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24-25/2nd cycle/Team 1 (Pedro Bordalo)/"/>
    </mc:Choice>
  </mc:AlternateContent>
  <xr:revisionPtr revIDLastSave="9751" documentId="13_ncr:1_{26D5CA1E-45FE-425A-8F05-72ED85C7BA47}" xr6:coauthVersionLast="47" xr6:coauthVersionMax="47" xr10:uidLastSave="{7603C39B-0FC7-4058-AFC8-B809D592EB00}"/>
  <bookViews>
    <workbookView xWindow="-108" yWindow="-108" windowWidth="23256" windowHeight="12576" tabRatio="644" firstSheet="5" activeTab="5" xr2:uid="{00000000-000D-0000-FFFF-FFFF00000000}"/>
  </bookViews>
  <sheets>
    <sheet name="OP" sheetId="1" r:id="rId1"/>
    <sheet name="Segments" sheetId="3" r:id="rId2"/>
    <sheet name="Acuerdo" sheetId="11" state="hidden" r:id="rId3"/>
    <sheet name="Peers" sheetId="10" r:id="rId4"/>
    <sheet name="ESG" sheetId="19" r:id="rId5"/>
    <sheet name="DCF" sheetId="4" r:id="rId6"/>
    <sheet name="Assumptions" sheetId="22" r:id="rId7"/>
    <sheet name="Fin. Data" sheetId="16" r:id="rId8"/>
    <sheet name="Sector Impact" sheetId="18" state="hidden" r:id="rId9"/>
    <sheet name="Inputs" sheetId="17" r:id="rId10"/>
  </sheets>
  <externalReferences>
    <externalReference r:id="rId11"/>
    <externalReference r:id="rId12"/>
  </externalReferences>
  <definedNames>
    <definedName name="_xlnm.Print_Area" localSheetId="0">OP!$A$1:$M$82</definedName>
    <definedName name="_xlnm.Print_Area" localSheetId="1">Segments!#REF!</definedName>
    <definedName name="Sectors" localSheetId="6">'[1]Sector Impact'!$K$4:$K$16</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22" l="1"/>
  <c r="B19" i="16"/>
  <c r="I25" i="4"/>
  <c r="N8" i="19"/>
  <c r="Q8" i="19"/>
  <c r="E90" i="22"/>
  <c r="C62" i="22" s="1"/>
  <c r="G144" i="22"/>
  <c r="G145" i="22"/>
  <c r="G143" i="22"/>
  <c r="D145" i="22"/>
  <c r="E145" i="22"/>
  <c r="F145" i="22"/>
  <c r="C145" i="22"/>
  <c r="C144" i="22"/>
  <c r="D144" i="22"/>
  <c r="E144" i="22"/>
  <c r="F144" i="22"/>
  <c r="D143" i="22"/>
  <c r="E143" i="22"/>
  <c r="F143" i="22"/>
  <c r="C143" i="22"/>
  <c r="H143" i="22" s="1"/>
  <c r="D133" i="22"/>
  <c r="H144" i="22" l="1"/>
  <c r="H145" i="22"/>
  <c r="C30" i="22"/>
  <c r="D19" i="4"/>
  <c r="C25" i="22"/>
  <c r="C24" i="22"/>
  <c r="E133" i="22"/>
  <c r="F133" i="22"/>
  <c r="G133" i="22"/>
  <c r="G134" i="22" s="1"/>
  <c r="C133" i="22"/>
  <c r="C134" i="22" s="1"/>
  <c r="F134" i="22" l="1"/>
  <c r="E134" i="22"/>
  <c r="D134" i="22"/>
  <c r="C121" i="22"/>
  <c r="C120" i="22"/>
  <c r="C119" i="22"/>
  <c r="G120" i="22"/>
  <c r="G119" i="22"/>
  <c r="G121" i="22"/>
  <c r="F120" i="22"/>
  <c r="F119" i="22"/>
  <c r="F121" i="22"/>
  <c r="E120" i="22"/>
  <c r="E119" i="22"/>
  <c r="E121" i="22"/>
  <c r="D120" i="22"/>
  <c r="D119" i="22"/>
  <c r="D121" i="22"/>
  <c r="I43" i="10"/>
  <c r="I44" i="10"/>
  <c r="I46" i="10"/>
  <c r="I49" i="10"/>
  <c r="I24" i="10"/>
  <c r="K24" i="22"/>
  <c r="C19" i="22"/>
  <c r="L25" i="22"/>
  <c r="M25" i="22"/>
  <c r="K25" i="22"/>
  <c r="J25" i="22"/>
  <c r="F25" i="22"/>
  <c r="G25" i="22"/>
  <c r="H25" i="22"/>
  <c r="I25" i="22"/>
  <c r="E25" i="22"/>
  <c r="AG23" i="22"/>
  <c r="J18" i="22" s="1"/>
  <c r="D39" i="4"/>
  <c r="AK23" i="22"/>
  <c r="M18" i="22" s="1"/>
  <c r="AJ23" i="22"/>
  <c r="L18" i="22" s="1"/>
  <c r="AI23" i="22"/>
  <c r="AF23" i="22"/>
  <c r="I18" i="22" s="1"/>
  <c r="AE23" i="22"/>
  <c r="H18" i="22" s="1"/>
  <c r="AD23" i="22"/>
  <c r="G18" i="22" s="1"/>
  <c r="AC23" i="22"/>
  <c r="F18" i="22" s="1"/>
  <c r="AB23" i="22"/>
  <c r="AA23" i="22"/>
  <c r="Z23" i="22"/>
  <c r="D58" i="22"/>
  <c r="E60" i="10"/>
  <c r="H119" i="22" l="1"/>
  <c r="H120" i="22"/>
  <c r="H121" i="22"/>
  <c r="Z20" i="22"/>
  <c r="C18" i="22"/>
  <c r="F10" i="4"/>
  <c r="E10" i="4"/>
  <c r="D18" i="22"/>
  <c r="D10" i="4"/>
  <c r="E18" i="22"/>
  <c r="CA394" i="22" l="1"/>
  <c r="BZ394" i="22"/>
  <c r="BY394" i="22"/>
  <c r="BW394" i="22"/>
  <c r="BV394" i="22"/>
  <c r="BU394" i="22"/>
  <c r="BT394" i="22"/>
  <c r="BS394" i="22"/>
  <c r="BR394" i="22"/>
  <c r="BQ394" i="22"/>
  <c r="BP394" i="22"/>
  <c r="BP391" i="22" s="1"/>
  <c r="D56" i="4" l="1"/>
  <c r="H7" i="4"/>
  <c r="I7" i="4"/>
  <c r="K7" i="4"/>
  <c r="L7" i="4"/>
  <c r="M7" i="4"/>
  <c r="N7" i="4"/>
  <c r="O7" i="4"/>
  <c r="P7" i="4"/>
  <c r="Q7" i="4"/>
  <c r="R7" i="4"/>
  <c r="S7" i="4"/>
  <c r="T7" i="4"/>
  <c r="U7" i="4"/>
  <c r="V7" i="4"/>
  <c r="W7" i="4"/>
  <c r="X7" i="4"/>
  <c r="Y7" i="4"/>
  <c r="Z7" i="4"/>
  <c r="AA7" i="4"/>
  <c r="AB7" i="4"/>
  <c r="AC7" i="4"/>
  <c r="AD7" i="4"/>
  <c r="AE7" i="4"/>
  <c r="AF7" i="4"/>
  <c r="H90" i="22"/>
  <c r="F60" i="4"/>
  <c r="AG58" i="22"/>
  <c r="AD58" i="22"/>
  <c r="AC58" i="22"/>
  <c r="AA58" i="22"/>
  <c r="Z58" i="22"/>
  <c r="V58" i="22"/>
  <c r="T58" i="22"/>
  <c r="R58" i="22"/>
  <c r="M58" i="22"/>
  <c r="L58" i="22"/>
  <c r="J58" i="22"/>
  <c r="H58" i="22"/>
  <c r="I58" i="22"/>
  <c r="C58" i="22"/>
  <c r="G58" i="22"/>
  <c r="F58" i="22"/>
  <c r="E58" i="22"/>
  <c r="D55" i="4"/>
  <c r="E17" i="22"/>
  <c r="D17" i="22"/>
  <c r="C17" i="22"/>
  <c r="F53" i="22"/>
  <c r="G53" i="22" s="1"/>
  <c r="H53" i="22" s="1"/>
  <c r="I53" i="22" s="1"/>
  <c r="J53" i="22" s="1"/>
  <c r="K53" i="22" s="1"/>
  <c r="L53" i="22" s="1"/>
  <c r="M53" i="22" s="1"/>
  <c r="N53" i="22" s="1"/>
  <c r="O53" i="22" s="1"/>
  <c r="P53" i="22" s="1"/>
  <c r="Q53" i="22" s="1"/>
  <c r="R53" i="22" s="1"/>
  <c r="S53" i="22" s="1"/>
  <c r="T53" i="22" s="1"/>
  <c r="U53" i="22" s="1"/>
  <c r="V53" i="22" s="1"/>
  <c r="W53" i="22" s="1"/>
  <c r="X53" i="22" s="1"/>
  <c r="Y53" i="22" s="1"/>
  <c r="Z53" i="22" s="1"/>
  <c r="AA53" i="22" s="1"/>
  <c r="AB53" i="22" s="1"/>
  <c r="AC53" i="22" s="1"/>
  <c r="AD53" i="22" s="1"/>
  <c r="F48" i="22"/>
  <c r="G48" i="22"/>
  <c r="H48" i="22" s="1"/>
  <c r="I48" i="22" s="1"/>
  <c r="J48" i="22" s="1"/>
  <c r="K48" i="22" s="1"/>
  <c r="L48" i="22" s="1"/>
  <c r="M48" i="22" s="1"/>
  <c r="N48" i="22" s="1"/>
  <c r="O48" i="22" s="1"/>
  <c r="P48" i="22" s="1"/>
  <c r="Q48" i="22" s="1"/>
  <c r="R48" i="22" s="1"/>
  <c r="S48" i="22" s="1"/>
  <c r="T48" i="22" s="1"/>
  <c r="U48" i="22" s="1"/>
  <c r="V48" i="22" s="1"/>
  <c r="W48" i="22" s="1"/>
  <c r="X48" i="22" s="1"/>
  <c r="Y48" i="22" s="1"/>
  <c r="Z48" i="22" s="1"/>
  <c r="AA48" i="22" s="1"/>
  <c r="AB48" i="22" s="1"/>
  <c r="AC48" i="22" s="1"/>
  <c r="AD48" i="22" s="1"/>
  <c r="H43" i="22"/>
  <c r="D41" i="4"/>
  <c r="E41" i="4" s="1"/>
  <c r="F41" i="4" s="1"/>
  <c r="H6" i="4"/>
  <c r="D22" i="4"/>
  <c r="F22" i="4"/>
  <c r="F42" i="22"/>
  <c r="I6" i="4"/>
  <c r="F64" i="4"/>
  <c r="E39" i="4"/>
  <c r="F39" i="4"/>
  <c r="I24" i="22"/>
  <c r="G6" i="4"/>
  <c r="E42" i="22"/>
  <c r="I43" i="22" l="1"/>
  <c r="J43" i="22" s="1"/>
  <c r="L6" i="4" s="1"/>
  <c r="J6" i="4"/>
  <c r="J5" i="4" s="1"/>
  <c r="H5" i="4"/>
  <c r="I5" i="4"/>
  <c r="K6" i="4" l="1"/>
  <c r="L5" i="4" s="1"/>
  <c r="K43" i="22"/>
  <c r="L43" i="22"/>
  <c r="M6" i="4"/>
  <c r="K5" i="4" l="1"/>
  <c r="M5" i="4"/>
  <c r="M43" i="22"/>
  <c r="N6" i="4"/>
  <c r="N8" i="4" s="1"/>
  <c r="D19" i="22"/>
  <c r="F11" i="4"/>
  <c r="F19" i="4"/>
  <c r="E19" i="4"/>
  <c r="E22" i="4" s="1"/>
  <c r="J72" i="22"/>
  <c r="J73" i="22"/>
  <c r="J74" i="22"/>
  <c r="J75" i="22"/>
  <c r="J76" i="22"/>
  <c r="J77" i="22"/>
  <c r="J78" i="22"/>
  <c r="J79" i="22"/>
  <c r="J80" i="22"/>
  <c r="J81" i="22"/>
  <c r="J82" i="22"/>
  <c r="J83" i="22"/>
  <c r="J84" i="22"/>
  <c r="J85" i="22"/>
  <c r="J86" i="22"/>
  <c r="J87" i="22"/>
  <c r="J88" i="22"/>
  <c r="J89" i="22"/>
  <c r="J66" i="22"/>
  <c r="J67" i="22"/>
  <c r="J68" i="22"/>
  <c r="J69" i="22"/>
  <c r="J65" i="22"/>
  <c r="G49" i="10"/>
  <c r="F49" i="10"/>
  <c r="E49" i="10"/>
  <c r="D49" i="10"/>
  <c r="H8" i="10"/>
  <c r="H10" i="10" s="1" a="1"/>
  <c r="H10" i="10" s="1"/>
  <c r="D6" i="10" a="1"/>
  <c r="D6" i="10" s="1"/>
  <c r="H11" i="10"/>
  <c r="H13" i="10"/>
  <c r="H14" i="10"/>
  <c r="H15" i="10"/>
  <c r="H16" i="10"/>
  <c r="H17" i="10"/>
  <c r="H18" i="10"/>
  <c r="H20" i="10"/>
  <c r="H21" i="10"/>
  <c r="H22" i="10"/>
  <c r="H24" i="10"/>
  <c r="H25" i="10"/>
  <c r="H27" i="10"/>
  <c r="H28" i="10"/>
  <c r="H29" i="10"/>
  <c r="H30" i="10"/>
  <c r="H31" i="10"/>
  <c r="H50" i="10"/>
  <c r="E76" i="10"/>
  <c r="E56" i="10"/>
  <c r="O13" i="19"/>
  <c r="O14" i="19"/>
  <c r="O15" i="19"/>
  <c r="O12" i="19"/>
  <c r="P15" i="19"/>
  <c r="P13" i="19"/>
  <c r="P12" i="19"/>
  <c r="N15" i="19"/>
  <c r="M13" i="19"/>
  <c r="C17" i="19"/>
  <c r="E73" i="10"/>
  <c r="G69" i="10"/>
  <c r="G30" i="10" s="1"/>
  <c r="L13" i="19"/>
  <c r="Q7" i="19" s="1"/>
  <c r="L15" i="19"/>
  <c r="E55" i="10"/>
  <c r="E54" i="10"/>
  <c r="E74" i="10"/>
  <c r="E72" i="10"/>
  <c r="E71" i="10"/>
  <c r="E70" i="10"/>
  <c r="E69" i="10"/>
  <c r="E68" i="10"/>
  <c r="E67" i="10"/>
  <c r="E66" i="10"/>
  <c r="E65" i="10"/>
  <c r="E62" i="10"/>
  <c r="E61" i="10"/>
  <c r="E57" i="10"/>
  <c r="E58" i="10"/>
  <c r="E59" i="10"/>
  <c r="D56" i="10"/>
  <c r="D13" i="10" s="1"/>
  <c r="F31" i="1"/>
  <c r="F29" i="1"/>
  <c r="B21" i="3"/>
  <c r="B22" i="3"/>
  <c r="B20" i="3"/>
  <c r="C7" i="17"/>
  <c r="D7" i="17"/>
  <c r="E7" i="17"/>
  <c r="F7" i="17"/>
  <c r="G7" i="17"/>
  <c r="H7" i="17"/>
  <c r="I7" i="17"/>
  <c r="J7" i="17"/>
  <c r="K7" i="17"/>
  <c r="L7" i="17"/>
  <c r="M7" i="17"/>
  <c r="B7" i="17"/>
  <c r="F51" i="22"/>
  <c r="G51" i="22" s="1"/>
  <c r="H51" i="22" s="1"/>
  <c r="I51" i="22" s="1"/>
  <c r="J51" i="22" s="1"/>
  <c r="K51" i="22" s="1"/>
  <c r="L51" i="22" s="1"/>
  <c r="M51" i="22" s="1"/>
  <c r="N51" i="22" s="1"/>
  <c r="O51" i="22" s="1"/>
  <c r="P51" i="22" s="1"/>
  <c r="Q51" i="22" s="1"/>
  <c r="R51" i="22" s="1"/>
  <c r="S51" i="22" s="1"/>
  <c r="T51" i="22" s="1"/>
  <c r="U51" i="22" s="1"/>
  <c r="V51" i="22" s="1"/>
  <c r="W51" i="22" s="1"/>
  <c r="X51" i="22" s="1"/>
  <c r="Y51" i="22" s="1"/>
  <c r="Z51" i="22" s="1"/>
  <c r="AA51" i="22" s="1"/>
  <c r="AB51" i="22" s="1"/>
  <c r="AC51" i="22" s="1"/>
  <c r="AD51" i="22" s="1"/>
  <c r="F46" i="22"/>
  <c r="G46" i="22" s="1"/>
  <c r="H46" i="22" s="1"/>
  <c r="I46" i="22" s="1"/>
  <c r="J46" i="22" s="1"/>
  <c r="K46" i="22" s="1"/>
  <c r="L46" i="22" s="1"/>
  <c r="M46" i="22" s="1"/>
  <c r="N46" i="22" s="1"/>
  <c r="O46" i="22" s="1"/>
  <c r="P46" i="22" s="1"/>
  <c r="Q46" i="22" s="1"/>
  <c r="R46" i="22" s="1"/>
  <c r="S46" i="22" s="1"/>
  <c r="T46" i="22" s="1"/>
  <c r="U46" i="22" s="1"/>
  <c r="V46" i="22" s="1"/>
  <c r="W46" i="22" s="1"/>
  <c r="X46" i="22" s="1"/>
  <c r="Y46" i="22" s="1"/>
  <c r="Z46" i="22" s="1"/>
  <c r="AA46" i="22" s="1"/>
  <c r="AB46" i="22" s="1"/>
  <c r="AC46" i="22" s="1"/>
  <c r="AD46" i="22" s="1"/>
  <c r="F41" i="22"/>
  <c r="G41" i="22" s="1"/>
  <c r="H41" i="22" s="1"/>
  <c r="I41" i="22" s="1"/>
  <c r="J41" i="22" s="1"/>
  <c r="K41" i="22" s="1"/>
  <c r="L41" i="22" s="1"/>
  <c r="M41" i="22" s="1"/>
  <c r="N41" i="22" s="1"/>
  <c r="O41" i="22" s="1"/>
  <c r="P41" i="22" s="1"/>
  <c r="Q41" i="22" s="1"/>
  <c r="R41" i="22" s="1"/>
  <c r="S41" i="22" s="1"/>
  <c r="T41" i="22" s="1"/>
  <c r="U41" i="22" s="1"/>
  <c r="V41" i="22" s="1"/>
  <c r="W41" i="22" s="1"/>
  <c r="X41" i="22" s="1"/>
  <c r="Y41" i="22" s="1"/>
  <c r="Z41" i="22" s="1"/>
  <c r="AA41" i="22" s="1"/>
  <c r="AB41" i="22" s="1"/>
  <c r="AC41" i="22" s="1"/>
  <c r="AD41" i="22" s="1"/>
  <c r="D30" i="22"/>
  <c r="E30" i="22"/>
  <c r="F30" i="22"/>
  <c r="G30" i="22"/>
  <c r="H30" i="22"/>
  <c r="I30" i="22"/>
  <c r="J30" i="22"/>
  <c r="K30" i="22"/>
  <c r="L30" i="22"/>
  <c r="M30" i="22"/>
  <c r="D24" i="22"/>
  <c r="E24" i="22"/>
  <c r="F24" i="22"/>
  <c r="G24" i="22"/>
  <c r="H24" i="22"/>
  <c r="J24" i="22"/>
  <c r="L24" i="22"/>
  <c r="M24" i="22"/>
  <c r="D25" i="22"/>
  <c r="P18" i="22"/>
  <c r="C23" i="22"/>
  <c r="B13" i="17"/>
  <c r="I19" i="1"/>
  <c r="M107" i="1"/>
  <c r="K107" i="1"/>
  <c r="I107" i="1"/>
  <c r="M21" i="1"/>
  <c r="M20" i="1"/>
  <c r="C39" i="10" s="1"/>
  <c r="I39" i="10" s="1"/>
  <c r="M23" i="1"/>
  <c r="M81" i="1"/>
  <c r="O16" i="22"/>
  <c r="P16" i="22"/>
  <c r="Q16" i="22"/>
  <c r="H23" i="22"/>
  <c r="I23" i="22"/>
  <c r="J23" i="22"/>
  <c r="K23" i="22"/>
  <c r="L23" i="22"/>
  <c r="M23" i="22"/>
  <c r="H26" i="22"/>
  <c r="I26" i="22"/>
  <c r="J26" i="22"/>
  <c r="K26" i="22"/>
  <c r="L26" i="22"/>
  <c r="M26" i="22"/>
  <c r="H27" i="22"/>
  <c r="I27" i="22"/>
  <c r="J27" i="22"/>
  <c r="K27" i="22"/>
  <c r="L27" i="22"/>
  <c r="M27" i="22"/>
  <c r="H28" i="22"/>
  <c r="I28" i="22"/>
  <c r="J28" i="22"/>
  <c r="K28" i="22"/>
  <c r="L28" i="22"/>
  <c r="M28" i="22"/>
  <c r="H29" i="22"/>
  <c r="I29" i="22"/>
  <c r="J29" i="22"/>
  <c r="K29" i="22"/>
  <c r="L29" i="22"/>
  <c r="M29" i="22"/>
  <c r="H9" i="22"/>
  <c r="I9" i="22"/>
  <c r="J9" i="22"/>
  <c r="K9" i="22"/>
  <c r="L9" i="22"/>
  <c r="M9" i="22"/>
  <c r="H10" i="22"/>
  <c r="I10" i="22"/>
  <c r="J10" i="22"/>
  <c r="K10" i="22"/>
  <c r="L10" i="22"/>
  <c r="M10" i="22"/>
  <c r="D34" i="3"/>
  <c r="D23" i="22"/>
  <c r="E23" i="22"/>
  <c r="F23" i="22"/>
  <c r="G23" i="22"/>
  <c r="D28" i="22"/>
  <c r="E28" i="22"/>
  <c r="F28" i="22"/>
  <c r="G28" i="22"/>
  <c r="D29" i="22"/>
  <c r="E29" i="22"/>
  <c r="F29" i="22"/>
  <c r="G29" i="22"/>
  <c r="C29" i="22"/>
  <c r="C28" i="22"/>
  <c r="D26" i="22"/>
  <c r="E26" i="22"/>
  <c r="F26" i="22"/>
  <c r="G26" i="22"/>
  <c r="C26" i="22"/>
  <c r="D27" i="22"/>
  <c r="E27" i="22"/>
  <c r="F27" i="22"/>
  <c r="G27" i="22"/>
  <c r="C27" i="22"/>
  <c r="F54" i="4"/>
  <c r="F55" i="4"/>
  <c r="F56" i="4"/>
  <c r="F57" i="4"/>
  <c r="F58" i="4"/>
  <c r="F59" i="4"/>
  <c r="F61" i="4"/>
  <c r="F62" i="4"/>
  <c r="F63" i="4"/>
  <c r="F65" i="4"/>
  <c r="F66" i="4"/>
  <c r="F67" i="4"/>
  <c r="F53" i="4"/>
  <c r="D54" i="4"/>
  <c r="G10" i="4" s="1"/>
  <c r="E55" i="4"/>
  <c r="E56" i="4"/>
  <c r="D57" i="4"/>
  <c r="E57" i="4"/>
  <c r="D59" i="4"/>
  <c r="E59" i="4"/>
  <c r="D60" i="4"/>
  <c r="H21" i="4" s="1"/>
  <c r="E60" i="4"/>
  <c r="K21" i="4" s="1"/>
  <c r="D61" i="4"/>
  <c r="E61" i="4"/>
  <c r="D62" i="4"/>
  <c r="I23" i="4" s="1"/>
  <c r="D63" i="4"/>
  <c r="G24" i="4" s="1"/>
  <c r="D64" i="4"/>
  <c r="E64" i="4"/>
  <c r="D65" i="4"/>
  <c r="E65" i="4"/>
  <c r="D66" i="4"/>
  <c r="J27" i="4" s="1"/>
  <c r="E66" i="4"/>
  <c r="D67" i="4"/>
  <c r="D53" i="4"/>
  <c r="D18" i="10"/>
  <c r="F18" i="10"/>
  <c r="G18" i="10"/>
  <c r="B87" i="17"/>
  <c r="O6" i="3"/>
  <c r="N6" i="3"/>
  <c r="M6" i="3"/>
  <c r="L6" i="3"/>
  <c r="K6" i="3"/>
  <c r="D6" i="4"/>
  <c r="E6" i="4"/>
  <c r="F6" i="4"/>
  <c r="C16" i="22"/>
  <c r="G8" i="10"/>
  <c r="F8" i="10"/>
  <c r="F47" i="10" s="1"/>
  <c r="E8" i="10"/>
  <c r="D8" i="10"/>
  <c r="D52" i="10" s="1"/>
  <c r="C60" i="17"/>
  <c r="D60" i="17"/>
  <c r="E60" i="17"/>
  <c r="F60" i="17"/>
  <c r="G60" i="17"/>
  <c r="H60" i="17"/>
  <c r="I60" i="17"/>
  <c r="J60" i="17"/>
  <c r="K60" i="17"/>
  <c r="L60" i="17"/>
  <c r="M60" i="17"/>
  <c r="B60" i="17"/>
  <c r="F67" i="17"/>
  <c r="G67" i="17"/>
  <c r="H67" i="17"/>
  <c r="I67" i="17"/>
  <c r="J67" i="17"/>
  <c r="K67" i="17"/>
  <c r="L67" i="17"/>
  <c r="M67" i="17"/>
  <c r="E47" i="17"/>
  <c r="F47" i="17"/>
  <c r="G47" i="17"/>
  <c r="H47" i="17"/>
  <c r="I47" i="17"/>
  <c r="J47" i="17"/>
  <c r="K47" i="17"/>
  <c r="L47" i="17"/>
  <c r="M47" i="17"/>
  <c r="D47" i="17"/>
  <c r="E32" i="17"/>
  <c r="F32" i="17"/>
  <c r="G32" i="17"/>
  <c r="H32" i="17"/>
  <c r="I32" i="17"/>
  <c r="J32" i="17"/>
  <c r="K32" i="17"/>
  <c r="L32" i="17"/>
  <c r="M32" i="17"/>
  <c r="D32" i="17"/>
  <c r="F24" i="1"/>
  <c r="B14" i="17"/>
  <c r="B77" i="17"/>
  <c r="B75" i="17"/>
  <c r="B67" i="17"/>
  <c r="B63" i="17"/>
  <c r="B56" i="17"/>
  <c r="B47" i="17"/>
  <c r="B50" i="17"/>
  <c r="B46" i="17"/>
  <c r="B32" i="17"/>
  <c r="B36" i="17"/>
  <c r="B37" i="17" s="1"/>
  <c r="B43" i="16" s="1"/>
  <c r="B31" i="17"/>
  <c r="B23" i="17"/>
  <c r="E10" i="22"/>
  <c r="F10" i="22"/>
  <c r="G10" i="22"/>
  <c r="G9" i="22"/>
  <c r="F9" i="22"/>
  <c r="E9" i="22"/>
  <c r="D10" i="22"/>
  <c r="D9" i="22"/>
  <c r="C10" i="22"/>
  <c r="C9" i="22"/>
  <c r="D8" i="22"/>
  <c r="C49" i="10"/>
  <c r="J49" i="10" s="1"/>
  <c r="F50" i="4"/>
  <c r="F45" i="4" s="1"/>
  <c r="O15" i="3"/>
  <c r="N15" i="3"/>
  <c r="M15" i="3"/>
  <c r="L15" i="3"/>
  <c r="K15" i="3"/>
  <c r="J44" i="10"/>
  <c r="J46" i="10"/>
  <c r="E2" i="1"/>
  <c r="G22" i="10"/>
  <c r="F22" i="10"/>
  <c r="D22" i="10"/>
  <c r="C77" i="17"/>
  <c r="F53" i="1"/>
  <c r="D77" i="17"/>
  <c r="F52" i="1"/>
  <c r="E77" i="17"/>
  <c r="F51" i="1"/>
  <c r="F77" i="17"/>
  <c r="F50" i="1"/>
  <c r="G77" i="17"/>
  <c r="F49" i="1"/>
  <c r="H77" i="17"/>
  <c r="F48" i="1"/>
  <c r="I77" i="17"/>
  <c r="F47" i="1"/>
  <c r="J77" i="17"/>
  <c r="F46" i="1"/>
  <c r="K77" i="17"/>
  <c r="L77" i="17"/>
  <c r="M77" i="17"/>
  <c r="F54" i="1"/>
  <c r="F55" i="1" s="1"/>
  <c r="D4" i="1" a="1"/>
  <c r="D4" i="1" s="1"/>
  <c r="L6" i="19"/>
  <c r="P8" i="19"/>
  <c r="P6" i="19"/>
  <c r="C23" i="17"/>
  <c r="B22" i="17"/>
  <c r="D23" i="17"/>
  <c r="E23" i="17"/>
  <c r="F23" i="17"/>
  <c r="G23" i="17"/>
  <c r="H23" i="17"/>
  <c r="I23" i="17"/>
  <c r="J23" i="17"/>
  <c r="K23" i="17"/>
  <c r="L23" i="17"/>
  <c r="M23" i="17"/>
  <c r="D21" i="4"/>
  <c r="E21" i="4"/>
  <c r="F21" i="4"/>
  <c r="D24" i="4"/>
  <c r="D27" i="4"/>
  <c r="E27" i="4"/>
  <c r="F27" i="4"/>
  <c r="K75" i="17"/>
  <c r="L75" i="17"/>
  <c r="M75" i="17"/>
  <c r="J75" i="17"/>
  <c r="F31" i="4"/>
  <c r="E67" i="17"/>
  <c r="M63" i="17"/>
  <c r="E63" i="17"/>
  <c r="F63" i="17"/>
  <c r="G63" i="17"/>
  <c r="H63" i="17"/>
  <c r="I63" i="17"/>
  <c r="J63" i="17"/>
  <c r="F27" i="1"/>
  <c r="F21" i="1"/>
  <c r="D28" i="4"/>
  <c r="E28" i="4"/>
  <c r="F28" i="4"/>
  <c r="F25" i="4"/>
  <c r="E75" i="17"/>
  <c r="F75" i="17"/>
  <c r="G75" i="17"/>
  <c r="H75" i="17"/>
  <c r="I75" i="17"/>
  <c r="E36" i="17"/>
  <c r="F46" i="17"/>
  <c r="C32" i="17"/>
  <c r="K50" i="17"/>
  <c r="D75" i="17"/>
  <c r="D31" i="4" s="1"/>
  <c r="C75" i="17"/>
  <c r="E31" i="4"/>
  <c r="D63" i="17"/>
  <c r="I22" i="17"/>
  <c r="K22" i="17"/>
  <c r="C8" i="19"/>
  <c r="M6" i="19"/>
  <c r="N6" i="19"/>
  <c r="M8" i="19"/>
  <c r="M9" i="19"/>
  <c r="N9" i="19"/>
  <c r="L8" i="19"/>
  <c r="L14" i="3"/>
  <c r="M14" i="3"/>
  <c r="N14" i="3"/>
  <c r="O14" i="3"/>
  <c r="L16" i="3"/>
  <c r="M16" i="3"/>
  <c r="N16" i="3"/>
  <c r="O16" i="3"/>
  <c r="K16" i="3"/>
  <c r="K14" i="3"/>
  <c r="O5" i="3"/>
  <c r="N5" i="3"/>
  <c r="M5" i="3"/>
  <c r="L5" i="3"/>
  <c r="K5" i="3"/>
  <c r="E11" i="4"/>
  <c r="D11" i="4"/>
  <c r="E19" i="22" s="1"/>
  <c r="C63" i="17"/>
  <c r="D67" i="17"/>
  <c r="D25" i="4"/>
  <c r="C6" i="19"/>
  <c r="D17" i="3"/>
  <c r="B15" i="3" s="1"/>
  <c r="H29" i="1" s="1"/>
  <c r="H4" i="4"/>
  <c r="I4" i="4"/>
  <c r="J4" i="4"/>
  <c r="K4" i="4"/>
  <c r="L4" i="4"/>
  <c r="M4" i="4"/>
  <c r="N4" i="4"/>
  <c r="O4" i="4"/>
  <c r="P4" i="4"/>
  <c r="Q4" i="4"/>
  <c r="R4" i="4"/>
  <c r="S4" i="4"/>
  <c r="T4" i="4"/>
  <c r="U4" i="4"/>
  <c r="V4" i="4"/>
  <c r="W4" i="4"/>
  <c r="X4" i="4"/>
  <c r="Y4" i="4"/>
  <c r="Z4" i="4"/>
  <c r="AA4" i="4"/>
  <c r="AB4" i="4"/>
  <c r="AC4" i="4"/>
  <c r="AD4" i="4"/>
  <c r="AE4" i="4"/>
  <c r="AF4" i="4"/>
  <c r="G28" i="10"/>
  <c r="F11" i="10"/>
  <c r="F50" i="10" s="1"/>
  <c r="G11" i="10"/>
  <c r="G50" i="10" s="1"/>
  <c r="F13" i="10"/>
  <c r="G13" i="10"/>
  <c r="F14" i="10"/>
  <c r="G14" i="10"/>
  <c r="F15" i="10"/>
  <c r="G15" i="10"/>
  <c r="F16" i="10"/>
  <c r="G16" i="10"/>
  <c r="D17" i="10"/>
  <c r="F17" i="10"/>
  <c r="G17" i="10"/>
  <c r="D20" i="10"/>
  <c r="F20" i="10"/>
  <c r="G20" i="10"/>
  <c r="D21" i="10"/>
  <c r="F21" i="10"/>
  <c r="G21" i="10"/>
  <c r="D24" i="10"/>
  <c r="F24" i="10"/>
  <c r="G24" i="10"/>
  <c r="D25" i="10"/>
  <c r="F25" i="10"/>
  <c r="G25" i="10"/>
  <c r="D27" i="10"/>
  <c r="F28" i="10"/>
  <c r="D29" i="10"/>
  <c r="F29" i="10"/>
  <c r="G29" i="10"/>
  <c r="F30" i="10"/>
  <c r="F31" i="10"/>
  <c r="G31" i="10"/>
  <c r="I9" i="10"/>
  <c r="C72" i="10"/>
  <c r="C71" i="10"/>
  <c r="C68" i="10"/>
  <c r="B11" i="3"/>
  <c r="E17" i="3"/>
  <c r="F17" i="3"/>
  <c r="M17" i="3" s="1"/>
  <c r="G17" i="3"/>
  <c r="H17" i="3"/>
  <c r="I17" i="3"/>
  <c r="E9" i="3"/>
  <c r="F9" i="3"/>
  <c r="G9" i="3"/>
  <c r="H9" i="3"/>
  <c r="I9" i="3"/>
  <c r="K13" i="3"/>
  <c r="L13" i="3" s="1"/>
  <c r="M13" i="3" s="1"/>
  <c r="N13" i="3" s="1"/>
  <c r="O13" i="3" s="1"/>
  <c r="P13" i="3" s="1"/>
  <c r="K4" i="3"/>
  <c r="L4" i="3" s="1"/>
  <c r="M4" i="3" s="1"/>
  <c r="N4" i="3" s="1"/>
  <c r="O4" i="3" s="1"/>
  <c r="P4" i="3" s="1"/>
  <c r="D13" i="3"/>
  <c r="E13" i="3" s="1"/>
  <c r="F13" i="3" s="1"/>
  <c r="G13" i="3" s="1"/>
  <c r="H13" i="3" s="1"/>
  <c r="I13" i="3" s="1"/>
  <c r="D4" i="3"/>
  <c r="E4" i="3" s="1"/>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70" i="16"/>
  <c r="L70" i="16"/>
  <c r="K70" i="16"/>
  <c r="J70" i="16"/>
  <c r="I70" i="16"/>
  <c r="H70" i="16"/>
  <c r="G70" i="16"/>
  <c r="F70" i="16"/>
  <c r="E70" i="16"/>
  <c r="D70" i="16"/>
  <c r="C70" i="16"/>
  <c r="B70" i="16"/>
  <c r="M69" i="16"/>
  <c r="L69" i="16"/>
  <c r="K69" i="16"/>
  <c r="J69" i="16"/>
  <c r="I69" i="16"/>
  <c r="H69" i="16"/>
  <c r="G69" i="16"/>
  <c r="F69" i="16"/>
  <c r="E69" i="16"/>
  <c r="D69" i="16"/>
  <c r="C69" i="16"/>
  <c r="B69" i="16"/>
  <c r="B23" i="16"/>
  <c r="F17" i="4" s="1"/>
  <c r="M62" i="16"/>
  <c r="L62" i="16"/>
  <c r="K62" i="16"/>
  <c r="J62" i="16"/>
  <c r="I62" i="16"/>
  <c r="H62" i="16"/>
  <c r="G62" i="16"/>
  <c r="F62" i="16"/>
  <c r="E62" i="16"/>
  <c r="D62" i="16"/>
  <c r="C62" i="16"/>
  <c r="B62" i="16"/>
  <c r="M84" i="16"/>
  <c r="L84" i="16"/>
  <c r="K84" i="16"/>
  <c r="J84" i="16"/>
  <c r="I84" i="16"/>
  <c r="H84" i="16"/>
  <c r="G84" i="16"/>
  <c r="F84" i="16"/>
  <c r="E84" i="16"/>
  <c r="D84" i="16"/>
  <c r="C84" i="16"/>
  <c r="B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C78" i="16"/>
  <c r="B78" i="16"/>
  <c r="M52" i="16"/>
  <c r="L52" i="16"/>
  <c r="J52" i="16"/>
  <c r="I52" i="16"/>
  <c r="H52" i="16"/>
  <c r="G52" i="16"/>
  <c r="F52" i="16"/>
  <c r="E52" i="16"/>
  <c r="D52" i="16"/>
  <c r="B52" i="16"/>
  <c r="C48" i="16"/>
  <c r="D48" i="16"/>
  <c r="E48" i="16"/>
  <c r="F48" i="16"/>
  <c r="G48" i="16"/>
  <c r="H48" i="16"/>
  <c r="I48" i="16"/>
  <c r="J48" i="16"/>
  <c r="K48" i="16"/>
  <c r="L48" i="16"/>
  <c r="M48" i="16"/>
  <c r="B48" i="16"/>
  <c r="M54" i="16"/>
  <c r="L54" i="16"/>
  <c r="K54" i="16"/>
  <c r="J54" i="16"/>
  <c r="I54" i="16"/>
  <c r="H54" i="16"/>
  <c r="G54" i="16"/>
  <c r="F54" i="16"/>
  <c r="E54" i="16"/>
  <c r="D54" i="16"/>
  <c r="C54" i="16"/>
  <c r="B54" i="16"/>
  <c r="M53" i="16"/>
  <c r="L53" i="16"/>
  <c r="K53" i="16"/>
  <c r="J53" i="16"/>
  <c r="I53" i="16"/>
  <c r="H53" i="16"/>
  <c r="G53" i="16"/>
  <c r="F53" i="16"/>
  <c r="E53" i="16"/>
  <c r="D53" i="16"/>
  <c r="C53" i="16"/>
  <c r="B53" i="16"/>
  <c r="M50" i="16"/>
  <c r="L50" i="16"/>
  <c r="K50" i="16"/>
  <c r="J50" i="16"/>
  <c r="I50" i="16"/>
  <c r="H50" i="16"/>
  <c r="G50" i="16"/>
  <c r="F50" i="16"/>
  <c r="E50" i="16"/>
  <c r="D50" i="16"/>
  <c r="C50" i="16"/>
  <c r="B50" i="16"/>
  <c r="M49" i="16"/>
  <c r="L49" i="16"/>
  <c r="K49" i="16"/>
  <c r="K58" i="16" s="1"/>
  <c r="L21" i="22" s="1"/>
  <c r="J49" i="16"/>
  <c r="I49" i="16"/>
  <c r="H49" i="16"/>
  <c r="G49" i="16"/>
  <c r="F49" i="16"/>
  <c r="E49" i="16"/>
  <c r="D49" i="16"/>
  <c r="C49" i="16"/>
  <c r="B49" i="16"/>
  <c r="B44" i="16"/>
  <c r="C70" i="10" s="1"/>
  <c r="M42" i="16"/>
  <c r="L42" i="16"/>
  <c r="K42" i="16"/>
  <c r="J42" i="16"/>
  <c r="I42" i="16"/>
  <c r="M17" i="22" s="1"/>
  <c r="H42" i="16"/>
  <c r="L17" i="22" s="1"/>
  <c r="G42" i="16"/>
  <c r="K17" i="22" s="1"/>
  <c r="F42" i="16"/>
  <c r="J17" i="22" s="1"/>
  <c r="E42" i="16"/>
  <c r="I17" i="22" s="1"/>
  <c r="D42" i="16"/>
  <c r="H17" i="22" s="1"/>
  <c r="C42" i="16"/>
  <c r="G17" i="22" s="1"/>
  <c r="B42" i="16"/>
  <c r="F17" i="22" s="1"/>
  <c r="M41" i="16"/>
  <c r="L41" i="16"/>
  <c r="K41" i="16"/>
  <c r="J41" i="16"/>
  <c r="I41" i="16"/>
  <c r="H41" i="16"/>
  <c r="G41" i="16"/>
  <c r="F41" i="16"/>
  <c r="E41" i="16"/>
  <c r="D41" i="16"/>
  <c r="C41" i="16"/>
  <c r="B41" i="16"/>
  <c r="C67" i="10" s="1"/>
  <c r="M40" i="16"/>
  <c r="L40" i="16"/>
  <c r="K40" i="16"/>
  <c r="J40" i="16"/>
  <c r="I40" i="16"/>
  <c r="H40" i="16"/>
  <c r="G40" i="16"/>
  <c r="F40" i="16"/>
  <c r="E40" i="16"/>
  <c r="D40" i="16"/>
  <c r="C40" i="16"/>
  <c r="B40" i="16"/>
  <c r="C66" i="10" s="1"/>
  <c r="M39" i="16"/>
  <c r="M26" i="16"/>
  <c r="L39" i="16"/>
  <c r="L26" i="16" s="1"/>
  <c r="K39" i="16"/>
  <c r="K26" i="16" s="1"/>
  <c r="J39" i="16"/>
  <c r="I39" i="16"/>
  <c r="I26" i="16" s="1"/>
  <c r="H39" i="16"/>
  <c r="G39" i="16"/>
  <c r="F39" i="16"/>
  <c r="E39" i="16"/>
  <c r="E26" i="16" s="1"/>
  <c r="D39" i="16"/>
  <c r="D43" i="4" s="1"/>
  <c r="C39" i="16"/>
  <c r="B39" i="16"/>
  <c r="C65" i="10" s="1"/>
  <c r="M33" i="16"/>
  <c r="L33" i="16"/>
  <c r="K33" i="16"/>
  <c r="J33" i="16"/>
  <c r="I33" i="16"/>
  <c r="H33" i="16"/>
  <c r="G33" i="16"/>
  <c r="F33" i="16"/>
  <c r="E33" i="16"/>
  <c r="D33" i="16"/>
  <c r="C33" i="16"/>
  <c r="E24" i="4" s="1"/>
  <c r="B33" i="16"/>
  <c r="F24" i="4" s="1"/>
  <c r="M32" i="16"/>
  <c r="M34" i="16" s="1"/>
  <c r="L32" i="16"/>
  <c r="L34" i="16" s="1"/>
  <c r="K32" i="16"/>
  <c r="K34" i="16" s="1"/>
  <c r="J32" i="16"/>
  <c r="J34" i="16" s="1"/>
  <c r="I32" i="16"/>
  <c r="I34" i="16" s="1"/>
  <c r="H32" i="16"/>
  <c r="G32" i="16"/>
  <c r="G34" i="16" s="1"/>
  <c r="F32" i="16"/>
  <c r="F34" i="16" s="1"/>
  <c r="E32" i="16"/>
  <c r="E34" i="16" s="1"/>
  <c r="D32" i="16"/>
  <c r="D23" i="4" s="1"/>
  <c r="D26" i="4" s="1"/>
  <c r="C32" i="16"/>
  <c r="C34" i="16" s="1"/>
  <c r="B32" i="16"/>
  <c r="F23" i="4" s="1"/>
  <c r="M28" i="16"/>
  <c r="L28" i="16"/>
  <c r="K28" i="16"/>
  <c r="J28" i="16"/>
  <c r="I28" i="16"/>
  <c r="H28" i="16"/>
  <c r="G28" i="16"/>
  <c r="F28" i="16"/>
  <c r="E28" i="16"/>
  <c r="D28" i="16"/>
  <c r="D29" i="4" s="1"/>
  <c r="C28" i="16"/>
  <c r="E29" i="4" s="1"/>
  <c r="B28" i="16"/>
  <c r="F29" i="4" s="1"/>
  <c r="M27" i="16"/>
  <c r="M35" i="16" s="1"/>
  <c r="L27" i="16"/>
  <c r="L35" i="16" s="1"/>
  <c r="K27" i="16"/>
  <c r="K35" i="16" s="1"/>
  <c r="J27" i="16"/>
  <c r="J35" i="16" s="1"/>
  <c r="I27" i="16"/>
  <c r="H27" i="16"/>
  <c r="G27" i="16"/>
  <c r="G35" i="16" s="1"/>
  <c r="F27" i="16"/>
  <c r="F35" i="16" s="1"/>
  <c r="E27" i="16"/>
  <c r="E35" i="16" s="1"/>
  <c r="D27" i="16"/>
  <c r="C27" i="16"/>
  <c r="E30" i="4" s="1"/>
  <c r="B27" i="16"/>
  <c r="F30" i="4" s="1"/>
  <c r="M23" i="16"/>
  <c r="L23" i="16"/>
  <c r="K23" i="16"/>
  <c r="J23" i="16"/>
  <c r="I23" i="16"/>
  <c r="H23" i="16"/>
  <c r="G23" i="16"/>
  <c r="F23" i="16"/>
  <c r="E23" i="16"/>
  <c r="D23" i="16"/>
  <c r="D17" i="4" s="1"/>
  <c r="C23" i="16"/>
  <c r="E17" i="4" s="1"/>
  <c r="M21" i="16"/>
  <c r="L21" i="16"/>
  <c r="K21" i="16"/>
  <c r="J21" i="16"/>
  <c r="I21" i="16"/>
  <c r="H21" i="16"/>
  <c r="G21" i="16"/>
  <c r="F21" i="16"/>
  <c r="E21" i="16"/>
  <c r="D21" i="16"/>
  <c r="D16" i="4" s="1"/>
  <c r="C21" i="16"/>
  <c r="E16" i="4" s="1"/>
  <c r="B21" i="16"/>
  <c r="C61" i="10" s="1"/>
  <c r="M17" i="16"/>
  <c r="L17" i="16"/>
  <c r="K17" i="16"/>
  <c r="J17" i="16"/>
  <c r="I17" i="16"/>
  <c r="H17" i="16"/>
  <c r="G17" i="16"/>
  <c r="F17" i="16"/>
  <c r="E17" i="16"/>
  <c r="D17" i="16"/>
  <c r="C17" i="16"/>
  <c r="B17" i="16"/>
  <c r="M15" i="16"/>
  <c r="L15" i="16"/>
  <c r="K15" i="16"/>
  <c r="J15" i="16"/>
  <c r="I15" i="16"/>
  <c r="H15" i="16"/>
  <c r="G15" i="16"/>
  <c r="F15" i="16"/>
  <c r="E15" i="16"/>
  <c r="D15" i="16"/>
  <c r="D14" i="4" s="1"/>
  <c r="C15" i="16"/>
  <c r="E14" i="4"/>
  <c r="B15" i="16"/>
  <c r="F14" i="4" s="1"/>
  <c r="M14" i="16"/>
  <c r="L14" i="16"/>
  <c r="K14" i="16"/>
  <c r="J14" i="16"/>
  <c r="I14" i="16"/>
  <c r="H14" i="16"/>
  <c r="G14" i="16"/>
  <c r="F14" i="16"/>
  <c r="E14" i="16"/>
  <c r="D14" i="16"/>
  <c r="D13" i="4"/>
  <c r="C14" i="16"/>
  <c r="E13" i="4" s="1"/>
  <c r="B14" i="16"/>
  <c r="C60" i="10" s="1"/>
  <c r="C11" i="16"/>
  <c r="D11" i="16"/>
  <c r="D8" i="4" s="1"/>
  <c r="E11" i="16"/>
  <c r="F11" i="16"/>
  <c r="G11" i="16"/>
  <c r="H11" i="16"/>
  <c r="I11" i="16"/>
  <c r="J11" i="16"/>
  <c r="K11" i="16"/>
  <c r="L11" i="16"/>
  <c r="M11" i="16"/>
  <c r="M16" i="16" s="1"/>
  <c r="B11" i="16"/>
  <c r="C7" i="16"/>
  <c r="D7" i="16"/>
  <c r="E7" i="16"/>
  <c r="F7" i="16"/>
  <c r="G7" i="16"/>
  <c r="H7" i="16"/>
  <c r="I7" i="16"/>
  <c r="J7" i="16"/>
  <c r="K7" i="16"/>
  <c r="L7" i="16"/>
  <c r="M7" i="16"/>
  <c r="B7" i="16"/>
  <c r="M5" i="16"/>
  <c r="M24" i="16" s="1"/>
  <c r="M25" i="16" s="1"/>
  <c r="L5" i="16"/>
  <c r="L9" i="16" s="1"/>
  <c r="L10" i="16" s="1"/>
  <c r="K5" i="16"/>
  <c r="J5" i="16"/>
  <c r="I5" i="16"/>
  <c r="H5" i="16"/>
  <c r="G5" i="16"/>
  <c r="F5" i="16"/>
  <c r="E5" i="16"/>
  <c r="C54" i="10" s="1"/>
  <c r="D5" i="16"/>
  <c r="C5" i="16"/>
  <c r="C55" i="10" s="1"/>
  <c r="B5" i="16"/>
  <c r="B9" i="16" s="1"/>
  <c r="B10" i="16" s="1"/>
  <c r="M13" i="17"/>
  <c r="L13" i="17"/>
  <c r="K13" i="17"/>
  <c r="J13" i="17"/>
  <c r="I13" i="17"/>
  <c r="H13" i="17"/>
  <c r="G13" i="17"/>
  <c r="F13" i="17"/>
  <c r="E13" i="17"/>
  <c r="D68" i="16"/>
  <c r="E68" i="16"/>
  <c r="F68" i="16"/>
  <c r="G68" i="16"/>
  <c r="H68" i="16"/>
  <c r="I68" i="16"/>
  <c r="K68" i="16"/>
  <c r="M71" i="16"/>
  <c r="L71" i="16"/>
  <c r="K71" i="16"/>
  <c r="J71" i="16"/>
  <c r="I71" i="16"/>
  <c r="H71" i="16"/>
  <c r="G71" i="16"/>
  <c r="F71" i="16"/>
  <c r="E71" i="16"/>
  <c r="D71" i="16"/>
  <c r="C71" i="16"/>
  <c r="B71" i="16"/>
  <c r="B67" i="16"/>
  <c r="O22" i="22"/>
  <c r="M75" i="16"/>
  <c r="L75" i="16"/>
  <c r="K75" i="16"/>
  <c r="J75" i="16"/>
  <c r="I75" i="16"/>
  <c r="H75" i="16"/>
  <c r="G75" i="16"/>
  <c r="F75" i="16"/>
  <c r="E75" i="16"/>
  <c r="D75" i="16"/>
  <c r="C75" i="16"/>
  <c r="M67" i="16"/>
  <c r="J67" i="16"/>
  <c r="I67" i="16"/>
  <c r="H67" i="16"/>
  <c r="G67" i="16"/>
  <c r="F67" i="16"/>
  <c r="E67" i="16"/>
  <c r="D67" i="16"/>
  <c r="C67" i="16"/>
  <c r="C36" i="17"/>
  <c r="C31" i="17"/>
  <c r="C37" i="17" s="1"/>
  <c r="C43" i="16" s="1"/>
  <c r="D31" i="17"/>
  <c r="E31" i="17"/>
  <c r="F31" i="17"/>
  <c r="G31" i="17"/>
  <c r="H31" i="17"/>
  <c r="I31" i="17"/>
  <c r="J31" i="17"/>
  <c r="K31" i="17"/>
  <c r="L31" i="17"/>
  <c r="M31" i="17"/>
  <c r="C44" i="16"/>
  <c r="B56" i="16"/>
  <c r="D50" i="17"/>
  <c r="D55" i="16"/>
  <c r="E50" i="17"/>
  <c r="E55" i="16"/>
  <c r="F50" i="17"/>
  <c r="F55" i="16"/>
  <c r="G50" i="17"/>
  <c r="H50" i="17"/>
  <c r="I50" i="17"/>
  <c r="I55" i="16" s="1"/>
  <c r="J50" i="17"/>
  <c r="J55" i="16" s="1"/>
  <c r="L50" i="17"/>
  <c r="M50" i="17"/>
  <c r="M55" i="16"/>
  <c r="B55" i="16"/>
  <c r="C46" i="17"/>
  <c r="C51" i="16"/>
  <c r="D46" i="17"/>
  <c r="D51" i="16"/>
  <c r="E46" i="17"/>
  <c r="G46" i="17"/>
  <c r="H46" i="17"/>
  <c r="I46" i="17"/>
  <c r="J46" i="17"/>
  <c r="J51" i="16"/>
  <c r="K46" i="17"/>
  <c r="K51" i="16" s="1"/>
  <c r="L46" i="17"/>
  <c r="L51" i="16" s="1"/>
  <c r="M46" i="17"/>
  <c r="B51" i="16"/>
  <c r="AB38" i="17"/>
  <c r="E8" i="4"/>
  <c r="E12" i="4" s="1"/>
  <c r="J43" i="10"/>
  <c r="N46" i="4"/>
  <c r="S45" i="4"/>
  <c r="X46" i="4"/>
  <c r="AD47" i="4"/>
  <c r="L47" i="4"/>
  <c r="S46" i="4"/>
  <c r="X45" i="4"/>
  <c r="T46" i="4"/>
  <c r="I46" i="4"/>
  <c r="E51" i="16"/>
  <c r="D13" i="17"/>
  <c r="D14" i="17"/>
  <c r="C13" i="17"/>
  <c r="C14" i="17"/>
  <c r="E5" i="4"/>
  <c r="L55" i="16"/>
  <c r="F51" i="16"/>
  <c r="M51" i="16"/>
  <c r="H55" i="16"/>
  <c r="G51" i="16"/>
  <c r="G55" i="16"/>
  <c r="H51" i="16"/>
  <c r="I51" i="16"/>
  <c r="B2" i="3"/>
  <c r="C5" i="17"/>
  <c r="B4" i="16"/>
  <c r="B91" i="16" s="1"/>
  <c r="L46" i="1"/>
  <c r="M46" i="1" s="1"/>
  <c r="B54" i="1"/>
  <c r="B53" i="1"/>
  <c r="B52" i="1" s="1"/>
  <c r="B51" i="1" s="1"/>
  <c r="B50" i="1" s="1"/>
  <c r="B49" i="1" s="1"/>
  <c r="B48" i="1" s="1"/>
  <c r="B47" i="1" s="1"/>
  <c r="B46" i="1" s="1"/>
  <c r="C12" i="19"/>
  <c r="C13" i="19"/>
  <c r="C14" i="19"/>
  <c r="C15" i="19"/>
  <c r="C16" i="19"/>
  <c r="C18" i="19"/>
  <c r="C19" i="19"/>
  <c r="C20" i="19"/>
  <c r="C21" i="19"/>
  <c r="C22" i="19"/>
  <c r="C7" i="19"/>
  <c r="C9" i="19"/>
  <c r="C10" i="19"/>
  <c r="AD53" i="17"/>
  <c r="AC53" i="17"/>
  <c r="AD52" i="17"/>
  <c r="AC52" i="17"/>
  <c r="AG49" i="17"/>
  <c r="AG52" i="17"/>
  <c r="AF49" i="17"/>
  <c r="AE49" i="17"/>
  <c r="AB49" i="17"/>
  <c r="AB52" i="17"/>
  <c r="AA49" i="17"/>
  <c r="AA52" i="17"/>
  <c r="Z49" i="17"/>
  <c r="Z52" i="17"/>
  <c r="E56" i="17"/>
  <c r="E64" i="16" s="1"/>
  <c r="AD48" i="17"/>
  <c r="AC48" i="17"/>
  <c r="AB48" i="17"/>
  <c r="AA48" i="17"/>
  <c r="Z48" i="17"/>
  <c r="AG44" i="17"/>
  <c r="AG48" i="17"/>
  <c r="AF44" i="17"/>
  <c r="AF48" i="17"/>
  <c r="AE44" i="17"/>
  <c r="AE48" i="17"/>
  <c r="AG39" i="17"/>
  <c r="AF39" i="17"/>
  <c r="AE39" i="17"/>
  <c r="AD39" i="17"/>
  <c r="AC39" i="17"/>
  <c r="AB31" i="17"/>
  <c r="AB39" i="17"/>
  <c r="AA31" i="17"/>
  <c r="AA39" i="17"/>
  <c r="Z31" i="17"/>
  <c r="Z39" i="17"/>
  <c r="M14" i="17"/>
  <c r="L14" i="17"/>
  <c r="K14" i="17"/>
  <c r="J14" i="17"/>
  <c r="I14" i="17"/>
  <c r="H14" i="17"/>
  <c r="G14" i="17"/>
  <c r="F14" i="17"/>
  <c r="E14" i="17"/>
  <c r="AA25" i="17"/>
  <c r="O74" i="17"/>
  <c r="AE12" i="17"/>
  <c r="AG11" i="17"/>
  <c r="AF11" i="17"/>
  <c r="AE11" i="17"/>
  <c r="AD11" i="17"/>
  <c r="L22" i="17"/>
  <c r="H22" i="17"/>
  <c r="D22" i="17"/>
  <c r="J22" i="17"/>
  <c r="G22" i="17"/>
  <c r="F22" i="17"/>
  <c r="E22" i="17"/>
  <c r="C22" i="17"/>
  <c r="AG9" i="17"/>
  <c r="AF9" i="17"/>
  <c r="AD9" i="17"/>
  <c r="AC9" i="17"/>
  <c r="AB9" i="17"/>
  <c r="AA9" i="17"/>
  <c r="Z9" i="17"/>
  <c r="AG10" i="17"/>
  <c r="AF10" i="17"/>
  <c r="AE10" i="17"/>
  <c r="AD10" i="17"/>
  <c r="AC10" i="17"/>
  <c r="AB10" i="17"/>
  <c r="AA10" i="17"/>
  <c r="Z10" i="17"/>
  <c r="AG7" i="17"/>
  <c r="AG8" i="17"/>
  <c r="AF7" i="17"/>
  <c r="AF8" i="17"/>
  <c r="AE7" i="17"/>
  <c r="AE8" i="17"/>
  <c r="AD7" i="17"/>
  <c r="AD8" i="17"/>
  <c r="AC7" i="17"/>
  <c r="AC8" i="17"/>
  <c r="AB7" i="17"/>
  <c r="AB8" i="17"/>
  <c r="AA7" i="17"/>
  <c r="AA8" i="17"/>
  <c r="Z7" i="17"/>
  <c r="Z8" i="17"/>
  <c r="O7" i="17"/>
  <c r="A2" i="16"/>
  <c r="A1" i="16"/>
  <c r="D9" i="3"/>
  <c r="B8" i="3" s="1"/>
  <c r="Z13" i="17"/>
  <c r="Z14" i="17"/>
  <c r="D5" i="17"/>
  <c r="D87" i="17"/>
  <c r="C87" i="17"/>
  <c r="F5" i="4"/>
  <c r="H18" i="16"/>
  <c r="E18" i="16"/>
  <c r="L18" i="16"/>
  <c r="D56" i="16"/>
  <c r="K18" i="16"/>
  <c r="B18" i="16"/>
  <c r="G56" i="16"/>
  <c r="C18" i="16"/>
  <c r="J56" i="16"/>
  <c r="F18" i="16"/>
  <c r="E56" i="16"/>
  <c r="B80" i="16"/>
  <c r="G18" i="16"/>
  <c r="B64" i="16"/>
  <c r="C74" i="10" s="1"/>
  <c r="H56" i="16"/>
  <c r="I18" i="16"/>
  <c r="B82" i="16"/>
  <c r="B81" i="16"/>
  <c r="J18" i="16"/>
  <c r="L56" i="16"/>
  <c r="M56" i="16"/>
  <c r="F56" i="16"/>
  <c r="I56" i="16"/>
  <c r="M18" i="16"/>
  <c r="D18" i="16"/>
  <c r="AD13" i="17"/>
  <c r="AD14" i="17"/>
  <c r="AB53" i="17"/>
  <c r="AG53" i="17"/>
  <c r="Z53" i="17"/>
  <c r="AA13" i="17"/>
  <c r="AA14" i="17"/>
  <c r="AC13" i="17"/>
  <c r="AC14" i="17"/>
  <c r="AG13" i="17"/>
  <c r="AG14" i="17"/>
  <c r="AA53" i="17"/>
  <c r="AB13" i="17"/>
  <c r="AB14" i="17"/>
  <c r="AE13" i="17"/>
  <c r="AE14" i="17"/>
  <c r="AE53" i="17"/>
  <c r="AF13" i="17"/>
  <c r="AF14" i="17"/>
  <c r="AF53" i="17"/>
  <c r="AF52" i="17"/>
  <c r="AE52" i="17"/>
  <c r="E5" i="17"/>
  <c r="F5" i="17"/>
  <c r="G5" i="17"/>
  <c r="H5" i="17"/>
  <c r="I5" i="17"/>
  <c r="J5" i="17"/>
  <c r="K5" i="17"/>
  <c r="L5" i="17"/>
  <c r="M5" i="17"/>
  <c r="Q51" i="1"/>
  <c r="F36" i="17"/>
  <c r="F37" i="17"/>
  <c r="J56" i="17"/>
  <c r="J64" i="16" s="1"/>
  <c r="J36" i="17"/>
  <c r="J37" i="17"/>
  <c r="M44" i="16"/>
  <c r="M36" i="17"/>
  <c r="M37" i="17" s="1"/>
  <c r="M43" i="16" s="1"/>
  <c r="I44" i="16"/>
  <c r="I36" i="17"/>
  <c r="I37" i="17"/>
  <c r="I43" i="16"/>
  <c r="E44" i="16"/>
  <c r="E37" i="17"/>
  <c r="E43" i="16" s="1"/>
  <c r="G36" i="17"/>
  <c r="G37" i="17"/>
  <c r="G43" i="16" s="1"/>
  <c r="K36" i="17"/>
  <c r="K37" i="17"/>
  <c r="K43" i="16" s="1"/>
  <c r="H56" i="17"/>
  <c r="H64" i="16" s="1"/>
  <c r="H36" i="17"/>
  <c r="H37" i="17"/>
  <c r="H43" i="16" s="1"/>
  <c r="L44" i="16"/>
  <c r="L36" i="17"/>
  <c r="L37" i="17"/>
  <c r="L43" i="16"/>
  <c r="G56" i="17"/>
  <c r="G64" i="16"/>
  <c r="J44" i="16"/>
  <c r="F43" i="16"/>
  <c r="J43" i="16"/>
  <c r="M56" i="17"/>
  <c r="F56" i="17"/>
  <c r="K44" i="16"/>
  <c r="F44" i="16"/>
  <c r="G44" i="16"/>
  <c r="H44" i="16"/>
  <c r="L56" i="17"/>
  <c r="L64" i="16" s="1"/>
  <c r="I56" i="17"/>
  <c r="M64" i="16"/>
  <c r="I64" i="16"/>
  <c r="F64" i="16"/>
  <c r="D36" i="17"/>
  <c r="D37" i="17"/>
  <c r="D43" i="16" s="1"/>
  <c r="D56" i="17"/>
  <c r="D64" i="16"/>
  <c r="C56" i="17"/>
  <c r="C64" i="16"/>
  <c r="C56" i="16"/>
  <c r="C47" i="17"/>
  <c r="C50" i="17"/>
  <c r="D44" i="16"/>
  <c r="C55" i="16"/>
  <c r="C52" i="16"/>
  <c r="B68" i="16"/>
  <c r="B75" i="16"/>
  <c r="C68" i="16"/>
  <c r="C67" i="17"/>
  <c r="E25" i="4"/>
  <c r="K56" i="17"/>
  <c r="K64" i="16" s="1"/>
  <c r="K56" i="16"/>
  <c r="K52" i="16"/>
  <c r="K55" i="16"/>
  <c r="K63" i="17"/>
  <c r="K67" i="16"/>
  <c r="L63" i="17"/>
  <c r="L67" i="16"/>
  <c r="J68" i="16"/>
  <c r="L68" i="16"/>
  <c r="M68" i="16"/>
  <c r="G5" i="4"/>
  <c r="G8" i="4"/>
  <c r="H8" i="4"/>
  <c r="I8" i="4"/>
  <c r="J8" i="4"/>
  <c r="K8" i="4"/>
  <c r="L8" i="4"/>
  <c r="M8" i="4"/>
  <c r="E7" i="4" l="1"/>
  <c r="Q49" i="1"/>
  <c r="Q52" i="1"/>
  <c r="Q54" i="1"/>
  <c r="Q9" i="19"/>
  <c r="Q50" i="1"/>
  <c r="D35" i="16"/>
  <c r="E29" i="16"/>
  <c r="E22" i="16"/>
  <c r="D8" i="16"/>
  <c r="I35" i="16"/>
  <c r="L36" i="16"/>
  <c r="F26" i="16"/>
  <c r="J26" i="16"/>
  <c r="F6" i="16"/>
  <c r="I8" i="16"/>
  <c r="E32" i="4"/>
  <c r="C35" i="16"/>
  <c r="C36" i="16" s="1"/>
  <c r="I6" i="16"/>
  <c r="F12" i="16"/>
  <c r="D30" i="4"/>
  <c r="D32" i="4" s="1"/>
  <c r="I24" i="16"/>
  <c r="I19" i="16"/>
  <c r="I20" i="16" s="1"/>
  <c r="I22" i="16"/>
  <c r="D19" i="16"/>
  <c r="D20" i="16" s="1"/>
  <c r="K36" i="16"/>
  <c r="I58" i="16"/>
  <c r="C16" i="16"/>
  <c r="K16" i="16"/>
  <c r="M29" i="16"/>
  <c r="D24" i="16"/>
  <c r="C62" i="10"/>
  <c r="B12" i="16"/>
  <c r="Q48" i="1"/>
  <c r="I29" i="16"/>
  <c r="J8" i="16"/>
  <c r="J24" i="16"/>
  <c r="J36" i="16"/>
  <c r="J22" i="16"/>
  <c r="K29" i="16"/>
  <c r="L19" i="16"/>
  <c r="E23" i="4"/>
  <c r="E26" i="4" s="1"/>
  <c r="E34" i="4" s="1"/>
  <c r="F8" i="16"/>
  <c r="J16" i="16"/>
  <c r="D36" i="16"/>
  <c r="D34" i="16"/>
  <c r="J12" i="16"/>
  <c r="G8" i="16"/>
  <c r="D15" i="4"/>
  <c r="L8" i="16"/>
  <c r="L29" i="16"/>
  <c r="K19" i="16"/>
  <c r="K20" i="16" s="1"/>
  <c r="M36" i="16"/>
  <c r="J58" i="16"/>
  <c r="K21" i="22" s="1"/>
  <c r="G9" i="16"/>
  <c r="G10" i="16" s="1"/>
  <c r="I9" i="16"/>
  <c r="I10" i="16" s="1"/>
  <c r="L58" i="16"/>
  <c r="M21" i="22" s="1"/>
  <c r="M58" i="16"/>
  <c r="M60" i="16" s="1"/>
  <c r="B58" i="16"/>
  <c r="C21" i="22" s="1"/>
  <c r="F16" i="16"/>
  <c r="F22" i="16"/>
  <c r="F24" i="16"/>
  <c r="F36" i="16"/>
  <c r="F29" i="16"/>
  <c r="E30" i="16" s="1"/>
  <c r="E31" i="16" s="1"/>
  <c r="K6" i="16"/>
  <c r="E8" i="16"/>
  <c r="E16" i="16"/>
  <c r="G19" i="16"/>
  <c r="G20" i="16" s="1"/>
  <c r="G22" i="16"/>
  <c r="G24" i="16"/>
  <c r="G36" i="16"/>
  <c r="E58" i="16"/>
  <c r="F21" i="22" s="1"/>
  <c r="I36" i="16"/>
  <c r="F58" i="16"/>
  <c r="G21" i="22" s="1"/>
  <c r="M22" i="16"/>
  <c r="L12" i="16"/>
  <c r="K22" i="16"/>
  <c r="C58" i="16"/>
  <c r="D21" i="22" s="1"/>
  <c r="D58" i="16"/>
  <c r="D44" i="4" s="1"/>
  <c r="K60" i="16"/>
  <c r="M8" i="16"/>
  <c r="J29" i="16"/>
  <c r="G58" i="16"/>
  <c r="G60" i="16" s="1"/>
  <c r="K8" i="16"/>
  <c r="J19" i="16"/>
  <c r="J20" i="16" s="1"/>
  <c r="J9" i="16"/>
  <c r="J10" i="16" s="1"/>
  <c r="D16" i="16"/>
  <c r="F35" i="4"/>
  <c r="G12" i="16"/>
  <c r="F13" i="16" s="1"/>
  <c r="G6" i="16"/>
  <c r="L16" i="16"/>
  <c r="D35" i="4"/>
  <c r="I12" i="16"/>
  <c r="I13" i="16" s="1"/>
  <c r="E9" i="16"/>
  <c r="E10" i="16" s="1"/>
  <c r="E24" i="16"/>
  <c r="D25" i="16" s="1"/>
  <c r="E36" i="16"/>
  <c r="K30" i="16"/>
  <c r="K31" i="16" s="1"/>
  <c r="E21" i="22"/>
  <c r="E31" i="22"/>
  <c r="D60" i="16"/>
  <c r="D59" i="16"/>
  <c r="E12" i="16"/>
  <c r="E13" i="16" s="1"/>
  <c r="L20" i="16"/>
  <c r="F19" i="16"/>
  <c r="F20" i="16" s="1"/>
  <c r="D26" i="16"/>
  <c r="D29" i="16" s="1"/>
  <c r="D30" i="16" s="1"/>
  <c r="D31" i="16" s="1"/>
  <c r="D12" i="16"/>
  <c r="K24" i="16"/>
  <c r="L22" i="16"/>
  <c r="G26" i="16"/>
  <c r="G29" i="16" s="1"/>
  <c r="C26" i="16"/>
  <c r="C29" i="16" s="1"/>
  <c r="L31" i="22"/>
  <c r="M6" i="16"/>
  <c r="L24" i="16"/>
  <c r="L25" i="16" s="1"/>
  <c r="I16" i="16"/>
  <c r="J6" i="16"/>
  <c r="L6" i="16"/>
  <c r="K12" i="16"/>
  <c r="G16" i="16"/>
  <c r="J60" i="16"/>
  <c r="F9" i="16"/>
  <c r="F10" i="16" s="1"/>
  <c r="K9" i="16"/>
  <c r="K10" i="16" s="1"/>
  <c r="D34" i="4"/>
  <c r="E19" i="16"/>
  <c r="E20" i="16" s="1"/>
  <c r="D7" i="4"/>
  <c r="M12" i="16"/>
  <c r="M13" i="16" s="1"/>
  <c r="K59" i="16"/>
  <c r="M9" i="16"/>
  <c r="M10" i="16" s="1"/>
  <c r="D22" i="16"/>
  <c r="E6" i="16"/>
  <c r="M19" i="16"/>
  <c r="M20" i="16" s="1"/>
  <c r="D6" i="16"/>
  <c r="D5" i="4" s="1"/>
  <c r="E15" i="4"/>
  <c r="D9" i="16"/>
  <c r="D10" i="16" s="1"/>
  <c r="F13" i="4"/>
  <c r="B34" i="16"/>
  <c r="F16" i="4"/>
  <c r="L54" i="1"/>
  <c r="B35" i="16"/>
  <c r="B36" i="16" s="1"/>
  <c r="L2" i="1" a="1"/>
  <c r="L2" i="1" s="1"/>
  <c r="C21" i="1" a="1"/>
  <c r="C21" i="1" s="1"/>
  <c r="O24" i="22"/>
  <c r="J90" i="22"/>
  <c r="C19" i="16"/>
  <c r="C20" i="16" s="1"/>
  <c r="B8" i="16"/>
  <c r="F26" i="4"/>
  <c r="F34" i="4" s="1"/>
  <c r="F36" i="4" s="1"/>
  <c r="G29" i="4"/>
  <c r="I29" i="4"/>
  <c r="H29" i="4"/>
  <c r="K29" i="4"/>
  <c r="L29" i="4"/>
  <c r="J29" i="4"/>
  <c r="M29" i="4"/>
  <c r="N5" i="4"/>
  <c r="N29" i="4"/>
  <c r="H45" i="10" a="1"/>
  <c r="H45" i="10" s="1"/>
  <c r="H47" i="10" s="1"/>
  <c r="H52" i="10"/>
  <c r="F32" i="4"/>
  <c r="B24" i="16"/>
  <c r="F8" i="4"/>
  <c r="C56" i="10"/>
  <c r="C31" i="10" s="1"/>
  <c r="I31" i="10" s="1"/>
  <c r="C59" i="10"/>
  <c r="B26" i="16"/>
  <c r="B29" i="16" s="1"/>
  <c r="C57" i="10"/>
  <c r="C29" i="10" s="1"/>
  <c r="I29" i="10" s="1"/>
  <c r="B22" i="16"/>
  <c r="B16" i="16"/>
  <c r="K24" i="1" s="1"/>
  <c r="C24" i="1"/>
  <c r="C69" i="10"/>
  <c r="C12" i="16"/>
  <c r="E35" i="4"/>
  <c r="C22" i="16"/>
  <c r="C24" i="16"/>
  <c r="C6" i="16"/>
  <c r="B6" i="16"/>
  <c r="C9" i="16"/>
  <c r="C10" i="16" s="1"/>
  <c r="C8" i="16"/>
  <c r="G14" i="4"/>
  <c r="H14" i="4" s="1"/>
  <c r="Q53" i="1"/>
  <c r="F56" i="1" s="1"/>
  <c r="F58" i="1"/>
  <c r="C4" i="16"/>
  <c r="F57" i="1"/>
  <c r="N45" i="4"/>
  <c r="I47" i="4"/>
  <c r="X47" i="4"/>
  <c r="AE45" i="4"/>
  <c r="S47" i="4"/>
  <c r="G31" i="4"/>
  <c r="H31" i="4" s="1"/>
  <c r="Y46" i="4"/>
  <c r="I45" i="4"/>
  <c r="AF45" i="4"/>
  <c r="AA46" i="4"/>
  <c r="T47" i="4"/>
  <c r="U46" i="4"/>
  <c r="M45" i="4"/>
  <c r="AA45" i="4"/>
  <c r="V46" i="4"/>
  <c r="O47" i="4"/>
  <c r="Q45" i="4"/>
  <c r="AE46" i="4"/>
  <c r="AC46" i="4"/>
  <c r="U45" i="4"/>
  <c r="Z46" i="4"/>
  <c r="G46" i="4"/>
  <c r="G25" i="4"/>
  <c r="H25" i="4" s="1"/>
  <c r="Q46" i="4"/>
  <c r="AB46" i="4"/>
  <c r="AB45" i="4"/>
  <c r="W46" i="4"/>
  <c r="P47" i="4"/>
  <c r="M46" i="4"/>
  <c r="AF46" i="4"/>
  <c r="W45" i="4"/>
  <c r="R46" i="4"/>
  <c r="K47" i="4"/>
  <c r="J40" i="1"/>
  <c r="O46" i="4"/>
  <c r="J46" i="4"/>
  <c r="N47" i="4"/>
  <c r="AC47" i="4"/>
  <c r="P45" i="4"/>
  <c r="K46" i="4"/>
  <c r="Z45" i="4"/>
  <c r="R47" i="4"/>
  <c r="H46" i="4"/>
  <c r="K45" i="4"/>
  <c r="AE47" i="4"/>
  <c r="F47" i="4"/>
  <c r="V47" i="4"/>
  <c r="L46" i="4"/>
  <c r="T45" i="4"/>
  <c r="H47" i="4"/>
  <c r="Z47" i="4"/>
  <c r="O45" i="4"/>
  <c r="AD45" i="4"/>
  <c r="G45" i="4"/>
  <c r="U47" i="4"/>
  <c r="L45" i="4"/>
  <c r="AF47" i="4"/>
  <c r="R45" i="4"/>
  <c r="J47" i="4"/>
  <c r="Y47" i="4"/>
  <c r="G47" i="4"/>
  <c r="AA47" i="4"/>
  <c r="F46" i="4"/>
  <c r="L30" i="4"/>
  <c r="K30" i="4"/>
  <c r="M30" i="4"/>
  <c r="N30" i="4"/>
  <c r="H30" i="4"/>
  <c r="I30" i="4"/>
  <c r="J30" i="4"/>
  <c r="G30" i="4"/>
  <c r="P46" i="4"/>
  <c r="V45" i="4"/>
  <c r="Y45" i="4"/>
  <c r="Q47" i="4"/>
  <c r="H45" i="4"/>
  <c r="AB47" i="4"/>
  <c r="J45" i="4"/>
  <c r="AC45" i="4"/>
  <c r="M47" i="4"/>
  <c r="AD46" i="4"/>
  <c r="W47" i="4"/>
  <c r="N43" i="22"/>
  <c r="O6" i="4"/>
  <c r="O21" i="4" s="1"/>
  <c r="O17" i="3"/>
  <c r="D12" i="4"/>
  <c r="O19" i="22"/>
  <c r="P19" i="22"/>
  <c r="Q19" i="22"/>
  <c r="M24" i="4"/>
  <c r="I27" i="4"/>
  <c r="L21" i="4"/>
  <c r="I21" i="4"/>
  <c r="G21" i="4"/>
  <c r="Q30" i="22"/>
  <c r="J21" i="4"/>
  <c r="M11" i="4"/>
  <c r="M20" i="4" s="1"/>
  <c r="L24" i="4"/>
  <c r="N24" i="4"/>
  <c r="K24" i="4"/>
  <c r="G11" i="4"/>
  <c r="G20" i="4" s="1"/>
  <c r="P27" i="22"/>
  <c r="Q26" i="22"/>
  <c r="Q23" i="22"/>
  <c r="H24" i="4"/>
  <c r="K27" i="4"/>
  <c r="O28" i="22"/>
  <c r="J24" i="4"/>
  <c r="N11" i="4"/>
  <c r="N20" i="4" s="1"/>
  <c r="L11" i="4"/>
  <c r="L20" i="4" s="1"/>
  <c r="I24" i="4"/>
  <c r="H11" i="4"/>
  <c r="H20" i="4" s="1"/>
  <c r="O26" i="22"/>
  <c r="K11" i="4"/>
  <c r="K20" i="4" s="1"/>
  <c r="J11" i="4"/>
  <c r="J20" i="4" s="1"/>
  <c r="I11" i="4"/>
  <c r="I20" i="4" s="1"/>
  <c r="P22" i="22"/>
  <c r="Q10" i="22"/>
  <c r="M27" i="4"/>
  <c r="H27" i="4"/>
  <c r="J23" i="4"/>
  <c r="G23" i="4"/>
  <c r="P28" i="22"/>
  <c r="Q18" i="22"/>
  <c r="K23" i="4"/>
  <c r="H23" i="4"/>
  <c r="P9" i="22"/>
  <c r="L27" i="4"/>
  <c r="Q28" i="22"/>
  <c r="Q29" i="22"/>
  <c r="M23" i="4"/>
  <c r="L23" i="4"/>
  <c r="O27" i="22"/>
  <c r="Q27" i="22"/>
  <c r="G27" i="4"/>
  <c r="O23" i="22"/>
  <c r="P10" i="22"/>
  <c r="P24" i="22"/>
  <c r="Q20" i="22"/>
  <c r="P20" i="22"/>
  <c r="E8" i="22"/>
  <c r="D16" i="22"/>
  <c r="O10" i="22"/>
  <c r="P26" i="22"/>
  <c r="Q24" i="22"/>
  <c r="G39" i="4"/>
  <c r="G38" i="4"/>
  <c r="N23" i="4"/>
  <c r="Q22" i="22"/>
  <c r="O9" i="22"/>
  <c r="P23" i="22"/>
  <c r="G9" i="4"/>
  <c r="P25" i="22"/>
  <c r="Q25" i="22"/>
  <c r="O25" i="22"/>
  <c r="P30" i="22"/>
  <c r="O30" i="22"/>
  <c r="M21" i="4"/>
  <c r="N21" i="4"/>
  <c r="P29" i="22"/>
  <c r="O29" i="22"/>
  <c r="O18" i="22"/>
  <c r="Q9" i="22"/>
  <c r="N27" i="4"/>
  <c r="H37" i="10"/>
  <c r="H35" i="10"/>
  <c r="H36" i="10"/>
  <c r="H33" i="10"/>
  <c r="H34" i="10"/>
  <c r="D15" i="10"/>
  <c r="E25" i="10"/>
  <c r="E20" i="10"/>
  <c r="E17" i="10"/>
  <c r="E22" i="10"/>
  <c r="E24" i="10"/>
  <c r="C25" i="10"/>
  <c r="I25" i="10" s="1"/>
  <c r="J39" i="10"/>
  <c r="E13" i="10"/>
  <c r="C24" i="10"/>
  <c r="E31" i="10"/>
  <c r="E21" i="10"/>
  <c r="E15" i="10"/>
  <c r="E28" i="10"/>
  <c r="D31" i="10"/>
  <c r="D28" i="10"/>
  <c r="D14" i="10"/>
  <c r="D11" i="10"/>
  <c r="D50" i="10" s="1"/>
  <c r="E27" i="10"/>
  <c r="D16" i="10"/>
  <c r="D30" i="10"/>
  <c r="E14" i="10"/>
  <c r="E29" i="10"/>
  <c r="C17" i="10"/>
  <c r="I17" i="10" s="1"/>
  <c r="E11" i="10"/>
  <c r="E50" i="10" s="1"/>
  <c r="E18" i="10"/>
  <c r="E30" i="10"/>
  <c r="E16" i="10"/>
  <c r="O9" i="3"/>
  <c r="L17" i="3"/>
  <c r="M9" i="3"/>
  <c r="B14" i="3"/>
  <c r="H27" i="1" s="1"/>
  <c r="B16" i="3"/>
  <c r="H31" i="1" s="1"/>
  <c r="L9" i="3"/>
  <c r="N9" i="3"/>
  <c r="K17" i="3"/>
  <c r="B5" i="3"/>
  <c r="B6" i="3"/>
  <c r="H24" i="1" s="1"/>
  <c r="K9" i="3"/>
  <c r="B7" i="3"/>
  <c r="N17" i="3"/>
  <c r="O17" i="22"/>
  <c r="P17" i="22"/>
  <c r="Q17" i="22"/>
  <c r="Q6" i="19"/>
  <c r="P4" i="19"/>
  <c r="G34" i="10"/>
  <c r="G36" i="10"/>
  <c r="G35" i="10"/>
  <c r="G37" i="10"/>
  <c r="G33" i="10"/>
  <c r="G47" i="10"/>
  <c r="G52" i="10"/>
  <c r="L53" i="1"/>
  <c r="F52" i="10"/>
  <c r="F37" i="10"/>
  <c r="E52" i="10"/>
  <c r="K23" i="1"/>
  <c r="K25" i="1"/>
  <c r="H19" i="16"/>
  <c r="H20" i="16" s="1"/>
  <c r="H34" i="16"/>
  <c r="C52" i="10"/>
  <c r="H58" i="16"/>
  <c r="I21" i="22" s="1"/>
  <c r="M49" i="1"/>
  <c r="H35" i="16"/>
  <c r="C20" i="1" a="1"/>
  <c r="C20" i="1" s="1"/>
  <c r="M22" i="1" a="1"/>
  <c r="M22" i="1" s="1"/>
  <c r="C40" i="10" s="1"/>
  <c r="H12" i="16"/>
  <c r="M4" i="19"/>
  <c r="L47" i="1"/>
  <c r="E24" i="1"/>
  <c r="H24" i="16"/>
  <c r="D47" i="10"/>
  <c r="M54" i="1"/>
  <c r="H8" i="16"/>
  <c r="M50" i="1"/>
  <c r="L51" i="1"/>
  <c r="O20" i="22"/>
  <c r="B17" i="1" a="1"/>
  <c r="B17" i="1" s="1"/>
  <c r="N4" i="19"/>
  <c r="C8" i="10"/>
  <c r="L50" i="1"/>
  <c r="G107" i="1"/>
  <c r="O4" i="19"/>
  <c r="E34" i="10"/>
  <c r="E33" i="10"/>
  <c r="E37" i="10"/>
  <c r="E36" i="10"/>
  <c r="E35" i="10"/>
  <c r="H16" i="16"/>
  <c r="K30" i="1"/>
  <c r="M53" i="1"/>
  <c r="M48" i="1"/>
  <c r="E23" i="1"/>
  <c r="H26" i="16"/>
  <c r="H29" i="16" s="1"/>
  <c r="H6" i="16"/>
  <c r="C46" i="1" a="1"/>
  <c r="M52" i="1"/>
  <c r="M55" i="1"/>
  <c r="K31" i="1"/>
  <c r="E47" i="10"/>
  <c r="H9" i="16"/>
  <c r="H10" i="16" s="1"/>
  <c r="H46" i="1" a="1"/>
  <c r="E21" i="1"/>
  <c r="L48" i="1"/>
  <c r="M51" i="1"/>
  <c r="L49" i="1"/>
  <c r="E25" i="1"/>
  <c r="K22" i="1"/>
  <c r="L55" i="1"/>
  <c r="M47" i="1"/>
  <c r="E20" i="1"/>
  <c r="L52" i="1"/>
  <c r="H22" i="16"/>
  <c r="K29" i="1" l="1"/>
  <c r="E36" i="4"/>
  <c r="E43" i="4" s="1"/>
  <c r="E46" i="1" a="1"/>
  <c r="E46" i="1" s="1"/>
  <c r="C59" i="16"/>
  <c r="E44" i="4"/>
  <c r="C60" i="16"/>
  <c r="D62" i="22"/>
  <c r="E62" i="22" s="1"/>
  <c r="F62" i="22" s="1"/>
  <c r="G62" i="22" s="1"/>
  <c r="H62" i="22" s="1"/>
  <c r="I62" i="22" s="1"/>
  <c r="J62" i="22" s="1"/>
  <c r="L62" i="22" s="1"/>
  <c r="M62" i="22" s="1"/>
  <c r="N62" i="22" s="1"/>
  <c r="O62" i="22" s="1"/>
  <c r="P62" i="22" s="1"/>
  <c r="Q62" i="22" s="1"/>
  <c r="R62" i="22" s="1"/>
  <c r="S62" i="22" s="1"/>
  <c r="T62" i="22" s="1"/>
  <c r="U62" i="22" s="1"/>
  <c r="V62" i="22" s="1"/>
  <c r="W62" i="22" s="1"/>
  <c r="X62" i="22" s="1"/>
  <c r="Y62" i="22" s="1"/>
  <c r="Z62" i="22" s="1"/>
  <c r="AA62" i="22" s="1"/>
  <c r="AB62" i="22" s="1"/>
  <c r="AC62" i="22" s="1"/>
  <c r="AD62" i="22" s="1"/>
  <c r="AE62" i="22" s="1"/>
  <c r="AF62" i="22" s="1"/>
  <c r="AG62" i="22" s="1"/>
  <c r="AH62" i="22" s="1"/>
  <c r="C61" i="22"/>
  <c r="D61" i="22" s="1"/>
  <c r="D36" i="4"/>
  <c r="L59" i="16"/>
  <c r="F25" i="16"/>
  <c r="J31" i="22"/>
  <c r="M31" i="22"/>
  <c r="I25" i="16"/>
  <c r="I30" i="16"/>
  <c r="I31" i="16" s="1"/>
  <c r="I60" i="16"/>
  <c r="I59" i="16"/>
  <c r="J21" i="22"/>
  <c r="H21" i="22"/>
  <c r="O21" i="22" s="1"/>
  <c r="E60" i="16"/>
  <c r="F30" i="16"/>
  <c r="F31" i="16" s="1"/>
  <c r="J59" i="16"/>
  <c r="K25" i="16"/>
  <c r="H31" i="22"/>
  <c r="J30" i="16"/>
  <c r="J31" i="16" s="1"/>
  <c r="G25" i="16"/>
  <c r="D13" i="16"/>
  <c r="M30" i="16"/>
  <c r="M31" i="16" s="1"/>
  <c r="B60" i="16"/>
  <c r="E31" i="1" s="1"/>
  <c r="M59" i="16"/>
  <c r="C23" i="1"/>
  <c r="C31" i="22"/>
  <c r="C30" i="10"/>
  <c r="I30" i="10" s="1"/>
  <c r="C73" i="10"/>
  <c r="K31" i="22"/>
  <c r="L60" i="16"/>
  <c r="D46" i="1" a="1"/>
  <c r="O51" i="1" s="1"/>
  <c r="F44" i="4"/>
  <c r="B59" i="16"/>
  <c r="E26" i="1" s="1"/>
  <c r="L30" i="16"/>
  <c r="L31" i="16" s="1"/>
  <c r="C16" i="10"/>
  <c r="I16" i="10" s="1"/>
  <c r="B30" i="16"/>
  <c r="B31" i="16" s="1"/>
  <c r="F59" i="16"/>
  <c r="E25" i="16"/>
  <c r="F60" i="16"/>
  <c r="E59" i="16"/>
  <c r="G59" i="16"/>
  <c r="J25" i="16"/>
  <c r="K13" i="16"/>
  <c r="J13" i="16"/>
  <c r="G31" i="22"/>
  <c r="L13" i="16"/>
  <c r="F31" i="22"/>
  <c r="D31" i="22"/>
  <c r="C30" i="16"/>
  <c r="C31" i="16" s="1"/>
  <c r="C14" i="10"/>
  <c r="I14" i="10" s="1"/>
  <c r="J14" i="10" s="1"/>
  <c r="C27" i="10"/>
  <c r="I27" i="10" s="1"/>
  <c r="C15" i="10"/>
  <c r="I15" i="10" s="1"/>
  <c r="I46" i="1" a="1"/>
  <c r="S51" i="1" s="1"/>
  <c r="C11" i="10"/>
  <c r="I11" i="10" s="1"/>
  <c r="C28" i="10"/>
  <c r="I28" i="10" s="1"/>
  <c r="J29" i="10"/>
  <c r="C13" i="10"/>
  <c r="I13" i="10" s="1"/>
  <c r="J13" i="10" s="1"/>
  <c r="B20" i="16"/>
  <c r="E27" i="1" s="1"/>
  <c r="C58" i="10"/>
  <c r="F43" i="4"/>
  <c r="G13" i="4" s="1"/>
  <c r="G15" i="4" s="1"/>
  <c r="G16" i="4" s="1"/>
  <c r="G17" i="4" s="1"/>
  <c r="G19" i="4" s="1"/>
  <c r="G22" i="4" s="1"/>
  <c r="Q21" i="22"/>
  <c r="P21" i="22"/>
  <c r="I14" i="4"/>
  <c r="J14" i="4" s="1"/>
  <c r="K14" i="4" s="1"/>
  <c r="O23" i="4"/>
  <c r="O11" i="4"/>
  <c r="O20" i="4" s="1"/>
  <c r="O24" i="4"/>
  <c r="O27" i="4"/>
  <c r="I40" i="10"/>
  <c r="J40" i="10" s="1"/>
  <c r="O30" i="4"/>
  <c r="O29" i="4"/>
  <c r="E61" i="22"/>
  <c r="F61" i="22" s="1"/>
  <c r="G61" i="22" s="1"/>
  <c r="F7" i="4"/>
  <c r="F12" i="4"/>
  <c r="F15" i="4"/>
  <c r="B25" i="16"/>
  <c r="C25" i="16"/>
  <c r="C13" i="16"/>
  <c r="B13" i="16"/>
  <c r="E28" i="1"/>
  <c r="E29" i="1"/>
  <c r="I31" i="4"/>
  <c r="J31" i="4" s="1"/>
  <c r="C91" i="16"/>
  <c r="D4" i="16"/>
  <c r="D73" i="4"/>
  <c r="O43" i="22"/>
  <c r="P6" i="4"/>
  <c r="P29" i="4" s="1"/>
  <c r="O5" i="4"/>
  <c r="O8" i="4"/>
  <c r="H59" i="16"/>
  <c r="G35" i="4"/>
  <c r="H26" i="4"/>
  <c r="G40" i="4"/>
  <c r="G26" i="4"/>
  <c r="F8" i="22"/>
  <c r="E16" i="22"/>
  <c r="G12" i="4"/>
  <c r="G41" i="4"/>
  <c r="H10" i="4"/>
  <c r="H39" i="4" s="1"/>
  <c r="J25" i="10"/>
  <c r="J24" i="10"/>
  <c r="J15" i="10"/>
  <c r="J30" i="10"/>
  <c r="J31" i="10"/>
  <c r="J17" i="10"/>
  <c r="B17" i="3"/>
  <c r="H21" i="1"/>
  <c r="B9" i="3"/>
  <c r="H30" i="16"/>
  <c r="H31" i="16" s="1"/>
  <c r="H60" i="16"/>
  <c r="G13" i="16"/>
  <c r="H36" i="16"/>
  <c r="F36" i="10"/>
  <c r="K27" i="1"/>
  <c r="F34" i="10"/>
  <c r="H13" i="16"/>
  <c r="I31" i="22"/>
  <c r="F35" i="10"/>
  <c r="F33" i="10"/>
  <c r="C22" i="1"/>
  <c r="H25" i="16"/>
  <c r="E22" i="1"/>
  <c r="C10" i="10" a="1"/>
  <c r="C10" i="10" s="1"/>
  <c r="I10" i="10" s="1"/>
  <c r="L4" i="19"/>
  <c r="C45" i="10" a="1"/>
  <c r="C45" i="10" s="1"/>
  <c r="I45" i="10" s="1"/>
  <c r="K26" i="1"/>
  <c r="M56" i="1"/>
  <c r="N50" i="1"/>
  <c r="N51" i="1"/>
  <c r="N48" i="1"/>
  <c r="N53" i="1"/>
  <c r="N52" i="1"/>
  <c r="C57" i="1"/>
  <c r="C46" i="1"/>
  <c r="C55" i="1" s="1"/>
  <c r="N55" i="1" s="1"/>
  <c r="C58" i="1"/>
  <c r="N49" i="1"/>
  <c r="N54" i="1"/>
  <c r="G30" i="16"/>
  <c r="G31" i="16" s="1"/>
  <c r="H46" i="1"/>
  <c r="H57" i="1" s="1"/>
  <c r="H58" i="1"/>
  <c r="R51" i="1"/>
  <c r="R48" i="1"/>
  <c r="R52" i="1"/>
  <c r="R54" i="1"/>
  <c r="R53" i="1"/>
  <c r="R50" i="1"/>
  <c r="R49" i="1"/>
  <c r="L56" i="1"/>
  <c r="M24" i="1"/>
  <c r="M25" i="1"/>
  <c r="D36" i="10"/>
  <c r="D37" i="10"/>
  <c r="D34" i="10"/>
  <c r="D33" i="10"/>
  <c r="D35" i="10"/>
  <c r="M31" i="1" l="1"/>
  <c r="G46" i="1" a="1"/>
  <c r="G46" i="1" s="1"/>
  <c r="H61" i="22"/>
  <c r="I61" i="22" s="1"/>
  <c r="J61" i="22" s="1"/>
  <c r="L61" i="22" s="1"/>
  <c r="M61" i="22" s="1"/>
  <c r="N61" i="22" s="1"/>
  <c r="O61" i="22" s="1"/>
  <c r="P61" i="22" s="1"/>
  <c r="Q61" i="22" s="1"/>
  <c r="R61" i="22" s="1"/>
  <c r="S61" i="22" s="1"/>
  <c r="T61" i="22" s="1"/>
  <c r="U61" i="22" s="1"/>
  <c r="V61" i="22" s="1"/>
  <c r="W61" i="22" s="1"/>
  <c r="X61" i="22" s="1"/>
  <c r="Y61" i="22" s="1"/>
  <c r="Z61" i="22" s="1"/>
  <c r="AA61" i="22" s="1"/>
  <c r="AB61" i="22" s="1"/>
  <c r="AC61" i="22" s="1"/>
  <c r="AD61" i="22" s="1"/>
  <c r="AE61" i="22" s="1"/>
  <c r="AF61" i="22" s="1"/>
  <c r="AG61" i="22" s="1"/>
  <c r="AH61" i="22" s="1"/>
  <c r="Q31" i="22"/>
  <c r="J27" i="10"/>
  <c r="J16" i="10"/>
  <c r="C18" i="10"/>
  <c r="C20" i="10"/>
  <c r="J28" i="10"/>
  <c r="D46" i="1"/>
  <c r="D57" i="1" s="1"/>
  <c r="O53" i="1"/>
  <c r="P31" i="22"/>
  <c r="D58" i="1"/>
  <c r="O49" i="1"/>
  <c r="O54" i="1"/>
  <c r="O52" i="1"/>
  <c r="O48" i="1"/>
  <c r="O50" i="1"/>
  <c r="O31" i="22"/>
  <c r="C50" i="10"/>
  <c r="J11" i="10"/>
  <c r="S48" i="1"/>
  <c r="S52" i="1"/>
  <c r="S50" i="1"/>
  <c r="S53" i="1"/>
  <c r="M57" i="1"/>
  <c r="M58" i="1" s="1"/>
  <c r="S54" i="1"/>
  <c r="S49" i="1"/>
  <c r="I46" i="1"/>
  <c r="L57" i="1"/>
  <c r="L58" i="1" s="1"/>
  <c r="C22" i="10"/>
  <c r="C21" i="10"/>
  <c r="K31" i="4"/>
  <c r="L31" i="4" s="1"/>
  <c r="M31" i="4" s="1"/>
  <c r="I50" i="10"/>
  <c r="J50" i="10" s="1"/>
  <c r="G44" i="4"/>
  <c r="G28" i="4" s="1"/>
  <c r="G34" i="4" s="1"/>
  <c r="G36" i="4" s="1"/>
  <c r="G43" i="4" s="1"/>
  <c r="D91" i="16"/>
  <c r="E4" i="16"/>
  <c r="P5" i="4"/>
  <c r="P8" i="4"/>
  <c r="P27" i="4"/>
  <c r="P23" i="4"/>
  <c r="P30" i="4"/>
  <c r="P21" i="4"/>
  <c r="P11" i="4"/>
  <c r="P20" i="4" s="1"/>
  <c r="P24" i="4"/>
  <c r="P43" i="22"/>
  <c r="Q6" i="4"/>
  <c r="Q29" i="4" s="1"/>
  <c r="L14" i="4"/>
  <c r="J25" i="4"/>
  <c r="K25" i="4" s="1"/>
  <c r="I26" i="4"/>
  <c r="H38" i="4"/>
  <c r="I10" i="4" s="1"/>
  <c r="I38" i="4" s="1"/>
  <c r="H40" i="4"/>
  <c r="H9" i="4"/>
  <c r="H12" i="4" s="1"/>
  <c r="H44" i="4" s="1"/>
  <c r="G8" i="22"/>
  <c r="F16" i="22"/>
  <c r="H55" i="1"/>
  <c r="M29" i="1"/>
  <c r="M32" i="1"/>
  <c r="C41" i="10" s="1"/>
  <c r="C25" i="1"/>
  <c r="M28" i="1" s="1"/>
  <c r="M26" i="1"/>
  <c r="C47" i="10"/>
  <c r="J45" i="10"/>
  <c r="C35" i="10"/>
  <c r="C36" i="10"/>
  <c r="C37" i="10"/>
  <c r="C34" i="10"/>
  <c r="J10" i="10"/>
  <c r="C33" i="10"/>
  <c r="N47" i="1"/>
  <c r="C56" i="1" s="1"/>
  <c r="O47" i="1" l="1"/>
  <c r="D56" i="1" s="1"/>
  <c r="D55" i="1"/>
  <c r="O55" i="1" s="1"/>
  <c r="I20" i="10"/>
  <c r="J20" i="10" s="1"/>
  <c r="K28" i="1"/>
  <c r="I18" i="10"/>
  <c r="J18" i="10" s="1"/>
  <c r="H56" i="1"/>
  <c r="I21" i="10"/>
  <c r="J21" i="10" s="1"/>
  <c r="I22" i="10"/>
  <c r="J22" i="10" s="1"/>
  <c r="H13" i="4"/>
  <c r="H15" i="4" s="1"/>
  <c r="H16" i="4" s="1"/>
  <c r="H17" i="4" s="1"/>
  <c r="H19" i="4" s="1"/>
  <c r="H22" i="4" s="1"/>
  <c r="G32" i="4"/>
  <c r="H28" i="4"/>
  <c r="N31" i="4"/>
  <c r="O31" i="4" s="1"/>
  <c r="I47" i="10"/>
  <c r="J47" i="10" s="1"/>
  <c r="I33" i="10"/>
  <c r="J33" i="10" s="1"/>
  <c r="I34" i="10"/>
  <c r="J34" i="10" s="1"/>
  <c r="I41" i="10"/>
  <c r="J41" i="10" s="1"/>
  <c r="I35" i="10"/>
  <c r="J35" i="10" s="1"/>
  <c r="I37" i="10"/>
  <c r="J37" i="10" s="1"/>
  <c r="I36" i="10"/>
  <c r="J36" i="10" s="1"/>
  <c r="F4" i="16"/>
  <c r="G4" i="16" s="1"/>
  <c r="H4" i="16" s="1"/>
  <c r="I4" i="16" s="1"/>
  <c r="J4" i="16" s="1"/>
  <c r="K4" i="16" s="1"/>
  <c r="L4" i="16" s="1"/>
  <c r="M4" i="16" s="1"/>
  <c r="E91" i="16"/>
  <c r="M14" i="4"/>
  <c r="N14" i="4" s="1"/>
  <c r="Q5" i="4"/>
  <c r="Q8" i="4"/>
  <c r="Q11" i="4"/>
  <c r="Q20" i="4" s="1"/>
  <c r="Q24" i="4"/>
  <c r="Q23" i="4"/>
  <c r="Q21" i="4"/>
  <c r="Q27" i="4"/>
  <c r="Q30" i="4"/>
  <c r="Q43" i="22"/>
  <c r="R6" i="4"/>
  <c r="R29" i="4" s="1"/>
  <c r="L25" i="4"/>
  <c r="L26" i="4" s="1"/>
  <c r="K26" i="4"/>
  <c r="J26" i="4"/>
  <c r="H41" i="4"/>
  <c r="I40" i="4"/>
  <c r="I9" i="4"/>
  <c r="I12" i="4" s="1"/>
  <c r="I44" i="4" s="1"/>
  <c r="I28" i="4" s="1"/>
  <c r="J10" i="4"/>
  <c r="J38" i="4" s="1"/>
  <c r="G16" i="22"/>
  <c r="H8" i="22"/>
  <c r="I39" i="4"/>
  <c r="M27" i="1"/>
  <c r="H34" i="4" l="1"/>
  <c r="M25" i="4"/>
  <c r="N25" i="4" s="1"/>
  <c r="R5" i="4"/>
  <c r="R8" i="4"/>
  <c r="R11" i="4"/>
  <c r="R20" i="4" s="1"/>
  <c r="R21" i="4"/>
  <c r="R30" i="4"/>
  <c r="R24" i="4"/>
  <c r="R23" i="4"/>
  <c r="R27" i="4"/>
  <c r="R43" i="22"/>
  <c r="S6" i="4"/>
  <c r="S29" i="4" s="1"/>
  <c r="O14" i="4"/>
  <c r="P14" i="4" s="1"/>
  <c r="P31" i="4"/>
  <c r="J40" i="4"/>
  <c r="J9" i="4"/>
  <c r="J12" i="4" s="1"/>
  <c r="J44" i="4" s="1"/>
  <c r="J28" i="4" s="1"/>
  <c r="I41" i="4"/>
  <c r="K10" i="4"/>
  <c r="K38" i="4" s="1"/>
  <c r="J39" i="4"/>
  <c r="I8" i="22"/>
  <c r="H16" i="22"/>
  <c r="H35" i="4"/>
  <c r="H32" i="4"/>
  <c r="H36" i="4" l="1"/>
  <c r="H43" i="4" s="1"/>
  <c r="O25" i="4"/>
  <c r="O26" i="4" s="1"/>
  <c r="N26" i="4"/>
  <c r="M26" i="4"/>
  <c r="Q14" i="4"/>
  <c r="R14" i="4" s="1"/>
  <c r="Q31" i="4"/>
  <c r="S5" i="4"/>
  <c r="S8" i="4"/>
  <c r="S27" i="4"/>
  <c r="S11" i="4"/>
  <c r="S20" i="4" s="1"/>
  <c r="S23" i="4"/>
  <c r="S21" i="4"/>
  <c r="S24" i="4"/>
  <c r="S30" i="4"/>
  <c r="S43" i="22"/>
  <c r="T6" i="4"/>
  <c r="T29" i="4" s="1"/>
  <c r="J41" i="4"/>
  <c r="K40" i="4"/>
  <c r="K9" i="4"/>
  <c r="L10" i="4"/>
  <c r="I16" i="22"/>
  <c r="J8" i="22"/>
  <c r="K39" i="4"/>
  <c r="I13" i="4" l="1"/>
  <c r="I15" i="4" s="1"/>
  <c r="I16" i="4" s="1"/>
  <c r="I17" i="4" s="1"/>
  <c r="I19" i="4" s="1"/>
  <c r="I22" i="4" s="1"/>
  <c r="I34" i="4" s="1"/>
  <c r="P25" i="4"/>
  <c r="Q25" i="4" s="1"/>
  <c r="Q26" i="4" s="1"/>
  <c r="S14" i="4"/>
  <c r="T5" i="4"/>
  <c r="T8" i="4"/>
  <c r="T27" i="4"/>
  <c r="T30" i="4"/>
  <c r="T24" i="4"/>
  <c r="T11" i="4"/>
  <c r="T20" i="4" s="1"/>
  <c r="T21" i="4"/>
  <c r="T23" i="4"/>
  <c r="T43" i="22"/>
  <c r="U6" i="4"/>
  <c r="U29" i="4" s="1"/>
  <c r="R31" i="4"/>
  <c r="K41" i="4"/>
  <c r="K12" i="4"/>
  <c r="K44" i="4" s="1"/>
  <c r="K28" i="4" s="1"/>
  <c r="L40" i="4"/>
  <c r="L9" i="4"/>
  <c r="K8" i="22"/>
  <c r="J16" i="22"/>
  <c r="L39" i="4"/>
  <c r="L38" i="4"/>
  <c r="I32" i="4"/>
  <c r="I35" i="4"/>
  <c r="R25" i="4" l="1"/>
  <c r="R26" i="4" s="1"/>
  <c r="P26" i="4"/>
  <c r="I36" i="4"/>
  <c r="I43" i="4" s="1"/>
  <c r="T14" i="4"/>
  <c r="U43" i="22"/>
  <c r="V6" i="4"/>
  <c r="V29" i="4" s="1"/>
  <c r="U5" i="4"/>
  <c r="U8" i="4"/>
  <c r="U30" i="4"/>
  <c r="U21" i="4"/>
  <c r="U23" i="4"/>
  <c r="U27" i="4"/>
  <c r="U24" i="4"/>
  <c r="U11" i="4"/>
  <c r="U20" i="4" s="1"/>
  <c r="S31" i="4"/>
  <c r="L41" i="4"/>
  <c r="L12" i="4"/>
  <c r="L44" i="4" s="1"/>
  <c r="L28" i="4" s="1"/>
  <c r="M40" i="4"/>
  <c r="M9" i="4"/>
  <c r="L8" i="22"/>
  <c r="K16" i="22"/>
  <c r="M10" i="4"/>
  <c r="S25" i="4" l="1"/>
  <c r="S26" i="4" s="1"/>
  <c r="J13" i="4"/>
  <c r="J15" i="4" s="1"/>
  <c r="J16" i="4" s="1"/>
  <c r="J17" i="4" s="1"/>
  <c r="U14" i="4"/>
  <c r="V5" i="4"/>
  <c r="V8" i="4"/>
  <c r="V21" i="4"/>
  <c r="V27" i="4"/>
  <c r="V30" i="4"/>
  <c r="V23" i="4"/>
  <c r="V24" i="4"/>
  <c r="V11" i="4"/>
  <c r="V20" i="4" s="1"/>
  <c r="V43" i="22"/>
  <c r="W6" i="4"/>
  <c r="W29" i="4" s="1"/>
  <c r="T31" i="4"/>
  <c r="U31" i="4" s="1"/>
  <c r="M41" i="4"/>
  <c r="N9" i="4"/>
  <c r="N40" i="4"/>
  <c r="M12" i="4"/>
  <c r="M44" i="4" s="1"/>
  <c r="M28" i="4" s="1"/>
  <c r="M8" i="22"/>
  <c r="M16" i="22" s="1"/>
  <c r="L16" i="22"/>
  <c r="M39" i="4"/>
  <c r="M38" i="4"/>
  <c r="T25" i="4" l="1"/>
  <c r="T26" i="4" s="1"/>
  <c r="J19" i="4"/>
  <c r="J22" i="4" s="1"/>
  <c r="J34" i="4" s="1"/>
  <c r="W43" i="22"/>
  <c r="X6" i="4"/>
  <c r="X29" i="4" s="1"/>
  <c r="V14" i="4"/>
  <c r="W5" i="4"/>
  <c r="W8" i="4"/>
  <c r="W11" i="4"/>
  <c r="W20" i="4" s="1"/>
  <c r="W21" i="4"/>
  <c r="W24" i="4"/>
  <c r="W23" i="4"/>
  <c r="W30" i="4"/>
  <c r="W27" i="4"/>
  <c r="N41" i="4"/>
  <c r="V31" i="4"/>
  <c r="O40" i="4"/>
  <c r="O9" i="4"/>
  <c r="N10" i="4"/>
  <c r="N12" i="4" s="1"/>
  <c r="N44" i="4" s="1"/>
  <c r="N28" i="4" s="1"/>
  <c r="U25" i="4" l="1"/>
  <c r="U26" i="4" s="1"/>
  <c r="W31" i="4"/>
  <c r="J35" i="4"/>
  <c r="J36" i="4" s="1"/>
  <c r="J43" i="4" s="1"/>
  <c r="J32" i="4"/>
  <c r="O41" i="4"/>
  <c r="W14" i="4"/>
  <c r="X5" i="4"/>
  <c r="X8" i="4"/>
  <c r="X11" i="4"/>
  <c r="X20" i="4" s="1"/>
  <c r="X27" i="4"/>
  <c r="X21" i="4"/>
  <c r="X24" i="4"/>
  <c r="X30" i="4"/>
  <c r="X23" i="4"/>
  <c r="X43" i="22"/>
  <c r="Y6" i="4"/>
  <c r="Y29" i="4" s="1"/>
  <c r="N38" i="4"/>
  <c r="O10" i="4" s="1"/>
  <c r="O12" i="4" s="1"/>
  <c r="O44" i="4" s="1"/>
  <c r="O28" i="4" s="1"/>
  <c r="N39" i="4"/>
  <c r="P40" i="4"/>
  <c r="P9" i="4"/>
  <c r="V25" i="4" l="1"/>
  <c r="V26" i="4" s="1"/>
  <c r="W25" i="4"/>
  <c r="W26" i="4" s="1"/>
  <c r="K13" i="4"/>
  <c r="K15" i="4" s="1"/>
  <c r="K16" i="4" s="1"/>
  <c r="K17" i="4" s="1"/>
  <c r="P41" i="4"/>
  <c r="Y5" i="4"/>
  <c r="Y8" i="4"/>
  <c r="Y27" i="4"/>
  <c r="Y21" i="4"/>
  <c r="Y23" i="4"/>
  <c r="Y30" i="4"/>
  <c r="Y24" i="4"/>
  <c r="Y11" i="4"/>
  <c r="Y20" i="4" s="1"/>
  <c r="Y43" i="22"/>
  <c r="Z6" i="4"/>
  <c r="Z29" i="4" s="1"/>
  <c r="X25" i="4"/>
  <c r="X26" i="4" s="1"/>
  <c r="X31" i="4"/>
  <c r="X14" i="4"/>
  <c r="O38" i="4"/>
  <c r="P10" i="4" s="1"/>
  <c r="P12" i="4" s="1"/>
  <c r="P44" i="4" s="1"/>
  <c r="P28" i="4" s="1"/>
  <c r="Q40" i="4"/>
  <c r="Q9" i="4"/>
  <c r="O39" i="4"/>
  <c r="K19" i="4" l="1"/>
  <c r="K22" i="4" s="1"/>
  <c r="K34" i="4" s="1"/>
  <c r="Q41" i="4"/>
  <c r="Z8" i="4"/>
  <c r="Z30" i="4"/>
  <c r="Z23" i="4"/>
  <c r="Z24" i="4"/>
  <c r="Z21" i="4"/>
  <c r="Z11" i="4"/>
  <c r="Z20" i="4" s="1"/>
  <c r="Z27" i="4"/>
  <c r="Z43" i="22"/>
  <c r="AA6" i="4"/>
  <c r="AA29" i="4" s="1"/>
  <c r="Y25" i="4"/>
  <c r="Y26" i="4" s="1"/>
  <c r="Y14" i="4"/>
  <c r="Y31" i="4"/>
  <c r="Z5" i="4"/>
  <c r="P38" i="4"/>
  <c r="Q10" i="4" s="1"/>
  <c r="Q12" i="4" s="1"/>
  <c r="Q44" i="4" s="1"/>
  <c r="Q28" i="4" s="1"/>
  <c r="R9" i="4"/>
  <c r="R40" i="4"/>
  <c r="P39" i="4"/>
  <c r="K35" i="4" l="1"/>
  <c r="K36" i="4" s="1"/>
  <c r="K43" i="4" s="1"/>
  <c r="K32" i="4"/>
  <c r="R41" i="4"/>
  <c r="Z25" i="4"/>
  <c r="Z26" i="4" s="1"/>
  <c r="Z31" i="4"/>
  <c r="Z14" i="4"/>
  <c r="AA5" i="4"/>
  <c r="AA8" i="4"/>
  <c r="AA27" i="4"/>
  <c r="AA11" i="4"/>
  <c r="AA20" i="4" s="1"/>
  <c r="AA24" i="4"/>
  <c r="AA21" i="4"/>
  <c r="AA30" i="4"/>
  <c r="AA23" i="4"/>
  <c r="AA43" i="22"/>
  <c r="AB6" i="4"/>
  <c r="AB29" i="4" s="1"/>
  <c r="S9" i="4"/>
  <c r="S40" i="4"/>
  <c r="Q38" i="4"/>
  <c r="Q39" i="4"/>
  <c r="L13" i="4" l="1"/>
  <c r="L15" i="4" s="1"/>
  <c r="L16" i="4" s="1"/>
  <c r="L17" i="4" s="1"/>
  <c r="S41" i="4"/>
  <c r="AB5" i="4"/>
  <c r="AB8" i="4"/>
  <c r="AB27" i="4"/>
  <c r="AB21" i="4"/>
  <c r="AB11" i="4"/>
  <c r="AB20" i="4" s="1"/>
  <c r="AB30" i="4"/>
  <c r="AB23" i="4"/>
  <c r="AB24" i="4"/>
  <c r="AA25" i="4"/>
  <c r="AA26" i="4" s="1"/>
  <c r="AA31" i="4"/>
  <c r="AA14" i="4"/>
  <c r="AB43" i="22"/>
  <c r="AC6" i="4"/>
  <c r="AC29" i="4" s="1"/>
  <c r="T40" i="4"/>
  <c r="T9" i="4"/>
  <c r="R10" i="4"/>
  <c r="R12" i="4" s="1"/>
  <c r="R44" i="4" s="1"/>
  <c r="R28" i="4" s="1"/>
  <c r="L19" i="4" l="1"/>
  <c r="L22" i="4" s="1"/>
  <c r="L34" i="4" s="1"/>
  <c r="T41" i="4"/>
  <c r="AD6" i="4"/>
  <c r="AD29" i="4" s="1"/>
  <c r="AC43" i="22"/>
  <c r="AC5" i="4"/>
  <c r="AC8" i="4"/>
  <c r="AC23" i="4"/>
  <c r="AC30" i="4"/>
  <c r="AC11" i="4"/>
  <c r="AC20" i="4" s="1"/>
  <c r="AC27" i="4"/>
  <c r="AC24" i="4"/>
  <c r="AC21" i="4"/>
  <c r="AB25" i="4"/>
  <c r="AB26" i="4" s="1"/>
  <c r="AB14" i="4"/>
  <c r="AB31" i="4"/>
  <c r="U40" i="4"/>
  <c r="U9" i="4"/>
  <c r="R39" i="4"/>
  <c r="R38" i="4"/>
  <c r="L32" i="4" l="1"/>
  <c r="L35" i="4"/>
  <c r="L36" i="4" s="1"/>
  <c r="L43" i="4" s="1"/>
  <c r="U41" i="4"/>
  <c r="AC25" i="4"/>
  <c r="AC26" i="4" s="1"/>
  <c r="AC31" i="4"/>
  <c r="AC14" i="4"/>
  <c r="AD43" i="22"/>
  <c r="AF6" i="4" s="1"/>
  <c r="AF29" i="4" s="1"/>
  <c r="AE6" i="4"/>
  <c r="AE29" i="4" s="1"/>
  <c r="AD5" i="4"/>
  <c r="AD8" i="4"/>
  <c r="AD27" i="4"/>
  <c r="AD23" i="4"/>
  <c r="AD24" i="4"/>
  <c r="AD30" i="4"/>
  <c r="AD11" i="4"/>
  <c r="AD20" i="4" s="1"/>
  <c r="AD21" i="4"/>
  <c r="V40" i="4"/>
  <c r="V9" i="4"/>
  <c r="S10" i="4"/>
  <c r="S12" i="4" s="1"/>
  <c r="S44" i="4" s="1"/>
  <c r="S28" i="4" s="1"/>
  <c r="M13" i="4" l="1"/>
  <c r="M15" i="4" s="1"/>
  <c r="M16" i="4" s="1"/>
  <c r="M17" i="4" s="1"/>
  <c r="V41" i="4"/>
  <c r="AF5" i="4"/>
  <c r="AF8" i="4"/>
  <c r="AF30" i="4"/>
  <c r="AF23" i="4"/>
  <c r="AF27" i="4"/>
  <c r="AF21" i="4"/>
  <c r="AF11" i="4"/>
  <c r="AF20" i="4" s="1"/>
  <c r="AF24" i="4"/>
  <c r="AE5" i="4"/>
  <c r="AE8" i="4"/>
  <c r="AE21" i="4"/>
  <c r="AE27" i="4"/>
  <c r="AE24" i="4"/>
  <c r="AE11" i="4"/>
  <c r="AE20" i="4" s="1"/>
  <c r="AE30" i="4"/>
  <c r="AE23" i="4"/>
  <c r="AD25" i="4"/>
  <c r="AD26" i="4" s="1"/>
  <c r="AD31" i="4"/>
  <c r="AD14" i="4"/>
  <c r="S39" i="4"/>
  <c r="S38" i="4"/>
  <c r="T10" i="4" s="1"/>
  <c r="T12" i="4" s="1"/>
  <c r="T44" i="4" s="1"/>
  <c r="T28" i="4" s="1"/>
  <c r="W9" i="4"/>
  <c r="W40" i="4"/>
  <c r="AG23" i="4" l="1"/>
  <c r="M19" i="4"/>
  <c r="M22" i="4" s="1"/>
  <c r="M34" i="4" s="1"/>
  <c r="W41" i="4"/>
  <c r="AE25" i="4"/>
  <c r="AE26" i="4" s="1"/>
  <c r="AE14" i="4"/>
  <c r="AF14" i="4" s="1"/>
  <c r="AE31" i="4"/>
  <c r="AF31" i="4" s="1"/>
  <c r="T39" i="4"/>
  <c r="T38" i="4"/>
  <c r="U10" i="4" s="1"/>
  <c r="U12" i="4" s="1"/>
  <c r="U44" i="4" s="1"/>
  <c r="U28" i="4" s="1"/>
  <c r="X40" i="4"/>
  <c r="X9" i="4"/>
  <c r="AF25" i="4" l="1"/>
  <c r="AF26" i="4" s="1"/>
  <c r="M32" i="4"/>
  <c r="M35" i="4"/>
  <c r="M36" i="4" s="1"/>
  <c r="M43" i="4" s="1"/>
  <c r="X41" i="4"/>
  <c r="Y40" i="4"/>
  <c r="Y9" i="4"/>
  <c r="U38" i="4"/>
  <c r="U39" i="4"/>
  <c r="N13" i="4" l="1"/>
  <c r="N15" i="4" s="1"/>
  <c r="N16" i="4" s="1"/>
  <c r="N17" i="4" s="1"/>
  <c r="Y41" i="4"/>
  <c r="Z40" i="4"/>
  <c r="Z9" i="4"/>
  <c r="V10" i="4"/>
  <c r="V12" i="4" s="1"/>
  <c r="V44" i="4" s="1"/>
  <c r="V28" i="4" s="1"/>
  <c r="N19" i="4" l="1"/>
  <c r="N22" i="4" s="1"/>
  <c r="N34" i="4" s="1"/>
  <c r="Z41" i="4"/>
  <c r="AA40" i="4"/>
  <c r="AA9" i="4"/>
  <c r="V39" i="4"/>
  <c r="V38" i="4"/>
  <c r="N35" i="4" l="1"/>
  <c r="N36" i="4" s="1"/>
  <c r="N43" i="4" s="1"/>
  <c r="N32" i="4"/>
  <c r="AA41" i="4"/>
  <c r="AB40" i="4"/>
  <c r="AB9" i="4"/>
  <c r="W10" i="4"/>
  <c r="W38" i="4" s="1"/>
  <c r="AB41" i="4" l="1"/>
  <c r="O13" i="4"/>
  <c r="O15" i="4" s="1"/>
  <c r="O16" i="4" s="1"/>
  <c r="O17" i="4" s="1"/>
  <c r="AC40" i="4"/>
  <c r="AC9" i="4"/>
  <c r="X10" i="4"/>
  <c r="X12" i="4" s="1"/>
  <c r="X44" i="4" s="1"/>
  <c r="W12" i="4"/>
  <c r="W44" i="4" s="1"/>
  <c r="W28" i="4" s="1"/>
  <c r="W39" i="4"/>
  <c r="O19" i="4" l="1"/>
  <c r="O22" i="4" s="1"/>
  <c r="O34" i="4" s="1"/>
  <c r="AD40" i="4"/>
  <c r="AD9" i="4"/>
  <c r="X28" i="4"/>
  <c r="AC41" i="4"/>
  <c r="X39" i="4"/>
  <c r="X38" i="4"/>
  <c r="O32" i="4" l="1"/>
  <c r="O35" i="4"/>
  <c r="O36" i="4" s="1"/>
  <c r="O43" i="4" s="1"/>
  <c r="AE40" i="4"/>
  <c r="AE9" i="4"/>
  <c r="AD41" i="4"/>
  <c r="Y10" i="4"/>
  <c r="Y12" i="4" s="1"/>
  <c r="Y44" i="4" s="1"/>
  <c r="Y28" i="4" s="1"/>
  <c r="P13" i="4" l="1"/>
  <c r="P15" i="4" s="1"/>
  <c r="P16" i="4" s="1"/>
  <c r="P17" i="4" s="1"/>
  <c r="Y38" i="4"/>
  <c r="Z10" i="4" s="1"/>
  <c r="Z12" i="4" s="1"/>
  <c r="Z44" i="4" s="1"/>
  <c r="Z28" i="4" s="1"/>
  <c r="AE41" i="4"/>
  <c r="AF40" i="4"/>
  <c r="AG40" i="4" s="1"/>
  <c r="AF9" i="4"/>
  <c r="AG9" i="4" s="1"/>
  <c r="AH24" i="4" s="1"/>
  <c r="Y39" i="4"/>
  <c r="P19" i="4" l="1"/>
  <c r="P22" i="4" s="1"/>
  <c r="P34" i="4" s="1"/>
  <c r="AF41" i="4"/>
  <c r="AG41" i="4" s="1"/>
  <c r="Z38" i="4"/>
  <c r="AA10" i="4" s="1"/>
  <c r="AA12" i="4" s="1"/>
  <c r="AA44" i="4" s="1"/>
  <c r="AA28" i="4" s="1"/>
  <c r="Z39" i="4"/>
  <c r="P35" i="4" l="1"/>
  <c r="P36" i="4" s="1"/>
  <c r="P43" i="4" s="1"/>
  <c r="P32" i="4"/>
  <c r="AA38" i="4"/>
  <c r="AB10" i="4" s="1"/>
  <c r="AB12" i="4" s="1"/>
  <c r="AB44" i="4" s="1"/>
  <c r="AB28" i="4" s="1"/>
  <c r="AA39" i="4"/>
  <c r="Q13" i="4" l="1"/>
  <c r="Q15" i="4" s="1"/>
  <c r="Q16" i="4" s="1"/>
  <c r="Q17" i="4" s="1"/>
  <c r="AB38" i="4"/>
  <c r="AB39" i="4"/>
  <c r="Q19" i="4" l="1"/>
  <c r="Q22" i="4" s="1"/>
  <c r="Q34" i="4" s="1"/>
  <c r="AC10" i="4"/>
  <c r="AC12" i="4" s="1"/>
  <c r="AC44" i="4" s="1"/>
  <c r="AC28" i="4" s="1"/>
  <c r="Q35" i="4" l="1"/>
  <c r="Q36" i="4" s="1"/>
  <c r="Q43" i="4" s="1"/>
  <c r="Q32" i="4"/>
  <c r="AC38" i="4"/>
  <c r="AC39" i="4"/>
  <c r="R13" i="4" l="1"/>
  <c r="R15" i="4" s="1"/>
  <c r="R16" i="4" s="1"/>
  <c r="R17" i="4" s="1"/>
  <c r="AD10" i="4"/>
  <c r="AD12" i="4" s="1"/>
  <c r="AD44" i="4" s="1"/>
  <c r="AD28" i="4" s="1"/>
  <c r="R19" i="4" l="1"/>
  <c r="R22" i="4" s="1"/>
  <c r="R34" i="4" s="1"/>
  <c r="AD39" i="4"/>
  <c r="AD38" i="4"/>
  <c r="R32" i="4" l="1"/>
  <c r="R35" i="4"/>
  <c r="R36" i="4" s="1"/>
  <c r="R43" i="4" s="1"/>
  <c r="AE10" i="4"/>
  <c r="AE38" i="4" s="1"/>
  <c r="S13" i="4" l="1"/>
  <c r="S15" i="4" s="1"/>
  <c r="S16" i="4" s="1"/>
  <c r="S17" i="4" s="1"/>
  <c r="AF10" i="4"/>
  <c r="AF12" i="4" s="1"/>
  <c r="AF44" i="4" s="1"/>
  <c r="AE12" i="4"/>
  <c r="AE44" i="4" s="1"/>
  <c r="AE28" i="4" s="1"/>
  <c r="AE39" i="4"/>
  <c r="S19" i="4" l="1"/>
  <c r="S22" i="4" s="1"/>
  <c r="S34" i="4" s="1"/>
  <c r="AF28" i="4"/>
  <c r="AF38" i="4"/>
  <c r="AG38" i="4" s="1"/>
  <c r="AF39" i="4"/>
  <c r="AG39" i="4" s="1"/>
  <c r="S32" i="4" l="1"/>
  <c r="S35" i="4"/>
  <c r="S36" i="4" s="1"/>
  <c r="S43" i="4" s="1"/>
  <c r="T13" i="4" l="1"/>
  <c r="T15" i="4" s="1"/>
  <c r="T16" i="4" s="1"/>
  <c r="T17" i="4" s="1"/>
  <c r="T19" i="4" l="1"/>
  <c r="T22" i="4" s="1"/>
  <c r="T34" i="4" s="1"/>
  <c r="T32" i="4" l="1"/>
  <c r="T35" i="4"/>
  <c r="T36" i="4" s="1"/>
  <c r="T43" i="4" s="1"/>
  <c r="U13" i="4" l="1"/>
  <c r="U15" i="4" s="1"/>
  <c r="U16" i="4" s="1"/>
  <c r="U17" i="4" s="1"/>
  <c r="U19" i="4" l="1"/>
  <c r="U22" i="4" s="1"/>
  <c r="U34" i="4" s="1"/>
  <c r="U32" i="4" l="1"/>
  <c r="U35" i="4"/>
  <c r="U36" i="4" s="1"/>
  <c r="U43" i="4" s="1"/>
  <c r="V13" i="4" l="1"/>
  <c r="V15" i="4" s="1"/>
  <c r="V16" i="4" s="1"/>
  <c r="V17" i="4" s="1"/>
  <c r="V19" i="4" l="1"/>
  <c r="V22" i="4" s="1"/>
  <c r="V34" i="4" s="1"/>
  <c r="V35" i="4" l="1"/>
  <c r="V36" i="4" s="1"/>
  <c r="V43" i="4" s="1"/>
  <c r="V32" i="4"/>
  <c r="W13" i="4" l="1"/>
  <c r="W15" i="4" s="1"/>
  <c r="W16" i="4" s="1"/>
  <c r="W17" i="4" s="1"/>
  <c r="W19" i="4" l="1"/>
  <c r="W22" i="4" s="1"/>
  <c r="W34" i="4" s="1"/>
  <c r="W35" i="4" l="1"/>
  <c r="W36" i="4" s="1"/>
  <c r="W43" i="4" s="1"/>
  <c r="W32" i="4"/>
  <c r="X13" i="4" l="1"/>
  <c r="X15" i="4" s="1"/>
  <c r="X16" i="4" s="1"/>
  <c r="X17" i="4" s="1"/>
  <c r="X19" i="4" l="1"/>
  <c r="X22" i="4" s="1"/>
  <c r="X34" i="4" s="1"/>
  <c r="X32" i="4" l="1"/>
  <c r="X35" i="4"/>
  <c r="X36" i="4" s="1"/>
  <c r="X43" i="4" s="1"/>
  <c r="Y13" i="4" l="1"/>
  <c r="Y15" i="4" s="1"/>
  <c r="Y16" i="4" s="1"/>
  <c r="Y17" i="4" s="1"/>
  <c r="Y19" i="4" l="1"/>
  <c r="Y22" i="4" s="1"/>
  <c r="Y34" i="4" s="1"/>
  <c r="Y35" i="4" l="1"/>
  <c r="Y32" i="4"/>
  <c r="Y36" i="4" l="1"/>
  <c r="Y43" i="4" s="1"/>
  <c r="Z13" i="4" l="1"/>
  <c r="Z15" i="4" s="1"/>
  <c r="Z16" i="4" s="1"/>
  <c r="Z17" i="4" s="1"/>
  <c r="Z19" i="4" l="1"/>
  <c r="Z22" i="4" s="1"/>
  <c r="Z34" i="4" s="1"/>
  <c r="Z32" i="4" l="1"/>
  <c r="Z35" i="4"/>
  <c r="Z36" i="4" l="1"/>
  <c r="Z43" i="4" s="1"/>
  <c r="AA13" i="4" l="1"/>
  <c r="AA15" i="4" s="1"/>
  <c r="AA16" i="4" s="1"/>
  <c r="AA17" i="4" s="1"/>
  <c r="AA19" i="4" s="1"/>
  <c r="AA22" i="4" s="1"/>
  <c r="AA34" i="4" s="1"/>
  <c r="AA32" i="4" l="1"/>
  <c r="AA35" i="4"/>
  <c r="AA36" i="4" l="1"/>
  <c r="AA43" i="4" s="1"/>
  <c r="AB13" i="4" l="1"/>
  <c r="AB15" i="4" s="1"/>
  <c r="AB16" i="4" s="1"/>
  <c r="AB17" i="4" s="1"/>
  <c r="AB19" i="4" s="1"/>
  <c r="AB22" i="4" s="1"/>
  <c r="AB34" i="4" s="1"/>
  <c r="AB32" i="4" l="1"/>
  <c r="AB35" i="4"/>
  <c r="AB36" i="4" l="1"/>
  <c r="AB43" i="4" s="1"/>
  <c r="AC13" i="4" l="1"/>
  <c r="AC15" i="4" s="1"/>
  <c r="AC16" i="4" s="1"/>
  <c r="AC17" i="4" s="1"/>
  <c r="AC19" i="4" s="1"/>
  <c r="AC22" i="4" s="1"/>
  <c r="AC34" i="4" s="1"/>
  <c r="AC35" i="4" l="1"/>
  <c r="AC32" i="4"/>
  <c r="AC36" i="4" l="1"/>
  <c r="AC43" i="4" s="1"/>
  <c r="AD13" i="4" l="1"/>
  <c r="AD15" i="4" s="1"/>
  <c r="AD16" i="4" s="1"/>
  <c r="AD17" i="4" s="1"/>
  <c r="AD19" i="4" s="1"/>
  <c r="AD22" i="4" s="1"/>
  <c r="AD34" i="4" s="1"/>
  <c r="AD35" i="4" l="1"/>
  <c r="AD36" i="4" s="1"/>
  <c r="AD43" i="4" s="1"/>
  <c r="AD32" i="4"/>
  <c r="AE13" i="4" l="1"/>
  <c r="AE15" i="4" s="1"/>
  <c r="AE16" i="4" s="1"/>
  <c r="AE17" i="4" s="1"/>
  <c r="AE19" i="4" s="1"/>
  <c r="AE22" i="4" s="1"/>
  <c r="AE34" i="4" s="1"/>
  <c r="AE35" i="4" l="1"/>
  <c r="AE36" i="4" s="1"/>
  <c r="AE43" i="4" s="1"/>
  <c r="AE32" i="4"/>
  <c r="AF13" i="4" l="1"/>
  <c r="AF15" i="4" s="1"/>
  <c r="AF16" i="4" s="1"/>
  <c r="AF17" i="4" s="1"/>
  <c r="AF19" i="4" s="1"/>
  <c r="AF22" i="4" s="1"/>
  <c r="AF34" i="4" s="1"/>
  <c r="D71" i="4" s="1"/>
  <c r="AF32" i="4" l="1"/>
  <c r="AF35" i="4"/>
  <c r="AF36" i="4" l="1"/>
  <c r="AF43" i="4" s="1"/>
  <c r="D77" i="4"/>
  <c r="D70" i="4" l="1"/>
  <c r="D72" i="4" s="1"/>
  <c r="D75" i="4" s="1"/>
  <c r="D78" i="4"/>
  <c r="E71" i="4" l="1"/>
  <c r="E70" i="4"/>
  <c r="D80" i="4"/>
  <c r="D74" i="4"/>
  <c r="M40" i="1" s="1"/>
  <c r="H40" i="1"/>
  <c r="E77" i="4"/>
  <c r="E7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Eduardo Ferreira</author>
    <author>borda</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5" authorId="3"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 ref="L51" authorId="4" shapeId="0" xr:uid="{064E53CB-A303-4485-9F4E-E6FB0366E6CE}">
      <text>
        <r>
          <rPr>
            <b/>
            <sz val="9"/>
            <color indexed="81"/>
            <rFont val="Tahoma"/>
            <family val="2"/>
          </rPr>
          <t>borda:</t>
        </r>
        <r>
          <rPr>
            <sz val="9"/>
            <color indexed="81"/>
            <rFont val="Tahoma"/>
            <family val="2"/>
          </rPr>
          <t xml:space="preserve">
In 2023, UPS acquired MNX and a Chabas Sante healthcare unit
</t>
        </r>
      </text>
    </comment>
    <comment ref="E53" authorId="4" shapeId="0" xr:uid="{0391F8A6-8ABB-43A1-B5AF-E86B02A9BABC}">
      <text>
        <r>
          <rPr>
            <b/>
            <sz val="9"/>
            <color indexed="81"/>
            <rFont val="Tahoma"/>
            <family val="2"/>
          </rPr>
          <t>borda:</t>
        </r>
        <r>
          <rPr>
            <sz val="9"/>
            <color indexed="81"/>
            <rFont val="Tahoma"/>
            <family val="2"/>
          </rPr>
          <t xml:space="preserve">
Given the outsized revenue growth cause by the ecommerce boom during the pandemic, UPS decided to increase dividend distribution. 
</t>
        </r>
      </text>
    </comment>
    <comment ref="F53" authorId="4" shapeId="0" xr:uid="{2AA81477-929F-4C02-9C55-857A5523B851}">
      <text>
        <r>
          <rPr>
            <b/>
            <sz val="9"/>
            <color indexed="81"/>
            <rFont val="Tahoma"/>
            <family val="2"/>
          </rPr>
          <t>borda:</t>
        </r>
        <r>
          <rPr>
            <sz val="9"/>
            <color indexed="81"/>
            <rFont val="Tahoma"/>
            <family val="2"/>
          </rPr>
          <t xml:space="preserve">
In the last 2 years, the dividend/FCF ratio rose up to 106%, causing negative cash flows. The company has a dividend focused policy and future revenue growth will bring back dividend payout sustainability.
</t>
        </r>
      </text>
    </comment>
    <comment ref="C54" authorId="4" shapeId="0" xr:uid="{4B0F57AD-EAC9-40EB-926F-702CFF1847D5}">
      <text>
        <r>
          <rPr>
            <b/>
            <sz val="9"/>
            <color indexed="81"/>
            <rFont val="Tahoma"/>
            <family val="2"/>
          </rPr>
          <t>borda:</t>
        </r>
        <r>
          <rPr>
            <sz val="9"/>
            <color indexed="81"/>
            <rFont val="Tahoma"/>
            <family val="2"/>
          </rPr>
          <t xml:space="preserve">
The post-pandemic ecommerce slow down caused a decrease in revenues
</t>
        </r>
      </text>
    </comment>
    <comment ref="D54" authorId="4" shapeId="0" xr:uid="{0100BA13-EAC9-40AB-AB9B-67B576B395A1}">
      <text>
        <r>
          <rPr>
            <b/>
            <sz val="9"/>
            <color indexed="81"/>
            <rFont val="Tahoma"/>
            <family val="2"/>
          </rPr>
          <t>borda:</t>
        </r>
        <r>
          <rPr>
            <sz val="9"/>
            <color indexed="81"/>
            <rFont val="Tahoma"/>
            <family val="2"/>
          </rPr>
          <t xml:space="preserve">
Higher commodity prices and the decrease in online spending cause UPS' margins to decrease. 
</t>
        </r>
      </text>
    </comment>
    <comment ref="E54" authorId="4" shapeId="0" xr:uid="{3BE67FB4-4790-4226-80E1-E4EAB55A7EC2}">
      <text>
        <r>
          <rPr>
            <b/>
            <sz val="9"/>
            <color indexed="81"/>
            <rFont val="Tahoma"/>
            <family val="2"/>
          </rPr>
          <t>borda:</t>
        </r>
        <r>
          <rPr>
            <sz val="9"/>
            <color indexed="81"/>
            <rFont val="Tahoma"/>
            <family val="2"/>
          </rPr>
          <t xml:space="preserve">
Inorganic growth in the last 2 years was also responsible for this negative value</t>
        </r>
      </text>
    </comment>
    <comment ref="M107" authorId="4" shapeId="0" xr:uid="{B212BFDE-B3A8-4B61-9E29-83C71D59CFE6}">
      <text>
        <r>
          <rPr>
            <b/>
            <sz val="9"/>
            <color indexed="81"/>
            <rFont val="Tahoma"/>
            <family val="2"/>
          </rPr>
          <t>borda:</t>
        </r>
        <r>
          <rPr>
            <sz val="9"/>
            <color indexed="81"/>
            <rFont val="Tahoma"/>
            <family val="2"/>
          </rPr>
          <t xml:space="preserve">
The rise in XPO stock price is related to operation improvements and positive earnings reports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Utilizador</author>
  </authors>
  <commentList>
    <comment ref="D10" authorId="0" shapeId="0" xr:uid="{883043E9-E033-4456-9214-839A61A81C70}">
      <text>
        <r>
          <rPr>
            <b/>
            <sz val="9"/>
            <color indexed="81"/>
            <rFont val="Tahoma"/>
            <family val="2"/>
          </rPr>
          <t>Utilizador:</t>
        </r>
        <r>
          <rPr>
            <sz val="9"/>
            <color indexed="81"/>
            <rFont val="Tahoma"/>
            <family val="2"/>
          </rPr>
          <t xml:space="preserve">
As of 22/10/2024</t>
        </r>
      </text>
    </comment>
    <comment ref="E10" authorId="0" shapeId="0" xr:uid="{5F16959A-3506-457F-A7A1-4100C3429CD8}">
      <text>
        <r>
          <rPr>
            <b/>
            <sz val="9"/>
            <color indexed="81"/>
            <rFont val="Tahoma"/>
            <family val="2"/>
          </rPr>
          <t>Utilizador:</t>
        </r>
        <r>
          <rPr>
            <sz val="9"/>
            <color indexed="81"/>
            <rFont val="Tahoma"/>
            <family val="2"/>
          </rPr>
          <t xml:space="preserve">
As of 22/10/2024</t>
        </r>
      </text>
    </comment>
    <comment ref="F10" authorId="0" shapeId="0" xr:uid="{88106711-2835-4C1A-A18D-8E4A44A2F316}">
      <text>
        <r>
          <rPr>
            <b/>
            <sz val="9"/>
            <color indexed="81"/>
            <rFont val="Tahoma"/>
            <family val="2"/>
          </rPr>
          <t>Utilizador:</t>
        </r>
        <r>
          <rPr>
            <sz val="9"/>
            <color indexed="81"/>
            <rFont val="Tahoma"/>
            <family val="2"/>
          </rPr>
          <t xml:space="preserve">
As of 22/10/2024</t>
        </r>
      </text>
    </comment>
    <comment ref="G10" authorId="0" shapeId="0" xr:uid="{1DE64B5D-9B0D-488A-BE0A-2812B4C5A893}">
      <text>
        <r>
          <rPr>
            <b/>
            <sz val="9"/>
            <color indexed="81"/>
            <rFont val="Tahoma"/>
            <family val="2"/>
          </rPr>
          <t>Utilizador:</t>
        </r>
        <r>
          <rPr>
            <sz val="9"/>
            <color indexed="81"/>
            <rFont val="Tahoma"/>
            <family val="2"/>
          </rPr>
          <t xml:space="preserve">
As of 22/10/2024</t>
        </r>
      </text>
    </comment>
    <comment ref="I13" authorId="0" shapeId="0" xr:uid="{5DF5799C-532C-4A55-B351-F17CAB292EF1}">
      <text>
        <r>
          <rPr>
            <b/>
            <sz val="9"/>
            <color indexed="81"/>
            <rFont val="Tahoma"/>
            <family val="2"/>
          </rPr>
          <t>Utilizador:</t>
        </r>
        <r>
          <rPr>
            <sz val="9"/>
            <color indexed="81"/>
            <rFont val="Tahoma"/>
            <family val="2"/>
          </rPr>
          <t xml:space="preserve">
The decrease of sales, is mainly based on the industry trend. This downward trend is a reflection of economic slowdowns, the maturation of e-commerce growth, and ongoing supply chain disruptions.</t>
        </r>
      </text>
    </comment>
    <comment ref="G17" authorId="0" shapeId="0" xr:uid="{46E9C1E8-6A7F-45E7-88A1-7BE9AEE4035D}">
      <text>
        <r>
          <rPr>
            <b/>
            <sz val="9"/>
            <color indexed="81"/>
            <rFont val="Tahoma"/>
            <family val="2"/>
          </rPr>
          <t>Utilizador:</t>
        </r>
        <r>
          <rPr>
            <sz val="9"/>
            <color indexed="81"/>
            <rFont val="Tahoma"/>
            <family val="2"/>
          </rPr>
          <t xml:space="preserve">
C. H. Robinson operates with an asset-light model. In that sence, since the company doesn't invest heavily in fixed assets, it has lower capital requirements.</t>
        </r>
      </text>
    </comment>
    <comment ref="F21" authorId="0" shapeId="0" xr:uid="{EC30EC5A-5078-46B8-B378-217B3FCC6ED9}">
      <text>
        <r>
          <rPr>
            <b/>
            <sz val="9"/>
            <color indexed="81"/>
            <rFont val="Tahoma"/>
            <family val="2"/>
          </rPr>
          <t>Utilizador:</t>
        </r>
        <r>
          <rPr>
            <sz val="9"/>
            <color indexed="81"/>
            <rFont val="Tahoma"/>
            <family val="2"/>
          </rPr>
          <t xml:space="preserve">
XPO has a growth strategy through acquisitions and significant capital investments, resulting in higher debt levels.</t>
        </r>
      </text>
    </comment>
    <comment ref="G30" authorId="0" shapeId="0" xr:uid="{FC9FAD07-A969-433B-B754-F2E835774C06}">
      <text>
        <r>
          <rPr>
            <b/>
            <sz val="9"/>
            <color indexed="81"/>
            <rFont val="Tahoma"/>
            <family val="2"/>
          </rPr>
          <t>Utilizador:</t>
        </r>
        <r>
          <rPr>
            <sz val="9"/>
            <color indexed="81"/>
            <rFont val="Tahoma"/>
            <family val="2"/>
          </rPr>
          <t xml:space="preserve">
C. H. Robinson operates with an asset-light model.</t>
        </r>
      </text>
    </comment>
    <comment ref="G37" authorId="0" shapeId="0" xr:uid="{AA64D652-31BB-4F8B-956C-D5CADE9CE335}">
      <text>
        <r>
          <rPr>
            <b/>
            <sz val="9"/>
            <color indexed="81"/>
            <rFont val="Tahoma"/>
            <family val="2"/>
          </rPr>
          <t>Utilizador:</t>
        </r>
        <r>
          <rPr>
            <sz val="9"/>
            <color indexed="81"/>
            <rFont val="Tahoma"/>
            <family val="2"/>
          </rPr>
          <t xml:space="preserve">
This value reflects a higher valuation based on the market's expectations of growth and profitability driven by its asset-light business model.</t>
        </r>
      </text>
    </comment>
    <comment ref="F40" authorId="0" shapeId="0" xr:uid="{5F80552D-B08F-443C-A56B-4F11C8EAFF87}">
      <text>
        <r>
          <rPr>
            <b/>
            <sz val="9"/>
            <color indexed="81"/>
            <rFont val="Tahoma"/>
            <family val="2"/>
          </rPr>
          <t>Utilizador:</t>
        </r>
        <r>
          <rPr>
            <sz val="9"/>
            <color indexed="81"/>
            <rFont val="Tahoma"/>
            <family val="2"/>
          </rPr>
          <t xml:space="preserve">
Reflects investor's concerns about the company's aggressive growth strategy.</t>
        </r>
      </text>
    </comment>
    <comment ref="F41" authorId="0" shapeId="0" xr:uid="{C4857C16-D5CB-4AE6-93DD-0053222A2967}">
      <text>
        <r>
          <rPr>
            <b/>
            <sz val="9"/>
            <color indexed="81"/>
            <rFont val="Tahoma"/>
            <family val="2"/>
          </rPr>
          <t>Utilizador:</t>
        </r>
        <r>
          <rPr>
            <sz val="9"/>
            <color indexed="81"/>
            <rFont val="Tahoma"/>
            <family val="2"/>
          </rPr>
          <t xml:space="preserve">
XPO Logistics doesn't pay dividends.</t>
        </r>
      </text>
    </comment>
    <comment ref="D45" authorId="0" shapeId="0" xr:uid="{E7DC40E4-0EC5-4F1E-A5BC-7C8B7CFFED0B}">
      <text>
        <r>
          <rPr>
            <b/>
            <sz val="9"/>
            <color indexed="81"/>
            <rFont val="Tahoma"/>
            <family val="2"/>
          </rPr>
          <t>Utilizador:</t>
        </r>
        <r>
          <rPr>
            <sz val="9"/>
            <color indexed="81"/>
            <rFont val="Tahoma"/>
            <family val="2"/>
          </rPr>
          <t xml:space="preserve">
As of 16/10/2024.</t>
        </r>
      </text>
    </comment>
    <comment ref="E45" authorId="0" shapeId="0" xr:uid="{73280D7C-9E07-4B17-9F04-05B22EC07AD9}">
      <text>
        <r>
          <rPr>
            <b/>
            <sz val="9"/>
            <color indexed="81"/>
            <rFont val="Tahoma"/>
            <family val="2"/>
          </rPr>
          <t>Utilizador:</t>
        </r>
        <r>
          <rPr>
            <sz val="9"/>
            <color indexed="81"/>
            <rFont val="Tahoma"/>
            <family val="2"/>
          </rPr>
          <t xml:space="preserve">
As of 16/10/2024.</t>
        </r>
      </text>
    </comment>
    <comment ref="F45" authorId="0" shapeId="0" xr:uid="{6B533C1B-BEAF-49BD-B3BE-8F979C71F3B5}">
      <text>
        <r>
          <rPr>
            <b/>
            <sz val="9"/>
            <color indexed="81"/>
            <rFont val="Tahoma"/>
            <family val="2"/>
          </rPr>
          <t>Utilizador:</t>
        </r>
        <r>
          <rPr>
            <sz val="9"/>
            <color indexed="81"/>
            <rFont val="Tahoma"/>
            <family val="2"/>
          </rPr>
          <t xml:space="preserve">
As of 16/10/2024.</t>
        </r>
      </text>
    </comment>
    <comment ref="G45" authorId="0" shapeId="0" xr:uid="{E47EB307-4173-49CB-A77E-C13C007D34DD}">
      <text>
        <r>
          <rPr>
            <b/>
            <sz val="9"/>
            <color indexed="81"/>
            <rFont val="Tahoma"/>
            <family val="2"/>
          </rPr>
          <t>Utilizador:</t>
        </r>
        <r>
          <rPr>
            <sz val="9"/>
            <color indexed="81"/>
            <rFont val="Tahoma"/>
            <family val="2"/>
          </rPr>
          <t xml:space="preserve">
As of 16/10/2024.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tc={ED3BFF41-DE41-45A7-9382-77AD69AAA261}</author>
  </authors>
  <commentList>
    <comment ref="C38" authorId="0" shapeId="0" xr:uid="{ED3BFF41-DE41-45A7-9382-77AD69AAA261}">
      <text>
        <t>[Threaded comment]
Your version of Excel allows you to read this threaded comment; however, any edits to it will get removed if the file is opened in a newer version of Excel. Learn more: https://go.microsoft.com/fwlink/?linkid=870924
Comment:
    Tudo gross!! =!net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Patrícia Franco</author>
    <author>Patricia Figueiredo Franco</author>
    <author>Damião Ribeiro</author>
    <author>Damião Carvalho Perdigão Gonçalves Ribeiro</author>
    <author>Jorge Daniel Vieira Freitas</author>
  </authors>
  <commentList>
    <comment ref="B19" authorId="0" shapeId="0" xr:uid="{B0598D2C-753A-4025-BDE1-6CC84F32D37C}">
      <text>
        <r>
          <rPr>
            <b/>
            <sz val="9"/>
            <color indexed="81"/>
            <rFont val="Tahoma"/>
            <family val="2"/>
          </rPr>
          <t>Patrícia Franco:</t>
        </r>
        <r>
          <rPr>
            <sz val="9"/>
            <color indexed="81"/>
            <rFont val="Tahoma"/>
            <family val="2"/>
          </rPr>
          <t xml:space="preserve">
Could not find any data</t>
        </r>
      </text>
    </comment>
    <comment ref="B21" authorId="1" shapeId="0" xr:uid="{77F889FB-5C3E-4A63-BA3F-70728E0A455B}">
      <text>
        <r>
          <rPr>
            <sz val="10"/>
            <rFont val="Arial"/>
            <family val="2"/>
          </rPr>
          <t>Patricia Figueiredo Franco:
interest expense</t>
        </r>
      </text>
    </comment>
    <comment ref="B22" authorId="1" shapeId="0" xr:uid="{22C7C2C5-73F4-4210-8E3F-3771675C53AB}">
      <text>
        <r>
          <rPr>
            <sz val="10"/>
            <rFont val="Arial"/>
            <family val="2"/>
          </rPr>
          <t>Patricia Figueiredo Franco:
interest income =0 (could not find any data)</t>
        </r>
      </text>
    </comment>
    <comment ref="O23" authorId="2" shapeId="0" xr:uid="{4933DAFF-721E-4DD7-9652-E02D2A561EE8}">
      <text>
        <r>
          <rPr>
            <b/>
            <sz val="9"/>
            <color indexed="81"/>
            <rFont val="Tahoma"/>
            <family val="2"/>
          </rPr>
          <t>Damião Ribeiro:</t>
        </r>
        <r>
          <rPr>
            <sz val="9"/>
            <color indexed="81"/>
            <rFont val="Tahoma"/>
            <family val="2"/>
          </rPr>
          <t xml:space="preserve">
Average YoY Growth (Gross PPE)</t>
        </r>
      </text>
    </comment>
    <comment ref="P23" authorId="3" shapeId="0" xr:uid="{6E478CFC-98B1-491D-B9A2-4B23F33AC43B}">
      <text>
        <r>
          <rPr>
            <sz val="10"/>
            <rFont val="Arial"/>
            <family val="2"/>
          </rPr>
          <t>Damião Carvalho Perdigão Gonçalves Ribeiro:
Average YoY Growth (Gross PPE)</t>
        </r>
      </text>
    </comment>
    <comment ref="Q23" authorId="3" shapeId="0" xr:uid="{1EA63F23-E7A6-4972-8A14-A15EA6172957}">
      <text>
        <r>
          <rPr>
            <sz val="10"/>
            <rFont val="Arial"/>
            <family val="2"/>
          </rPr>
          <t>Damião Carvalho Perdigão Gonçalves Ribeiro:
Average YoY Growth (Gross PPE)</t>
        </r>
      </text>
    </comment>
    <comment ref="O25" authorId="2" shapeId="0" xr:uid="{07A694DB-1205-411E-9BB0-027D86C87314}">
      <text>
        <r>
          <rPr>
            <b/>
            <sz val="9"/>
            <color indexed="81"/>
            <rFont val="Tahoma"/>
            <family val="2"/>
          </rPr>
          <t>Damião Ribeiro:</t>
        </r>
        <r>
          <rPr>
            <sz val="9"/>
            <color indexed="81"/>
            <rFont val="Tahoma"/>
            <family val="2"/>
          </rPr>
          <t xml:space="preserve">
Average YoY Growth (Gross IA)</t>
        </r>
      </text>
    </comment>
    <comment ref="P25" authorId="3" shapeId="0" xr:uid="{73CD9603-F085-467F-BBA9-49CE7A829CFD}">
      <text>
        <r>
          <rPr>
            <sz val="10"/>
            <rFont val="Arial"/>
            <family val="2"/>
          </rPr>
          <t>Damião Carvalho Perdigão Gonçalves Ribeiro:
Average YoY Growth (Gross IA)</t>
        </r>
      </text>
    </comment>
    <comment ref="Q25" authorId="3" shapeId="0" xr:uid="{87DB85B0-C8E7-4E44-A787-C670A9DA7EB6}">
      <text>
        <r>
          <rPr>
            <sz val="10"/>
            <rFont val="Arial"/>
            <family val="2"/>
          </rPr>
          <t>Damião Carvalho Perdigão Gonçalves Ribeiro:
Average YoY Growth (Gross IA)</t>
        </r>
      </text>
    </comment>
    <comment ref="F42" authorId="0" shapeId="0" xr:uid="{3F876D2A-E93B-4E15-803B-272F43BDD7BA}">
      <text>
        <r>
          <rPr>
            <b/>
            <sz val="9"/>
            <color indexed="81"/>
            <rFont val="Tahoma"/>
            <family val="2"/>
          </rPr>
          <t>Patrícia Franco:</t>
        </r>
        <r>
          <rPr>
            <sz val="9"/>
            <color indexed="81"/>
            <rFont val="Tahoma"/>
            <family val="2"/>
          </rPr>
          <t xml:space="preserve">
New techonogy, mainly robots, which will decrease costs and increase immensely productivity: plan "Network of the Future": 6B each year, for 3 years total.
Decrease in oil prices.
Biggest healthcare logistics supplier worldwide : aquisitions.</t>
        </r>
      </text>
    </comment>
    <comment ref="E43" authorId="0" shapeId="0" xr:uid="{1CEF6CD3-D459-4697-902A-C6ABADBB02F5}">
      <text>
        <r>
          <rPr>
            <b/>
            <sz val="9"/>
            <color indexed="81"/>
            <rFont val="Tahoma"/>
            <family val="2"/>
          </rPr>
          <t>Patrícia Franco:</t>
        </r>
        <r>
          <rPr>
            <sz val="9"/>
            <color indexed="81"/>
            <rFont val="Tahoma"/>
            <family val="2"/>
          </rPr>
          <t xml:space="preserve">
Guidance</t>
        </r>
      </text>
    </comment>
    <comment ref="E44" authorId="0" shapeId="0" xr:uid="{481311CF-3D4A-4959-912F-E36A43AF6B94}">
      <text>
        <r>
          <rPr>
            <b/>
            <sz val="9"/>
            <color indexed="81"/>
            <rFont val="Tahoma"/>
            <family val="2"/>
          </rPr>
          <t>Patrícia Franco:</t>
        </r>
        <r>
          <rPr>
            <sz val="9"/>
            <color indexed="81"/>
            <rFont val="Tahoma"/>
            <family val="2"/>
          </rPr>
          <t xml:space="preserve">
Guidance</t>
        </r>
      </text>
    </comment>
    <comment ref="B61" authorId="4" shapeId="0" xr:uid="{1DDA622C-6D25-4E97-8421-1DFBE59261B4}">
      <text>
        <r>
          <rPr>
            <sz val="10"/>
            <color rgb="FF000000"/>
            <rFont val="Arial"/>
            <family val="2"/>
          </rPr>
          <t>Assuming that company is not going to take out new loans</t>
        </r>
      </text>
    </comment>
    <comment ref="B62" authorId="0" shapeId="0" xr:uid="{5A3190D0-7F64-4149-AC30-E99717AAF0EB}">
      <text>
        <r>
          <rPr>
            <b/>
            <sz val="9"/>
            <color indexed="81"/>
            <rFont val="Tahoma"/>
            <family val="2"/>
          </rPr>
          <t>Patrícia Franco:</t>
        </r>
        <r>
          <rPr>
            <sz val="9"/>
            <color indexed="81"/>
            <rFont val="Tahoma"/>
            <family val="2"/>
          </rPr>
          <t xml:space="preserve">
const % EBITDA</t>
        </r>
      </text>
    </comment>
    <comment ref="BO392" authorId="4" shapeId="0" xr:uid="{958E1BB2-A24B-43B3-94E3-A452E1315B7F}">
      <text>
        <r>
          <rPr>
            <sz val="10"/>
            <color rgb="FF000000"/>
            <rFont val="Arial"/>
            <family val="2"/>
          </rPr>
          <t xml:space="preserve">Jorge Daniel Vieira Freitas:
</t>
        </r>
        <r>
          <rPr>
            <sz val="10"/>
            <color rgb="FF000000"/>
            <rFont val="Arial"/>
            <family val="2"/>
          </rPr>
          <t>Assuming that company is not going to take out new loans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19"/>
        </ext>
      </extLst>
    </bk>
  </futureMetadata>
  <futureMetadata name="XLDAPR" count="1">
    <bk>
      <extLst>
        <ext uri="{bdbb8cdc-fa1e-496e-a857-3c3f30c029c3}">
          <xda:dynamicArrayProperties fDynamic="1" fCollapsed="0"/>
        </ext>
      </extLst>
    </bk>
  </futureMetadata>
  <cellMetadata count="1">
    <bk>
      <rc t="2" v="0"/>
    </bk>
  </cell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<sst xmlns="http://schemas.openxmlformats.org/spreadsheetml/2006/main" count="1774" uniqueCount="845">
  <si>
    <t>Team 1</t>
  </si>
  <si>
    <t xml:space="preserve">SIC: </t>
  </si>
  <si>
    <t>COMPANY DESCRIPTION</t>
  </si>
  <si>
    <t>CEO &amp; BOARD OF DIRECTORS</t>
  </si>
  <si>
    <t>Name, Age and Tenure</t>
  </si>
  <si>
    <t>Gender</t>
  </si>
  <si>
    <t>Executive?</t>
  </si>
  <si>
    <t>Other roles</t>
  </si>
  <si>
    <r>
      <rPr>
        <b/>
        <sz val="10"/>
        <rFont val="Arial"/>
        <family val="2"/>
      </rPr>
      <t>Carol Tome</t>
    </r>
    <r>
      <rPr>
        <sz val="10"/>
        <rFont val="Arial"/>
        <family val="2"/>
      </rPr>
      <t>, 67, 2003</t>
    </r>
  </si>
  <si>
    <t>F</t>
  </si>
  <si>
    <t>Y</t>
  </si>
  <si>
    <t>Director at Verizon Communications</t>
  </si>
  <si>
    <t>Rodney Adkins, 65, 2013</t>
  </si>
  <si>
    <t>M</t>
  </si>
  <si>
    <t>President of RRAM Group LLC</t>
  </si>
  <si>
    <t>Eva Boratto, 57, 2020</t>
  </si>
  <si>
    <t>N</t>
  </si>
  <si>
    <t>CFO Bath Body Works, Inc.</t>
  </si>
  <si>
    <t>Michael  Burns, 72, 2005</t>
  </si>
  <si>
    <t>-</t>
  </si>
  <si>
    <t>Wayne Hewett, 59, 2020</t>
  </si>
  <si>
    <t>Senior Advisor to Permira</t>
  </si>
  <si>
    <t>Angela Hwang, 58, 2020</t>
  </si>
  <si>
    <t>Advisor at Pfizer</t>
  </si>
  <si>
    <t>Kate Johnson, 56, 2020</t>
  </si>
  <si>
    <t>President, CFO at Lumen Technologies Inc.</t>
  </si>
  <si>
    <r>
      <t>William Johnson,</t>
    </r>
    <r>
      <rPr>
        <sz val="10"/>
        <rFont val="Arial"/>
        <family val="2"/>
      </rPr>
      <t xml:space="preserve"> 75, 2009</t>
    </r>
  </si>
  <si>
    <t>Director at Sovos</t>
  </si>
  <si>
    <t>Franck Moison, 70, 2017</t>
  </si>
  <si>
    <t>Chairman of Advisory Board of EDHEC BS</t>
  </si>
  <si>
    <t>Christiana Shi, 64, 2018</t>
  </si>
  <si>
    <t>Director at Hanes Brand and SES France</t>
  </si>
  <si>
    <t>Russel Stokes, 52, 2020</t>
  </si>
  <si>
    <t>CFO at GE AeroSpace</t>
  </si>
  <si>
    <t>Kevin Warsh, 53, 2012</t>
  </si>
  <si>
    <t>Lecturer at Stanford Graduate School of Business</t>
  </si>
  <si>
    <t>COMPANY OVERVIEW</t>
  </si>
  <si>
    <t>Stock</t>
  </si>
  <si>
    <t>Liquidity and Solvency</t>
  </si>
  <si>
    <t>Segments</t>
  </si>
  <si>
    <t>Multiples</t>
  </si>
  <si>
    <t>Last Price</t>
  </si>
  <si>
    <t>Total Assets</t>
  </si>
  <si>
    <t>Regions</t>
  </si>
  <si>
    <t>% Sales</t>
  </si>
  <si>
    <t>Reporting Year</t>
  </si>
  <si>
    <t>Float</t>
  </si>
  <si>
    <t>Outstanding Shares</t>
  </si>
  <si>
    <t>Total Liabilities</t>
  </si>
  <si>
    <t>End of Year</t>
  </si>
  <si>
    <t>Insiders Own</t>
  </si>
  <si>
    <t>Market Cap.</t>
  </si>
  <si>
    <t>Cash/Share</t>
  </si>
  <si>
    <t>EBITDA</t>
  </si>
  <si>
    <t>b (Yahoo)</t>
  </si>
  <si>
    <t>+Total Debt</t>
  </si>
  <si>
    <t>EBITDA/Net Financial Cost (NFC)</t>
  </si>
  <si>
    <t>Depreciation &amp; Amortization</t>
  </si>
  <si>
    <t>Score (S&amp;P)</t>
  </si>
  <si>
    <t>-Cash</t>
  </si>
  <si>
    <t>Debt/EBITDA</t>
  </si>
  <si>
    <t>EBIT</t>
  </si>
  <si>
    <t>Price/Book Value</t>
  </si>
  <si>
    <t>=Enterprise Value</t>
  </si>
  <si>
    <t>"Others Assets"/Asset</t>
  </si>
  <si>
    <t>Net Income</t>
  </si>
  <si>
    <t>NCF(3y avg)/Asset</t>
  </si>
  <si>
    <t>Holdings (nac/int'l)</t>
  </si>
  <si>
    <t>Debt/Assets</t>
  </si>
  <si>
    <t>Categories</t>
  </si>
  <si>
    <t>EPS</t>
  </si>
  <si>
    <t>Price/Net Inc. (3y avg)</t>
  </si>
  <si>
    <t>t liq. (Holdings/Vol.)</t>
  </si>
  <si>
    <t>EBITDA Margin (average)</t>
  </si>
  <si>
    <t>ROA</t>
  </si>
  <si>
    <t>EV/Asset</t>
  </si>
  <si>
    <t>% Short</t>
  </si>
  <si>
    <t>1,63%</t>
  </si>
  <si>
    <t>Operating Margin (average)</t>
  </si>
  <si>
    <t>ROIC</t>
  </si>
  <si>
    <t>EV/Ebitda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</si>
  <si>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</si>
  <si>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</si>
  <si>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</si>
  <si>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</si>
  <si>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</si>
  <si>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</si>
  <si>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</si>
  <si>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</si>
  <si>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</si>
  <si>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</si>
  <si>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</si>
  <si>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</si>
  <si>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</si>
  <si>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</si>
  <si>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</si>
  <si>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</si>
  <si>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</si>
  <si>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</si>
  <si>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</si>
  <si>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BUY</t>
  </si>
  <si>
    <t>Check DCF</t>
  </si>
  <si>
    <t>Innovation</t>
  </si>
  <si>
    <t>Sofisticated systems optmizitation helps margins and revenue, and UPS is implementing this, in the robotization of its network.</t>
  </si>
  <si>
    <t xml:space="preserve">Global Presence </t>
  </si>
  <si>
    <t xml:space="preserve">UPS is an industry leader and has a strong reputation </t>
  </si>
  <si>
    <t>Ambitious Goals</t>
  </si>
  <si>
    <t>The revenue forecast is positive and the company is not stagnating in known markets. They are expanding into the healthcare market, for example, where they are striving to become leaders.</t>
  </si>
  <si>
    <t>Risks of Investment</t>
  </si>
  <si>
    <t>Price Target</t>
  </si>
  <si>
    <t>Valuation</t>
  </si>
  <si>
    <t>Risk</t>
  </si>
  <si>
    <t>Discount Rate</t>
  </si>
  <si>
    <t>Upside</t>
  </si>
  <si>
    <t>Macroec. Outlook</t>
  </si>
  <si>
    <t xml:space="preserve">UPS revenue is extremely dependant on global consumer general consumption, which is something very volatile given differents phases of the economic cicle. </t>
  </si>
  <si>
    <t>Geopolitical tensions</t>
  </si>
  <si>
    <t xml:space="preserve">Present tensions can impact the globality of UPS' network and set restrictions to its movements. </t>
  </si>
  <si>
    <t>Commodity prices</t>
  </si>
  <si>
    <t xml:space="preserve">Volatile commodities like oil, have a great impact on UPS margins. </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</si>
  <si>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</si>
  <si>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</si>
  <si>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</si>
  <si>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</si>
  <si>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</si>
  <si>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</si>
  <si>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</si>
  <si>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</si>
  <si>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</si>
  <si>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</si>
  <si>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</si>
  <si>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</si>
  <si>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</si>
  <si>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</si>
  <si>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</si>
  <si>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</si>
  <si>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</si>
  <si>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</si>
  <si>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</si>
  <si>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</si>
  <si>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</si>
  <si>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</si>
  <si>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</si>
  <si>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</si>
  <si>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</si>
  <si>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</si>
  <si>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</si>
  <si>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</si>
  <si>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Name</t>
  </si>
  <si>
    <t>% Stake</t>
  </si>
  <si>
    <r>
      <t xml:space="preserve">Global Presence: </t>
    </r>
    <r>
      <rPr>
        <sz val="10"/>
        <rFont val="Arial"/>
        <family val="2"/>
      </rPr>
      <t>UPS is an industry leader and the brand has a good reputation.</t>
    </r>
    <r>
      <rPr>
        <b/>
        <sz val="10"/>
        <rFont val="Arial"/>
        <family val="2"/>
      </rPr>
      <t xml:space="preserve">                                                                                                                                                        Integrated Network: </t>
    </r>
    <r>
      <rPr>
        <sz val="10"/>
        <rFont val="Arial"/>
        <family val="2"/>
      </rPr>
      <t xml:space="preserve">Extensive integrated air and ground delivery network. </t>
    </r>
    <r>
      <rPr>
        <b/>
        <sz val="10"/>
        <rFont val="Arial"/>
        <family val="2"/>
      </rPr>
      <t xml:space="preserve">                                                   Technological Advancements: </t>
    </r>
    <r>
      <rPr>
        <sz val="10"/>
        <rFont val="Arial"/>
        <family val="2"/>
      </rPr>
      <t xml:space="preserve">Sofisticated systems optimize network efficiency, and improve the service provided to customers, and how their own customers react.                                           </t>
    </r>
    <r>
      <rPr>
        <b/>
        <sz val="10"/>
        <rFont val="Arial"/>
        <family val="2"/>
      </rPr>
      <t xml:space="preserve">Financial Strenght and Strong Rating: </t>
    </r>
    <r>
      <rPr>
        <sz val="10"/>
        <rFont val="Arial"/>
        <family val="2"/>
      </rPr>
      <t xml:space="preserve">This helps UPS make sustainable acquisitions (past ones were made with free cash flow) and makes it possible for the company to contract debt at lower interest rates, leading to a higher ROIC. </t>
    </r>
    <r>
      <rPr>
        <b/>
        <sz val="10"/>
        <rFont val="Arial"/>
        <family val="2"/>
      </rPr>
      <t xml:space="preserve">                                          </t>
    </r>
  </si>
  <si>
    <r>
      <rPr>
        <b/>
        <sz val="10"/>
        <rFont val="Arial"/>
        <family val="2"/>
      </rPr>
      <t xml:space="preserve">Customer Concentratrion Risk: </t>
    </r>
    <r>
      <rPr>
        <sz val="10"/>
        <rFont val="Arial"/>
        <family val="2"/>
      </rPr>
      <t xml:space="preserve">Heavy reliance on some customers, like Amazon, that accounts for over 11% of UPS revenue.                                                                                                                                                                                                        </t>
    </r>
    <r>
      <rPr>
        <b/>
        <sz val="10"/>
        <rFont val="Arial"/>
        <family val="2"/>
      </rPr>
      <t>Margins are subject to commodity prices:</t>
    </r>
    <r>
      <rPr>
        <sz val="10"/>
        <rFont val="Arial"/>
        <family val="2"/>
      </rPr>
      <t xml:space="preserve"> Volatile commodity prices like gasoline can negatively impact UPS margins and increase costs. </t>
    </r>
  </si>
  <si>
    <t>Vanguard Group Inc.</t>
  </si>
  <si>
    <t>Blackrock Inc.</t>
  </si>
  <si>
    <t>State Street Corp.</t>
  </si>
  <si>
    <t>JP Morgan &amp; Chase</t>
  </si>
  <si>
    <t>Charles Schwab IM, Inc.</t>
  </si>
  <si>
    <t>Opportunities</t>
  </si>
  <si>
    <t>Risks</t>
  </si>
  <si>
    <t>Wellington Management Group, LLP</t>
  </si>
  <si>
    <r>
      <t xml:space="preserve">E-commerce boom: </t>
    </r>
    <r>
      <rPr>
        <sz val="10"/>
        <rFont val="Arial"/>
        <family val="2"/>
      </rPr>
      <t xml:space="preserve">UPS is well-positioned to capitalize on the increasing demand for online delivery services.   </t>
    </r>
    <r>
      <rPr>
        <b/>
        <sz val="10"/>
        <rFont val="Arial"/>
        <family val="2"/>
      </rPr>
      <t xml:space="preserve">                                                                                                                                                                          Entering new markets, like Healthcare:  </t>
    </r>
    <r>
      <rPr>
        <sz val="10"/>
        <rFont val="Arial"/>
        <family val="2"/>
      </rPr>
      <t xml:space="preserve">The growing need for specialized logistics in the healthcare sector, including the transportation of medical supplies and vaccines, offers UPS a chance to expand into high-margin markets. </t>
    </r>
    <r>
      <rPr>
        <b/>
        <sz val="10"/>
        <rFont val="Arial"/>
        <family val="2"/>
      </rPr>
      <t xml:space="preserve">                                                                                                                             Sustainability Initiatives: </t>
    </r>
    <r>
      <rPr>
        <sz val="10"/>
        <rFont val="Arial"/>
        <family val="2"/>
      </rPr>
      <t xml:space="preserve">Opportunity to improve brand's reputation. </t>
    </r>
    <r>
      <rPr>
        <b/>
        <sz val="10"/>
        <rFont val="Arial"/>
        <family val="2"/>
      </rPr>
      <t xml:space="preserve">                           </t>
    </r>
  </si>
  <si>
    <r>
      <t xml:space="preserve">Changes in macroeconomic conditions, national and international: </t>
    </r>
    <r>
      <rPr>
        <sz val="10"/>
        <rFont val="Arial"/>
        <family val="2"/>
      </rPr>
      <t xml:space="preserve">consumer expending is extremely dependant on macroeconomic instable factors, and directly affetcs all the actors in e-commerce.                                                                          </t>
    </r>
    <r>
      <rPr>
        <b/>
        <sz val="10"/>
        <rFont val="Arial"/>
        <family val="2"/>
      </rPr>
      <t xml:space="preserve">Rapidly evolving industry: </t>
    </r>
    <r>
      <rPr>
        <sz val="10"/>
        <rFont val="Arial"/>
        <family val="2"/>
      </rPr>
      <t xml:space="preserve">Causes the need to constantly keep up with technological improvements                      </t>
    </r>
    <r>
      <rPr>
        <b/>
        <sz val="10"/>
        <rFont val="Arial"/>
        <family val="2"/>
      </rPr>
      <t xml:space="preserve">Geopolitical tensions: </t>
    </r>
    <r>
      <rPr>
        <sz val="10"/>
        <rFont val="Arial"/>
        <family val="2"/>
      </rPr>
      <t xml:space="preserve">this may reduce economic activities between two major participants, China (a major producer) and USA (a major consumer). </t>
    </r>
    <r>
      <rPr>
        <b/>
        <sz val="10"/>
        <rFont val="Arial"/>
        <family val="2"/>
      </rPr>
      <t xml:space="preserve">                                                                                                                                                      Commodity prices: </t>
    </r>
    <r>
      <rPr>
        <sz val="10"/>
        <rFont val="Arial"/>
        <family val="2"/>
      </rPr>
      <t xml:space="preserve">Gasoline, jet fuel are commodities of which prices can impact UPS profit greatly. They are also very volatile, due to geopolitical tensions. </t>
    </r>
  </si>
  <si>
    <t>Geode Capital Management</t>
  </si>
  <si>
    <t xml:space="preserve">Bank of America Corp. </t>
  </si>
  <si>
    <t>Franklin Resources</t>
  </si>
  <si>
    <t>FMR</t>
  </si>
  <si>
    <t>TOTAL</t>
  </si>
  <si>
    <t>STOCK PERFORMANCE (5 years)</t>
  </si>
  <si>
    <t>Products</t>
  </si>
  <si>
    <t>Nominal value</t>
  </si>
  <si>
    <t>YoY Growth</t>
  </si>
  <si>
    <t>Weight</t>
  </si>
  <si>
    <t>Region</t>
  </si>
  <si>
    <t>U.S.</t>
  </si>
  <si>
    <t>Non-U.S.</t>
  </si>
  <si>
    <t>Category</t>
  </si>
  <si>
    <t>US Domestic Package</t>
  </si>
  <si>
    <t>International Package</t>
  </si>
  <si>
    <t>Supply Chain Solutions</t>
  </si>
  <si>
    <t>Description</t>
  </si>
  <si>
    <t>Graphs</t>
  </si>
  <si>
    <t>U.S. Domestic Package operations include the time-definite delivery of letters, documents and packages throughout the United States. It includes a variety of services that cater to different shipping speeds, delivery times, and customer preferences.</t>
  </si>
  <si>
    <t xml:space="preserve">International Package operations include delivery to more than 200 countries and territories worldwide, including shipments wholly outside the United States, as well as shipments with either origin or destination outside the United States. Our International Package reporting segment includes our operations in Europe, the Indian sub-continent, Middle East and Africa (together "EMEA"), Canada and Latin America (together "Americas") and Asia. </t>
  </si>
  <si>
    <t>Supply Chain Solutions includes Forwarding, Logistics, digital and other businesses. The Forwarding and Logistics businesses provide services in more than 200 countries and territories worldwide and include international air and ocean freight forwarding, truckload brokerage, customs brokerage, mail services, healthcare logistics, distribution and post-sales services. The digital businesses leverage technology to enable a range of on-demand services such as same-day delivery, end-to-end return services and integrated supply chain and high-value shipment insurance solutions.</t>
  </si>
  <si>
    <t>Industry</t>
  </si>
  <si>
    <t>Graphs (Industry Forecasts)</t>
  </si>
  <si>
    <t>Drivers</t>
  </si>
  <si>
    <t>E-commerce Growth</t>
  </si>
  <si>
    <t>The growth of e-commerce increases demand for fast deliveries and logistical efficiency, prompting the industry to adapt to meet customer expectations.</t>
  </si>
  <si>
    <t xml:space="preserve">Technological Advances </t>
  </si>
  <si>
    <t>Technological Advances sush as automation and robotics, AI and machine learning are crucial for this industry and enable cost reduction, higher efficiency and improved customer satisfaction.</t>
  </si>
  <si>
    <t>Supply Chain Trends</t>
  </si>
  <si>
    <t>Supply chain complexity increases the need for logistics providers that can manage global networks, promoting integrated logistics services and end-to-end solutions from manufacturing to last-mile delivery.</t>
  </si>
  <si>
    <t>Sales forecast</t>
  </si>
  <si>
    <t>Source</t>
  </si>
  <si>
    <t>Market Growth CAGR</t>
  </si>
  <si>
    <t>Period</t>
  </si>
  <si>
    <t>Statista</t>
  </si>
  <si>
    <t>2023 - 2028</t>
  </si>
  <si>
    <t>Grand View Reseacrh</t>
  </si>
  <si>
    <t>2023 - 2030</t>
  </si>
  <si>
    <t>Precedence Research</t>
  </si>
  <si>
    <t>2024 - 2033</t>
  </si>
  <si>
    <t>Average</t>
  </si>
  <si>
    <t>Company's Strategy / Extra Notes</t>
  </si>
  <si>
    <r>
      <t xml:space="preserve">UPS reports that its strategy is rooted in the guiding principles - </t>
    </r>
    <r>
      <rPr>
        <b/>
        <sz val="10"/>
        <rFont val="Arial"/>
        <family val="2"/>
      </rPr>
      <t>Customer First</t>
    </r>
    <r>
      <rPr>
        <sz val="10"/>
        <rFont val="Arial"/>
        <family val="2"/>
      </rPr>
      <t xml:space="preserve">, </t>
    </r>
    <r>
      <rPr>
        <b/>
        <sz val="10"/>
        <rFont val="Arial"/>
        <family val="2"/>
      </rPr>
      <t>People Led</t>
    </r>
    <r>
      <rPr>
        <sz val="10"/>
        <rFont val="Arial"/>
        <family val="2"/>
      </rPr>
      <t>,</t>
    </r>
    <r>
      <rPr>
        <b/>
        <sz val="10"/>
        <rFont val="Arial"/>
        <family val="2"/>
      </rPr>
      <t xml:space="preserve"> Innovation Driven</t>
    </r>
    <r>
      <rPr>
        <sz val="10"/>
        <rFont val="Arial"/>
        <family val="2"/>
      </rPr>
      <t>. This approach reflects the company’s commitment to enhancing customer experience while also emphasizing the importance of its workforce and the role of technological advancements in driving efficiency.
In that sense, Costumer First focuses on meeting customers’ expectations and needs. UPS aims to provide customers with improved service delivery, by enhancing service seep and reliability, offering proactive customer support channels.
The company also intends to grow its healthcare logistics, aspiring to become the leading provider of complex healthcare logistics in the world. Additionally, it aims to support small &amp; medium business (SMBs), providing customized shipping solutions and strengthening customer relationships and loyalty. This is particularly important to UPS response to the post-pandemic slowdown in e-commerce while preparing for future challenges in the logistics market.
Equally important to UPS’ strategy, People Led emphasizes its focus on its employees. The company believes that, by fostering a culture that prioritizes employee satisfaction and attracting and retaining talent, it can provide industry-leading services to their customers.
Lastly, Innovation Driven summarizes the company’s focus and investments in automation, AI and machine learning, enabling them to optimize load planning, scheduling and volume flows. Such advancements are crucial to streamlining operations and improving cost efficiency, adapting to market changes and enhancing service delivery.</t>
    </r>
  </si>
  <si>
    <t>Invertir</t>
  </si>
  <si>
    <t>NO invertir</t>
  </si>
  <si>
    <t>Mantener sin elevar posición</t>
  </si>
  <si>
    <t>Mantener (y seguir comprando)</t>
  </si>
  <si>
    <t>Liquidar</t>
  </si>
  <si>
    <t>PENDIENTE</t>
  </si>
  <si>
    <t>Peer Logo</t>
  </si>
  <si>
    <t>Peer Name</t>
  </si>
  <si>
    <t>FedEx Corporation provides transportation, e-commerce, and business services in the United States and internationally. It operates through FedEx Express, FedEx Ground, FedEx Freight, and FedEx Services segments. The FedEx Express segment offers express transportation, small-package ground delivery, and freight transportation services; and time-critical transportation services. The FedEx Ground segment provides small-package ground delivery services. The FedEx Freight segment offers less-than-truckload freight transportation services. The FedEx Services segment provides sales, marketing, information technology, communications, customer service, technical support, billing and collection, and back-office support services. In addition, the company offers supply chain management solutions; and air and ocean freight forwarding and cargo transportation, specialty transportation, customs brokerage, third party logistics and supply chain, and document and business solutions, as well as provides trade management tools and data. The company was founded in 1971 and is headquartered in Memphis, Tennessee.</t>
  </si>
  <si>
    <t>Deutsche Post AG operates as a mail and logistics company in Germany, rest of Europe, the Americas, the Asia Pacific, the Middle East, and Africa. The company operates through five segments: Express; Global Forwarding, Freight; Supply Chain; eCommerce; and Post &amp; Parcel Germany. The Express segment offers time-definite express services to business and private customers. The Global Forwarding, Freight segment provides air, ocean, and overland freight forwarding services; and offers multimodal and sector-specific solutions. The Supply Chain segment delivers customized logistics services and supply chain solutions to its customers. The eCommerce segment provides parcel delivery and non-time definite international cross-border services. The Post &amp; Parcel Germany segment transports, sorts, and delivers mail communication, physical and hybrid letters, and goods; and offers additional services, such as registered mail, cash on delivery, and insured items. Deutsche Post AG is headquartered in Bonn, Germany.</t>
  </si>
  <si>
    <t>XPO, Inc. provides freight transportation services in the United States, rest of North America, France, the United Kingdom, rest of Europe, and internationally. The company operates in two segments, North American LTL and European Transportation. The North American LTL segment provides customers with less-than-truckload (LTL) services, such as geographic density and day-definite domestic services. This segment also offers cross-border U.S., Mexico, Canada, and the Caribbean, as well as engages in the operation of trailer manufacturing. The European Transportation segment offers dedicated truckload, LTL, truck brokerage, managed transportation, last mile, freight forwarding and multimodal solutions, such as road-rail and road-short sea combinations. It provides its services to customers in various industries, such as industrial and manufacturing, retail and e-commerce, food and beverage, logistics and transportation, and consumer goods. XPO, Inc. was incorporated in 2000 and is based in Greenwich, Connecticut.</t>
  </si>
  <si>
    <t>C.H. Robinson Worldwide, Inc provides freight transportation services, and related logistics and supply chain services in the United States and internationally. It operates through two segments: North American Surface Transportation and Global Forwarding. The company provides transportation and logistics services, including truckload and less-than-truckload brokerage, intermodal transportation and non-vessel operating common carrier and freight forwarding. It also offers air shipments, door-to-door services, customs brokerage, and other logistics solutions such as managed services, warehousing, and small parcel services. The company partners with around 45,000 transportation providers, including motor carriers, railroads, and ocean and air carriers. Additionally, under the Robinson Fresh brand, it buys, sells, and markets fresh produce for grocery retailers, restaurants, wholesalers, and foodservice distributors. The company was founded in 1905 and is headquartered in Eden Prairie, Minnesota.</t>
  </si>
  <si>
    <t>In Millions USD</t>
  </si>
  <si>
    <t>AVERAGE</t>
  </si>
  <si>
    <t>Deviation from Average</t>
  </si>
  <si>
    <t>Company Info</t>
  </si>
  <si>
    <t>TRAFFIC</t>
  </si>
  <si>
    <t>Market Cap</t>
  </si>
  <si>
    <t>Best Value</t>
  </si>
  <si>
    <t>Net Sales (current)</t>
  </si>
  <si>
    <t>Profitability</t>
  </si>
  <si>
    <t>Important Value</t>
  </si>
  <si>
    <t>Sales Growth (ttm)</t>
  </si>
  <si>
    <t>Sales Growth (36m)</t>
  </si>
  <si>
    <t>Worst Value</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</si>
  <si>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</si>
  <si>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</si>
  <si>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</si>
  <si>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</si>
  <si>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</si>
  <si>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</si>
  <si>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</si>
  <si>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</si>
  <si>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</si>
  <si>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</si>
  <si>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</si>
  <si>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N/A</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</si>
  <si>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</si>
  <si>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</si>
  <si>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</si>
  <si>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</si>
  <si>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</si>
  <si>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</si>
  <si>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</si>
  <si>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</si>
  <si>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</si>
  <si>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</si>
  <si>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</si>
  <si>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</si>
  <si>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</si>
  <si>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</si>
  <si>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</si>
  <si>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</si>
  <si>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Average Target Price</t>
  </si>
  <si>
    <t>Upside/Downside</t>
  </si>
  <si>
    <t>Extra</t>
  </si>
  <si>
    <t>3y Operating Cash Flow</t>
  </si>
  <si>
    <t>R&amp;D/Net Sales</t>
  </si>
  <si>
    <t>Financial Data</t>
  </si>
  <si>
    <t>IS</t>
  </si>
  <si>
    <t>Net Sales (36m ago)</t>
  </si>
  <si>
    <t>Net Sales (12m ago)</t>
  </si>
  <si>
    <t>COGS</t>
  </si>
  <si>
    <t>Operating Income</t>
  </si>
  <si>
    <t>Net Financial Cost</t>
  </si>
  <si>
    <t>Taxes</t>
  </si>
  <si>
    <t>R&amp;D</t>
  </si>
  <si>
    <t>BS</t>
  </si>
  <si>
    <t>Cash &amp; Eq.</t>
  </si>
  <si>
    <t>Acc. Receivables</t>
  </si>
  <si>
    <t>Inventory</t>
  </si>
  <si>
    <t>Current Assets</t>
  </si>
  <si>
    <t>Fixed Assets</t>
  </si>
  <si>
    <t>Acc. Payable</t>
  </si>
  <si>
    <t>Current Liabilities</t>
  </si>
  <si>
    <t>Total Debt</t>
  </si>
  <si>
    <t>Total Equity</t>
  </si>
  <si>
    <t>Revenues by Geografical Segmentation</t>
  </si>
  <si>
    <t>Total Revenue from US</t>
  </si>
  <si>
    <t>Company GICS Sector:</t>
  </si>
  <si>
    <t>Yes</t>
  </si>
  <si>
    <t>Industrials</t>
  </si>
  <si>
    <t>&lt;- Select Industry</t>
  </si>
  <si>
    <t>No</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</si>
  <si>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</si>
  <si>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</si>
  <si>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</si>
  <si>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</si>
  <si>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</si>
  <si>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</si>
  <si>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</si>
  <si>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</si>
  <si>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</si>
  <si>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</si>
  <si>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</si>
  <si>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</si>
  <si>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</si>
  <si>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</si>
  <si>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"Villain"</t>
  </si>
  <si>
    <t>8.5% reduction in scope 1 emissions in 2023 compared to 2022.</t>
  </si>
  <si>
    <t>"40% alternative fuel in ground operations" by 2025 (current 28.8%); "50% reduction in CO₂e per global small package
(2020 baseline)" by 2035; Reach carbon
neutrality by 2050.</t>
  </si>
  <si>
    <t>Ranked 127 of 130 companies in Refinitiv.</t>
  </si>
  <si>
    <t>CO2 Emissions/$M Sales</t>
  </si>
  <si>
    <t>Total Water Consumption</t>
  </si>
  <si>
    <t>Water Consumption/$M Sales</t>
  </si>
  <si>
    <t>Total Energy Consumption</t>
  </si>
  <si>
    <t>7.8% reduction ir direct energy use in 2023 compared with 2022.</t>
  </si>
  <si>
    <t>25% renewable electricity powering their facilities by 2025 reaching 100% in 2035 (current is 10.9%).</t>
  </si>
  <si>
    <t>Ranked 118 of 121 companies in Refinitiv.</t>
  </si>
  <si>
    <t>Energy Consumption/$M Sales</t>
  </si>
  <si>
    <t>Waste Management</t>
  </si>
  <si>
    <t>The waste in operations is considered not relevant in the report and is not reported.</t>
  </si>
  <si>
    <t>Waste Production/$M Sales</t>
  </si>
  <si>
    <t>Land Degradation/Deforestation/Biodiversity loss/Animal sufering/…</t>
  </si>
  <si>
    <t>Inputs</t>
  </si>
  <si>
    <t>Social</t>
  </si>
  <si>
    <t>Net Sales ($M)</t>
  </si>
  <si>
    <t>Employee Turnover %</t>
  </si>
  <si>
    <t>"Global turnover rate = 25%"</t>
  </si>
  <si>
    <t>CO2 Emissions Total (Tonnes)</t>
  </si>
  <si>
    <t>Salaries &amp; Compensation</t>
  </si>
  <si>
    <t>Medium</t>
  </si>
  <si>
    <t>It's mentioned on the report that UPS offers competitive salaries with "industry-leading pay and benefits". It's also mentioned that UPS provides "for equal remuneration irrespective of gender or any other protected class".                   53% think they are paid fairly (indeed.com).</t>
  </si>
  <si>
    <t>Water Consumption Total (Cubic Meters)</t>
  </si>
  <si>
    <t>Reputation</t>
  </si>
  <si>
    <t>Medium High</t>
  </si>
  <si>
    <t>Energy Consumption Total (Gigajoules)</t>
  </si>
  <si>
    <t>Discrimination Events</t>
  </si>
  <si>
    <t>By 2025 UPS aims to have 40% ethnically diverse company management in the U.S. (current is 39%),  30% women in full-time 
management globally (current is 27%) and  1M volunteer hours dedicated to underserved  Black communities (current is 983k)</t>
  </si>
  <si>
    <t>"UPS does not discriminate against any applicant for employment or any employee in any aspect of their employment at UPS because of age, race, religion, sex, disability, sexual orientation, gender identity"</t>
  </si>
  <si>
    <t>Waste Production Total (Tonnes)</t>
  </si>
  <si>
    <t>Work Safety</t>
  </si>
  <si>
    <t>"The insights gained from incidents and audits are integrated into our broader global safety strategy, making the approach thorough and continually improving"</t>
  </si>
  <si>
    <t>"UPS's health and safety programs are comprehensive and focus on building a culture of health and 
safety by:
• Identifying and assessing risk, and auditing for compliance 
• Investing in safety training and new safety technology
• Promoting well-being for all employees  
• Offering benefits that promote employee safety in the workplace and beyond"</t>
  </si>
  <si>
    <t>ESG Scores</t>
  </si>
  <si>
    <t>Damage to consumer health</t>
  </si>
  <si>
    <t>Refinitiv</t>
  </si>
  <si>
    <t>57 (48/63/71)</t>
  </si>
  <si>
    <t>70 (74/65/71)</t>
  </si>
  <si>
    <t>73 (73/71/76)</t>
  </si>
  <si>
    <t>72 (51/80/88)</t>
  </si>
  <si>
    <t>41(41/57/21)</t>
  </si>
  <si>
    <t>PXP?</t>
  </si>
  <si>
    <t>"UPS offers comprehensive retirement plans, including pension plans for full-time employees and 401(k) plans with company contributions for part-time employees. The company remains committed to providing sustainable and competitive pension options for its workforce"​</t>
  </si>
  <si>
    <t>Sustainalytics</t>
  </si>
  <si>
    <t>18.8 (low risk)</t>
  </si>
  <si>
    <t>19.0 (low risk)</t>
  </si>
  <si>
    <t>13.1 (low risk)</t>
  </si>
  <si>
    <t>24.0 (medium risk)</t>
  </si>
  <si>
    <t>17.5 (low risk)</t>
  </si>
  <si>
    <t>Supply chain</t>
  </si>
  <si>
    <t>"Our supply chain partners tend to be other service providers, rather than raw material or finished goods suppliers. Supply chain partners can be broadly grouped into three categories: Production Suppliers, Capacity Suppliers, and Support Suppliers"​</t>
  </si>
  <si>
    <t>ISS</t>
  </si>
  <si>
    <t>C</t>
  </si>
  <si>
    <t>D+</t>
  </si>
  <si>
    <t>C+</t>
  </si>
  <si>
    <t>D</t>
  </si>
  <si>
    <t>Community involvement</t>
  </si>
  <si>
    <t>"232M+ lives positively impacted
175M+ vaccines delivered including lifesaving early childhood vaccine
342K volunteer hours recorded for underserved Black communities
50+ disasters and humanitarian crises supported around the world
35% of charitable funding spent in underserved and marginalized communities
1.9M volunteer hours recorded
$60M provided in charitable contributions
12K+ small business owners trained through UPS’s Women Exporters Program
6M trees planted by UPSers"</t>
  </si>
  <si>
    <t>CDP</t>
  </si>
  <si>
    <t>B-</t>
  </si>
  <si>
    <t>B</t>
  </si>
  <si>
    <t>Public Sector</t>
  </si>
  <si>
    <t>"Donated to federal lawmakers who opposed voting rights legislation during the 2022 election cycle
Donated to federal lawmakers who objected to certifying the 2020 presidential election
Donated to federal lawmakers who opposed creating a Congressional January 6th investigation
Donated to state officials who voted for anti-voter legislation during the 2022 election cycle
Donated to state officials who supported 2020 election audits
Key company staff made large donations to anti-democracy federal legislators during the 2022 election cycle
Is a member of the U.S. Chamber of Commerce, which opposed recent federal voting legislation" (American Democracy Scorecard)</t>
  </si>
  <si>
    <t>Litigation</t>
  </si>
  <si>
    <t>Found several litigation cases involving racial discrimination, hazardous residues and work safety violations. All of the cases are recent, the racial discrimination case occured this month.</t>
  </si>
  <si>
    <t>Corporate Governance</t>
  </si>
  <si>
    <t>PARAMETERS</t>
  </si>
  <si>
    <t>Diversity (Gender, Age, Industry, Region)</t>
  </si>
  <si>
    <t xml:space="preserve"> 42% of the directors are Female and 33% are Ethnically diverse. They have different bacgrounds in diverse areas of business.</t>
  </si>
  <si>
    <t>IMPACT</t>
  </si>
  <si>
    <t>RANKING</t>
  </si>
  <si>
    <t>MITIGATION PLAN</t>
  </si>
  <si>
    <t>% Independence</t>
  </si>
  <si>
    <t>92% of the directors are independent.</t>
  </si>
  <si>
    <t>Low</t>
  </si>
  <si>
    <t>"Best in class"</t>
  </si>
  <si>
    <t>Is there evidence of a plan/program ?</t>
  </si>
  <si>
    <t>average time as independent directors</t>
  </si>
  <si>
    <t>The average tenuere as a director is 8,9 years.</t>
  </si>
  <si>
    <t>Recent departures of directors / C-level executives?</t>
  </si>
  <si>
    <t>There were 5 directors that retired since 2020.</t>
  </si>
  <si>
    <t>High</t>
  </si>
  <si>
    <t>CEO/Chairman duality</t>
  </si>
  <si>
    <t>The roles of Chairman and CEO were separated in 2020. Carol Tomé is the CEO and Bill Johnson serves as the chairman.</t>
  </si>
  <si>
    <t>Very high</t>
  </si>
  <si>
    <t>Transparency (ESG, segments, acquisitions, other)</t>
  </si>
  <si>
    <t>One of the things that makes me not giving "Best in class" in this category is that the waste is considered not relevant but there is litigations involving hazardous residues.</t>
  </si>
  <si>
    <t>Time taken to report after the end of the quarter / year</t>
  </si>
  <si>
    <t>The proxy report was issued in March 18, 2024 and the ESG report was issued in March 20, 2024.</t>
  </si>
  <si>
    <t>Additional participation of the CEO in other boards or excessive participation of Ch.</t>
  </si>
  <si>
    <t>The ceo participates in another board.</t>
  </si>
  <si>
    <t>Audit / Consulting</t>
  </si>
  <si>
    <t>Deloitte &amp; Touche LLP audited the ESG Report.</t>
  </si>
  <si>
    <t>ESG-compensation related</t>
  </si>
  <si>
    <t>Management compensation schemes</t>
  </si>
  <si>
    <t>VALUATION MODEL</t>
  </si>
  <si>
    <t>Short Term</t>
  </si>
  <si>
    <t>Long Term</t>
  </si>
  <si>
    <t>Section</t>
  </si>
  <si>
    <t>Line #</t>
  </si>
  <si>
    <t>ITEM</t>
  </si>
  <si>
    <t>2021 (Real)</t>
  </si>
  <si>
    <t>2022 (Real)</t>
  </si>
  <si>
    <t>2023 (Real)</t>
  </si>
  <si>
    <t>INCOME STATEMENT</t>
  </si>
  <si>
    <t>Growth</t>
  </si>
  <si>
    <t>Revenues/Sales</t>
  </si>
  <si>
    <t>EBIT/Operating Margin</t>
  </si>
  <si>
    <t>5a</t>
  </si>
  <si>
    <t>(Dep)</t>
  </si>
  <si>
    <t>5b</t>
  </si>
  <si>
    <t>(Amort)</t>
  </si>
  <si>
    <t>5c</t>
  </si>
  <si>
    <t>(Stock based compensation)</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</si>
  <si>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</si>
  <si>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</si>
  <si>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</si>
  <si>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</si>
  <si>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</si>
  <si>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</si>
  <si>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</si>
  <si>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</si>
  <si>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</si>
  <si>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</si>
  <si>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</si>
  <si>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</si>
  <si>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</si>
  <si>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</si>
  <si>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</si>
  <si>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</si>
  <si>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</si>
  <si>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</si>
  <si>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</si>
  <si>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</si>
  <si>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</si>
  <si>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</si>
  <si>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</si>
  <si>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</si>
  <si>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</si>
  <si>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</si>
  <si>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</si>
  <si>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amortization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</si>
  <si>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</si>
  <si>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</si>
  <si>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</si>
  <si>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</si>
  <si>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</si>
  <si>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</si>
  <si>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</si>
  <si>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</si>
  <si>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</si>
  <si>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</si>
  <si>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</si>
  <si>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</si>
  <si>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</si>
  <si>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</si>
  <si>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</si>
  <si>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</si>
  <si>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</si>
  <si>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Amortization factor</t>
  </si>
  <si>
    <t>Stock-based comp</t>
  </si>
  <si>
    <t>Tax Rate</t>
  </si>
  <si>
    <t>Interest Rate on debt</t>
  </si>
  <si>
    <t>Interest Rate on cash</t>
  </si>
  <si>
    <t>PPE+ROA</t>
  </si>
  <si>
    <t>Working capital flows</t>
  </si>
  <si>
    <t>Intangible Assets</t>
  </si>
  <si>
    <t>Capex</t>
  </si>
  <si>
    <t>Acquisition factor</t>
  </si>
  <si>
    <t>Repurchases</t>
  </si>
  <si>
    <t>Leases</t>
  </si>
  <si>
    <t>$ millions</t>
  </si>
  <si>
    <t>Value of flows</t>
  </si>
  <si>
    <t>Value of perpetuity</t>
  </si>
  <si>
    <t>Total Value</t>
  </si>
  <si>
    <t>Actual share price</t>
  </si>
  <si>
    <t>Total value vs Mkt Cap</t>
  </si>
  <si>
    <t>Estimated NPV per share</t>
  </si>
  <si>
    <t>Sensibility</t>
  </si>
  <si>
    <t>Sensitivity +0.1%</t>
  </si>
  <si>
    <t>Sensitivity +0.5%</t>
  </si>
  <si>
    <t>Notes</t>
  </si>
  <si>
    <t>Price where it'd be a "BUY"</t>
  </si>
  <si>
    <t>Assumptions</t>
  </si>
  <si>
    <t>Prospects:</t>
  </si>
  <si>
    <t>Links:</t>
  </si>
  <si>
    <t xml:space="preserve">10Y Average </t>
  </si>
  <si>
    <t xml:space="preserve">5Y Average </t>
  </si>
  <si>
    <t xml:space="preserve">3Y Average </t>
  </si>
  <si>
    <t>Short Term Forecast</t>
  </si>
  <si>
    <t>Long Term Forecast</t>
  </si>
  <si>
    <t>Revenue growth</t>
  </si>
  <si>
    <t>Modelling Factors</t>
  </si>
  <si>
    <t>Last 10 Years</t>
  </si>
  <si>
    <t>Reference</t>
  </si>
  <si>
    <t>% PPE</t>
  </si>
  <si>
    <t>% IA</t>
  </si>
  <si>
    <t>PPE</t>
  </si>
  <si>
    <t>% Revenue</t>
  </si>
  <si>
    <t>% EBT</t>
  </si>
  <si>
    <t>Dep</t>
  </si>
  <si>
    <t>% Debt</t>
  </si>
  <si>
    <t>Intang. Assets</t>
  </si>
  <si>
    <t xml:space="preserve">% Cash </t>
  </si>
  <si>
    <t>Amort. accumulated</t>
  </si>
  <si>
    <t>- -</t>
  </si>
  <si>
    <t>Growing with CAPEX</t>
  </si>
  <si>
    <t>Amort.</t>
  </si>
  <si>
    <t xml:space="preserve">% Change in Revenues </t>
  </si>
  <si>
    <t>Dep &amp; Amort</t>
  </si>
  <si>
    <t>Growing with Amortization</t>
  </si>
  <si>
    <t xml:space="preserve">CAPEX </t>
  </si>
  <si>
    <t>% EBITDA</t>
  </si>
  <si>
    <t>Forecasts</t>
  </si>
  <si>
    <t>Base Scenario</t>
  </si>
  <si>
    <t>Time Period (Years)</t>
  </si>
  <si>
    <t>Forecasted Revenues Growth</t>
  </si>
  <si>
    <t>Forecasted Yearly Revenues</t>
  </si>
  <si>
    <t>Forecasted Operating Margin</t>
  </si>
  <si>
    <t>Bullish Scenario</t>
  </si>
  <si>
    <t>Bearish Scenario</t>
  </si>
  <si>
    <t>Forecasted  Yearly Revenues</t>
  </si>
  <si>
    <t>Maturity Year</t>
  </si>
  <si>
    <t>Bonds</t>
  </si>
  <si>
    <t>Loans</t>
  </si>
  <si>
    <t>Forecasted Debt</t>
  </si>
  <si>
    <t>Expected Interest Expenses</t>
  </si>
  <si>
    <t>Maturity Date</t>
  </si>
  <si>
    <t>Amount Outstanding</t>
  </si>
  <si>
    <t>Issued Amount</t>
  </si>
  <si>
    <t>Interest Rate (%)</t>
  </si>
  <si>
    <t>Interest Expense</t>
  </si>
  <si>
    <t>(millions)</t>
  </si>
  <si>
    <t>GBP</t>
  </si>
  <si>
    <t>EUR</t>
  </si>
  <si>
    <t>CAD</t>
  </si>
  <si>
    <t>Revenue per Segment</t>
  </si>
  <si>
    <t>% of Total Revenue</t>
  </si>
  <si>
    <t>REVENUES PROSPECTS</t>
  </si>
  <si>
    <t>New techonogy big aquisitions, mainly robots, which will decrease costs and increase immensely productivity: plan "Network of the Future": 6B each year, for 3 years total.
Decrease in oil prices.
Biggest healthcare logistics supplier worldwide : aquisitions.</t>
  </si>
  <si>
    <t>Average 5y</t>
  </si>
  <si>
    <t>SEGMENTS DRIVERS</t>
  </si>
  <si>
    <t xml:space="preserve">US Domestic Package: The growth of e-commerce increases demand for fast deliveries and logistical efficiency, prompting the industry to adapt to meet customer expectations. </t>
  </si>
  <si>
    <t>International Package: Supply chain complexity increases the need for logistics providers that can manage global networks, promoting integrated logistics services and end-to-end solutions from manufacturing to last-mile delivery.</t>
  </si>
  <si>
    <t xml:space="preserve">Total </t>
  </si>
  <si>
    <t>Total's Growth</t>
  </si>
  <si>
    <t>Supply Chain Solution: Technological Advances sush as automation and robotics, AI and machine learning are crucial for this industry and enable cost reduction, higher efficiency and improved customer satisfaction.</t>
  </si>
  <si>
    <t>Revenue per Segment Growth</t>
  </si>
  <si>
    <t>Results</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</si>
  <si>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</si>
  <si>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</si>
  <si>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</si>
  <si>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</si>
  <si>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</si>
  <si>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</si>
  <si>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</si>
  <si>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</si>
  <si>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</si>
  <si>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</si>
  <si>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</si>
  <si>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</si>
  <si>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</si>
  <si>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</si>
  <si>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</si>
  <si>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</si>
  <si>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</si>
  <si>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</si>
  <si>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</si>
  <si>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</si>
  <si>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</si>
  <si>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</si>
  <si>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</si>
  <si>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</si>
  <si>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</si>
  <si>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</si>
  <si>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</si>
  <si>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</si>
  <si>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</si>
  <si>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</si>
  <si>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</si>
  <si>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</si>
  <si>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</si>
  <si>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</si>
  <si>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</si>
  <si>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</si>
  <si>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</si>
  <si>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</si>
  <si>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</si>
  <si>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</si>
  <si>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</si>
  <si>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</si>
  <si>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</si>
  <si>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</si>
  <si>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</si>
  <si>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</si>
  <si>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</si>
  <si>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</si>
  <si>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</si>
  <si>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</si>
  <si>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</si>
  <si>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</si>
  <si>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</si>
  <si>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</si>
  <si>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</si>
  <si>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</si>
  <si>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</si>
  <si>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</si>
  <si>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</si>
  <si>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</si>
  <si>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</si>
  <si>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</si>
  <si>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</si>
  <si>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</si>
  <si>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</si>
  <si>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</si>
  <si>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</si>
  <si>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</si>
  <si>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</si>
  <si>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</si>
  <si>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</si>
  <si>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</si>
  <si>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</si>
  <si>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</si>
  <si>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</si>
  <si>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</si>
  <si>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</si>
  <si>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</si>
  <si>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Publishing</t>
  </si>
  <si>
    <t>Information Technology</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</si>
  <si>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</si>
  <si>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</si>
  <si>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</si>
  <si>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</si>
  <si>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</si>
  <si>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</si>
  <si>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</si>
  <si>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</si>
  <si>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</si>
  <si>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</si>
  <si>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</si>
  <si>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</si>
  <si>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</si>
  <si>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</si>
  <si>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</si>
  <si>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</si>
  <si>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</si>
  <si>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</si>
  <si>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</si>
  <si>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</si>
  <si>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</si>
  <si>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</si>
  <si>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</si>
  <si>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</si>
  <si>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</si>
  <si>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</si>
  <si>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</si>
  <si>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</si>
  <si>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</si>
  <si>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</si>
  <si>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</si>
  <si>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</si>
  <si>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</si>
  <si>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</si>
  <si>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</si>
  <si>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</si>
  <si>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</si>
  <si>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</si>
  <si>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</si>
  <si>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</si>
  <si>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</si>
  <si>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</si>
  <si>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</si>
  <si>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</si>
  <si>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</si>
  <si>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</si>
  <si>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</si>
  <si>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</si>
  <si>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</si>
  <si>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</si>
  <si>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</si>
  <si>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</si>
  <si>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</si>
  <si>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</si>
  <si>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</si>
  <si>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</si>
  <si>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</si>
  <si>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</si>
  <si>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</si>
  <si>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</si>
  <si>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</si>
  <si>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</si>
  <si>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</si>
  <si>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</si>
  <si>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</si>
  <si>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</si>
  <si>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</si>
  <si>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</si>
  <si>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</si>
  <si>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</si>
  <si>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</si>
  <si>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</si>
  <si>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</si>
  <si>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</si>
  <si>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</si>
  <si>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</si>
  <si>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</si>
  <si>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</si>
  <si>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</si>
  <si>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</si>
  <si>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</si>
  <si>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</si>
  <si>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</si>
  <si>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</si>
  <si>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</si>
  <si>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</si>
  <si>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</si>
  <si>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</si>
  <si>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</si>
  <si>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</si>
  <si>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</si>
  <si>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</si>
  <si>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</si>
  <si>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</si>
  <si>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</si>
  <si>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</si>
  <si>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</si>
  <si>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</si>
  <si>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</si>
  <si>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</si>
  <si>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</si>
  <si>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</si>
  <si>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</si>
  <si>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</si>
  <si>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</si>
  <si>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</si>
  <si>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</si>
  <si>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</si>
  <si>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</si>
  <si>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</si>
  <si>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</si>
  <si>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</si>
  <si>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</si>
  <si>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</si>
  <si>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</si>
  <si>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</si>
  <si>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</si>
  <si>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</si>
  <si>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</si>
  <si>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</si>
  <si>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</si>
  <si>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</si>
  <si>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</si>
  <si>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</si>
  <si>
    <t>Figures in Millions of USD</t>
  </si>
  <si>
    <t>Company</t>
  </si>
  <si>
    <t>UNITED PARCEL SERVICE, INC. (XNYS:UPS)</t>
  </si>
  <si>
    <t>Report in millions USD</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</si>
  <si>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</si>
  <si>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</si>
  <si>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</si>
  <si>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</si>
  <si>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</si>
  <si>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</si>
  <si>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</si>
  <si>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</si>
  <si>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</si>
  <si>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</si>
  <si>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</si>
  <si>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</si>
  <si>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</si>
  <si>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</si>
  <si>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</si>
  <si>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</si>
  <si>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</si>
  <si>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</si>
  <si>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</si>
  <si>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</si>
  <si>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</si>
  <si>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</si>
  <si>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</si>
  <si>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</si>
  <si>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</si>
  <si>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</si>
  <si>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</si>
  <si>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</si>
  <si>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</si>
  <si>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</si>
  <si>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</si>
  <si>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</si>
  <si>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</si>
  <si>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</si>
  <si>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</si>
  <si>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</si>
  <si>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</si>
  <si>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</si>
  <si>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</si>
  <si>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</si>
  <si>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</si>
  <si>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</si>
  <si>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</si>
  <si>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</si>
  <si>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</si>
  <si>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Equity Method Investments</t>
  </si>
  <si>
    <t>Other Non-Current Assets</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</si>
  <si>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</si>
  <si>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</si>
  <si>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</si>
  <si>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</si>
  <si>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</si>
  <si>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</si>
  <si>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</si>
  <si>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</si>
  <si>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</si>
  <si>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</si>
  <si>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</si>
  <si>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</si>
  <si>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</si>
  <si>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</si>
  <si>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</si>
  <si>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</si>
  <si>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Inflows (Outflows)</t>
  </si>
  <si>
    <t>Debt Borrowing</t>
  </si>
  <si>
    <t>Debt Repayment</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</si>
  <si>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</si>
  <si>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</si>
  <si>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</si>
  <si>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</si>
  <si>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</si>
  <si>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</si>
  <si>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</si>
  <si>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</si>
  <si>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</si>
  <si>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</si>
  <si>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</si>
  <si>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</si>
  <si>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A</t>
  </si>
  <si>
    <t>Dividend Yield(Yahoo Finance)</t>
  </si>
  <si>
    <t>Yahoo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</si>
</sst>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164" formatCode="_-* #,##0.00_-;\-* #,##0.00_-;_-* &quot;-&quot;??_-;_-@_-"/>
    <numFmt numFmtId="165" formatCode="_-&quot;$&quot;* #,##0.00_-;\-&quot;$&quot;* #,##0.00_-;_-&quot;$&quot;* &quot;-&quot;??_-;_-@_-"/>
    <numFmt numFmtId="166" formatCode="&quot;$&quot;#,##0.00"/>
    <numFmt numFmtId="167" formatCode="&quot;$&quot;#,##0"/>
    <numFmt numFmtId="168" formatCode="0.0%"/>
    <numFmt numFmtId="169" formatCode="0.0"/>
    <numFmt numFmtId="170" formatCode="#,##0.0"/>
    <numFmt numFmtId="171" formatCode="[$$-409]#,##0.00_ ;\-[$$-409]#,##0.00\ "/>
    <numFmt numFmtId="172" formatCode="[$$-409]#,##0.00"/>
    <numFmt numFmtId="173" formatCode="[$$-409]#,##0"/>
    <numFmt numFmtId="174" formatCode="_-[$$-409]* #,##0.00_ ;_-[$$-409]* \-#,##0.00\ ;_-[$$-409]* &quot;-&quot;??_ ;_-@_ "/>
    <numFmt numFmtId="175" formatCode="0.000000"/>
    <numFmt numFmtId="176" formatCode="_([$$-409]* #,##0.00_);_([$$-409]* \(#,##0.00\);_([$$-409]* &quot;-&quot;??_);_(@_)"/>
    <numFmt numFmtId="177" formatCode="0.000%"/>
    <numFmt numFmtId="178" formatCode="[$$-C09]#,##0.00"/>
    <numFmt numFmtId="179" formatCode="#,##0_ ;\-#,##0\ "/>
  </numFmts>
  <fonts count="8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16"/>
      <name val="Arial"/>
      <family val="2"/>
    </font>
    <font>
      <b/>
      <u/>
      <sz val="10"/>
      <color theme="4"/>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b/>
      <sz val="11"/>
      <color rgb="FF374151"/>
      <name val="Arial"/>
      <family val="2"/>
    </font>
    <font>
      <sz val="11"/>
      <color rgb="FFFF0000"/>
      <name val="Calibri"/>
      <family val="2"/>
    </font>
    <font>
      <sz val="10"/>
      <name val="Calibri"/>
      <family val="2"/>
      <charset val="1"/>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1"/>
      <color indexed="9"/>
      <name val="Arial"/>
      <family val="2"/>
    </font>
    <font>
      <sz val="9"/>
      <color indexed="81"/>
      <name val="Tahoma"/>
      <family val="2"/>
    </font>
    <font>
      <b/>
      <sz val="9"/>
      <color indexed="81"/>
      <name val="Tahoma"/>
      <family val="2"/>
    </font>
    <font>
      <sz val="10"/>
      <name val="Arial"/>
      <family val="2"/>
    </font>
    <font>
      <sz val="10"/>
      <color rgb="FF000000"/>
      <name val="Calibri"/>
      <family val="2"/>
    </font>
    <font>
      <sz val="10"/>
      <color theme="1"/>
      <name val="Delivery"/>
      <family val="2"/>
    </font>
    <font>
      <u/>
      <sz val="10"/>
      <color theme="10"/>
      <name val="Delivery"/>
      <family val="2"/>
    </font>
    <font>
      <sz val="10"/>
      <color rgb="FF212529"/>
      <name val="Segoe UI"/>
      <family val="2"/>
    </font>
    <font>
      <b/>
      <sz val="9"/>
      <color rgb="FF374151"/>
      <name val="Arial"/>
      <family val="2"/>
    </font>
    <font>
      <b/>
      <sz val="10"/>
      <color rgb="FFFFFFFF"/>
      <name val="Arial"/>
      <family val="2"/>
    </font>
  </fonts>
  <fills count="60">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rgb="FFFFC000"/>
        <bgColor rgb="FF000000"/>
      </patternFill>
    </fill>
    <fill>
      <patternFill patternType="solid">
        <fgColor rgb="FF63CB97"/>
        <bgColor rgb="FF000000"/>
      </patternFill>
    </fill>
    <fill>
      <patternFill patternType="solid">
        <fgColor rgb="FFD9D9D9"/>
        <bgColor rgb="FFD9D9D9"/>
      </patternFill>
    </fill>
    <fill>
      <patternFill patternType="solid">
        <fgColor theme="3" tint="0.39997558519241921"/>
        <bgColor indexed="64"/>
      </patternFill>
    </fill>
    <fill>
      <patternFill patternType="solid">
        <fgColor rgb="FFFFFFFF"/>
        <bgColor rgb="FFFFFFFF"/>
      </patternFill>
    </fill>
    <fill>
      <patternFill patternType="solid">
        <fgColor theme="8" tint="0.59999389629810485"/>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000000"/>
        <bgColor rgb="FF000000"/>
      </patternFill>
    </fill>
  </fills>
  <borders count="331">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thin">
        <color theme="0" tint="-0.24994659260841701"/>
      </top>
      <bottom style="medium">
        <color rgb="FF1F497D"/>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right style="medium">
        <color rgb="FF1F497D"/>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style="thin">
        <color indexed="64"/>
      </right>
      <top style="medium">
        <color indexed="64"/>
      </top>
      <bottom style="thin">
        <color indexed="64"/>
      </bottom>
      <diagonal/>
    </border>
    <border>
      <left style="medium">
        <color theme="3"/>
      </left>
      <right/>
      <top style="medium">
        <color rgb="FF000000"/>
      </top>
      <bottom style="medium">
        <color rgb="FF000000"/>
      </bottom>
      <diagonal/>
    </border>
    <border>
      <left/>
      <right/>
      <top style="medium">
        <color rgb="FF000000"/>
      </top>
      <bottom/>
      <diagonal/>
    </border>
    <border>
      <left/>
      <right style="medium">
        <color theme="3"/>
      </right>
      <top style="medium">
        <color rgb="FF000000"/>
      </top>
      <bottom/>
      <diagonal/>
    </border>
    <border>
      <left style="medium">
        <color theme="3"/>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theme="3"/>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rgb="FF000000"/>
      </right>
      <top/>
      <bottom/>
      <diagonal/>
    </border>
    <border>
      <left style="medium">
        <color rgb="FF000000"/>
      </left>
      <right style="thin">
        <color theme="0" tint="-0.24994659260841701"/>
      </right>
      <top style="medium">
        <color rgb="FF000000"/>
      </top>
      <bottom/>
      <diagonal/>
    </border>
    <border>
      <left style="thin">
        <color theme="0" tint="-0.24994659260841701"/>
      </left>
      <right style="thin">
        <color theme="0" tint="-0.24994659260841701"/>
      </right>
      <top style="medium">
        <color rgb="FF000000"/>
      </top>
      <bottom/>
      <diagonal/>
    </border>
    <border>
      <left style="thin">
        <color theme="0" tint="-0.24994659260841701"/>
      </left>
      <right style="medium">
        <color rgb="FF000000"/>
      </right>
      <top style="medium">
        <color rgb="FF000000"/>
      </top>
      <bottom/>
      <diagonal/>
    </border>
    <border>
      <left style="medium">
        <color rgb="FF000000"/>
      </left>
      <right style="thin">
        <color theme="0" tint="-0.24994659260841701"/>
      </right>
      <top style="medium">
        <color rgb="FF000000"/>
      </top>
      <bottom style="medium">
        <color rgb="FF000000"/>
      </bottom>
      <diagonal/>
    </border>
    <border>
      <left style="thin">
        <color theme="0" tint="-0.24994659260841701"/>
      </left>
      <right style="thin">
        <color theme="0" tint="-0.24994659260841701"/>
      </right>
      <top style="medium">
        <color rgb="FF000000"/>
      </top>
      <bottom style="medium">
        <color rgb="FF000000"/>
      </bottom>
      <diagonal/>
    </border>
    <border>
      <left style="thin">
        <color theme="0" tint="-0.24994659260841701"/>
      </left>
      <right style="medium">
        <color rgb="FF000000"/>
      </right>
      <top style="medium">
        <color rgb="FF000000"/>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rgb="FF1F497D"/>
      </left>
      <right/>
      <top/>
      <bottom style="thin">
        <color theme="0" tint="-0.24994659260841701"/>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style="medium">
        <color theme="3"/>
      </left>
      <right style="thin">
        <color theme="0" tint="-0.24994659260841701"/>
      </right>
      <top style="thin">
        <color theme="0" tint="-0.24994659260841701"/>
      </top>
      <bottom style="thin">
        <color theme="0" tint="-0.24994659260841701"/>
      </bottom>
      <diagonal/>
    </border>
    <border>
      <left style="medium">
        <color theme="3"/>
      </left>
      <right/>
      <top/>
      <bottom style="thin">
        <color theme="0" tint="-0.24994659260841701"/>
      </bottom>
      <diagonal/>
    </border>
    <border>
      <left/>
      <right style="thin">
        <color rgb="FF000000"/>
      </right>
      <top style="thin">
        <color rgb="FF000000"/>
      </top>
      <bottom style="thin">
        <color rgb="FF000000"/>
      </bottom>
      <diagonal/>
    </border>
    <border>
      <left style="medium">
        <color rgb="FF000000"/>
      </left>
      <right style="medium">
        <color rgb="FF000000"/>
      </right>
      <top/>
      <bottom style="thin">
        <color theme="0" tint="-0.249977111117893"/>
      </bottom>
      <diagonal/>
    </border>
    <border>
      <left style="medium">
        <color indexed="64"/>
      </left>
      <right/>
      <top style="thin">
        <color indexed="64"/>
      </top>
      <bottom style="thin">
        <color indexed="64"/>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rgb="FF1F497D"/>
      </left>
      <right/>
      <top style="thin">
        <color theme="0" tint="-0.24994659260841701"/>
      </top>
      <bottom/>
      <diagonal/>
    </border>
    <border>
      <left/>
      <right style="medium">
        <color rgb="FF1F497D"/>
      </right>
      <top style="thin">
        <color theme="0" tint="-0.24994659260841701"/>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top style="medium">
        <color rgb="FF000000"/>
      </top>
      <bottom/>
      <diagonal/>
    </border>
    <border>
      <left style="medium">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style="medium">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rgb="FF000000"/>
      </right>
      <top/>
      <bottom style="thin">
        <color indexed="64"/>
      </bottom>
      <diagonal/>
    </border>
    <border>
      <left style="medium">
        <color rgb="FF000000"/>
      </left>
      <right style="thin">
        <color indexed="64"/>
      </right>
      <top/>
      <bottom style="medium">
        <color rgb="FF000000"/>
      </bottom>
      <diagonal/>
    </border>
    <border>
      <left/>
      <right style="thin">
        <color indexed="64"/>
      </right>
      <top style="thin">
        <color indexed="64"/>
      </top>
      <bottom style="medium">
        <color indexed="64"/>
      </bottom>
      <diagonal/>
    </border>
    <border>
      <left style="medium">
        <color rgb="FF000000"/>
      </left>
      <right style="thin">
        <color indexed="64"/>
      </right>
      <top style="medium">
        <color rgb="FF000000"/>
      </top>
      <bottom style="medium">
        <color rgb="FF000000"/>
      </bottom>
      <diagonal/>
    </border>
    <border>
      <left style="thin">
        <color theme="0" tint="-0.249977111117893"/>
      </left>
      <right style="thin">
        <color theme="0" tint="-0.249977111117893"/>
      </right>
      <top style="thin">
        <color theme="0" tint="-0.249977111117893"/>
      </top>
      <bottom/>
      <diagonal/>
    </border>
    <border>
      <left style="medium">
        <color rgb="FF1F497D"/>
      </left>
      <right style="thin">
        <color theme="0" tint="-0.249977111117893"/>
      </right>
      <top style="medium">
        <color rgb="FF1F497D"/>
      </top>
      <bottom style="thin">
        <color theme="0" tint="-0.249977111117893"/>
      </bottom>
      <diagonal/>
    </border>
    <border>
      <left style="thin">
        <color theme="0" tint="-0.249977111117893"/>
      </left>
      <right style="thin">
        <color theme="0" tint="-0.249977111117893"/>
      </right>
      <top style="medium">
        <color rgb="FF1F497D"/>
      </top>
      <bottom style="thin">
        <color theme="0" tint="-0.249977111117893"/>
      </bottom>
      <diagonal/>
    </border>
    <border>
      <left style="thin">
        <color theme="0" tint="-0.14999847407452621"/>
      </left>
      <right style="thin">
        <color theme="0" tint="-0.14999847407452621"/>
      </right>
      <top style="medium">
        <color rgb="FF1F497D"/>
      </top>
      <bottom/>
      <diagonal/>
    </border>
    <border>
      <left style="thin">
        <color theme="0" tint="-0.249977111117893"/>
      </left>
      <right/>
      <top style="medium">
        <color rgb="FF1F497D"/>
      </top>
      <bottom/>
      <diagonal/>
    </border>
    <border>
      <left/>
      <right style="thin">
        <color theme="0" tint="-0.249977111117893"/>
      </right>
      <top style="medium">
        <color rgb="FF1F497D"/>
      </top>
      <bottom/>
      <diagonal/>
    </border>
    <border>
      <left style="thin">
        <color theme="0" tint="-0.249977111117893"/>
      </left>
      <right style="thin">
        <color theme="0" tint="-0.249977111117893"/>
      </right>
      <top style="medium">
        <color rgb="FF1F497D"/>
      </top>
      <bottom/>
      <diagonal/>
    </border>
    <border>
      <left style="thin">
        <color theme="0" tint="-0.249977111117893"/>
      </left>
      <right style="medium">
        <color rgb="FF1F497D"/>
      </right>
      <top style="medium">
        <color rgb="FF1F497D"/>
      </top>
      <bottom/>
      <diagonal/>
    </border>
    <border>
      <left style="medium">
        <color rgb="FF1F497D"/>
      </left>
      <right style="thin">
        <color theme="0" tint="-0.249977111117893"/>
      </right>
      <top style="thin">
        <color theme="0" tint="-0.249977111117893"/>
      </top>
      <bottom style="thin">
        <color theme="0" tint="-0.249977111117893"/>
      </bottom>
      <diagonal/>
    </border>
    <border>
      <left style="thin">
        <color theme="0" tint="-0.249977111117893"/>
      </left>
      <right style="medium">
        <color rgb="FF1F497D"/>
      </right>
      <top style="thin">
        <color theme="0" tint="-0.249977111117893"/>
      </top>
      <bottom style="thin">
        <color theme="0" tint="-0.249977111117893"/>
      </bottom>
      <diagonal/>
    </border>
    <border>
      <left/>
      <right style="medium">
        <color rgb="FF1F497D"/>
      </right>
      <top style="thin">
        <color theme="0" tint="-0.249977111117893"/>
      </top>
      <bottom style="thin">
        <color theme="0" tint="-0.249977111117893"/>
      </bottom>
      <diagonal/>
    </border>
    <border>
      <left/>
      <right style="medium">
        <color rgb="FF1F497D"/>
      </right>
      <top/>
      <bottom style="thin">
        <color theme="0" tint="-0.249977111117893"/>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theme="3"/>
      </left>
      <right style="thin">
        <color theme="3"/>
      </right>
      <top style="thin">
        <color theme="3"/>
      </top>
      <bottom style="thin">
        <color theme="3"/>
      </bottom>
      <diagonal/>
    </border>
    <border>
      <left/>
      <right style="thin">
        <color rgb="FF000000"/>
      </right>
      <top style="medium">
        <color rgb="FF000000"/>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style="thin">
        <color rgb="FFD5D8DB"/>
      </left>
      <right style="thin">
        <color rgb="FFD5D8DB"/>
      </right>
      <top style="thin">
        <color rgb="FFD5D8DB"/>
      </top>
      <bottom style="thin">
        <color rgb="FFD5D8DB"/>
      </bottom>
      <diagonal/>
    </border>
    <border>
      <left/>
      <right style="medium">
        <color theme="3"/>
      </right>
      <top style="thin">
        <color theme="0" tint="-0.24994659260841701"/>
      </top>
      <bottom style="thin">
        <color theme="0" tint="-0.24994659260841701"/>
      </bottom>
      <diagonal/>
    </border>
    <border>
      <left style="medium">
        <color theme="3"/>
      </left>
      <right/>
      <top style="thin">
        <color theme="0" tint="-0.24994659260841701"/>
      </top>
      <bottom style="thin">
        <color theme="0" tint="-0.24994659260841701"/>
      </bottom>
      <diagonal/>
    </border>
    <border>
      <left/>
      <right style="medium">
        <color theme="3"/>
      </right>
      <top/>
      <bottom style="thin">
        <color theme="0" tint="-0.24994659260841701"/>
      </bottom>
      <diagonal/>
    </border>
    <border>
      <left style="medium">
        <color rgb="FF1F497D"/>
      </left>
      <right/>
      <top style="thin">
        <color theme="0" tint="-0.249977111117893"/>
      </top>
      <bottom style="medium">
        <color rgb="FF000000"/>
      </bottom>
      <diagonal/>
    </border>
    <border>
      <left/>
      <right/>
      <top style="thin">
        <color theme="0" tint="-0.249977111117893"/>
      </top>
      <bottom style="medium">
        <color rgb="FF000000"/>
      </bottom>
      <diagonal/>
    </border>
    <border>
      <left/>
      <right style="medium">
        <color rgb="FF1F497D"/>
      </right>
      <top style="thin">
        <color theme="0" tint="-0.249977111117893"/>
      </top>
      <bottom style="medium">
        <color rgb="FF000000"/>
      </bottom>
      <diagonal/>
    </border>
    <border>
      <left style="medium">
        <color rgb="FF1F497D"/>
      </left>
      <right/>
      <top style="thin">
        <color theme="0" tint="-0.249977111117893"/>
      </top>
      <bottom/>
      <diagonal/>
    </border>
    <border>
      <left/>
      <right/>
      <top style="thin">
        <color theme="0" tint="-0.249977111117893"/>
      </top>
      <bottom/>
      <diagonal/>
    </border>
    <border>
      <left/>
      <right style="medium">
        <color rgb="FF1F497D"/>
      </right>
      <top style="thin">
        <color theme="0" tint="-0.249977111117893"/>
      </top>
      <bottom/>
      <diagonal/>
    </border>
    <border>
      <left/>
      <right/>
      <top style="medium">
        <color theme="1" tint="0.24994659260841701"/>
      </top>
      <bottom/>
      <diagonal/>
    </border>
    <border>
      <left style="medium">
        <color theme="1" tint="0.24994659260841701"/>
      </left>
      <right style="medium">
        <color theme="1" tint="0.24994659260841701"/>
      </right>
      <top/>
      <bottom style="medium">
        <color theme="1" tint="0.24994659260841701"/>
      </bottom>
      <diagonal/>
    </border>
    <border>
      <left style="medium">
        <color indexed="64"/>
      </left>
      <right style="medium">
        <color indexed="64"/>
      </right>
      <top style="medium">
        <color indexed="64"/>
      </top>
      <bottom style="medium">
        <color indexed="64"/>
      </bottom>
      <diagonal/>
    </border>
    <border>
      <left/>
      <right style="medium">
        <color theme="1" tint="0.24994659260841701"/>
      </right>
      <top style="medium">
        <color theme="1" tint="0.24994659260841701"/>
      </top>
      <bottom/>
      <diagonal/>
    </border>
    <border>
      <left style="medium">
        <color theme="1" tint="0.24994659260841701"/>
      </left>
      <right style="medium">
        <color theme="1" tint="0.24994659260841701"/>
      </right>
      <top style="medium">
        <color theme="1" tint="0.24994659260841701"/>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theme="1" tint="0.24994659260841701"/>
      </bottom>
      <diagonal/>
    </border>
    <border>
      <left/>
      <right style="thin">
        <color indexed="64"/>
      </right>
      <top style="thin">
        <color rgb="FF1F497D"/>
      </top>
      <bottom style="thin">
        <color rgb="FF1F497D"/>
      </bottom>
      <diagonal/>
    </border>
    <border>
      <left/>
      <right style="thin">
        <color rgb="FF000000"/>
      </right>
      <top style="thin">
        <color indexed="64"/>
      </top>
      <bottom style="thin">
        <color indexed="64"/>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thin">
        <color indexed="64"/>
      </top>
      <bottom/>
      <diagonal/>
    </border>
    <border>
      <left/>
      <right style="thin">
        <color rgb="FF1F497D"/>
      </right>
      <top style="thin">
        <color rgb="FF1F497D"/>
      </top>
      <bottom style="thin">
        <color rgb="FF1F497D"/>
      </bottom>
      <diagonal/>
    </border>
    <border>
      <left/>
      <right style="thin">
        <color rgb="FF002060"/>
      </right>
      <top style="thin">
        <color theme="0" tint="-0.24994659260841701"/>
      </top>
      <bottom style="thin">
        <color theme="0" tint="-0.24994659260841701"/>
      </bottom>
      <diagonal/>
    </border>
    <border>
      <left style="thin">
        <color rgb="FF002060"/>
      </left>
      <right/>
      <top/>
      <bottom/>
      <diagonal/>
    </border>
    <border>
      <left/>
      <right style="thin">
        <color rgb="FF002060"/>
      </right>
      <top/>
      <bottom/>
      <diagonal/>
    </border>
    <border>
      <left style="thin">
        <color rgb="FF002060"/>
      </left>
      <right/>
      <top style="medium">
        <color rgb="FF1F497D"/>
      </top>
      <bottom style="medium">
        <color rgb="FF1F497D"/>
      </bottom>
      <diagonal/>
    </border>
    <border>
      <left style="medium">
        <color rgb="FF1F497D"/>
      </left>
      <right style="thin">
        <color rgb="FF002060"/>
      </right>
      <top style="medium">
        <color rgb="FF1F497D"/>
      </top>
      <bottom style="medium">
        <color rgb="FF1F497D"/>
      </bottom>
      <diagonal/>
    </border>
    <border>
      <left/>
      <right style="thin">
        <color indexed="64"/>
      </right>
      <top style="medium">
        <color rgb="FF1F497D"/>
      </top>
      <bottom style="medium">
        <color theme="0" tint="-0.24994659260841701"/>
      </bottom>
      <diagonal/>
    </border>
    <border>
      <left/>
      <right style="thin">
        <color indexed="64"/>
      </right>
      <top style="medium">
        <color rgb="FF1F497D"/>
      </top>
      <bottom style="medium">
        <color rgb="FF1F497D"/>
      </bottom>
      <diagonal/>
    </border>
    <border>
      <left/>
      <right style="thin">
        <color indexed="64"/>
      </right>
      <top style="medium">
        <color theme="0" tint="-0.24994659260841701"/>
      </top>
      <bottom style="medium">
        <color theme="0" tint="-0.24994659260841701"/>
      </bottom>
      <diagonal/>
    </border>
    <border>
      <left/>
      <right style="thin">
        <color indexed="64"/>
      </right>
      <top style="medium">
        <color theme="0" tint="-0.24994659260841701"/>
      </top>
      <bottom style="medium">
        <color rgb="FF1F497D"/>
      </bottom>
      <diagonal/>
    </border>
    <border>
      <left style="thin">
        <color indexed="64"/>
      </left>
      <right/>
      <top style="thin">
        <color rgb="FF000000"/>
      </top>
      <bottom style="thin">
        <color rgb="FF000000"/>
      </bottom>
      <diagonal/>
    </border>
    <border>
      <left/>
      <right style="thin">
        <color theme="3"/>
      </right>
      <top style="thin">
        <color rgb="FF000000"/>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thin">
        <color theme="0" tint="-0.24994659260841701"/>
      </left>
      <right style="medium">
        <color rgb="FF1F497D"/>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rgb="FF1F497D"/>
      </right>
      <top/>
      <bottom style="thin">
        <color theme="0" tint="-0.24994659260841701"/>
      </bottom>
      <diagonal/>
    </border>
    <border>
      <left style="medium">
        <color rgb="FF000000"/>
      </left>
      <right style="medium">
        <color rgb="FF1F497D"/>
      </right>
      <top style="medium">
        <color rgb="FF000000"/>
      </top>
      <bottom/>
      <diagonal/>
    </border>
    <border>
      <left style="medium">
        <color rgb="FF000000"/>
      </left>
      <right style="medium">
        <color rgb="FF1F497D"/>
      </right>
      <top/>
      <bottom/>
      <diagonal/>
    </border>
    <border>
      <left style="medium">
        <color rgb="FF000000"/>
      </left>
      <right style="medium">
        <color rgb="FF1F497D"/>
      </right>
      <top/>
      <bottom style="medium">
        <color rgb="FF000000"/>
      </bottom>
      <diagonal/>
    </border>
    <border>
      <left style="medium">
        <color theme="3"/>
      </left>
      <right style="thin">
        <color theme="0" tint="-0.24994659260841701"/>
      </right>
      <top style="thin">
        <color theme="0" tint="-0.24994659260841701"/>
      </top>
      <bottom/>
      <diagonal/>
    </border>
    <border>
      <left style="thin">
        <color rgb="FF002060"/>
      </left>
      <right/>
      <top/>
      <bottom style="thin">
        <color theme="0" tint="-0.24994659260841701"/>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style="thin">
        <color theme="3"/>
      </right>
      <top/>
      <bottom style="thin">
        <color theme="0" tint="-0.24994659260841701"/>
      </bottom>
      <diagonal/>
    </border>
    <border>
      <left style="thin">
        <color theme="3"/>
      </left>
      <right style="thin">
        <color theme="0" tint="-0.24994659260841701"/>
      </right>
      <top/>
      <bottom style="thin">
        <color theme="0" tint="-0.24994659260841701"/>
      </bottom>
      <diagonal/>
    </border>
    <border>
      <left/>
      <right style="thin">
        <color theme="3"/>
      </right>
      <top style="thin">
        <color theme="0" tint="-0.24994659260841701"/>
      </top>
      <bottom style="thin">
        <color theme="0" tint="-0.24994659260841701"/>
      </bottom>
      <diagonal/>
    </border>
    <border>
      <left style="thin">
        <color theme="3"/>
      </left>
      <right/>
      <top style="thin">
        <color theme="0" tint="-0.24994659260841701"/>
      </top>
      <bottom/>
      <diagonal/>
    </border>
    <border>
      <left/>
      <right style="thin">
        <color theme="3"/>
      </right>
      <top style="thin">
        <color theme="0" tint="-0.24994659260841701"/>
      </top>
      <bottom/>
      <diagonal/>
    </border>
    <border>
      <left/>
      <right style="thin">
        <color theme="0" tint="-0.24994659260841701"/>
      </right>
      <top/>
      <bottom style="thin">
        <color theme="3"/>
      </bottom>
      <diagonal/>
    </border>
    <border>
      <left style="thin">
        <color theme="0" tint="-0.24994659260841701"/>
      </left>
      <right/>
      <top/>
      <bottom style="thin">
        <color theme="3"/>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theme="0" tint="-0.249977111117893"/>
      </left>
      <right/>
      <top style="thin">
        <color theme="0" tint="-0.249977111117893"/>
      </top>
      <bottom/>
      <diagonal/>
    </border>
    <border>
      <left style="thin">
        <color theme="0" tint="-0.249977111117893"/>
      </left>
      <right/>
      <top/>
      <bottom/>
      <diagonal/>
    </border>
    <border>
      <left/>
      <right style="thin">
        <color theme="0" tint="-0.249977111117893"/>
      </right>
      <top style="thin">
        <color theme="0" tint="-0.249977111117893"/>
      </top>
      <bottom/>
      <diagonal/>
    </border>
    <border>
      <left/>
      <right style="thin">
        <color theme="0" tint="-0.249977111117893"/>
      </right>
      <top/>
      <bottom/>
      <diagonal/>
    </border>
  </borders>
  <cellStyleXfs count="39">
    <xf numFmtId="0" fontId="0" fillId="0" borderId="0"/>
    <xf numFmtId="0" fontId="16" fillId="2" borderId="1" applyNumberFormat="0" applyProtection="0">
      <alignment horizontal="left" vertical="center" readingOrder="1"/>
    </xf>
    <xf numFmtId="0" fontId="17" fillId="2" borderId="2">
      <alignment horizontal="left"/>
    </xf>
    <xf numFmtId="0" fontId="17" fillId="2" borderId="3">
      <alignment horizontal="right"/>
    </xf>
    <xf numFmtId="0" fontId="17" fillId="2" borderId="3">
      <alignment horizontal="left"/>
    </xf>
    <xf numFmtId="3" fontId="18" fillId="3" borderId="4">
      <alignment horizontal="right"/>
    </xf>
    <xf numFmtId="170" fontId="11" fillId="3" borderId="4">
      <alignment horizontal="right"/>
    </xf>
    <xf numFmtId="4" fontId="11" fillId="3" borderId="4">
      <alignment horizontal="right"/>
    </xf>
    <xf numFmtId="0" fontId="20" fillId="4" borderId="5" applyNumberFormat="0" applyAlignment="0" applyProtection="0"/>
    <xf numFmtId="0" fontId="18" fillId="3" borderId="6"/>
    <xf numFmtId="0" fontId="19" fillId="3" borderId="6"/>
    <xf numFmtId="0" fontId="10" fillId="0" borderId="0" applyNumberFormat="0" applyFill="0" applyBorder="0" applyAlignment="0" applyProtection="0">
      <alignment vertical="top"/>
      <protection locked="0"/>
    </xf>
    <xf numFmtId="165" fontId="22" fillId="0" borderId="0" applyFont="0" applyFill="0" applyBorder="0" applyAlignment="0" applyProtection="0"/>
    <xf numFmtId="165" fontId="12" fillId="0" borderId="0" applyFont="0" applyFill="0" applyBorder="0" applyAlignment="0" applyProtection="0"/>
    <xf numFmtId="0" fontId="24" fillId="0" borderId="0"/>
    <xf numFmtId="0" fontId="12" fillId="0" borderId="0"/>
    <xf numFmtId="9" fontId="8" fillId="0" borderId="0" applyFont="0" applyFill="0" applyBorder="0" applyAlignment="0" applyProtection="0"/>
    <xf numFmtId="9" fontId="22" fillId="0" borderId="0" applyFont="0" applyFill="0" applyBorder="0" applyAlignment="0" applyProtection="0"/>
    <xf numFmtId="9" fontId="12" fillId="0" borderId="0" applyFont="0" applyFill="0" applyBorder="0" applyAlignment="0" applyProtection="0"/>
    <xf numFmtId="9" fontId="24" fillId="0" borderId="0" applyFont="0" applyFill="0" applyBorder="0" applyAlignment="0" applyProtection="0"/>
    <xf numFmtId="0" fontId="7" fillId="0" borderId="0"/>
    <xf numFmtId="0" fontId="7"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6" fillId="0" borderId="0"/>
    <xf numFmtId="9" fontId="6" fillId="0" borderId="0" applyFont="0" applyFill="0" applyBorder="0" applyAlignment="0" applyProtection="0"/>
    <xf numFmtId="0" fontId="5" fillId="0" borderId="0"/>
    <xf numFmtId="0" fontId="4" fillId="0" borderId="0"/>
    <xf numFmtId="9" fontId="4" fillId="0" borderId="0" applyFont="0" applyFill="0" applyBorder="0" applyAlignment="0" applyProtection="0"/>
    <xf numFmtId="9" fontId="3" fillId="0" borderId="0" applyFont="0" applyFill="0" applyBorder="0" applyAlignment="0" applyProtection="0"/>
    <xf numFmtId="0" fontId="2" fillId="0" borderId="0"/>
    <xf numFmtId="164" fontId="82" fillId="0" borderId="0" applyFont="0" applyFill="0" applyBorder="0" applyAlignment="0" applyProtection="0"/>
    <xf numFmtId="0" fontId="84" fillId="0" borderId="0"/>
    <xf numFmtId="0" fontId="85" fillId="0" borderId="0" applyNumberFormat="0" applyFill="0" applyBorder="0" applyAlignment="0" applyProtection="0"/>
    <xf numFmtId="9" fontId="84" fillId="0" borderId="0" applyFont="0" applyFill="0" applyBorder="0" applyAlignment="0" applyProtection="0"/>
    <xf numFmtId="164" fontId="84" fillId="0" borderId="0" applyFont="0" applyFill="0" applyBorder="0" applyAlignment="0" applyProtection="0"/>
  </cellStyleXfs>
  <cellXfs count="1345">
    <xf numFmtId="0" fontId="0" fillId="0" borderId="0" xfId="0"/>
    <xf numFmtId="9" fontId="0" fillId="0" borderId="0" xfId="16" applyFont="1" applyAlignment="1">
      <alignment horizontal="center"/>
    </xf>
    <xf numFmtId="0" fontId="0" fillId="0" borderId="0" xfId="0" applyAlignment="1">
      <alignment horizontal="center"/>
    </xf>
    <xf numFmtId="167" fontId="0" fillId="0" borderId="0" xfId="0" applyNumberFormat="1"/>
    <xf numFmtId="10" fontId="0" fillId="0" borderId="0" xfId="0" applyNumberFormat="1" applyAlignment="1">
      <alignment horizontal="center"/>
    </xf>
    <xf numFmtId="168" fontId="0" fillId="0" borderId="0" xfId="0" applyNumberFormat="1" applyAlignment="1">
      <alignment horizontal="center"/>
    </xf>
    <xf numFmtId="0" fontId="13" fillId="0" borderId="0" xfId="0" applyFont="1" applyAlignment="1">
      <alignment horizontal="center"/>
    </xf>
    <xf numFmtId="0" fontId="26" fillId="0" borderId="0" xfId="0" applyFont="1"/>
    <xf numFmtId="0" fontId="15" fillId="0" borderId="17" xfId="0" applyFont="1" applyBorder="1"/>
    <xf numFmtId="0" fontId="23" fillId="0" borderId="0" xfId="0" applyFont="1"/>
    <xf numFmtId="0" fontId="8" fillId="0" borderId="0" xfId="0" applyFont="1"/>
    <xf numFmtId="0" fontId="8" fillId="0" borderId="17" xfId="0" applyFont="1" applyBorder="1"/>
    <xf numFmtId="0" fontId="8" fillId="0" borderId="17" xfId="0" applyFont="1" applyBorder="1" applyAlignment="1">
      <alignment horizontal="left"/>
    </xf>
    <xf numFmtId="0" fontId="13" fillId="0" borderId="0" xfId="0" applyFont="1"/>
    <xf numFmtId="167" fontId="13" fillId="0" borderId="0" xfId="0" applyNumberFormat="1" applyFont="1" applyAlignment="1">
      <alignment horizontal="center"/>
    </xf>
    <xf numFmtId="9" fontId="13" fillId="0" borderId="0" xfId="16" applyFont="1"/>
    <xf numFmtId="10" fontId="8" fillId="8" borderId="17" xfId="0" applyNumberFormat="1" applyFont="1" applyFill="1" applyBorder="1" applyAlignment="1">
      <alignment horizontal="center"/>
    </xf>
    <xf numFmtId="0" fontId="26" fillId="8" borderId="0" xfId="0" applyFont="1" applyFill="1"/>
    <xf numFmtId="0" fontId="33" fillId="0" borderId="0" xfId="0" applyFont="1"/>
    <xf numFmtId="0" fontId="26" fillId="8" borderId="0" xfId="0" applyFont="1" applyFill="1" applyAlignment="1">
      <alignment horizontal="center"/>
    </xf>
    <xf numFmtId="0" fontId="35" fillId="0" borderId="0" xfId="0" applyFont="1"/>
    <xf numFmtId="0" fontId="35" fillId="12" borderId="0" xfId="0" applyFont="1" applyFill="1"/>
    <xf numFmtId="3" fontId="35" fillId="0" borderId="0" xfId="0" applyNumberFormat="1" applyFont="1" applyAlignment="1">
      <alignment horizontal="center"/>
    </xf>
    <xf numFmtId="0" fontId="35" fillId="0" borderId="0" xfId="0" applyFont="1" applyAlignment="1">
      <alignment horizontal="left"/>
    </xf>
    <xf numFmtId="0" fontId="35" fillId="19" borderId="0" xfId="0" applyFont="1" applyFill="1"/>
    <xf numFmtId="3" fontId="35" fillId="19" borderId="0" xfId="0" applyNumberFormat="1" applyFont="1" applyFill="1" applyAlignment="1">
      <alignment horizontal="center"/>
    </xf>
    <xf numFmtId="0" fontId="0" fillId="12" borderId="0" xfId="0" applyFill="1"/>
    <xf numFmtId="3" fontId="35" fillId="0" borderId="0" xfId="0" applyNumberFormat="1" applyFont="1"/>
    <xf numFmtId="3" fontId="36" fillId="19" borderId="0" xfId="0" applyNumberFormat="1" applyFont="1" applyFill="1" applyAlignment="1">
      <alignment horizontal="center"/>
    </xf>
    <xf numFmtId="3" fontId="35" fillId="12" borderId="0" xfId="0" applyNumberFormat="1" applyFont="1" applyFill="1" applyAlignment="1">
      <alignment horizontal="center"/>
    </xf>
    <xf numFmtId="3" fontId="36" fillId="12" borderId="0" xfId="0" applyNumberFormat="1" applyFont="1" applyFill="1" applyAlignment="1">
      <alignment horizontal="center"/>
    </xf>
    <xf numFmtId="0" fontId="19" fillId="3" borderId="6" xfId="10"/>
    <xf numFmtId="0" fontId="0" fillId="20" borderId="0" xfId="0" applyFill="1"/>
    <xf numFmtId="3" fontId="23" fillId="0" borderId="0" xfId="0" applyNumberFormat="1" applyFont="1" applyAlignment="1">
      <alignment horizontal="center"/>
    </xf>
    <xf numFmtId="3" fontId="23" fillId="0" borderId="0" xfId="0" applyNumberFormat="1" applyFont="1"/>
    <xf numFmtId="0" fontId="0" fillId="21" borderId="0" xfId="0" applyFill="1"/>
    <xf numFmtId="3" fontId="23" fillId="19" borderId="0" xfId="0" applyNumberFormat="1" applyFont="1" applyFill="1" applyAlignment="1">
      <alignment horizontal="center"/>
    </xf>
    <xf numFmtId="0" fontId="23" fillId="19" borderId="0" xfId="0" applyFont="1" applyFill="1"/>
    <xf numFmtId="0" fontId="0" fillId="22" borderId="0" xfId="0" applyFill="1"/>
    <xf numFmtId="170" fontId="35" fillId="0" borderId="0" xfId="0" applyNumberFormat="1" applyFont="1" applyAlignment="1">
      <alignment horizontal="center"/>
    </xf>
    <xf numFmtId="0" fontId="38" fillId="0" borderId="0" xfId="0" applyFont="1"/>
    <xf numFmtId="0" fontId="39" fillId="0" borderId="0" xfId="0" applyFont="1"/>
    <xf numFmtId="0" fontId="40" fillId="0" borderId="0" xfId="0" applyFont="1" applyAlignment="1">
      <alignment horizontal="center"/>
    </xf>
    <xf numFmtId="169" fontId="39" fillId="0" borderId="0" xfId="0" applyNumberFormat="1" applyFont="1" applyAlignment="1">
      <alignment horizontal="center"/>
    </xf>
    <xf numFmtId="0" fontId="41" fillId="0" borderId="0" xfId="0" applyFont="1"/>
    <xf numFmtId="0" fontId="42" fillId="0" borderId="0" xfId="0" applyFont="1"/>
    <xf numFmtId="0" fontId="23" fillId="0" borderId="0" xfId="0" applyFont="1" applyAlignment="1">
      <alignment horizontal="center"/>
    </xf>
    <xf numFmtId="0" fontId="39" fillId="0" borderId="0" xfId="0" applyFont="1" applyAlignment="1">
      <alignment horizontal="center"/>
    </xf>
    <xf numFmtId="167" fontId="8" fillId="24" borderId="17" xfId="0" applyNumberFormat="1" applyFont="1" applyFill="1" applyBorder="1" applyAlignment="1">
      <alignment horizontal="center"/>
    </xf>
    <xf numFmtId="3" fontId="38" fillId="0" borderId="0" xfId="0" applyNumberFormat="1" applyFont="1"/>
    <xf numFmtId="0" fontId="40" fillId="17" borderId="0" xfId="0" applyFont="1" applyFill="1" applyAlignment="1">
      <alignment horizontal="center"/>
    </xf>
    <xf numFmtId="3" fontId="0" fillId="25" borderId="1" xfId="0" applyNumberFormat="1" applyFill="1" applyBorder="1" applyAlignment="1">
      <alignment horizontal="center"/>
    </xf>
    <xf numFmtId="3" fontId="0" fillId="25" borderId="39" xfId="0" applyNumberFormat="1" applyFill="1" applyBorder="1" applyAlignment="1">
      <alignment horizontal="center"/>
    </xf>
    <xf numFmtId="168" fontId="13" fillId="26" borderId="1" xfId="16" applyNumberFormat="1" applyFont="1" applyFill="1" applyBorder="1" applyAlignment="1">
      <alignment horizontal="center"/>
    </xf>
    <xf numFmtId="168" fontId="13" fillId="26" borderId="39" xfId="16" applyNumberFormat="1" applyFont="1" applyFill="1" applyBorder="1" applyAlignment="1">
      <alignment horizontal="center"/>
    </xf>
    <xf numFmtId="3" fontId="0" fillId="25" borderId="1" xfId="16" applyNumberFormat="1" applyFont="1" applyFill="1" applyBorder="1" applyAlignment="1">
      <alignment horizontal="center"/>
    </xf>
    <xf numFmtId="3" fontId="0" fillId="25" borderId="39" xfId="16" applyNumberFormat="1" applyFont="1" applyFill="1" applyBorder="1" applyAlignment="1">
      <alignment horizontal="center"/>
    </xf>
    <xf numFmtId="3" fontId="13" fillId="27" borderId="1" xfId="16" applyNumberFormat="1" applyFont="1" applyFill="1" applyBorder="1" applyAlignment="1">
      <alignment horizontal="center"/>
    </xf>
    <xf numFmtId="3" fontId="0" fillId="0" borderId="0" xfId="0" applyNumberFormat="1" applyAlignment="1">
      <alignment horizontal="center"/>
    </xf>
    <xf numFmtId="169" fontId="0" fillId="0" borderId="0" xfId="0" applyNumberFormat="1" applyAlignment="1">
      <alignment horizontal="center"/>
    </xf>
    <xf numFmtId="170" fontId="35" fillId="19" borderId="0" xfId="0" applyNumberFormat="1" applyFont="1" applyFill="1" applyAlignment="1">
      <alignment horizontal="center"/>
    </xf>
    <xf numFmtId="0" fontId="35" fillId="19" borderId="0" xfId="0" applyFont="1" applyFill="1" applyAlignment="1">
      <alignment horizontal="center"/>
    </xf>
    <xf numFmtId="168" fontId="35" fillId="19" borderId="0" xfId="0" applyNumberFormat="1" applyFont="1" applyFill="1" applyAlignment="1">
      <alignment horizontal="center"/>
    </xf>
    <xf numFmtId="9" fontId="35" fillId="0" borderId="0" xfId="16" applyFont="1" applyFill="1" applyAlignment="1">
      <alignment horizontal="center"/>
    </xf>
    <xf numFmtId="168" fontId="35" fillId="0" borderId="0" xfId="16" applyNumberFormat="1" applyFont="1" applyFill="1" applyAlignment="1">
      <alignment horizontal="center"/>
    </xf>
    <xf numFmtId="9" fontId="35" fillId="0" borderId="0" xfId="22" applyFont="1" applyFill="1" applyAlignment="1">
      <alignment horizontal="center"/>
    </xf>
    <xf numFmtId="172" fontId="8" fillId="24" borderId="17" xfId="0" applyNumberFormat="1" applyFont="1" applyFill="1" applyBorder="1" applyAlignment="1">
      <alignment horizontal="center"/>
    </xf>
    <xf numFmtId="168" fontId="33" fillId="24" borderId="17" xfId="16" applyNumberFormat="1" applyFont="1" applyFill="1" applyBorder="1" applyAlignment="1">
      <alignment horizontal="center"/>
    </xf>
    <xf numFmtId="0" fontId="13" fillId="0" borderId="32" xfId="0" applyFont="1" applyBorder="1"/>
    <xf numFmtId="0" fontId="17" fillId="5" borderId="8" xfId="4" applyFill="1" applyBorder="1" applyAlignment="1"/>
    <xf numFmtId="0" fontId="8" fillId="0" borderId="0" xfId="26"/>
    <xf numFmtId="0" fontId="27" fillId="5" borderId="7" xfId="26" applyFont="1" applyFill="1" applyBorder="1" applyAlignment="1">
      <alignment horizontal="center"/>
    </xf>
    <xf numFmtId="0" fontId="27" fillId="5" borderId="11" xfId="26" applyFont="1" applyFill="1" applyBorder="1" applyAlignment="1">
      <alignment horizontal="center"/>
    </xf>
    <xf numFmtId="0" fontId="29" fillId="3" borderId="10" xfId="10" applyFont="1" applyBorder="1"/>
    <xf numFmtId="0" fontId="8" fillId="0" borderId="0" xfId="26" applyAlignment="1">
      <alignment vertical="center"/>
    </xf>
    <xf numFmtId="0" fontId="29" fillId="3" borderId="13" xfId="10" applyFont="1" applyBorder="1"/>
    <xf numFmtId="0" fontId="29" fillId="0" borderId="10" xfId="10" applyFont="1" applyFill="1" applyBorder="1"/>
    <xf numFmtId="0" fontId="20" fillId="0" borderId="0" xfId="8" applyFill="1" applyBorder="1"/>
    <xf numFmtId="9" fontId="8" fillId="0" borderId="0" xfId="28" applyFont="1"/>
    <xf numFmtId="0" fontId="30" fillId="0" borderId="0" xfId="11" applyFont="1" applyAlignment="1" applyProtection="1"/>
    <xf numFmtId="0" fontId="27" fillId="29" borderId="0" xfId="26" applyFont="1" applyFill="1" applyAlignment="1">
      <alignment horizontal="center" vertical="center"/>
    </xf>
    <xf numFmtId="0" fontId="28" fillId="0" borderId="9" xfId="9" applyFont="1" applyFill="1" applyBorder="1"/>
    <xf numFmtId="0" fontId="19" fillId="3" borderId="13" xfId="10" applyBorder="1"/>
    <xf numFmtId="0" fontId="19" fillId="3" borderId="10" xfId="10" applyBorder="1"/>
    <xf numFmtId="0" fontId="26" fillId="0" borderId="0" xfId="26" applyFont="1"/>
    <xf numFmtId="0" fontId="13" fillId="0" borderId="27" xfId="0" applyFont="1" applyBorder="1"/>
    <xf numFmtId="0" fontId="13" fillId="0" borderId="33" xfId="0" applyFont="1" applyBorder="1"/>
    <xf numFmtId="0" fontId="0" fillId="0" borderId="4" xfId="0" applyBorder="1"/>
    <xf numFmtId="0" fontId="0" fillId="0" borderId="6" xfId="0" applyBorder="1"/>
    <xf numFmtId="0" fontId="0" fillId="0" borderId="31" xfId="0" applyBorder="1"/>
    <xf numFmtId="0" fontId="0" fillId="0" borderId="2" xfId="0" applyBorder="1"/>
    <xf numFmtId="0" fontId="0" fillId="0" borderId="32" xfId="0" applyBorder="1"/>
    <xf numFmtId="0" fontId="0" fillId="0" borderId="27" xfId="0" applyBorder="1"/>
    <xf numFmtId="0" fontId="0" fillId="0" borderId="33" xfId="0" applyBorder="1"/>
    <xf numFmtId="0" fontId="13" fillId="0" borderId="38" xfId="0" applyFont="1" applyBorder="1"/>
    <xf numFmtId="0" fontId="13" fillId="0" borderId="1" xfId="0" applyFont="1" applyBorder="1"/>
    <xf numFmtId="0" fontId="13" fillId="0" borderId="39" xfId="0" applyFont="1" applyBorder="1"/>
    <xf numFmtId="0" fontId="0" fillId="8" borderId="0" xfId="0" applyFill="1"/>
    <xf numFmtId="0" fontId="35" fillId="19" borderId="0" xfId="0" applyFont="1" applyFill="1" applyAlignment="1">
      <alignment horizontal="left" indent="1"/>
    </xf>
    <xf numFmtId="170" fontId="35" fillId="19" borderId="0" xfId="0" applyNumberFormat="1" applyFont="1" applyFill="1" applyAlignment="1">
      <alignment horizontal="left" indent="1"/>
    </xf>
    <xf numFmtId="0" fontId="35" fillId="30" borderId="0" xfId="0" applyFont="1" applyFill="1" applyAlignment="1">
      <alignment horizontal="left" indent="1"/>
    </xf>
    <xf numFmtId="0" fontId="23" fillId="0" borderId="0" xfId="0" applyFont="1" applyAlignment="1">
      <alignment horizontal="left"/>
    </xf>
    <xf numFmtId="0" fontId="27" fillId="32" borderId="23" xfId="0" applyFont="1" applyFill="1" applyBorder="1" applyAlignment="1">
      <alignment horizontal="center"/>
    </xf>
    <xf numFmtId="0" fontId="27" fillId="32" borderId="20" xfId="0" applyFont="1" applyFill="1" applyBorder="1" applyAlignment="1">
      <alignment horizontal="center"/>
    </xf>
    <xf numFmtId="9" fontId="33" fillId="8" borderId="46" xfId="16" applyFont="1" applyFill="1" applyBorder="1" applyAlignment="1">
      <alignment horizontal="center"/>
    </xf>
    <xf numFmtId="9" fontId="8" fillId="8" borderId="46" xfId="16" applyFont="1" applyFill="1" applyBorder="1" applyAlignment="1">
      <alignment horizontal="center"/>
    </xf>
    <xf numFmtId="0" fontId="13" fillId="0" borderId="46" xfId="0" applyFont="1" applyBorder="1" applyAlignment="1">
      <alignment horizontal="center"/>
    </xf>
    <xf numFmtId="168" fontId="33" fillId="24" borderId="46" xfId="16" applyNumberFormat="1" applyFont="1" applyFill="1" applyBorder="1" applyAlignment="1">
      <alignment horizontal="center"/>
    </xf>
    <xf numFmtId="0" fontId="27" fillId="32" borderId="17" xfId="0" applyFont="1" applyFill="1" applyBorder="1" applyAlignment="1">
      <alignment horizontal="center" vertical="center" wrapText="1"/>
    </xf>
    <xf numFmtId="0" fontId="8" fillId="8" borderId="17" xfId="0" applyFont="1" applyFill="1" applyBorder="1" applyAlignment="1">
      <alignment vertical="center" wrapText="1"/>
    </xf>
    <xf numFmtId="0" fontId="27" fillId="32" borderId="46" xfId="0" applyFont="1" applyFill="1" applyBorder="1" applyAlignment="1">
      <alignment horizontal="center"/>
    </xf>
    <xf numFmtId="3" fontId="8" fillId="0" borderId="0" xfId="0" applyNumberFormat="1" applyFont="1"/>
    <xf numFmtId="0" fontId="8" fillId="17" borderId="38" xfId="0" applyFont="1" applyFill="1" applyBorder="1"/>
    <xf numFmtId="0" fontId="8" fillId="0" borderId="38" xfId="0" applyFont="1" applyBorder="1" applyAlignment="1">
      <alignment horizontal="left" indent="1"/>
    </xf>
    <xf numFmtId="0" fontId="8" fillId="0" borderId="38" xfId="0" applyFont="1" applyBorder="1" applyAlignment="1">
      <alignment horizontal="left"/>
    </xf>
    <xf numFmtId="0" fontId="8" fillId="17" borderId="38" xfId="0" applyFont="1" applyFill="1" applyBorder="1" applyAlignment="1">
      <alignment horizontal="left" indent="1"/>
    </xf>
    <xf numFmtId="0" fontId="13" fillId="0" borderId="38" xfId="0" applyFont="1" applyBorder="1" applyAlignment="1">
      <alignment horizontal="left"/>
    </xf>
    <xf numFmtId="0" fontId="13" fillId="17" borderId="38" xfId="0" applyFont="1" applyFill="1" applyBorder="1"/>
    <xf numFmtId="0" fontId="8" fillId="0" borderId="38" xfId="0" applyFont="1" applyBorder="1"/>
    <xf numFmtId="173" fontId="8" fillId="24" borderId="17" xfId="0" applyNumberFormat="1" applyFont="1" applyFill="1" applyBorder="1" applyAlignment="1">
      <alignment horizontal="center"/>
    </xf>
    <xf numFmtId="9" fontId="8" fillId="24" borderId="17" xfId="16" applyFont="1" applyFill="1" applyBorder="1" applyAlignment="1">
      <alignment horizontal="center"/>
    </xf>
    <xf numFmtId="167" fontId="8" fillId="7" borderId="17" xfId="0" applyNumberFormat="1" applyFont="1" applyFill="1" applyBorder="1" applyAlignment="1">
      <alignment horizontal="center"/>
    </xf>
    <xf numFmtId="4" fontId="8" fillId="7" borderId="17" xfId="0" applyNumberFormat="1" applyFont="1" applyFill="1" applyBorder="1" applyAlignment="1">
      <alignment horizontal="center"/>
    </xf>
    <xf numFmtId="9" fontId="33" fillId="7" borderId="46" xfId="16" applyFont="1" applyFill="1" applyBorder="1" applyAlignment="1">
      <alignment horizontal="center"/>
    </xf>
    <xf numFmtId="0" fontId="8" fillId="7" borderId="17" xfId="0" applyFont="1" applyFill="1" applyBorder="1"/>
    <xf numFmtId="9" fontId="8" fillId="7" borderId="17" xfId="16" applyFont="1" applyFill="1" applyBorder="1" applyAlignment="1">
      <alignment horizontal="center"/>
    </xf>
    <xf numFmtId="168" fontId="8" fillId="7" borderId="17" xfId="16" applyNumberFormat="1" applyFont="1" applyFill="1" applyBorder="1" applyAlignment="1">
      <alignment horizontal="center"/>
    </xf>
    <xf numFmtId="9" fontId="8" fillId="7" borderId="17" xfId="16" applyFont="1" applyFill="1" applyBorder="1"/>
    <xf numFmtId="173" fontId="33" fillId="8" borderId="46" xfId="16" applyNumberFormat="1" applyFont="1" applyFill="1" applyBorder="1" applyAlignment="1">
      <alignment horizontal="center"/>
    </xf>
    <xf numFmtId="173" fontId="8" fillId="8" borderId="46" xfId="0" applyNumberFormat="1" applyFont="1" applyFill="1" applyBorder="1" applyAlignment="1">
      <alignment horizontal="center"/>
    </xf>
    <xf numFmtId="0" fontId="48" fillId="32" borderId="46" xfId="0" applyFont="1" applyFill="1" applyBorder="1" applyAlignment="1">
      <alignment horizontal="center"/>
    </xf>
    <xf numFmtId="0" fontId="49" fillId="32" borderId="46" xfId="0" applyFont="1" applyFill="1" applyBorder="1" applyAlignment="1">
      <alignment horizontal="center"/>
    </xf>
    <xf numFmtId="167" fontId="13" fillId="24" borderId="17" xfId="0" applyNumberFormat="1" applyFont="1" applyFill="1" applyBorder="1" applyAlignment="1">
      <alignment horizontal="center"/>
    </xf>
    <xf numFmtId="0" fontId="13" fillId="14" borderId="12" xfId="0" applyFont="1" applyFill="1" applyBorder="1" applyAlignment="1">
      <alignment horizontal="center"/>
    </xf>
    <xf numFmtId="0" fontId="0" fillId="0" borderId="44" xfId="0" applyBorder="1"/>
    <xf numFmtId="0" fontId="0" fillId="0" borderId="57" xfId="0" applyBorder="1"/>
    <xf numFmtId="0" fontId="13" fillId="0" borderId="73" xfId="0" applyFont="1" applyBorder="1" applyAlignment="1">
      <alignment horizontal="left"/>
    </xf>
    <xf numFmtId="9" fontId="0" fillId="0" borderId="73" xfId="16" applyFont="1" applyBorder="1"/>
    <xf numFmtId="9" fontId="0" fillId="0" borderId="74" xfId="16" applyFont="1" applyBorder="1"/>
    <xf numFmtId="9" fontId="0" fillId="0" borderId="53" xfId="0" applyNumberFormat="1" applyBorder="1"/>
    <xf numFmtId="167" fontId="0" fillId="0" borderId="69" xfId="0" applyNumberFormat="1" applyBorder="1" applyAlignment="1">
      <alignment horizontal="center"/>
    </xf>
    <xf numFmtId="167" fontId="0" fillId="0" borderId="71" xfId="0" applyNumberFormat="1" applyBorder="1" applyAlignment="1">
      <alignment horizontal="center"/>
    </xf>
    <xf numFmtId="0" fontId="0" fillId="33" borderId="75" xfId="0" applyFill="1" applyBorder="1"/>
    <xf numFmtId="0" fontId="0" fillId="33" borderId="76" xfId="0" applyFill="1" applyBorder="1"/>
    <xf numFmtId="10" fontId="0" fillId="33" borderId="76" xfId="0" applyNumberFormat="1" applyFill="1" applyBorder="1"/>
    <xf numFmtId="0" fontId="13" fillId="8" borderId="34" xfId="0" applyFont="1" applyFill="1" applyBorder="1" applyAlignment="1">
      <alignment horizontal="center"/>
    </xf>
    <xf numFmtId="9" fontId="0" fillId="0" borderId="78" xfId="16" applyFont="1" applyBorder="1"/>
    <xf numFmtId="0" fontId="13" fillId="0" borderId="78" xfId="0" applyFont="1" applyBorder="1"/>
    <xf numFmtId="0" fontId="13" fillId="14" borderId="52" xfId="0" applyFont="1" applyFill="1" applyBorder="1" applyAlignment="1">
      <alignment horizontal="center"/>
    </xf>
    <xf numFmtId="9" fontId="13" fillId="14" borderId="52" xfId="16" applyFont="1" applyFill="1" applyBorder="1" applyAlignment="1">
      <alignment horizontal="center"/>
    </xf>
    <xf numFmtId="0" fontId="13" fillId="0" borderId="52" xfId="0" applyFont="1" applyBorder="1" applyAlignment="1">
      <alignment horizontal="center"/>
    </xf>
    <xf numFmtId="167" fontId="0" fillId="0" borderId="79" xfId="0" applyNumberFormat="1" applyBorder="1" applyAlignment="1">
      <alignment horizontal="center"/>
    </xf>
    <xf numFmtId="0" fontId="13" fillId="0" borderId="80" xfId="0" applyFont="1" applyBorder="1"/>
    <xf numFmtId="0" fontId="10" fillId="0" borderId="55" xfId="11" applyBorder="1" applyAlignment="1" applyProtection="1">
      <alignment horizontal="center"/>
    </xf>
    <xf numFmtId="0" fontId="0" fillId="0" borderId="55" xfId="0" applyBorder="1" applyAlignment="1">
      <alignment horizontal="center"/>
    </xf>
    <xf numFmtId="0" fontId="0" fillId="0" borderId="55" xfId="0" applyBorder="1"/>
    <xf numFmtId="0" fontId="0" fillId="0" borderId="56" xfId="0" applyBorder="1"/>
    <xf numFmtId="0" fontId="0" fillId="0" borderId="45" xfId="0" applyBorder="1"/>
    <xf numFmtId="0" fontId="0" fillId="0" borderId="61" xfId="0" applyBorder="1"/>
    <xf numFmtId="0" fontId="0" fillId="0" borderId="61" xfId="0" applyBorder="1" applyAlignment="1">
      <alignment horizontal="center"/>
    </xf>
    <xf numFmtId="0" fontId="0" fillId="0" borderId="62" xfId="0" applyBorder="1"/>
    <xf numFmtId="9" fontId="0" fillId="0" borderId="0" xfId="0" applyNumberFormat="1"/>
    <xf numFmtId="0" fontId="13" fillId="14" borderId="77" xfId="0" applyFont="1" applyFill="1" applyBorder="1" applyAlignment="1">
      <alignment horizontal="center"/>
    </xf>
    <xf numFmtId="0" fontId="0" fillId="33" borderId="58" xfId="0" applyFill="1" applyBorder="1"/>
    <xf numFmtId="0" fontId="0" fillId="33" borderId="60" xfId="0" applyFill="1" applyBorder="1"/>
    <xf numFmtId="0" fontId="13" fillId="0" borderId="58" xfId="0" applyFont="1" applyBorder="1" applyAlignment="1">
      <alignment horizontal="center"/>
    </xf>
    <xf numFmtId="167" fontId="0" fillId="0" borderId="70" xfId="0" applyNumberFormat="1" applyBorder="1" applyAlignment="1">
      <alignment horizontal="center"/>
    </xf>
    <xf numFmtId="167" fontId="0" fillId="0" borderId="72" xfId="0" applyNumberFormat="1" applyBorder="1" applyAlignment="1">
      <alignment horizontal="center"/>
    </xf>
    <xf numFmtId="0" fontId="13" fillId="8" borderId="9" xfId="0" applyFont="1" applyFill="1" applyBorder="1" applyAlignment="1">
      <alignment horizontal="center"/>
    </xf>
    <xf numFmtId="173" fontId="0" fillId="0" borderId="82" xfId="0" applyNumberFormat="1" applyBorder="1" applyAlignment="1">
      <alignment horizontal="center"/>
    </xf>
    <xf numFmtId="173" fontId="0" fillId="0" borderId="84" xfId="0" applyNumberFormat="1" applyBorder="1" applyAlignment="1">
      <alignment horizontal="center"/>
    </xf>
    <xf numFmtId="0" fontId="0" fillId="31" borderId="59" xfId="0" applyFill="1" applyBorder="1"/>
    <xf numFmtId="0" fontId="27" fillId="31" borderId="59" xfId="0" applyFont="1" applyFill="1" applyBorder="1" applyAlignment="1">
      <alignment horizontal="left"/>
    </xf>
    <xf numFmtId="9" fontId="0" fillId="31" borderId="59" xfId="16" applyFont="1" applyFill="1" applyBorder="1" applyAlignment="1">
      <alignment horizontal="center" vertical="center"/>
    </xf>
    <xf numFmtId="171" fontId="27" fillId="31" borderId="60" xfId="0" applyNumberFormat="1" applyFont="1" applyFill="1" applyBorder="1" applyAlignment="1">
      <alignment horizontal="center" vertical="center"/>
    </xf>
    <xf numFmtId="0" fontId="13" fillId="17" borderId="87" xfId="0" applyFont="1" applyFill="1" applyBorder="1"/>
    <xf numFmtId="0" fontId="13" fillId="17" borderId="89" xfId="0" applyFont="1" applyFill="1" applyBorder="1"/>
    <xf numFmtId="173" fontId="0" fillId="0" borderId="90" xfId="0" applyNumberFormat="1" applyBorder="1" applyAlignment="1">
      <alignment horizontal="center"/>
    </xf>
    <xf numFmtId="173" fontId="0" fillId="0" borderId="88" xfId="0" applyNumberFormat="1" applyBorder="1" applyAlignment="1">
      <alignment horizontal="center"/>
    </xf>
    <xf numFmtId="173" fontId="0" fillId="0" borderId="91" xfId="0" applyNumberFormat="1" applyBorder="1" applyAlignment="1">
      <alignment horizontal="center"/>
    </xf>
    <xf numFmtId="0" fontId="27" fillId="32" borderId="92" xfId="0" applyFont="1" applyFill="1" applyBorder="1" applyAlignment="1">
      <alignment horizontal="center"/>
    </xf>
    <xf numFmtId="0" fontId="0" fillId="32" borderId="93" xfId="0" applyFill="1" applyBorder="1"/>
    <xf numFmtId="0" fontId="0" fillId="32" borderId="94" xfId="0" applyFill="1" applyBorder="1"/>
    <xf numFmtId="0" fontId="27" fillId="32" borderId="87" xfId="0" applyFont="1" applyFill="1" applyBorder="1" applyAlignment="1">
      <alignment horizontal="center"/>
    </xf>
    <xf numFmtId="0" fontId="0" fillId="32" borderId="84" xfId="0" applyFill="1" applyBorder="1"/>
    <xf numFmtId="0" fontId="0" fillId="32" borderId="88" xfId="0" applyFill="1" applyBorder="1"/>
    <xf numFmtId="0" fontId="13" fillId="0" borderId="85" xfId="0" applyFont="1" applyBorder="1" applyAlignment="1">
      <alignment horizontal="left" vertical="center"/>
    </xf>
    <xf numFmtId="0" fontId="47" fillId="5" borderId="58" xfId="0" applyFont="1" applyFill="1" applyBorder="1" applyAlignment="1">
      <alignment horizontal="left" vertical="center"/>
    </xf>
    <xf numFmtId="0" fontId="47" fillId="31" borderId="58" xfId="0" applyFont="1" applyFill="1" applyBorder="1" applyAlignment="1">
      <alignment horizontal="left" vertical="center"/>
    </xf>
    <xf numFmtId="0" fontId="47" fillId="13" borderId="60" xfId="0" applyFont="1" applyFill="1" applyBorder="1" applyAlignment="1">
      <alignment horizontal="center"/>
    </xf>
    <xf numFmtId="0" fontId="13" fillId="8" borderId="85" xfId="0" applyFont="1" applyFill="1" applyBorder="1" applyAlignment="1">
      <alignment horizontal="left" vertical="center"/>
    </xf>
    <xf numFmtId="0" fontId="13" fillId="8" borderId="87" xfId="0" applyFont="1" applyFill="1" applyBorder="1" applyAlignment="1">
      <alignment horizontal="left" vertical="center"/>
    </xf>
    <xf numFmtId="0" fontId="0" fillId="31" borderId="59" xfId="0" applyFill="1" applyBorder="1" applyAlignment="1">
      <alignment horizontal="center"/>
    </xf>
    <xf numFmtId="0" fontId="8" fillId="0" borderId="54" xfId="0" applyFont="1" applyBorder="1"/>
    <xf numFmtId="0" fontId="50" fillId="5" borderId="51" xfId="0" applyFont="1" applyFill="1" applyBorder="1" applyAlignment="1">
      <alignment horizontal="center"/>
    </xf>
    <xf numFmtId="0" fontId="50" fillId="5" borderId="51" xfId="0" applyFont="1" applyFill="1" applyBorder="1"/>
    <xf numFmtId="0" fontId="0" fillId="0" borderId="51" xfId="0" applyBorder="1"/>
    <xf numFmtId="173" fontId="0" fillId="24" borderId="84" xfId="0" applyNumberFormat="1" applyFill="1" applyBorder="1" applyAlignment="1">
      <alignment horizontal="center"/>
    </xf>
    <xf numFmtId="173" fontId="0" fillId="24" borderId="90" xfId="0" applyNumberFormat="1" applyFill="1" applyBorder="1" applyAlignment="1">
      <alignment horizontal="center"/>
    </xf>
    <xf numFmtId="0" fontId="29" fillId="0" borderId="10" xfId="26" applyFont="1" applyBorder="1" applyAlignment="1">
      <alignment horizontal="center"/>
    </xf>
    <xf numFmtId="0" fontId="29" fillId="0" borderId="15" xfId="26" applyFont="1" applyBorder="1" applyAlignment="1">
      <alignment horizontal="center"/>
    </xf>
    <xf numFmtId="0" fontId="29" fillId="0" borderId="10" xfId="26" applyFont="1" applyBorder="1" applyAlignment="1">
      <alignment horizontal="center" vertical="center"/>
    </xf>
    <xf numFmtId="0" fontId="29" fillId="0" borderId="15" xfId="26" applyFont="1" applyBorder="1" applyAlignment="1">
      <alignment horizontal="center" vertical="center"/>
    </xf>
    <xf numFmtId="0" fontId="29" fillId="0" borderId="14" xfId="26" applyFont="1" applyBorder="1" applyAlignment="1">
      <alignment horizontal="center"/>
    </xf>
    <xf numFmtId="0" fontId="29" fillId="0" borderId="16" xfId="26" applyFont="1" applyBorder="1" applyAlignment="1">
      <alignment horizontal="center"/>
    </xf>
    <xf numFmtId="0" fontId="51" fillId="5" borderId="97" xfId="4" applyFont="1" applyFill="1" applyBorder="1" applyAlignment="1">
      <alignment horizontal="center" vertical="center"/>
    </xf>
    <xf numFmtId="0" fontId="51" fillId="5" borderId="97" xfId="3" applyFont="1" applyFill="1" applyBorder="1" applyAlignment="1">
      <alignment horizontal="center" vertical="center" wrapText="1"/>
    </xf>
    <xf numFmtId="0" fontId="51" fillId="5" borderId="97" xfId="3" applyFont="1" applyFill="1" applyBorder="1" applyAlignment="1">
      <alignment horizontal="center" vertical="center"/>
    </xf>
    <xf numFmtId="0" fontId="8" fillId="3" borderId="97" xfId="10" applyFont="1" applyBorder="1" applyAlignment="1">
      <alignment horizontal="center" vertical="center"/>
    </xf>
    <xf numFmtId="0" fontId="29" fillId="3" borderId="97" xfId="10" applyFont="1" applyBorder="1" applyAlignment="1">
      <alignment vertical="center"/>
    </xf>
    <xf numFmtId="0" fontId="29" fillId="3" borderId="97" xfId="10" applyFont="1" applyBorder="1" applyAlignment="1">
      <alignment horizontal="center" vertical="center"/>
    </xf>
    <xf numFmtId="3" fontId="13" fillId="34" borderId="99" xfId="5" applyFont="1" applyFill="1" applyBorder="1" applyAlignment="1">
      <alignment horizontal="center" vertical="center"/>
    </xf>
    <xf numFmtId="0" fontId="13" fillId="0" borderId="0" xfId="26" applyFont="1" applyAlignment="1">
      <alignment vertical="center"/>
    </xf>
    <xf numFmtId="0" fontId="8" fillId="12" borderId="0" xfId="26" applyFill="1" applyAlignment="1">
      <alignment vertical="center"/>
    </xf>
    <xf numFmtId="0" fontId="28" fillId="0" borderId="97" xfId="9" applyFont="1" applyFill="1" applyBorder="1" applyAlignment="1">
      <alignment horizontal="center" vertical="center"/>
    </xf>
    <xf numFmtId="3" fontId="52" fillId="34" borderId="98" xfId="5" applyFont="1" applyFill="1" applyBorder="1" applyAlignment="1">
      <alignment horizontal="right" vertical="center"/>
    </xf>
    <xf numFmtId="3" fontId="52" fillId="34" borderId="99" xfId="5" applyFont="1" applyFill="1" applyBorder="1" applyAlignment="1">
      <alignment horizontal="right" vertical="center"/>
    </xf>
    <xf numFmtId="3" fontId="52" fillId="34" borderId="100" xfId="5" applyFont="1" applyFill="1" applyBorder="1" applyAlignment="1">
      <alignment horizontal="right" vertical="center"/>
    </xf>
    <xf numFmtId="170" fontId="8" fillId="3" borderId="97" xfId="6" applyFont="1" applyBorder="1" applyAlignment="1">
      <alignment horizontal="center" vertical="center"/>
    </xf>
    <xf numFmtId="0" fontId="0" fillId="34" borderId="99" xfId="0" applyFill="1" applyBorder="1" applyAlignment="1">
      <alignment horizontal="center" vertical="center"/>
    </xf>
    <xf numFmtId="4" fontId="8" fillId="34" borderId="99" xfId="7" applyFont="1" applyFill="1" applyBorder="1" applyAlignment="1">
      <alignment horizontal="right" vertical="center"/>
    </xf>
    <xf numFmtId="4" fontId="8" fillId="3" borderId="97" xfId="7" applyFont="1" applyBorder="1" applyAlignment="1">
      <alignment horizontal="center" vertical="center"/>
    </xf>
    <xf numFmtId="0" fontId="29" fillId="0" borderId="97" xfId="10" applyFont="1" applyFill="1" applyBorder="1" applyAlignment="1">
      <alignment vertical="center"/>
    </xf>
    <xf numFmtId="0" fontId="8" fillId="0" borderId="97" xfId="10" applyFont="1" applyFill="1" applyBorder="1" applyAlignment="1">
      <alignment horizontal="center" vertical="center"/>
    </xf>
    <xf numFmtId="3" fontId="13" fillId="34" borderId="98" xfId="5" applyFont="1" applyFill="1" applyBorder="1" applyAlignment="1">
      <alignment horizontal="right" vertical="center"/>
    </xf>
    <xf numFmtId="4" fontId="8" fillId="6" borderId="97" xfId="7" applyFont="1" applyFill="1" applyBorder="1" applyAlignment="1">
      <alignment horizontal="right" vertical="center"/>
    </xf>
    <xf numFmtId="4" fontId="8" fillId="6" borderId="97" xfId="7" applyFont="1" applyFill="1" applyBorder="1" applyAlignment="1">
      <alignment horizontal="center" vertical="center"/>
    </xf>
    <xf numFmtId="0" fontId="29" fillId="3" borderId="97" xfId="10" applyFont="1" applyBorder="1" applyAlignment="1">
      <alignment vertical="center" wrapText="1"/>
    </xf>
    <xf numFmtId="4" fontId="8" fillId="0" borderId="97" xfId="7" applyFont="1" applyFill="1" applyBorder="1" applyAlignment="1">
      <alignment horizontal="center" vertical="center"/>
    </xf>
    <xf numFmtId="0" fontId="51" fillId="32" borderId="97" xfId="3" applyFont="1" applyFill="1" applyBorder="1" applyAlignment="1">
      <alignment horizontal="center" vertical="center" wrapText="1"/>
    </xf>
    <xf numFmtId="0" fontId="35" fillId="12" borderId="97" xfId="26" applyFont="1" applyFill="1" applyBorder="1" applyAlignment="1">
      <alignment horizontal="center" vertical="center"/>
    </xf>
    <xf numFmtId="0" fontId="54" fillId="0" borderId="0" xfId="0" applyFont="1"/>
    <xf numFmtId="0" fontId="56" fillId="0" borderId="0" xfId="0" applyFont="1"/>
    <xf numFmtId="0" fontId="13" fillId="0" borderId="33" xfId="0" applyFont="1" applyBorder="1" applyAlignment="1">
      <alignment horizontal="center"/>
    </xf>
    <xf numFmtId="0" fontId="13" fillId="0" borderId="31" xfId="0" applyFont="1" applyBorder="1" applyAlignment="1">
      <alignment horizontal="center"/>
    </xf>
    <xf numFmtId="0" fontId="56" fillId="0" borderId="102" xfId="0" applyFont="1" applyBorder="1" applyAlignment="1">
      <alignment horizontal="center" vertical="center"/>
    </xf>
    <xf numFmtId="0" fontId="54" fillId="12" borderId="115" xfId="0" applyFont="1" applyFill="1" applyBorder="1"/>
    <xf numFmtId="0" fontId="56" fillId="0" borderId="117" xfId="0" applyFont="1" applyBorder="1" applyAlignment="1">
      <alignment horizontal="center" vertical="center"/>
    </xf>
    <xf numFmtId="0" fontId="56" fillId="0" borderId="118" xfId="0" applyFont="1" applyBorder="1" applyAlignment="1">
      <alignment horizontal="center" vertical="center"/>
    </xf>
    <xf numFmtId="0" fontId="27" fillId="5" borderId="8" xfId="26" applyFont="1" applyFill="1" applyBorder="1" applyAlignment="1">
      <alignment horizontal="center"/>
    </xf>
    <xf numFmtId="0" fontId="54" fillId="8" borderId="0" xfId="0" applyFont="1" applyFill="1"/>
    <xf numFmtId="0" fontId="58" fillId="42" borderId="0" xfId="0" applyFont="1" applyFill="1"/>
    <xf numFmtId="0" fontId="8" fillId="37" borderId="27" xfId="0" applyFont="1" applyFill="1" applyBorder="1"/>
    <xf numFmtId="0" fontId="56" fillId="0" borderId="123" xfId="0" applyFont="1" applyBorder="1" applyAlignment="1">
      <alignment horizontal="center"/>
    </xf>
    <xf numFmtId="0" fontId="54" fillId="12" borderId="124" xfId="0" applyFont="1" applyFill="1" applyBorder="1" applyAlignment="1">
      <alignment horizontal="center"/>
    </xf>
    <xf numFmtId="0" fontId="8" fillId="39" borderId="124" xfId="0" applyFont="1" applyFill="1" applyBorder="1"/>
    <xf numFmtId="0" fontId="13" fillId="41" borderId="27" xfId="0" quotePrefix="1" applyFont="1" applyFill="1" applyBorder="1"/>
    <xf numFmtId="0" fontId="13" fillId="41" borderId="0" xfId="0" quotePrefix="1" applyFont="1" applyFill="1"/>
    <xf numFmtId="0" fontId="54" fillId="39" borderId="0" xfId="0" applyFont="1" applyFill="1"/>
    <xf numFmtId="0" fontId="13" fillId="0" borderId="139" xfId="0" applyFont="1" applyBorder="1" applyAlignment="1">
      <alignment horizontal="center"/>
    </xf>
    <xf numFmtId="0" fontId="13" fillId="0" borderId="36" xfId="0" applyFont="1" applyBorder="1" applyAlignment="1">
      <alignment horizontal="center"/>
    </xf>
    <xf numFmtId="0" fontId="13" fillId="0" borderId="140" xfId="0" applyFont="1" applyBorder="1" applyAlignment="1">
      <alignment horizontal="center"/>
    </xf>
    <xf numFmtId="0" fontId="13" fillId="0" borderId="131" xfId="0" applyFont="1" applyBorder="1" applyAlignment="1">
      <alignment horizontal="center"/>
    </xf>
    <xf numFmtId="10" fontId="0" fillId="0" borderId="0" xfId="16" applyNumberFormat="1" applyFont="1"/>
    <xf numFmtId="3" fontId="23" fillId="0" borderId="0" xfId="0" applyNumberFormat="1" applyFont="1" applyAlignment="1">
      <alignment horizontal="center" vertical="center"/>
    </xf>
    <xf numFmtId="3" fontId="35" fillId="19" borderId="0" xfId="0" applyNumberFormat="1" applyFont="1" applyFill="1" applyAlignment="1">
      <alignment horizontal="center" vertical="center"/>
    </xf>
    <xf numFmtId="0" fontId="59" fillId="0" borderId="136" xfId="0" applyFont="1" applyBorder="1" applyAlignment="1">
      <alignment horizontal="center" vertical="center"/>
    </xf>
    <xf numFmtId="0" fontId="59" fillId="0" borderId="40" xfId="0" applyFont="1" applyBorder="1" applyAlignment="1">
      <alignment horizontal="center" vertical="center"/>
    </xf>
    <xf numFmtId="0" fontId="59" fillId="41" borderId="136" xfId="0" applyFont="1" applyFill="1" applyBorder="1" applyAlignment="1">
      <alignment horizontal="center" vertical="center"/>
    </xf>
    <xf numFmtId="0" fontId="59" fillId="41" borderId="40" xfId="0" applyFont="1" applyFill="1" applyBorder="1" applyAlignment="1">
      <alignment horizontal="center" vertical="center"/>
    </xf>
    <xf numFmtId="3" fontId="59" fillId="40" borderId="40" xfId="0" applyNumberFormat="1" applyFont="1" applyFill="1" applyBorder="1" applyAlignment="1">
      <alignment horizontal="center" vertical="center"/>
    </xf>
    <xf numFmtId="3" fontId="59" fillId="40" borderId="136" xfId="0" applyNumberFormat="1" applyFont="1" applyFill="1" applyBorder="1" applyAlignment="1">
      <alignment horizontal="center" vertical="center"/>
    </xf>
    <xf numFmtId="0" fontId="62" fillId="0" borderId="40" xfId="0" applyFont="1" applyBorder="1" applyAlignment="1">
      <alignment horizontal="center" vertical="center"/>
    </xf>
    <xf numFmtId="9" fontId="38" fillId="0" borderId="0" xfId="16" applyFont="1"/>
    <xf numFmtId="9" fontId="0" fillId="0" borderId="79" xfId="0" applyNumberFormat="1" applyBorder="1" applyAlignment="1">
      <alignment horizontal="center"/>
    </xf>
    <xf numFmtId="9" fontId="13" fillId="0" borderId="58" xfId="0" applyNumberFormat="1" applyFont="1" applyBorder="1" applyAlignment="1">
      <alignment horizontal="center"/>
    </xf>
    <xf numFmtId="9" fontId="13" fillId="0" borderId="59" xfId="0" applyNumberFormat="1" applyFont="1" applyBorder="1" applyAlignment="1">
      <alignment horizontal="center"/>
    </xf>
    <xf numFmtId="9" fontId="8" fillId="0" borderId="63" xfId="0" applyNumberFormat="1" applyFont="1" applyBorder="1" applyAlignment="1">
      <alignment horizontal="center"/>
    </xf>
    <xf numFmtId="9" fontId="8" fillId="0" borderId="68" xfId="0" applyNumberFormat="1" applyFont="1" applyBorder="1" applyAlignment="1">
      <alignment horizontal="center"/>
    </xf>
    <xf numFmtId="3" fontId="0" fillId="0" borderId="0" xfId="0" applyNumberFormat="1"/>
    <xf numFmtId="0" fontId="10" fillId="0" borderId="44" xfId="11" applyBorder="1" applyAlignment="1" applyProtection="1"/>
    <xf numFmtId="10" fontId="0" fillId="0" borderId="0" xfId="0" applyNumberFormat="1"/>
    <xf numFmtId="4" fontId="32" fillId="12" borderId="97" xfId="7" applyFont="1" applyFill="1" applyBorder="1" applyAlignment="1">
      <alignment horizontal="right" vertical="center"/>
    </xf>
    <xf numFmtId="4" fontId="8" fillId="0" borderId="0" xfId="7" applyFont="1" applyFill="1" applyBorder="1">
      <alignment horizontal="right"/>
    </xf>
    <xf numFmtId="4" fontId="32" fillId="0" borderId="0" xfId="7" applyFont="1" applyFill="1" applyBorder="1">
      <alignment horizontal="right"/>
    </xf>
    <xf numFmtId="4" fontId="32" fillId="9" borderId="97" xfId="7" applyFont="1" applyFill="1" applyBorder="1" applyAlignment="1">
      <alignment horizontal="right" vertical="center"/>
    </xf>
    <xf numFmtId="4" fontId="32" fillId="28" borderId="97" xfId="7" applyFont="1" applyFill="1" applyBorder="1" applyAlignment="1">
      <alignment horizontal="right" vertical="center"/>
    </xf>
    <xf numFmtId="4" fontId="25" fillId="12" borderId="97" xfId="7" applyFont="1" applyFill="1" applyBorder="1" applyAlignment="1">
      <alignment horizontal="right" vertical="center"/>
    </xf>
    <xf numFmtId="3" fontId="59" fillId="40" borderId="40" xfId="0" quotePrefix="1" applyNumberFormat="1" applyFont="1" applyFill="1" applyBorder="1" applyAlignment="1">
      <alignment horizontal="center" vertical="center"/>
    </xf>
    <xf numFmtId="3" fontId="59" fillId="40" borderId="136" xfId="0" quotePrefix="1" applyNumberFormat="1" applyFont="1" applyFill="1" applyBorder="1" applyAlignment="1">
      <alignment horizontal="center" vertical="center"/>
    </xf>
    <xf numFmtId="0" fontId="26" fillId="0" borderId="0" xfId="0" applyFont="1" applyAlignment="1">
      <alignment horizontal="center"/>
    </xf>
    <xf numFmtId="0" fontId="66" fillId="0" borderId="0" xfId="0" applyFont="1"/>
    <xf numFmtId="0" fontId="0" fillId="0" borderId="40" xfId="0" applyBorder="1"/>
    <xf numFmtId="0" fontId="65" fillId="0" borderId="0" xfId="0" applyFont="1"/>
    <xf numFmtId="3" fontId="54" fillId="0" borderId="33" xfId="0" applyNumberFormat="1" applyFont="1" applyBorder="1" applyAlignment="1">
      <alignment horizontal="center" vertical="center"/>
    </xf>
    <xf numFmtId="168" fontId="33" fillId="38" borderId="40" xfId="16" applyNumberFormat="1" applyFont="1" applyFill="1" applyBorder="1" applyAlignment="1">
      <alignment horizontal="center" vertical="center"/>
    </xf>
    <xf numFmtId="3" fontId="62" fillId="0" borderId="40" xfId="0" applyNumberFormat="1" applyFont="1" applyBorder="1" applyAlignment="1">
      <alignment horizontal="center" vertical="center"/>
    </xf>
    <xf numFmtId="3" fontId="62" fillId="38" borderId="40" xfId="0" applyNumberFormat="1" applyFont="1" applyFill="1" applyBorder="1" applyAlignment="1">
      <alignment horizontal="center" vertical="center"/>
    </xf>
    <xf numFmtId="3" fontId="4" fillId="43" borderId="38" xfId="30" applyNumberFormat="1" applyFill="1" applyBorder="1" applyAlignment="1">
      <alignment horizontal="center" vertical="center"/>
    </xf>
    <xf numFmtId="168" fontId="33" fillId="38" borderId="38" xfId="16" applyNumberFormat="1" applyFont="1" applyFill="1" applyBorder="1" applyAlignment="1">
      <alignment horizontal="center" vertical="center"/>
    </xf>
    <xf numFmtId="3" fontId="62" fillId="0" borderId="38" xfId="0" applyNumberFormat="1" applyFont="1" applyBorder="1" applyAlignment="1">
      <alignment horizontal="center" vertical="center"/>
    </xf>
    <xf numFmtId="0" fontId="62" fillId="0" borderId="38" xfId="0" applyFont="1" applyBorder="1" applyAlignment="1">
      <alignment horizontal="center" vertical="center"/>
    </xf>
    <xf numFmtId="3" fontId="62" fillId="38" borderId="38" xfId="0" applyNumberFormat="1" applyFont="1" applyFill="1" applyBorder="1" applyAlignment="1">
      <alignment horizontal="center" vertical="center"/>
    </xf>
    <xf numFmtId="0" fontId="62" fillId="38" borderId="152" xfId="0" applyFont="1" applyFill="1" applyBorder="1" applyAlignment="1">
      <alignment horizontal="center" vertical="center"/>
    </xf>
    <xf numFmtId="9" fontId="0" fillId="0" borderId="0" xfId="16" applyFont="1" applyBorder="1" applyAlignment="1">
      <alignment horizontal="left"/>
    </xf>
    <xf numFmtId="3" fontId="59" fillId="0" borderId="40" xfId="0" applyNumberFormat="1" applyFont="1" applyBorder="1" applyAlignment="1">
      <alignment horizontal="center" vertical="center"/>
    </xf>
    <xf numFmtId="3" fontId="59" fillId="0" borderId="136" xfId="0" applyNumberFormat="1" applyFont="1" applyBorder="1" applyAlignment="1">
      <alignment horizontal="center" vertical="center"/>
    </xf>
    <xf numFmtId="2" fontId="8" fillId="24" borderId="17" xfId="0" applyNumberFormat="1" applyFont="1" applyFill="1" applyBorder="1" applyAlignment="1">
      <alignment horizontal="center"/>
    </xf>
    <xf numFmtId="0" fontId="23" fillId="0" borderId="0" xfId="0" applyFont="1" applyAlignment="1">
      <alignment horizontal="center" vertical="center"/>
    </xf>
    <xf numFmtId="3" fontId="35" fillId="19" borderId="0" xfId="21" applyNumberFormat="1" applyFont="1" applyFill="1" applyAlignment="1">
      <alignment horizontal="center" vertical="center"/>
    </xf>
    <xf numFmtId="3" fontId="36" fillId="19" borderId="0" xfId="21" applyNumberFormat="1" applyFont="1" applyFill="1" applyAlignment="1">
      <alignment horizontal="center" vertical="center"/>
    </xf>
    <xf numFmtId="3" fontId="36" fillId="19" borderId="0" xfId="0" applyNumberFormat="1" applyFont="1" applyFill="1" applyAlignment="1">
      <alignment horizontal="center" vertical="center"/>
    </xf>
    <xf numFmtId="3" fontId="35" fillId="0" borderId="0" xfId="0" applyNumberFormat="1" applyFont="1" applyAlignment="1">
      <alignment horizontal="center" vertical="center"/>
    </xf>
    <xf numFmtId="170" fontId="23" fillId="0" borderId="0" xfId="0" applyNumberFormat="1" applyFont="1" applyAlignment="1">
      <alignment horizontal="center" vertical="center"/>
    </xf>
    <xf numFmtId="4" fontId="35" fillId="19" borderId="0" xfId="0" applyNumberFormat="1" applyFont="1" applyFill="1" applyAlignment="1">
      <alignment horizontal="center" vertical="center"/>
    </xf>
    <xf numFmtId="4" fontId="35" fillId="19" borderId="0" xfId="21" applyNumberFormat="1" applyFont="1" applyFill="1" applyAlignment="1">
      <alignment horizontal="center" vertical="center"/>
    </xf>
    <xf numFmtId="0" fontId="0" fillId="0" borderId="0" xfId="0" applyAlignment="1">
      <alignment horizontal="center" vertical="center"/>
    </xf>
    <xf numFmtId="0" fontId="26" fillId="0" borderId="0" xfId="0" applyFont="1" applyAlignment="1">
      <alignment horizontal="center" vertical="center"/>
    </xf>
    <xf numFmtId="0" fontId="8" fillId="8" borderId="17" xfId="0" applyFont="1" applyFill="1" applyBorder="1" applyAlignment="1">
      <alignment horizontal="center" vertical="center" wrapText="1"/>
    </xf>
    <xf numFmtId="0" fontId="34" fillId="8" borderId="17" xfId="0" applyFont="1" applyFill="1" applyBorder="1" applyAlignment="1">
      <alignment horizontal="center" vertical="center" wrapText="1"/>
    </xf>
    <xf numFmtId="0" fontId="47" fillId="9" borderId="58" xfId="0" applyFont="1" applyFill="1" applyBorder="1" applyAlignment="1">
      <alignment horizontal="center" vertical="center" wrapText="1"/>
    </xf>
    <xf numFmtId="0" fontId="47" fillId="10" borderId="59" xfId="0" applyFont="1" applyFill="1" applyBorder="1" applyAlignment="1">
      <alignment horizontal="center" vertical="center" wrapText="1"/>
    </xf>
    <xf numFmtId="0" fontId="47" fillId="11" borderId="59" xfId="0" applyFont="1" applyFill="1" applyBorder="1" applyAlignment="1">
      <alignment horizontal="center" vertical="center" wrapText="1"/>
    </xf>
    <xf numFmtId="0" fontId="47" fillId="15" borderId="59" xfId="0" applyFont="1" applyFill="1" applyBorder="1" applyAlignment="1">
      <alignment horizontal="center" vertical="center" wrapText="1"/>
    </xf>
    <xf numFmtId="0" fontId="47" fillId="16" borderId="59" xfId="0" applyFont="1" applyFill="1" applyBorder="1" applyAlignment="1">
      <alignment horizontal="center" vertical="center" wrapText="1"/>
    </xf>
    <xf numFmtId="0" fontId="47" fillId="10" borderId="51" xfId="0" applyFont="1" applyFill="1" applyBorder="1" applyAlignment="1">
      <alignment horizontal="center" vertical="center" wrapText="1"/>
    </xf>
    <xf numFmtId="0" fontId="47" fillId="11" borderId="51" xfId="0" applyFont="1" applyFill="1" applyBorder="1" applyAlignment="1">
      <alignment horizontal="center" vertical="center" wrapText="1"/>
    </xf>
    <xf numFmtId="0" fontId="47" fillId="15" borderId="51" xfId="0" applyFont="1" applyFill="1" applyBorder="1" applyAlignment="1">
      <alignment horizontal="center" vertical="center" wrapText="1"/>
    </xf>
    <xf numFmtId="0" fontId="47" fillId="23" borderId="51" xfId="0" applyFont="1" applyFill="1" applyBorder="1" applyAlignment="1">
      <alignment horizontal="center" vertical="center" wrapText="1"/>
    </xf>
    <xf numFmtId="0" fontId="56" fillId="0" borderId="0" xfId="0" applyFont="1" applyAlignment="1">
      <alignment horizontal="center" vertical="center"/>
    </xf>
    <xf numFmtId="0" fontId="0" fillId="0" borderId="0" xfId="0" applyAlignment="1">
      <alignment horizontal="left"/>
    </xf>
    <xf numFmtId="2" fontId="8" fillId="24" borderId="46" xfId="0" applyNumberFormat="1" applyFont="1" applyFill="1" applyBorder="1" applyAlignment="1">
      <alignment horizontal="center"/>
    </xf>
    <xf numFmtId="2" fontId="33" fillId="24" borderId="46" xfId="16" applyNumberFormat="1" applyFont="1" applyFill="1" applyBorder="1" applyAlignment="1">
      <alignment horizontal="center"/>
    </xf>
    <xf numFmtId="0" fontId="8" fillId="7" borderId="153" xfId="0" applyFont="1" applyFill="1" applyBorder="1"/>
    <xf numFmtId="0" fontId="27" fillId="32" borderId="48" xfId="0" applyFont="1" applyFill="1" applyBorder="1" applyAlignment="1">
      <alignment horizontal="center"/>
    </xf>
    <xf numFmtId="0" fontId="13" fillId="0" borderId="48" xfId="0" applyFont="1" applyBorder="1" applyAlignment="1">
      <alignment horizontal="center"/>
    </xf>
    <xf numFmtId="167" fontId="13" fillId="24" borderId="18" xfId="0" applyNumberFormat="1" applyFont="1" applyFill="1" applyBorder="1" applyAlignment="1">
      <alignment horizontal="center"/>
    </xf>
    <xf numFmtId="2" fontId="33" fillId="24" borderId="48" xfId="16" applyNumberFormat="1" applyFont="1" applyFill="1" applyBorder="1" applyAlignment="1">
      <alignment horizontal="center"/>
    </xf>
    <xf numFmtId="0" fontId="8" fillId="0" borderId="0" xfId="0" applyFont="1" applyAlignment="1">
      <alignment horizontal="center"/>
    </xf>
    <xf numFmtId="10" fontId="8" fillId="0" borderId="108" xfId="0" applyNumberFormat="1" applyFont="1" applyBorder="1" applyAlignment="1">
      <alignment horizontal="center" vertical="center"/>
    </xf>
    <xf numFmtId="10" fontId="8" fillId="0" borderId="5" xfId="0" applyNumberFormat="1" applyFont="1" applyBorder="1" applyAlignment="1">
      <alignment horizontal="center" vertical="center"/>
    </xf>
    <xf numFmtId="0" fontId="0" fillId="0" borderId="40" xfId="0" applyBorder="1" applyAlignment="1">
      <alignment horizontal="center"/>
    </xf>
    <xf numFmtId="167" fontId="0" fillId="0" borderId="40" xfId="0" applyNumberFormat="1" applyBorder="1" applyAlignment="1">
      <alignment horizontal="center"/>
    </xf>
    <xf numFmtId="168" fontId="65" fillId="0" borderId="40" xfId="16" applyNumberFormat="1" applyFont="1" applyBorder="1" applyAlignment="1">
      <alignment horizontal="center"/>
    </xf>
    <xf numFmtId="0" fontId="65" fillId="0" borderId="40" xfId="0" applyFont="1" applyBorder="1"/>
    <xf numFmtId="166" fontId="65" fillId="0" borderId="40" xfId="0" applyNumberFormat="1" applyFont="1" applyBorder="1" applyAlignment="1">
      <alignment horizontal="center"/>
    </xf>
    <xf numFmtId="9" fontId="0" fillId="0" borderId="0" xfId="16" applyFont="1" applyAlignment="1">
      <alignment horizontal="left"/>
    </xf>
    <xf numFmtId="0" fontId="54" fillId="0" borderId="154" xfId="0" applyFont="1" applyBorder="1"/>
    <xf numFmtId="3" fontId="59" fillId="0" borderId="133" xfId="0" applyNumberFormat="1" applyFont="1" applyBorder="1" applyAlignment="1">
      <alignment horizontal="center" vertical="center"/>
    </xf>
    <xf numFmtId="3" fontId="69" fillId="0" borderId="40" xfId="0" quotePrefix="1" applyNumberFormat="1" applyFont="1" applyBorder="1" applyAlignment="1">
      <alignment horizontal="center" vertical="center"/>
    </xf>
    <xf numFmtId="3" fontId="59" fillId="41" borderId="157" xfId="0" applyNumberFormat="1" applyFont="1" applyFill="1" applyBorder="1" applyAlignment="1">
      <alignment horizontal="center" vertical="center"/>
    </xf>
    <xf numFmtId="3" fontId="59" fillId="41" borderId="3" xfId="0" applyNumberFormat="1" applyFont="1" applyFill="1" applyBorder="1" applyAlignment="1">
      <alignment horizontal="center" vertical="center"/>
    </xf>
    <xf numFmtId="3" fontId="59" fillId="41" borderId="29" xfId="0" applyNumberFormat="1" applyFont="1" applyFill="1" applyBorder="1" applyAlignment="1">
      <alignment horizontal="center" vertical="center"/>
    </xf>
    <xf numFmtId="3" fontId="60" fillId="12" borderId="0" xfId="0" applyNumberFormat="1" applyFont="1" applyFill="1" applyAlignment="1">
      <alignment horizontal="center" vertical="center"/>
    </xf>
    <xf numFmtId="3" fontId="60" fillId="12" borderId="158" xfId="0" applyNumberFormat="1" applyFont="1" applyFill="1" applyBorder="1" applyAlignment="1">
      <alignment horizontal="center" vertical="center"/>
    </xf>
    <xf numFmtId="0" fontId="0" fillId="37" borderId="27" xfId="0" applyFill="1" applyBorder="1"/>
    <xf numFmtId="0" fontId="65" fillId="0" borderId="0" xfId="29" applyFont="1" applyAlignment="1">
      <alignment horizontal="center" vertical="center"/>
    </xf>
    <xf numFmtId="0" fontId="5" fillId="0" borderId="0" xfId="29"/>
    <xf numFmtId="0" fontId="5" fillId="0" borderId="31" xfId="29" applyBorder="1"/>
    <xf numFmtId="0" fontId="54" fillId="0" borderId="159" xfId="0" applyFont="1" applyBorder="1"/>
    <xf numFmtId="0" fontId="56" fillId="0" borderId="104" xfId="0" applyFont="1" applyBorder="1" applyAlignment="1">
      <alignment horizontal="center" vertical="center"/>
    </xf>
    <xf numFmtId="0" fontId="56" fillId="0" borderId="105" xfId="0" applyFont="1" applyBorder="1" applyAlignment="1">
      <alignment horizontal="center" vertical="center"/>
    </xf>
    <xf numFmtId="0" fontId="54" fillId="0" borderId="160" xfId="0" applyFont="1" applyBorder="1"/>
    <xf numFmtId="0" fontId="54" fillId="0" borderId="103" xfId="0" applyFont="1" applyBorder="1" applyAlignment="1">
      <alignment horizontal="center" vertical="center"/>
    </xf>
    <xf numFmtId="0" fontId="54" fillId="0" borderId="161" xfId="0" applyFont="1" applyBorder="1"/>
    <xf numFmtId="10" fontId="0" fillId="0" borderId="0" xfId="0" applyNumberFormat="1" applyAlignment="1">
      <alignment horizontal="center" vertical="center"/>
    </xf>
    <xf numFmtId="0" fontId="54" fillId="0" borderId="103" xfId="0" applyFont="1" applyBorder="1"/>
    <xf numFmtId="9" fontId="23" fillId="0" borderId="0" xfId="16" applyFont="1" applyAlignment="1">
      <alignment horizontal="center" vertical="center"/>
    </xf>
    <xf numFmtId="3" fontId="0" fillId="0" borderId="40" xfId="0" applyNumberFormat="1" applyBorder="1" applyAlignment="1">
      <alignment horizontal="center" vertical="center"/>
    </xf>
    <xf numFmtId="3" fontId="0" fillId="0" borderId="127" xfId="0" applyNumberFormat="1" applyBorder="1" applyAlignment="1">
      <alignment horizontal="center" vertical="center"/>
    </xf>
    <xf numFmtId="168" fontId="38" fillId="0" borderId="0" xfId="0" applyNumberFormat="1" applyFont="1"/>
    <xf numFmtId="3" fontId="69" fillId="0" borderId="136" xfId="0" applyNumberFormat="1" applyFont="1" applyBorder="1" applyAlignment="1">
      <alignment horizontal="center" vertical="center"/>
    </xf>
    <xf numFmtId="2" fontId="0" fillId="24" borderId="48" xfId="0" applyNumberFormat="1" applyFill="1" applyBorder="1" applyAlignment="1">
      <alignment horizontal="center"/>
    </xf>
    <xf numFmtId="167" fontId="0" fillId="24" borderId="18" xfId="0" applyNumberFormat="1" applyFill="1" applyBorder="1" applyAlignment="1">
      <alignment horizontal="center"/>
    </xf>
    <xf numFmtId="175" fontId="0" fillId="0" borderId="0" xfId="0" applyNumberFormat="1" applyAlignment="1">
      <alignment horizontal="center"/>
    </xf>
    <xf numFmtId="168" fontId="54" fillId="0" borderId="0" xfId="16" applyNumberFormat="1" applyFont="1"/>
    <xf numFmtId="3" fontId="69" fillId="38" borderId="40" xfId="0" quotePrefix="1" applyNumberFormat="1" applyFont="1" applyFill="1" applyBorder="1" applyAlignment="1">
      <alignment horizontal="center" vertical="center"/>
    </xf>
    <xf numFmtId="3" fontId="69" fillId="38" borderId="38" xfId="0" quotePrefix="1" applyNumberFormat="1" applyFont="1" applyFill="1" applyBorder="1" applyAlignment="1">
      <alignment horizontal="center" vertical="center"/>
    </xf>
    <xf numFmtId="3" fontId="25" fillId="38" borderId="40" xfId="0" applyNumberFormat="1" applyFont="1" applyFill="1" applyBorder="1" applyAlignment="1">
      <alignment horizontal="center" vertical="center"/>
    </xf>
    <xf numFmtId="3" fontId="25" fillId="38" borderId="38" xfId="0" applyNumberFormat="1" applyFont="1" applyFill="1" applyBorder="1" applyAlignment="1">
      <alignment horizontal="center" vertical="center"/>
    </xf>
    <xf numFmtId="0" fontId="69" fillId="38" borderId="40" xfId="0" applyFont="1" applyFill="1" applyBorder="1" applyAlignment="1">
      <alignment horizontal="center" vertical="center"/>
    </xf>
    <xf numFmtId="0" fontId="69" fillId="38" borderId="38" xfId="0" applyFont="1" applyFill="1" applyBorder="1" applyAlignment="1">
      <alignment horizontal="center" vertical="center"/>
    </xf>
    <xf numFmtId="0" fontId="66" fillId="0" borderId="0" xfId="0" applyFont="1" applyAlignment="1">
      <alignment horizontal="center"/>
    </xf>
    <xf numFmtId="1" fontId="66" fillId="0" borderId="0" xfId="0" applyNumberFormat="1" applyFont="1" applyAlignment="1">
      <alignment horizontal="center"/>
    </xf>
    <xf numFmtId="1" fontId="72" fillId="0" borderId="0" xfId="0" applyNumberFormat="1" applyFont="1" applyAlignment="1">
      <alignment horizontal="left"/>
    </xf>
    <xf numFmtId="0" fontId="8" fillId="0" borderId="0" xfId="26" applyAlignment="1">
      <alignment vertical="center" wrapText="1"/>
    </xf>
    <xf numFmtId="3" fontId="52" fillId="34" borderId="99" xfId="5" applyFont="1" applyFill="1" applyBorder="1" applyAlignment="1">
      <alignment horizontal="right" vertical="center" wrapText="1"/>
    </xf>
    <xf numFmtId="0" fontId="20" fillId="0" borderId="0" xfId="8" applyFill="1" applyBorder="1" applyAlignment="1">
      <alignment wrapText="1"/>
    </xf>
    <xf numFmtId="0" fontId="8" fillId="0" borderId="0" xfId="26" applyAlignment="1">
      <alignment wrapText="1"/>
    </xf>
    <xf numFmtId="0" fontId="0" fillId="0" borderId="0" xfId="0" applyAlignment="1">
      <alignment wrapText="1"/>
    </xf>
    <xf numFmtId="0" fontId="0" fillId="0" borderId="0" xfId="26" applyFont="1"/>
    <xf numFmtId="2" fontId="8" fillId="0" borderId="0" xfId="26" applyNumberFormat="1"/>
    <xf numFmtId="2" fontId="0" fillId="0" borderId="0" xfId="26" applyNumberFormat="1" applyFont="1"/>
    <xf numFmtId="0" fontId="59" fillId="0" borderId="0" xfId="0" applyFont="1"/>
    <xf numFmtId="0" fontId="59" fillId="0" borderId="0" xfId="0" applyFont="1" applyAlignment="1">
      <alignment horizontal="center"/>
    </xf>
    <xf numFmtId="167" fontId="8" fillId="0" borderId="0" xfId="0" applyNumberFormat="1" applyFont="1"/>
    <xf numFmtId="166" fontId="8" fillId="0" borderId="0" xfId="0" applyNumberFormat="1" applyFont="1"/>
    <xf numFmtId="167" fontId="26" fillId="0" borderId="0" xfId="0" applyNumberFormat="1" applyFont="1"/>
    <xf numFmtId="168" fontId="8" fillId="24" borderId="17" xfId="16" applyNumberFormat="1" applyFont="1" applyFill="1" applyBorder="1" applyAlignment="1">
      <alignment horizontal="center"/>
    </xf>
    <xf numFmtId="173" fontId="34" fillId="24" borderId="84" xfId="0" applyNumberFormat="1" applyFont="1" applyFill="1" applyBorder="1" applyAlignment="1">
      <alignment horizontal="center"/>
    </xf>
    <xf numFmtId="0" fontId="47" fillId="31" borderId="58" xfId="0" applyFont="1" applyFill="1" applyBorder="1" applyAlignment="1">
      <alignment horizontal="center" vertical="center"/>
    </xf>
    <xf numFmtId="0" fontId="47" fillId="5" borderId="123" xfId="0" applyFont="1" applyFill="1" applyBorder="1" applyAlignment="1">
      <alignment horizontal="center"/>
    </xf>
    <xf numFmtId="0" fontId="27" fillId="32" borderId="10" xfId="0" applyFont="1" applyFill="1" applyBorder="1" applyAlignment="1">
      <alignment horizontal="center"/>
    </xf>
    <xf numFmtId="0" fontId="47" fillId="5" borderId="110" xfId="0" applyFont="1" applyFill="1" applyBorder="1" applyAlignment="1">
      <alignment horizontal="center"/>
    </xf>
    <xf numFmtId="0" fontId="27" fillId="32" borderId="168" xfId="0" applyFont="1" applyFill="1" applyBorder="1" applyAlignment="1">
      <alignment horizontal="center"/>
    </xf>
    <xf numFmtId="0" fontId="13" fillId="17" borderId="86" xfId="0" applyFont="1" applyFill="1" applyBorder="1" applyAlignment="1">
      <alignment horizontal="left" vertical="center"/>
    </xf>
    <xf numFmtId="173" fontId="0" fillId="17" borderId="83" xfId="0" applyNumberFormat="1" applyFill="1" applyBorder="1" applyAlignment="1">
      <alignment horizontal="center"/>
    </xf>
    <xf numFmtId="0" fontId="13" fillId="17" borderId="87" xfId="0" applyFont="1" applyFill="1" applyBorder="1" applyAlignment="1">
      <alignment horizontal="left" vertical="center"/>
    </xf>
    <xf numFmtId="9" fontId="0" fillId="17" borderId="84" xfId="16" applyFont="1" applyFill="1" applyBorder="1" applyAlignment="1">
      <alignment horizontal="center"/>
    </xf>
    <xf numFmtId="9" fontId="8" fillId="17" borderId="83" xfId="16" applyFont="1" applyFill="1" applyBorder="1" applyAlignment="1">
      <alignment horizontal="center"/>
    </xf>
    <xf numFmtId="2" fontId="8" fillId="17" borderId="84" xfId="0" applyNumberFormat="1" applyFont="1" applyFill="1" applyBorder="1" applyAlignment="1">
      <alignment horizontal="center" vertical="center"/>
    </xf>
    <xf numFmtId="2" fontId="0" fillId="17" borderId="84" xfId="0" applyNumberFormat="1" applyFill="1" applyBorder="1" applyAlignment="1">
      <alignment horizontal="center"/>
    </xf>
    <xf numFmtId="0" fontId="13" fillId="17" borderId="85" xfId="0" applyFont="1" applyFill="1" applyBorder="1" applyAlignment="1">
      <alignment horizontal="left" vertical="center"/>
    </xf>
    <xf numFmtId="2" fontId="0" fillId="17" borderId="82" xfId="0" applyNumberFormat="1" applyFill="1" applyBorder="1" applyAlignment="1">
      <alignment horizontal="center"/>
    </xf>
    <xf numFmtId="2" fontId="8" fillId="17" borderId="84" xfId="0" applyNumberFormat="1" applyFont="1" applyFill="1" applyBorder="1" applyAlignment="1">
      <alignment horizontal="center"/>
    </xf>
    <xf numFmtId="169" fontId="0" fillId="17" borderId="84" xfId="0" applyNumberFormat="1" applyFill="1" applyBorder="1" applyAlignment="1">
      <alignment horizontal="center"/>
    </xf>
    <xf numFmtId="9" fontId="0" fillId="0" borderId="82" xfId="16" applyFont="1" applyFill="1" applyBorder="1" applyAlignment="1">
      <alignment horizontal="center"/>
    </xf>
    <xf numFmtId="0" fontId="13" fillId="0" borderId="87" xfId="0" applyFont="1" applyBorder="1" applyAlignment="1">
      <alignment horizontal="left" vertical="center"/>
    </xf>
    <xf numFmtId="9" fontId="0" fillId="0" borderId="84" xfId="16" applyFont="1" applyFill="1" applyBorder="1" applyAlignment="1">
      <alignment horizontal="center"/>
    </xf>
    <xf numFmtId="2" fontId="0" fillId="0" borderId="82" xfId="0" applyNumberFormat="1" applyBorder="1" applyAlignment="1">
      <alignment horizontal="center"/>
    </xf>
    <xf numFmtId="0" fontId="13" fillId="0" borderId="86" xfId="0" applyFont="1" applyBorder="1" applyAlignment="1">
      <alignment horizontal="left" vertical="center"/>
    </xf>
    <xf numFmtId="2" fontId="0" fillId="0" borderId="84" xfId="0" applyNumberFormat="1" applyBorder="1" applyAlignment="1">
      <alignment horizontal="center"/>
    </xf>
    <xf numFmtId="2" fontId="8" fillId="17" borderId="82" xfId="0" applyNumberFormat="1" applyFont="1" applyFill="1" applyBorder="1" applyAlignment="1">
      <alignment horizontal="center"/>
    </xf>
    <xf numFmtId="2" fontId="0" fillId="17" borderId="83" xfId="0" applyNumberFormat="1" applyFill="1" applyBorder="1" applyAlignment="1">
      <alignment horizontal="center"/>
    </xf>
    <xf numFmtId="0" fontId="14" fillId="17" borderId="87" xfId="0" applyFont="1" applyFill="1" applyBorder="1" applyAlignment="1">
      <alignment horizontal="left" vertical="center"/>
    </xf>
    <xf numFmtId="2" fontId="0" fillId="17" borderId="84" xfId="16" applyNumberFormat="1" applyFont="1" applyFill="1" applyBorder="1" applyAlignment="1">
      <alignment horizontal="center"/>
    </xf>
    <xf numFmtId="176" fontId="0" fillId="17" borderId="84" xfId="0" applyNumberFormat="1" applyFill="1" applyBorder="1" applyAlignment="1">
      <alignment horizontal="center"/>
    </xf>
    <xf numFmtId="0" fontId="13" fillId="0" borderId="89" xfId="0" applyFont="1" applyBorder="1" applyAlignment="1">
      <alignment horizontal="left" vertical="center"/>
    </xf>
    <xf numFmtId="9" fontId="0" fillId="0" borderId="90" xfId="16" applyFont="1" applyFill="1" applyBorder="1" applyAlignment="1">
      <alignment horizontal="center"/>
    </xf>
    <xf numFmtId="10" fontId="0" fillId="0" borderId="83" xfId="16" applyNumberFormat="1" applyFont="1" applyFill="1" applyBorder="1" applyAlignment="1">
      <alignment horizontal="center"/>
    </xf>
    <xf numFmtId="169" fontId="0" fillId="0" borderId="83" xfId="0" applyNumberFormat="1" applyBorder="1" applyAlignment="1">
      <alignment horizontal="center"/>
    </xf>
    <xf numFmtId="169" fontId="0" fillId="0" borderId="82" xfId="0" applyNumberFormat="1" applyBorder="1" applyAlignment="1">
      <alignment horizontal="center"/>
    </xf>
    <xf numFmtId="2" fontId="0" fillId="0" borderId="83" xfId="0" applyNumberFormat="1" applyBorder="1" applyAlignment="1">
      <alignment horizontal="center"/>
    </xf>
    <xf numFmtId="169" fontId="0" fillId="0" borderId="84" xfId="0" applyNumberFormat="1" applyBorder="1" applyAlignment="1">
      <alignment horizontal="center"/>
    </xf>
    <xf numFmtId="168" fontId="0" fillId="0" borderId="82" xfId="16" applyNumberFormat="1" applyFont="1" applyFill="1" applyBorder="1" applyAlignment="1">
      <alignment horizontal="center"/>
    </xf>
    <xf numFmtId="173" fontId="26" fillId="18" borderId="183" xfId="0" applyNumberFormat="1" applyFont="1" applyFill="1" applyBorder="1" applyAlignment="1">
      <alignment horizontal="center"/>
    </xf>
    <xf numFmtId="9" fontId="26" fillId="18" borderId="183" xfId="16" applyFont="1" applyFill="1" applyBorder="1" applyAlignment="1">
      <alignment horizontal="center"/>
    </xf>
    <xf numFmtId="9" fontId="26" fillId="18" borderId="88" xfId="16" applyFont="1" applyFill="1" applyBorder="1" applyAlignment="1">
      <alignment horizontal="center"/>
    </xf>
    <xf numFmtId="2" fontId="26" fillId="18" borderId="183" xfId="0" applyNumberFormat="1" applyFont="1" applyFill="1" applyBorder="1" applyAlignment="1">
      <alignment horizontal="center"/>
    </xf>
    <xf numFmtId="9" fontId="8" fillId="0" borderId="185" xfId="0" applyNumberFormat="1" applyFont="1" applyBorder="1" applyAlignment="1">
      <alignment horizontal="center"/>
    </xf>
    <xf numFmtId="3" fontId="54" fillId="0" borderId="125" xfId="0" applyNumberFormat="1" applyFont="1" applyBorder="1" applyAlignment="1">
      <alignment horizontal="center" vertical="center"/>
    </xf>
    <xf numFmtId="3" fontId="54" fillId="8" borderId="126" xfId="0" applyNumberFormat="1" applyFont="1" applyFill="1" applyBorder="1" applyAlignment="1">
      <alignment horizontal="center" vertical="center"/>
    </xf>
    <xf numFmtId="0" fontId="27" fillId="0" borderId="0" xfId="26" applyFont="1" applyAlignment="1">
      <alignment horizontal="center" vertical="center"/>
    </xf>
    <xf numFmtId="4" fontId="25" fillId="0" borderId="0" xfId="7" applyFont="1" applyFill="1" applyBorder="1">
      <alignment horizontal="right"/>
    </xf>
    <xf numFmtId="0" fontId="47" fillId="31" borderId="52" xfId="0" applyFont="1" applyFill="1" applyBorder="1" applyAlignment="1">
      <alignment horizontal="left" vertical="center"/>
    </xf>
    <xf numFmtId="10" fontId="0" fillId="0" borderId="45" xfId="0" applyNumberFormat="1" applyBorder="1" applyAlignment="1">
      <alignment horizontal="center" vertical="center"/>
    </xf>
    <xf numFmtId="0" fontId="13" fillId="8" borderId="89" xfId="0" applyFont="1" applyFill="1" applyBorder="1" applyAlignment="1">
      <alignment horizontal="left" vertical="center"/>
    </xf>
    <xf numFmtId="10" fontId="0" fillId="8" borderId="90" xfId="16" applyNumberFormat="1" applyFont="1" applyFill="1" applyBorder="1" applyAlignment="1">
      <alignment horizontal="center" vertical="center"/>
    </xf>
    <xf numFmtId="10" fontId="0" fillId="8" borderId="91" xfId="16" applyNumberFormat="1" applyFont="1" applyFill="1" applyBorder="1" applyAlignment="1">
      <alignment horizontal="center" vertical="center"/>
    </xf>
    <xf numFmtId="0" fontId="47" fillId="0" borderId="0" xfId="0" applyFont="1" applyAlignment="1">
      <alignment horizontal="left" vertical="center"/>
    </xf>
    <xf numFmtId="10" fontId="0" fillId="0" borderId="0" xfId="16" applyNumberFormat="1" applyFont="1" applyFill="1" applyBorder="1" applyAlignment="1">
      <alignment horizontal="center" vertical="center"/>
    </xf>
    <xf numFmtId="0" fontId="58" fillId="36" borderId="62" xfId="0" applyFont="1" applyFill="1" applyBorder="1" applyAlignment="1">
      <alignment horizontal="center" vertical="center"/>
    </xf>
    <xf numFmtId="173" fontId="0" fillId="0" borderId="183" xfId="0" applyNumberFormat="1" applyBorder="1" applyAlignment="1">
      <alignment horizontal="center"/>
    </xf>
    <xf numFmtId="173" fontId="0" fillId="17" borderId="184" xfId="0" applyNumberFormat="1" applyFill="1" applyBorder="1" applyAlignment="1">
      <alignment horizontal="center"/>
    </xf>
    <xf numFmtId="0" fontId="0" fillId="31" borderId="60" xfId="0" applyFill="1" applyBorder="1" applyAlignment="1">
      <alignment horizontal="center"/>
    </xf>
    <xf numFmtId="9" fontId="0" fillId="0" borderId="183" xfId="16" applyFont="1" applyFill="1" applyBorder="1" applyAlignment="1">
      <alignment horizontal="center"/>
    </xf>
    <xf numFmtId="9" fontId="0" fillId="17" borderId="88" xfId="16" applyFont="1" applyFill="1" applyBorder="1" applyAlignment="1">
      <alignment horizontal="center"/>
    </xf>
    <xf numFmtId="9" fontId="0" fillId="0" borderId="88" xfId="16" applyFont="1" applyFill="1" applyBorder="1" applyAlignment="1">
      <alignment horizontal="center"/>
    </xf>
    <xf numFmtId="9" fontId="0" fillId="17" borderId="184" xfId="16" applyFont="1" applyFill="1" applyBorder="1" applyAlignment="1">
      <alignment horizontal="center"/>
    </xf>
    <xf numFmtId="2" fontId="0" fillId="0" borderId="183" xfId="0" applyNumberFormat="1" applyBorder="1" applyAlignment="1">
      <alignment horizontal="center"/>
    </xf>
    <xf numFmtId="2" fontId="0" fillId="17" borderId="88" xfId="0" applyNumberFormat="1" applyFill="1" applyBorder="1" applyAlignment="1">
      <alignment horizontal="center"/>
    </xf>
    <xf numFmtId="2" fontId="0" fillId="0" borderId="184" xfId="0" applyNumberFormat="1" applyBorder="1" applyAlignment="1">
      <alignment horizontal="center"/>
    </xf>
    <xf numFmtId="2" fontId="0" fillId="17" borderId="183" xfId="0" applyNumberFormat="1" applyFill="1" applyBorder="1" applyAlignment="1">
      <alignment horizontal="center"/>
    </xf>
    <xf numFmtId="2" fontId="0" fillId="0" borderId="88" xfId="0" applyNumberFormat="1" applyBorder="1" applyAlignment="1">
      <alignment horizontal="center"/>
    </xf>
    <xf numFmtId="2" fontId="0" fillId="17" borderId="184" xfId="0" applyNumberFormat="1" applyFill="1" applyBorder="1" applyAlignment="1">
      <alignment horizontal="center"/>
    </xf>
    <xf numFmtId="169" fontId="0" fillId="0" borderId="183" xfId="0" applyNumberFormat="1" applyBorder="1" applyAlignment="1">
      <alignment horizontal="center"/>
    </xf>
    <xf numFmtId="169" fontId="0" fillId="17" borderId="88" xfId="0" applyNumberFormat="1" applyFill="1" applyBorder="1" applyAlignment="1">
      <alignment horizontal="center"/>
    </xf>
    <xf numFmtId="169" fontId="0" fillId="0" borderId="88" xfId="0" applyNumberFormat="1" applyBorder="1" applyAlignment="1">
      <alignment horizontal="center"/>
    </xf>
    <xf numFmtId="169" fontId="0" fillId="0" borderId="184" xfId="0" applyNumberFormat="1" applyBorder="1" applyAlignment="1">
      <alignment horizontal="center"/>
    </xf>
    <xf numFmtId="168" fontId="0" fillId="0" borderId="183" xfId="16" applyNumberFormat="1" applyFont="1" applyFill="1" applyBorder="1" applyAlignment="1">
      <alignment horizontal="center"/>
    </xf>
    <xf numFmtId="2" fontId="0" fillId="17" borderId="88" xfId="16" applyNumberFormat="1" applyFont="1" applyFill="1" applyBorder="1" applyAlignment="1">
      <alignment horizontal="center"/>
    </xf>
    <xf numFmtId="10" fontId="0" fillId="0" borderId="184" xfId="16" applyNumberFormat="1" applyFont="1" applyFill="1" applyBorder="1" applyAlignment="1">
      <alignment horizontal="center"/>
    </xf>
    <xf numFmtId="10" fontId="0" fillId="17" borderId="88" xfId="16" applyNumberFormat="1" applyFont="1" applyFill="1" applyBorder="1" applyAlignment="1">
      <alignment horizontal="center" vertical="center"/>
    </xf>
    <xf numFmtId="176" fontId="0" fillId="8" borderId="88" xfId="0" applyNumberFormat="1" applyFill="1" applyBorder="1" applyAlignment="1">
      <alignment horizontal="right" vertical="center"/>
    </xf>
    <xf numFmtId="176" fontId="0" fillId="17" borderId="88" xfId="0" applyNumberFormat="1" applyFill="1" applyBorder="1" applyAlignment="1">
      <alignment horizontal="center"/>
    </xf>
    <xf numFmtId="9" fontId="0" fillId="0" borderId="91" xfId="16" applyFont="1" applyFill="1" applyBorder="1" applyAlignment="1">
      <alignment horizontal="center"/>
    </xf>
    <xf numFmtId="0" fontId="74" fillId="36" borderId="60" xfId="0" applyFont="1" applyFill="1" applyBorder="1" applyAlignment="1">
      <alignment horizontal="center" vertical="center" wrapText="1"/>
    </xf>
    <xf numFmtId="9" fontId="0" fillId="0" borderId="0" xfId="16" applyFont="1" applyBorder="1" applyAlignment="1">
      <alignment horizontal="center" vertical="center"/>
    </xf>
    <xf numFmtId="0" fontId="27" fillId="5" borderId="192" xfId="26" applyFont="1" applyFill="1" applyBorder="1" applyAlignment="1">
      <alignment horizontal="center" vertical="center"/>
    </xf>
    <xf numFmtId="4" fontId="25" fillId="28" borderId="193" xfId="7" applyFont="1" applyFill="1" applyBorder="1">
      <alignment horizontal="right"/>
    </xf>
    <xf numFmtId="4" fontId="8" fillId="12" borderId="193" xfId="7" applyFont="1" applyFill="1" applyBorder="1">
      <alignment horizontal="right"/>
    </xf>
    <xf numFmtId="4" fontId="32" fillId="9" borderId="194" xfId="7" applyFont="1" applyFill="1" applyBorder="1">
      <alignment horizontal="right"/>
    </xf>
    <xf numFmtId="0" fontId="58" fillId="36" borderId="0" xfId="24" applyFont="1" applyFill="1"/>
    <xf numFmtId="0" fontId="75" fillId="36" borderId="0" xfId="24" applyFont="1" applyFill="1" applyAlignment="1">
      <alignment horizontal="left" vertical="center"/>
    </xf>
    <xf numFmtId="0" fontId="75" fillId="36" borderId="0" xfId="24" applyFont="1" applyFill="1" applyAlignment="1">
      <alignment horizontal="center" vertical="center"/>
    </xf>
    <xf numFmtId="0" fontId="8" fillId="31" borderId="0" xfId="24" applyFill="1"/>
    <xf numFmtId="0" fontId="8" fillId="0" borderId="0" xfId="24"/>
    <xf numFmtId="10" fontId="0" fillId="0" borderId="0" xfId="16" applyNumberFormat="1" applyFont="1" applyAlignment="1">
      <alignment horizontal="left"/>
    </xf>
    <xf numFmtId="0" fontId="13" fillId="0" borderId="0" xfId="24" applyFont="1"/>
    <xf numFmtId="0" fontId="8" fillId="8" borderId="0" xfId="24" applyFill="1"/>
    <xf numFmtId="0" fontId="38" fillId="0" borderId="0" xfId="24" applyFont="1"/>
    <xf numFmtId="10" fontId="8" fillId="8" borderId="0" xfId="24" applyNumberFormat="1" applyFill="1"/>
    <xf numFmtId="0" fontId="8" fillId="0" borderId="0" xfId="24" applyAlignment="1">
      <alignment horizontal="left"/>
    </xf>
    <xf numFmtId="10" fontId="76" fillId="0" borderId="0" xfId="24" applyNumberFormat="1" applyFont="1" applyAlignment="1">
      <alignment horizontal="center"/>
    </xf>
    <xf numFmtId="10" fontId="8" fillId="0" borderId="0" xfId="24" applyNumberFormat="1"/>
    <xf numFmtId="0" fontId="50" fillId="31" borderId="0" xfId="24" applyFont="1" applyFill="1"/>
    <xf numFmtId="168" fontId="38" fillId="0" borderId="0" xfId="24" applyNumberFormat="1" applyFont="1"/>
    <xf numFmtId="0" fontId="27" fillId="32" borderId="203" xfId="0" applyFont="1" applyFill="1" applyBorder="1" applyAlignment="1">
      <alignment horizontal="center"/>
    </xf>
    <xf numFmtId="0" fontId="13" fillId="0" borderId="203" xfId="0" applyFont="1" applyBorder="1" applyAlignment="1">
      <alignment horizontal="center"/>
    </xf>
    <xf numFmtId="0" fontId="0" fillId="0" borderId="203" xfId="0" applyBorder="1" applyAlignment="1">
      <alignment horizontal="center"/>
    </xf>
    <xf numFmtId="0" fontId="57" fillId="0" borderId="0" xfId="24" applyFont="1" applyAlignment="1">
      <alignment horizontal="center"/>
    </xf>
    <xf numFmtId="0" fontId="8" fillId="24" borderId="0" xfId="0" applyFont="1" applyFill="1" applyAlignment="1">
      <alignment horizontal="center" vertical="center"/>
    </xf>
    <xf numFmtId="0" fontId="58" fillId="0" borderId="0" xfId="24" applyFont="1"/>
    <xf numFmtId="0" fontId="75" fillId="0" borderId="0" xfId="24" applyFont="1" applyAlignment="1">
      <alignment horizontal="center" vertical="center"/>
    </xf>
    <xf numFmtId="0" fontId="76" fillId="0" borderId="0" xfId="0" applyFont="1" applyAlignment="1">
      <alignment horizontal="center"/>
    </xf>
    <xf numFmtId="0" fontId="13" fillId="8" borderId="0" xfId="24" applyFont="1" applyFill="1" applyAlignment="1">
      <alignment horizontal="center" vertical="center"/>
    </xf>
    <xf numFmtId="0" fontId="79" fillId="5" borderId="97" xfId="4" applyFont="1" applyFill="1" applyBorder="1" applyAlignment="1">
      <alignment horizontal="center" vertical="center"/>
    </xf>
    <xf numFmtId="0" fontId="47" fillId="23" borderId="59" xfId="0" applyFont="1" applyFill="1" applyBorder="1" applyAlignment="1">
      <alignment horizontal="center" vertical="center" wrapText="1"/>
    </xf>
    <xf numFmtId="0" fontId="47" fillId="16" borderId="60" xfId="0" applyFont="1" applyFill="1" applyBorder="1" applyAlignment="1">
      <alignment horizontal="center" vertical="center" wrapText="1"/>
    </xf>
    <xf numFmtId="3" fontId="62" fillId="38" borderId="152" xfId="0" applyNumberFormat="1" applyFont="1" applyFill="1" applyBorder="1" applyAlignment="1">
      <alignment horizontal="center" vertical="center"/>
    </xf>
    <xf numFmtId="3" fontId="1" fillId="43" borderId="38" xfId="30" applyNumberFormat="1" applyFont="1" applyFill="1" applyBorder="1" applyAlignment="1">
      <alignment horizontal="center" vertical="center"/>
    </xf>
    <xf numFmtId="9" fontId="8" fillId="0" borderId="93" xfId="16" applyFont="1" applyBorder="1" applyAlignment="1">
      <alignment horizontal="center" vertical="center"/>
    </xf>
    <xf numFmtId="9" fontId="8" fillId="17" borderId="84" xfId="16" applyFont="1" applyFill="1" applyBorder="1" applyAlignment="1">
      <alignment horizontal="center" vertical="center"/>
    </xf>
    <xf numFmtId="10" fontId="35" fillId="19" borderId="0" xfId="0" applyNumberFormat="1" applyFont="1" applyFill="1" applyAlignment="1">
      <alignment horizontal="center"/>
    </xf>
    <xf numFmtId="0" fontId="1" fillId="0" borderId="40" xfId="0" applyFont="1" applyBorder="1"/>
    <xf numFmtId="166" fontId="1" fillId="0" borderId="40" xfId="0" applyNumberFormat="1" applyFont="1" applyBorder="1" applyAlignment="1">
      <alignment horizontal="center"/>
    </xf>
    <xf numFmtId="166" fontId="1" fillId="0" borderId="0" xfId="0" applyNumberFormat="1" applyFont="1" applyAlignment="1">
      <alignment horizontal="center"/>
    </xf>
    <xf numFmtId="173" fontId="8" fillId="24" borderId="17" xfId="0" applyNumberFormat="1" applyFont="1" applyFill="1" applyBorder="1" applyAlignment="1">
      <alignment horizontal="center" vertical="center"/>
    </xf>
    <xf numFmtId="3" fontId="5" fillId="0" borderId="136" xfId="29" applyNumberFormat="1" applyBorder="1" applyAlignment="1">
      <alignment horizontal="center"/>
    </xf>
    <xf numFmtId="3" fontId="5" fillId="0" borderId="40" xfId="29" applyNumberFormat="1" applyBorder="1" applyAlignment="1">
      <alignment horizontal="center"/>
    </xf>
    <xf numFmtId="3" fontId="5" fillId="0" borderId="127" xfId="29" applyNumberFormat="1" applyBorder="1" applyAlignment="1">
      <alignment horizontal="center"/>
    </xf>
    <xf numFmtId="0" fontId="54" fillId="0" borderId="0" xfId="0" applyFont="1" applyAlignment="1">
      <alignment horizontal="center" vertical="center"/>
    </xf>
    <xf numFmtId="0" fontId="8" fillId="0" borderId="0" xfId="24" applyAlignment="1">
      <alignment horizontal="center"/>
    </xf>
    <xf numFmtId="0" fontId="54" fillId="0" borderId="205" xfId="0" applyFont="1" applyBorder="1" applyAlignment="1">
      <alignment horizontal="center" vertical="center"/>
    </xf>
    <xf numFmtId="10" fontId="8" fillId="0" borderId="40" xfId="0" applyNumberFormat="1" applyFont="1" applyBorder="1" applyAlignment="1">
      <alignment horizontal="center" vertical="center"/>
    </xf>
    <xf numFmtId="0" fontId="65" fillId="0" borderId="40" xfId="29" applyFont="1" applyBorder="1"/>
    <xf numFmtId="167" fontId="13" fillId="0" borderId="208" xfId="0" applyNumberFormat="1" applyFont="1" applyBorder="1" applyAlignment="1">
      <alignment horizontal="center"/>
    </xf>
    <xf numFmtId="167" fontId="13" fillId="0" borderId="35" xfId="0" applyNumberFormat="1" applyFont="1" applyBorder="1" applyAlignment="1">
      <alignment horizontal="center"/>
    </xf>
    <xf numFmtId="167" fontId="13" fillId="0" borderId="209" xfId="0" applyNumberFormat="1" applyFont="1" applyBorder="1" applyAlignment="1">
      <alignment horizontal="center"/>
    </xf>
    <xf numFmtId="0" fontId="13" fillId="0" borderId="208" xfId="0" applyFont="1" applyBorder="1" applyAlignment="1">
      <alignment horizontal="center"/>
    </xf>
    <xf numFmtId="10" fontId="0" fillId="33" borderId="62" xfId="0" applyNumberFormat="1" applyFill="1" applyBorder="1"/>
    <xf numFmtId="167" fontId="0" fillId="0" borderId="211" xfId="0" applyNumberFormat="1" applyBorder="1" applyAlignment="1">
      <alignment horizontal="center"/>
    </xf>
    <xf numFmtId="166" fontId="8" fillId="0" borderId="84" xfId="0" applyNumberFormat="1" applyFont="1" applyBorder="1" applyAlignment="1">
      <alignment horizontal="center"/>
    </xf>
    <xf numFmtId="3" fontId="8" fillId="0" borderId="219" xfId="0" applyNumberFormat="1" applyFont="1" applyBorder="1" applyAlignment="1">
      <alignment horizontal="center" vertical="center"/>
    </xf>
    <xf numFmtId="3" fontId="59" fillId="41" borderId="224" xfId="0" applyNumberFormat="1" applyFont="1" applyFill="1" applyBorder="1" applyAlignment="1">
      <alignment horizontal="center" vertical="center"/>
    </xf>
    <xf numFmtId="3" fontId="59" fillId="41" borderId="225" xfId="0" applyNumberFormat="1" applyFont="1" applyFill="1" applyBorder="1" applyAlignment="1">
      <alignment horizontal="center" vertical="center"/>
    </xf>
    <xf numFmtId="3" fontId="59" fillId="41" borderId="226" xfId="0" applyNumberFormat="1" applyFont="1" applyFill="1" applyBorder="1" applyAlignment="1">
      <alignment horizontal="center" vertical="center"/>
    </xf>
    <xf numFmtId="3" fontId="59" fillId="41" borderId="227" xfId="0" applyNumberFormat="1" applyFont="1" applyFill="1" applyBorder="1" applyAlignment="1">
      <alignment horizontal="center" vertical="center"/>
    </xf>
    <xf numFmtId="3" fontId="59" fillId="41" borderId="228" xfId="0" applyNumberFormat="1" applyFont="1" applyFill="1" applyBorder="1" applyAlignment="1">
      <alignment horizontal="center" vertical="center"/>
    </xf>
    <xf numFmtId="0" fontId="59" fillId="0" borderId="38" xfId="0" applyFont="1" applyBorder="1" applyAlignment="1">
      <alignment horizontal="center" vertical="center"/>
    </xf>
    <xf numFmtId="3" fontId="59" fillId="40" borderId="38" xfId="0" applyNumberFormat="1" applyFont="1" applyFill="1" applyBorder="1" applyAlignment="1">
      <alignment horizontal="center" vertical="center"/>
    </xf>
    <xf numFmtId="0" fontId="59" fillId="41" borderId="38" xfId="0" applyFont="1" applyFill="1" applyBorder="1" applyAlignment="1">
      <alignment horizontal="center" vertical="center"/>
    </xf>
    <xf numFmtId="3" fontId="59" fillId="40" borderId="38" xfId="0" quotePrefix="1" applyNumberFormat="1" applyFont="1" applyFill="1" applyBorder="1" applyAlignment="1">
      <alignment horizontal="center" vertical="center"/>
    </xf>
    <xf numFmtId="3" fontId="59" fillId="0" borderId="38" xfId="0" applyNumberFormat="1" applyFont="1" applyBorder="1" applyAlignment="1">
      <alignment horizontal="center" vertical="center"/>
    </xf>
    <xf numFmtId="0" fontId="56" fillId="0" borderId="103" xfId="0" applyFont="1" applyBorder="1" applyAlignment="1">
      <alignment horizontal="center"/>
    </xf>
    <xf numFmtId="0" fontId="13" fillId="0" borderId="221" xfId="0" applyFont="1" applyBorder="1" applyAlignment="1">
      <alignment horizontal="center"/>
    </xf>
    <xf numFmtId="0" fontId="8" fillId="37" borderId="229" xfId="0" applyFont="1" applyFill="1" applyBorder="1"/>
    <xf numFmtId="0" fontId="13" fillId="0" borderId="229" xfId="0" applyFont="1" applyBorder="1"/>
    <xf numFmtId="0" fontId="8" fillId="0" borderId="229" xfId="0" applyFont="1" applyBorder="1"/>
    <xf numFmtId="0" fontId="13" fillId="0" borderId="230" xfId="0" applyFont="1" applyBorder="1" applyAlignment="1">
      <alignment horizontal="center"/>
    </xf>
    <xf numFmtId="0" fontId="8" fillId="0" borderId="132" xfId="0" applyFont="1" applyBorder="1"/>
    <xf numFmtId="3" fontId="1" fillId="43" borderId="1" xfId="30" applyNumberFormat="1" applyFont="1" applyFill="1" applyBorder="1" applyAlignment="1">
      <alignment horizontal="center" vertical="center"/>
    </xf>
    <xf numFmtId="168" fontId="33" fillId="38" borderId="39" xfId="16" applyNumberFormat="1" applyFont="1" applyFill="1" applyBorder="1" applyAlignment="1">
      <alignment horizontal="center" vertical="center"/>
    </xf>
    <xf numFmtId="3" fontId="62" fillId="0" borderId="39" xfId="0" applyNumberFormat="1" applyFont="1" applyBorder="1" applyAlignment="1">
      <alignment horizontal="center" vertical="center"/>
    </xf>
    <xf numFmtId="0" fontId="69" fillId="38" borderId="39" xfId="0" applyFont="1" applyFill="1" applyBorder="1" applyAlignment="1">
      <alignment horizontal="center" vertical="center"/>
    </xf>
    <xf numFmtId="3" fontId="25" fillId="38" borderId="39" xfId="0" applyNumberFormat="1" applyFont="1" applyFill="1" applyBorder="1" applyAlignment="1">
      <alignment horizontal="center" vertical="center"/>
    </xf>
    <xf numFmtId="3" fontId="62" fillId="38" borderId="39" xfId="0" applyNumberFormat="1" applyFont="1" applyFill="1" applyBorder="1" applyAlignment="1">
      <alignment horizontal="center" vertical="center"/>
    </xf>
    <xf numFmtId="0" fontId="62" fillId="0" borderId="39" xfId="0" applyFont="1" applyBorder="1" applyAlignment="1">
      <alignment horizontal="center" vertical="center"/>
    </xf>
    <xf numFmtId="3" fontId="69" fillId="38" borderId="39" xfId="0" quotePrefix="1" applyNumberFormat="1" applyFont="1" applyFill="1" applyBorder="1" applyAlignment="1">
      <alignment horizontal="center" vertical="center"/>
    </xf>
    <xf numFmtId="0" fontId="62" fillId="38" borderId="231" xfId="0" applyFont="1" applyFill="1" applyBorder="1" applyAlignment="1">
      <alignment horizontal="center" vertical="center"/>
    </xf>
    <xf numFmtId="0" fontId="56" fillId="0" borderId="232" xfId="0" applyFont="1" applyBorder="1" applyAlignment="1">
      <alignment horizontal="center"/>
    </xf>
    <xf numFmtId="0" fontId="57" fillId="0" borderId="173" xfId="0" applyFont="1" applyBorder="1" applyAlignment="1">
      <alignment horizontal="center"/>
    </xf>
    <xf numFmtId="0" fontId="13" fillId="37" borderId="229" xfId="0" applyFont="1" applyFill="1" applyBorder="1"/>
    <xf numFmtId="0" fontId="27" fillId="32" borderId="21" xfId="0" applyFont="1" applyFill="1" applyBorder="1" applyAlignment="1">
      <alignment horizontal="center"/>
    </xf>
    <xf numFmtId="14" fontId="13" fillId="0" borderId="234" xfId="0" applyNumberFormat="1" applyFont="1" applyBorder="1" applyAlignment="1">
      <alignment horizontal="center" vertical="center"/>
    </xf>
    <xf numFmtId="14" fontId="13" fillId="0" borderId="235" xfId="0" applyNumberFormat="1" applyFont="1" applyBorder="1" applyAlignment="1">
      <alignment horizontal="center" vertical="center"/>
    </xf>
    <xf numFmtId="0" fontId="8" fillId="0" borderId="239" xfId="0" applyFont="1" applyBorder="1" applyAlignment="1">
      <alignment horizontal="center" vertical="center"/>
    </xf>
    <xf numFmtId="0" fontId="0" fillId="0" borderId="240" xfId="0" applyBorder="1" applyAlignment="1">
      <alignment horizontal="center" vertical="center"/>
    </xf>
    <xf numFmtId="0" fontId="0" fillId="0" borderId="241" xfId="0" applyBorder="1"/>
    <xf numFmtId="0" fontId="0" fillId="0" borderId="241" xfId="0" quotePrefix="1" applyBorder="1"/>
    <xf numFmtId="2" fontId="0" fillId="24" borderId="242" xfId="16" applyNumberFormat="1" applyFont="1" applyFill="1" applyBorder="1" applyAlignment="1">
      <alignment horizontal="center"/>
    </xf>
    <xf numFmtId="168" fontId="0" fillId="24" borderId="242" xfId="16" applyNumberFormat="1" applyFont="1" applyFill="1" applyBorder="1" applyAlignment="1">
      <alignment horizontal="center"/>
    </xf>
    <xf numFmtId="169" fontId="0" fillId="24" borderId="242" xfId="16" applyNumberFormat="1" applyFont="1" applyFill="1" applyBorder="1" applyAlignment="1">
      <alignment horizontal="center"/>
    </xf>
    <xf numFmtId="169" fontId="0" fillId="24" borderId="242" xfId="0" applyNumberFormat="1" applyFill="1" applyBorder="1" applyAlignment="1">
      <alignment horizontal="center"/>
    </xf>
    <xf numFmtId="0" fontId="13" fillId="0" borderId="241" xfId="0" applyFont="1" applyBorder="1" applyAlignment="1">
      <alignment horizontal="center"/>
    </xf>
    <xf numFmtId="0" fontId="0" fillId="7" borderId="0" xfId="0" applyFill="1"/>
    <xf numFmtId="14" fontId="40" fillId="0" borderId="236" xfId="0" applyNumberFormat="1" applyFont="1" applyBorder="1" applyAlignment="1">
      <alignment horizontal="center" vertical="center"/>
    </xf>
    <xf numFmtId="178" fontId="8" fillId="24" borderId="17" xfId="0" applyNumberFormat="1" applyFont="1" applyFill="1" applyBorder="1" applyAlignment="1">
      <alignment horizontal="center"/>
    </xf>
    <xf numFmtId="179" fontId="8" fillId="24" borderId="17" xfId="34" applyNumberFormat="1" applyFont="1" applyFill="1" applyBorder="1" applyAlignment="1">
      <alignment horizontal="center" vertical="center"/>
    </xf>
    <xf numFmtId="10" fontId="0" fillId="24" borderId="242" xfId="16" applyNumberFormat="1" applyFont="1" applyFill="1" applyBorder="1" applyAlignment="1">
      <alignment horizontal="center"/>
    </xf>
    <xf numFmtId="10" fontId="0" fillId="0" borderId="112" xfId="0" applyNumberFormat="1" applyBorder="1" applyAlignment="1">
      <alignment horizontal="center" vertical="center"/>
    </xf>
    <xf numFmtId="10" fontId="0" fillId="0" borderId="116" xfId="0" applyNumberFormat="1" applyBorder="1" applyAlignment="1">
      <alignment horizontal="center" vertical="center"/>
    </xf>
    <xf numFmtId="4" fontId="35" fillId="19" borderId="0" xfId="0" applyNumberFormat="1" applyFont="1" applyFill="1" applyAlignment="1">
      <alignment horizontal="center"/>
    </xf>
    <xf numFmtId="0" fontId="8" fillId="0" borderId="245" xfId="0" applyFont="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0" fontId="0" fillId="0" borderId="248" xfId="0" applyBorder="1" applyAlignment="1">
      <alignment horizontal="center"/>
    </xf>
    <xf numFmtId="10" fontId="8" fillId="0" borderId="205" xfId="0" applyNumberFormat="1" applyFont="1" applyBorder="1" applyAlignment="1">
      <alignment horizontal="center"/>
    </xf>
    <xf numFmtId="10" fontId="8" fillId="0" borderId="101" xfId="0" applyNumberFormat="1" applyFont="1" applyBorder="1" applyAlignment="1">
      <alignment horizontal="center"/>
    </xf>
    <xf numFmtId="10" fontId="8" fillId="0" borderId="249" xfId="0" applyNumberFormat="1" applyFont="1" applyBorder="1" applyAlignment="1">
      <alignment horizontal="center"/>
    </xf>
    <xf numFmtId="10" fontId="8" fillId="0" borderId="250" xfId="0" applyNumberFormat="1" applyFont="1" applyBorder="1" applyAlignment="1">
      <alignment horizontal="center"/>
    </xf>
    <xf numFmtId="10" fontId="8" fillId="0" borderId="251" xfId="0" applyNumberFormat="1" applyFont="1" applyBorder="1" applyAlignment="1">
      <alignment horizontal="center"/>
    </xf>
    <xf numFmtId="0" fontId="8" fillId="0" borderId="0" xfId="0" applyFont="1" applyAlignment="1">
      <alignment horizontal="center" vertical="center"/>
    </xf>
    <xf numFmtId="10" fontId="0" fillId="0" borderId="103" xfId="0" applyNumberFormat="1" applyBorder="1" applyAlignment="1">
      <alignment horizontal="center"/>
    </xf>
    <xf numFmtId="10" fontId="0" fillId="0" borderId="249" xfId="0" applyNumberFormat="1" applyBorder="1" applyAlignment="1">
      <alignment horizontal="center"/>
    </xf>
    <xf numFmtId="0" fontId="8" fillId="48" borderId="40" xfId="0" applyFont="1" applyFill="1" applyBorder="1"/>
    <xf numFmtId="0" fontId="8" fillId="48" borderId="39" xfId="0" applyFont="1" applyFill="1" applyBorder="1" applyAlignment="1">
      <alignment horizontal="center"/>
    </xf>
    <xf numFmtId="0" fontId="8" fillId="48" borderId="1" xfId="0" applyFont="1" applyFill="1" applyBorder="1" applyAlignment="1">
      <alignment horizontal="center"/>
    </xf>
    <xf numFmtId="0" fontId="8" fillId="0" borderId="2" xfId="0" applyFont="1" applyBorder="1"/>
    <xf numFmtId="0" fontId="8" fillId="0" borderId="4" xfId="0" applyFont="1" applyBorder="1"/>
    <xf numFmtId="0" fontId="8" fillId="0" borderId="161" xfId="0" applyFont="1" applyBorder="1"/>
    <xf numFmtId="0" fontId="8" fillId="0" borderId="103" xfId="0" applyFont="1" applyBorder="1"/>
    <xf numFmtId="3" fontId="8" fillId="0" borderId="103" xfId="0" applyNumberFormat="1" applyFont="1" applyBorder="1" applyAlignment="1">
      <alignment horizontal="center"/>
    </xf>
    <xf numFmtId="0" fontId="56" fillId="49" borderId="40" xfId="0" applyFont="1" applyFill="1" applyBorder="1" applyAlignment="1">
      <alignment horizontal="left"/>
    </xf>
    <xf numFmtId="0" fontId="8" fillId="48" borderId="40" xfId="0" applyFont="1" applyFill="1" applyBorder="1" applyAlignment="1">
      <alignment horizontal="center"/>
    </xf>
    <xf numFmtId="177" fontId="35" fillId="19" borderId="0" xfId="16" applyNumberFormat="1" applyFont="1" applyFill="1" applyAlignment="1">
      <alignment horizontal="center"/>
    </xf>
    <xf numFmtId="168" fontId="77" fillId="46" borderId="0" xfId="16" applyNumberFormat="1" applyFont="1" applyFill="1" applyBorder="1" applyAlignment="1">
      <alignment horizontal="center"/>
    </xf>
    <xf numFmtId="0" fontId="8" fillId="0" borderId="253" xfId="0" applyFont="1" applyBorder="1" applyAlignment="1">
      <alignment horizontal="center"/>
    </xf>
    <xf numFmtId="0" fontId="8" fillId="0" borderId="247" xfId="0" applyFont="1" applyBorder="1" applyAlignment="1">
      <alignment horizontal="center"/>
    </xf>
    <xf numFmtId="3" fontId="69" fillId="38" borderId="39" xfId="0" applyNumberFormat="1" applyFont="1" applyFill="1" applyBorder="1" applyAlignment="1">
      <alignment horizontal="center" vertical="center"/>
    </xf>
    <xf numFmtId="0" fontId="83" fillId="0" borderId="257" xfId="0" applyFont="1" applyBorder="1" applyAlignment="1">
      <alignment horizontal="right" vertical="center" wrapText="1"/>
    </xf>
    <xf numFmtId="0" fontId="8" fillId="18" borderId="17" xfId="0" applyFont="1" applyFill="1" applyBorder="1" applyAlignment="1">
      <alignment vertical="center" wrapText="1"/>
    </xf>
    <xf numFmtId="0" fontId="34" fillId="18" borderId="17" xfId="0" applyFont="1" applyFill="1" applyBorder="1" applyAlignment="1">
      <alignment horizontal="center" vertical="center" wrapText="1"/>
    </xf>
    <xf numFmtId="0" fontId="8" fillId="0" borderId="97" xfId="26" applyBorder="1" applyAlignment="1">
      <alignment horizontal="center" vertical="center"/>
    </xf>
    <xf numFmtId="3" fontId="52" fillId="34" borderId="99" xfId="5" applyFont="1" applyFill="1" applyBorder="1" applyAlignment="1">
      <alignment horizontal="center" vertical="center"/>
    </xf>
    <xf numFmtId="3" fontId="52" fillId="34" borderId="100" xfId="5" applyFont="1" applyFill="1" applyBorder="1" applyAlignment="1">
      <alignment horizontal="center" vertical="center"/>
    </xf>
    <xf numFmtId="174" fontId="8" fillId="0" borderId="97" xfId="26" applyNumberFormat="1" applyBorder="1" applyAlignment="1">
      <alignment horizontal="center" vertical="center"/>
    </xf>
    <xf numFmtId="0" fontId="29" fillId="3" borderId="100" xfId="10" applyFont="1" applyBorder="1" applyAlignment="1">
      <alignment vertical="center"/>
    </xf>
    <xf numFmtId="10" fontId="71" fillId="35" borderId="97" xfId="26" applyNumberFormat="1" applyFont="1" applyFill="1" applyBorder="1" applyAlignment="1">
      <alignment horizontal="center" vertical="center"/>
    </xf>
    <xf numFmtId="10" fontId="71" fillId="35" borderId="97" xfId="26" applyNumberFormat="1" applyFont="1" applyFill="1" applyBorder="1" applyAlignment="1">
      <alignment vertical="center"/>
    </xf>
    <xf numFmtId="0" fontId="0" fillId="0" borderId="269" xfId="0" applyBorder="1" applyAlignment="1">
      <alignment wrapText="1"/>
    </xf>
    <xf numFmtId="0" fontId="8" fillId="3" borderId="98" xfId="10" applyFont="1" applyBorder="1" applyAlignment="1">
      <alignment horizontal="center" vertical="center"/>
    </xf>
    <xf numFmtId="170" fontId="8" fillId="3" borderId="271" xfId="6" applyFont="1" applyBorder="1" applyAlignment="1">
      <alignment horizontal="center" vertical="center"/>
    </xf>
    <xf numFmtId="0" fontId="8" fillId="0" borderId="268" xfId="10" applyFont="1" applyFill="1" applyBorder="1" applyAlignment="1">
      <alignment horizontal="center" vertical="center"/>
    </xf>
    <xf numFmtId="0" fontId="8" fillId="3" borderId="115" xfId="10" applyFont="1" applyBorder="1" applyAlignment="1">
      <alignment horizontal="center" vertical="center"/>
    </xf>
    <xf numFmtId="170" fontId="8" fillId="3" borderId="272" xfId="6" applyFont="1" applyBorder="1" applyAlignment="1">
      <alignment horizontal="center" vertical="center"/>
    </xf>
    <xf numFmtId="0" fontId="8" fillId="3" borderId="271" xfId="10" applyFont="1" applyBorder="1" applyAlignment="1">
      <alignment horizontal="center" vertical="center"/>
    </xf>
    <xf numFmtId="170" fontId="8" fillId="3" borderId="273" xfId="6" applyFont="1" applyBorder="1" applyAlignment="1">
      <alignment horizontal="center" vertical="center"/>
    </xf>
    <xf numFmtId="0" fontId="8" fillId="3" borderId="123" xfId="10" applyFont="1" applyBorder="1" applyAlignment="1">
      <alignment horizontal="center" vertical="center"/>
    </xf>
    <xf numFmtId="4" fontId="32" fillId="12" borderId="99" xfId="7" applyFont="1" applyFill="1" applyBorder="1" applyAlignment="1">
      <alignment horizontal="right" vertical="center"/>
    </xf>
    <xf numFmtId="4" fontId="8" fillId="3" borderId="97" xfId="7" applyFont="1" applyBorder="1" applyAlignment="1">
      <alignment horizontal="left" vertical="center" wrapText="1"/>
    </xf>
    <xf numFmtId="170" fontId="8" fillId="8" borderId="98" xfId="6" applyFont="1" applyFill="1" applyBorder="1" applyAlignment="1">
      <alignment horizontal="left" vertical="center" wrapText="1"/>
    </xf>
    <xf numFmtId="0" fontId="0" fillId="0" borderId="269" xfId="0" applyBorder="1" applyAlignment="1">
      <alignment horizontal="left" wrapText="1"/>
    </xf>
    <xf numFmtId="170" fontId="8" fillId="3" borderId="97" xfId="6" applyFont="1" applyBorder="1" applyAlignment="1">
      <alignment horizontal="left" vertical="center" wrapText="1"/>
    </xf>
    <xf numFmtId="170" fontId="8" fillId="8" borderId="97" xfId="6" applyFont="1" applyFill="1" applyBorder="1" applyAlignment="1">
      <alignment horizontal="left" vertical="center" wrapText="1"/>
    </xf>
    <xf numFmtId="3" fontId="13" fillId="34" borderId="99" xfId="5" applyFont="1" applyFill="1" applyBorder="1" applyAlignment="1">
      <alignment horizontal="left" vertical="center"/>
    </xf>
    <xf numFmtId="170" fontId="8" fillId="8" borderId="100" xfId="6" applyFont="1" applyFill="1" applyBorder="1" applyAlignment="1">
      <alignment horizontal="left" vertical="center" wrapText="1"/>
    </xf>
    <xf numFmtId="3" fontId="13" fillId="34" borderId="100" xfId="5" applyFont="1" applyFill="1" applyBorder="1" applyAlignment="1">
      <alignment horizontal="left" vertical="center" wrapText="1"/>
    </xf>
    <xf numFmtId="3" fontId="13" fillId="34" borderId="270" xfId="5" applyFont="1" applyFill="1" applyBorder="1" applyAlignment="1">
      <alignment horizontal="left" vertical="center" wrapText="1"/>
    </xf>
    <xf numFmtId="0" fontId="0" fillId="0" borderId="269" xfId="0" applyBorder="1" applyAlignment="1">
      <alignment horizontal="left"/>
    </xf>
    <xf numFmtId="4" fontId="8" fillId="0" borderId="97" xfId="7" applyFont="1" applyFill="1" applyBorder="1" applyAlignment="1">
      <alignment horizontal="left" vertical="center" wrapText="1"/>
    </xf>
    <xf numFmtId="0" fontId="0" fillId="0" borderId="0" xfId="0" applyAlignment="1">
      <alignment horizontal="left" vertical="center" wrapText="1"/>
    </xf>
    <xf numFmtId="3" fontId="13" fillId="34" borderId="99" xfId="5" applyFont="1" applyFill="1" applyBorder="1" applyAlignment="1">
      <alignment horizontal="left" vertical="center" wrapText="1"/>
    </xf>
    <xf numFmtId="3" fontId="13" fillId="34" borderId="267" xfId="5" applyFont="1" applyFill="1" applyBorder="1" applyAlignment="1">
      <alignment horizontal="left" vertical="center" wrapText="1"/>
    </xf>
    <xf numFmtId="0" fontId="0" fillId="0" borderId="269" xfId="0" applyBorder="1" applyAlignment="1">
      <alignment horizontal="left" vertical="center" wrapText="1"/>
    </xf>
    <xf numFmtId="170" fontId="8" fillId="8" borderId="268" xfId="6" applyFont="1" applyFill="1" applyBorder="1" applyAlignment="1">
      <alignment horizontal="left" vertical="center" wrapText="1"/>
    </xf>
    <xf numFmtId="4" fontId="8" fillId="34" borderId="99" xfId="7" applyFont="1" applyFill="1" applyBorder="1" applyAlignment="1">
      <alignment horizontal="left" vertical="center" wrapText="1"/>
    </xf>
    <xf numFmtId="170" fontId="8" fillId="8" borderId="271" xfId="6" applyFont="1" applyFill="1" applyBorder="1" applyAlignment="1">
      <alignment horizontal="left" vertical="center" wrapText="1"/>
    </xf>
    <xf numFmtId="170" fontId="8" fillId="8" borderId="273" xfId="6" applyFont="1" applyFill="1" applyBorder="1" applyAlignment="1">
      <alignment horizontal="left" vertical="center" wrapText="1"/>
    </xf>
    <xf numFmtId="0" fontId="0" fillId="0" borderId="0" xfId="0" applyAlignment="1">
      <alignment horizontal="left" wrapText="1"/>
    </xf>
    <xf numFmtId="170" fontId="8" fillId="8" borderId="123" xfId="6" applyFont="1" applyFill="1" applyBorder="1" applyAlignment="1">
      <alignment horizontal="left" vertical="center" wrapText="1"/>
    </xf>
    <xf numFmtId="170" fontId="8" fillId="8" borderId="114" xfId="6" applyFont="1" applyFill="1" applyBorder="1" applyAlignment="1">
      <alignment horizontal="left" vertical="center" wrapText="1"/>
    </xf>
    <xf numFmtId="4" fontId="8" fillId="3" borderId="268" xfId="7" applyFont="1" applyBorder="1" applyAlignment="1">
      <alignment horizontal="left" vertical="center" wrapText="1"/>
    </xf>
    <xf numFmtId="0" fontId="0" fillId="0" borderId="148" xfId="0" applyBorder="1" applyAlignment="1">
      <alignment wrapText="1"/>
    </xf>
    <xf numFmtId="0" fontId="8" fillId="0" borderId="98" xfId="26" applyBorder="1" applyAlignment="1">
      <alignment horizontal="center" vertical="center"/>
    </xf>
    <xf numFmtId="0" fontId="8" fillId="0" borderId="271" xfId="26" applyBorder="1" applyAlignment="1">
      <alignment horizontal="center" vertical="center"/>
    </xf>
    <xf numFmtId="0" fontId="0" fillId="0" borderId="269" xfId="0" applyBorder="1" applyAlignment="1">
      <alignment horizontal="center" vertical="center"/>
    </xf>
    <xf numFmtId="3" fontId="52" fillId="34" borderId="274" xfId="5" applyFont="1" applyFill="1" applyBorder="1" applyAlignment="1">
      <alignment horizontal="center" vertical="center"/>
    </xf>
    <xf numFmtId="0" fontId="8" fillId="0" borderId="269" xfId="26" applyBorder="1" applyAlignment="1">
      <alignment horizontal="center" vertical="center"/>
    </xf>
    <xf numFmtId="0" fontId="26" fillId="51" borderId="0" xfId="0" applyFont="1" applyFill="1" applyAlignment="1">
      <alignment horizontal="center" vertical="center"/>
    </xf>
    <xf numFmtId="0" fontId="26" fillId="0" borderId="0" xfId="26" applyFont="1" applyAlignment="1">
      <alignment horizontal="center" vertical="center"/>
    </xf>
    <xf numFmtId="0" fontId="0" fillId="0" borderId="269" xfId="26" applyFont="1" applyBorder="1" applyAlignment="1">
      <alignment horizontal="center" vertical="center"/>
    </xf>
    <xf numFmtId="0" fontId="0" fillId="0" borderId="271" xfId="26" applyFont="1" applyBorder="1" applyAlignment="1">
      <alignment horizontal="center" vertical="center"/>
    </xf>
    <xf numFmtId="0" fontId="86" fillId="0" borderId="0" xfId="0" applyFont="1"/>
    <xf numFmtId="0" fontId="47" fillId="16" borderId="51" xfId="0" applyFont="1" applyFill="1" applyBorder="1" applyAlignment="1">
      <alignment horizontal="center" vertical="center" wrapText="1"/>
    </xf>
    <xf numFmtId="1" fontId="54" fillId="0" borderId="40" xfId="0" applyNumberFormat="1" applyFont="1" applyBorder="1" applyAlignment="1">
      <alignment horizontal="left"/>
    </xf>
    <xf numFmtId="1" fontId="54" fillId="53" borderId="40" xfId="0" applyNumberFormat="1" applyFont="1" applyFill="1" applyBorder="1" applyAlignment="1">
      <alignment horizontal="left"/>
    </xf>
    <xf numFmtId="1" fontId="54" fillId="12" borderId="40" xfId="0" applyNumberFormat="1" applyFont="1" applyFill="1" applyBorder="1" applyAlignment="1">
      <alignment horizontal="left"/>
    </xf>
    <xf numFmtId="0" fontId="8" fillId="12" borderId="0" xfId="24" applyFill="1"/>
    <xf numFmtId="10" fontId="76" fillId="54" borderId="0" xfId="24" applyNumberFormat="1" applyFont="1" applyFill="1" applyAlignment="1">
      <alignment horizontal="center"/>
    </xf>
    <xf numFmtId="0" fontId="8" fillId="54" borderId="0" xfId="24" applyFill="1"/>
    <xf numFmtId="10" fontId="76" fillId="55" borderId="0" xfId="24" applyNumberFormat="1" applyFont="1" applyFill="1" applyAlignment="1">
      <alignment horizontal="center"/>
    </xf>
    <xf numFmtId="10" fontId="76" fillId="24" borderId="0" xfId="24" applyNumberFormat="1" applyFont="1" applyFill="1" applyAlignment="1">
      <alignment horizontal="center"/>
    </xf>
    <xf numFmtId="10" fontId="76" fillId="56" borderId="0" xfId="24" applyNumberFormat="1" applyFont="1" applyFill="1" applyAlignment="1">
      <alignment horizontal="center"/>
    </xf>
    <xf numFmtId="10" fontId="76" fillId="54" borderId="0" xfId="24" applyNumberFormat="1" applyFont="1" applyFill="1"/>
    <xf numFmtId="0" fontId="8" fillId="53" borderId="0" xfId="24" applyFill="1"/>
    <xf numFmtId="10" fontId="8" fillId="54" borderId="0" xfId="24" applyNumberFormat="1" applyFill="1" applyAlignment="1">
      <alignment horizontal="center" vertical="center"/>
    </xf>
    <xf numFmtId="168" fontId="77" fillId="46" borderId="0" xfId="16" applyNumberFormat="1" applyFont="1" applyFill="1" applyAlignment="1">
      <alignment horizontal="center"/>
    </xf>
    <xf numFmtId="3" fontId="8" fillId="0" borderId="205" xfId="0" applyNumberFormat="1" applyFont="1" applyBorder="1" applyAlignment="1">
      <alignment horizontal="center"/>
    </xf>
    <xf numFmtId="10" fontId="0" fillId="0" borderId="205" xfId="0" applyNumberFormat="1" applyBorder="1" applyAlignment="1">
      <alignment horizontal="center"/>
    </xf>
    <xf numFmtId="3" fontId="0" fillId="0" borderId="205" xfId="0" applyNumberFormat="1" applyBorder="1" applyAlignment="1">
      <alignment horizontal="center"/>
    </xf>
    <xf numFmtId="3" fontId="59" fillId="41" borderId="38" xfId="0" applyNumberFormat="1" applyFont="1" applyFill="1" applyBorder="1" applyAlignment="1">
      <alignment horizontal="center" vertical="center"/>
    </xf>
    <xf numFmtId="3" fontId="59" fillId="41" borderId="136" xfId="0" applyNumberFormat="1" applyFont="1" applyFill="1" applyBorder="1" applyAlignment="1">
      <alignment horizontal="center" vertical="center"/>
    </xf>
    <xf numFmtId="10" fontId="76" fillId="24" borderId="0" xfId="24" applyNumberFormat="1" applyFont="1" applyFill="1"/>
    <xf numFmtId="3" fontId="8" fillId="0" borderId="101" xfId="0" applyNumberFormat="1" applyFont="1" applyBorder="1" applyAlignment="1">
      <alignment horizontal="center"/>
    </xf>
    <xf numFmtId="0" fontId="0" fillId="0" borderId="277" xfId="0" applyBorder="1" applyAlignment="1">
      <alignment horizontal="center"/>
    </xf>
    <xf numFmtId="0" fontId="0" fillId="0" borderId="278" xfId="0" applyBorder="1" applyAlignment="1">
      <alignment horizontal="center"/>
    </xf>
    <xf numFmtId="0" fontId="0" fillId="0" borderId="253" xfId="0" applyBorder="1" applyAlignment="1">
      <alignment horizontal="center"/>
    </xf>
    <xf numFmtId="0" fontId="0" fillId="0" borderId="272" xfId="0" applyBorder="1" applyAlignment="1">
      <alignment horizontal="center"/>
    </xf>
    <xf numFmtId="10" fontId="0" fillId="0" borderId="40" xfId="0" applyNumberFormat="1" applyBorder="1" applyAlignment="1">
      <alignment horizontal="center"/>
    </xf>
    <xf numFmtId="10" fontId="8" fillId="0" borderId="40" xfId="0" applyNumberFormat="1" applyFont="1" applyBorder="1" applyAlignment="1">
      <alignment horizontal="center"/>
    </xf>
    <xf numFmtId="3" fontId="8" fillId="0" borderId="40" xfId="24" applyNumberFormat="1" applyBorder="1" applyAlignment="1">
      <alignment horizontal="center"/>
    </xf>
    <xf numFmtId="3" fontId="0" fillId="0" borderId="40" xfId="24" applyNumberFormat="1" applyFont="1" applyBorder="1" applyAlignment="1">
      <alignment horizontal="center"/>
    </xf>
    <xf numFmtId="3" fontId="0" fillId="0" borderId="40" xfId="0" applyNumberFormat="1" applyBorder="1" applyAlignment="1">
      <alignment horizontal="center"/>
    </xf>
    <xf numFmtId="3" fontId="0" fillId="0" borderId="163" xfId="16" applyNumberFormat="1" applyFont="1" applyBorder="1" applyAlignment="1">
      <alignment horizontal="center" vertical="center"/>
    </xf>
    <xf numFmtId="3" fontId="8" fillId="0" borderId="163" xfId="16" applyNumberFormat="1" applyFont="1" applyFill="1" applyBorder="1" applyAlignment="1">
      <alignment horizontal="center" vertical="center"/>
    </xf>
    <xf numFmtId="3" fontId="54" fillId="0" borderId="136" xfId="0" applyNumberFormat="1" applyFont="1" applyBorder="1" applyAlignment="1">
      <alignment horizontal="center" vertical="center"/>
    </xf>
    <xf numFmtId="3" fontId="54" fillId="0" borderId="40" xfId="0" applyNumberFormat="1" applyFont="1" applyBorder="1" applyAlignment="1">
      <alignment horizontal="center" vertical="center"/>
    </xf>
    <xf numFmtId="3" fontId="25" fillId="0" borderId="136" xfId="0" applyNumberFormat="1" applyFont="1" applyBorder="1" applyAlignment="1">
      <alignment horizontal="center" vertical="center"/>
    </xf>
    <xf numFmtId="3" fontId="25" fillId="0" borderId="40" xfId="0" applyNumberFormat="1" applyFont="1" applyBorder="1" applyAlignment="1">
      <alignment horizontal="center" vertical="center"/>
    </xf>
    <xf numFmtId="3" fontId="69" fillId="0" borderId="40" xfId="0" applyNumberFormat="1" applyFont="1" applyBorder="1" applyAlignment="1">
      <alignment horizontal="center" vertical="center"/>
    </xf>
    <xf numFmtId="3" fontId="62" fillId="0" borderId="136" xfId="0" applyNumberFormat="1" applyFont="1" applyBorder="1" applyAlignment="1">
      <alignment horizontal="center" vertical="center"/>
    </xf>
    <xf numFmtId="3" fontId="62" fillId="38" borderId="137" xfId="0" applyNumberFormat="1" applyFont="1" applyFill="1" applyBorder="1" applyAlignment="1">
      <alignment horizontal="center" vertical="center"/>
    </xf>
    <xf numFmtId="3" fontId="62" fillId="38" borderId="149" xfId="0" applyNumberFormat="1" applyFont="1" applyFill="1" applyBorder="1" applyAlignment="1">
      <alignment horizontal="center" vertical="center"/>
    </xf>
    <xf numFmtId="3" fontId="8" fillId="39" borderId="0" xfId="0" applyNumberFormat="1" applyFont="1" applyFill="1"/>
    <xf numFmtId="3" fontId="8" fillId="0" borderId="212" xfId="0" applyNumberFormat="1" applyFont="1" applyBorder="1" applyAlignment="1">
      <alignment horizontal="center" vertical="center"/>
    </xf>
    <xf numFmtId="3" fontId="8" fillId="0" borderId="213" xfId="0" applyNumberFormat="1" applyFont="1" applyBorder="1" applyAlignment="1">
      <alignment horizontal="center" vertical="center"/>
    </xf>
    <xf numFmtId="3" fontId="8" fillId="0" borderId="214" xfId="0" applyNumberFormat="1" applyFont="1" applyBorder="1" applyAlignment="1">
      <alignment horizontal="center" vertical="center"/>
    </xf>
    <xf numFmtId="3" fontId="8" fillId="0" borderId="215" xfId="0" applyNumberFormat="1" applyFont="1" applyBorder="1" applyAlignment="1">
      <alignment horizontal="center" vertical="center"/>
    </xf>
    <xf numFmtId="3" fontId="8" fillId="0" borderId="217" xfId="0" applyNumberFormat="1" applyFont="1" applyBorder="1" applyAlignment="1">
      <alignment horizontal="center" vertical="center"/>
    </xf>
    <xf numFmtId="3" fontId="8" fillId="0" borderId="3" xfId="0" applyNumberFormat="1" applyFont="1" applyBorder="1" applyAlignment="1">
      <alignment horizontal="center" vertical="center"/>
    </xf>
    <xf numFmtId="3" fontId="8" fillId="0" borderId="29" xfId="0" applyNumberFormat="1" applyFont="1" applyBorder="1" applyAlignment="1">
      <alignment horizontal="center" vertical="center"/>
    </xf>
    <xf numFmtId="3" fontId="8" fillId="0" borderId="157" xfId="0" applyNumberFormat="1" applyFont="1" applyBorder="1" applyAlignment="1">
      <alignment horizontal="center" vertical="center"/>
    </xf>
    <xf numFmtId="3" fontId="59" fillId="41" borderId="221" xfId="0" applyNumberFormat="1" applyFont="1" applyFill="1" applyBorder="1" applyAlignment="1">
      <alignment horizontal="center" vertical="center"/>
    </xf>
    <xf numFmtId="3" fontId="59" fillId="41" borderId="2" xfId="0" applyNumberFormat="1" applyFont="1" applyFill="1" applyBorder="1" applyAlignment="1">
      <alignment horizontal="center" vertical="center"/>
    </xf>
    <xf numFmtId="3" fontId="59" fillId="41" borderId="32" xfId="0" applyNumberFormat="1" applyFont="1" applyFill="1" applyBorder="1" applyAlignment="1">
      <alignment horizontal="center" vertical="center"/>
    </xf>
    <xf numFmtId="3" fontId="59" fillId="41" borderId="125" xfId="0" applyNumberFormat="1" applyFont="1" applyFill="1" applyBorder="1" applyAlignment="1">
      <alignment horizontal="center" vertical="center"/>
    </xf>
    <xf numFmtId="3" fontId="59" fillId="0" borderId="219" xfId="0" applyNumberFormat="1" applyFont="1" applyBorder="1" applyAlignment="1">
      <alignment horizontal="center" vertical="center"/>
    </xf>
    <xf numFmtId="3" fontId="59" fillId="41" borderId="219" xfId="0" applyNumberFormat="1" applyFont="1" applyFill="1" applyBorder="1" applyAlignment="1">
      <alignment horizontal="center" vertical="center"/>
    </xf>
    <xf numFmtId="3" fontId="59" fillId="41" borderId="40" xfId="0" applyNumberFormat="1" applyFont="1" applyFill="1" applyBorder="1" applyAlignment="1">
      <alignment horizontal="center" vertical="center"/>
    </xf>
    <xf numFmtId="3" fontId="8" fillId="0" borderId="223" xfId="0" quotePrefix="1" applyNumberFormat="1" applyFont="1" applyBorder="1" applyAlignment="1">
      <alignment horizontal="center" vertical="center"/>
    </xf>
    <xf numFmtId="3" fontId="8" fillId="0" borderId="40" xfId="0" quotePrefix="1" applyNumberFormat="1" applyFont="1" applyBorder="1" applyAlignment="1">
      <alignment horizontal="center" vertical="center"/>
    </xf>
    <xf numFmtId="3" fontId="8" fillId="0" borderId="39" xfId="0" quotePrefix="1" applyNumberFormat="1" applyFont="1" applyBorder="1" applyAlignment="1">
      <alignment horizontal="center" vertical="center"/>
    </xf>
    <xf numFmtId="3" fontId="8" fillId="0" borderId="207" xfId="0" quotePrefix="1" applyNumberFormat="1" applyFont="1" applyBorder="1" applyAlignment="1">
      <alignment horizontal="center" vertical="center"/>
    </xf>
    <xf numFmtId="3" fontId="59" fillId="0" borderId="125" xfId="0" applyNumberFormat="1" applyFont="1" applyBorder="1" applyAlignment="1">
      <alignment horizontal="center" vertical="center"/>
    </xf>
    <xf numFmtId="3" fontId="59" fillId="0" borderId="2" xfId="0" applyNumberFormat="1" applyFont="1" applyBorder="1" applyAlignment="1">
      <alignment horizontal="center" vertical="center"/>
    </xf>
    <xf numFmtId="3" fontId="8" fillId="39" borderId="110" xfId="0" applyNumberFormat="1" applyFont="1" applyFill="1" applyBorder="1"/>
    <xf numFmtId="3" fontId="8" fillId="0" borderId="216" xfId="0" applyNumberFormat="1" applyFont="1" applyBorder="1" applyAlignment="1">
      <alignment horizontal="center" vertical="center"/>
    </xf>
    <xf numFmtId="3" fontId="8" fillId="0" borderId="218" xfId="0" applyNumberFormat="1" applyFont="1" applyBorder="1" applyAlignment="1">
      <alignment horizontal="center" vertical="center"/>
    </xf>
    <xf numFmtId="3" fontId="59" fillId="0" borderId="220" xfId="0" applyNumberFormat="1" applyFont="1" applyBorder="1" applyAlignment="1">
      <alignment horizontal="center" vertical="center"/>
    </xf>
    <xf numFmtId="3" fontId="59" fillId="41" borderId="222" xfId="0" applyNumberFormat="1" applyFont="1" applyFill="1" applyBorder="1" applyAlignment="1">
      <alignment horizontal="center" vertical="center"/>
    </xf>
    <xf numFmtId="3" fontId="59" fillId="41" borderId="220" xfId="0" applyNumberFormat="1" applyFont="1" applyFill="1" applyBorder="1" applyAlignment="1">
      <alignment horizontal="center" vertical="center"/>
    </xf>
    <xf numFmtId="3" fontId="8" fillId="0" borderId="220" xfId="0" quotePrefix="1" applyNumberFormat="1" applyFont="1" applyBorder="1" applyAlignment="1">
      <alignment horizontal="center" vertical="center"/>
    </xf>
    <xf numFmtId="3" fontId="59" fillId="0" borderId="222" xfId="0" applyNumberFormat="1" applyFont="1" applyBorder="1" applyAlignment="1">
      <alignment horizontal="center" vertical="center"/>
    </xf>
    <xf numFmtId="3" fontId="13" fillId="0" borderId="33" xfId="0" applyNumberFormat="1" applyFont="1" applyBorder="1" applyAlignment="1">
      <alignment horizontal="center"/>
    </xf>
    <xf numFmtId="3" fontId="56" fillId="0" borderId="27" xfId="0" applyNumberFormat="1" applyFont="1" applyBorder="1"/>
    <xf numFmtId="3" fontId="54" fillId="40" borderId="125" xfId="0" applyNumberFormat="1" applyFont="1" applyFill="1" applyBorder="1" applyAlignment="1">
      <alignment horizontal="center" vertical="center"/>
    </xf>
    <xf numFmtId="3" fontId="54" fillId="40" borderId="2" xfId="0" applyNumberFormat="1" applyFont="1" applyFill="1" applyBorder="1" applyAlignment="1">
      <alignment horizontal="center" vertical="center"/>
    </xf>
    <xf numFmtId="3" fontId="54" fillId="40" borderId="32" xfId="0" applyNumberFormat="1" applyFont="1" applyFill="1" applyBorder="1" applyAlignment="1">
      <alignment horizontal="center" vertical="center"/>
    </xf>
    <xf numFmtId="3" fontId="54" fillId="40" borderId="188" xfId="0" applyNumberFormat="1" applyFont="1" applyFill="1" applyBorder="1" applyAlignment="1">
      <alignment horizontal="center" vertical="center"/>
    </xf>
    <xf numFmtId="3" fontId="54" fillId="40" borderId="106" xfId="0" applyNumberFormat="1" applyFont="1" applyFill="1" applyBorder="1" applyAlignment="1">
      <alignment horizontal="center" vertical="center"/>
    </xf>
    <xf numFmtId="3" fontId="54" fillId="40" borderId="156" xfId="0" applyNumberFormat="1" applyFont="1" applyFill="1" applyBorder="1" applyAlignment="1">
      <alignment horizontal="center" vertical="center"/>
    </xf>
    <xf numFmtId="3" fontId="54" fillId="40" borderId="163" xfId="0" applyNumberFormat="1" applyFont="1" applyFill="1" applyBorder="1" applyAlignment="1">
      <alignment horizontal="center" vertical="center"/>
    </xf>
    <xf numFmtId="3" fontId="54" fillId="40" borderId="136" xfId="0" applyNumberFormat="1" applyFont="1" applyFill="1" applyBorder="1" applyAlignment="1">
      <alignment horizontal="center" vertical="center"/>
    </xf>
    <xf numFmtId="3" fontId="54" fillId="40" borderId="40" xfId="0" applyNumberFormat="1" applyFont="1" applyFill="1" applyBorder="1" applyAlignment="1">
      <alignment horizontal="center" vertical="center"/>
    </xf>
    <xf numFmtId="3" fontId="54" fillId="40" borderId="38" xfId="0" applyNumberFormat="1" applyFont="1" applyFill="1" applyBorder="1" applyAlignment="1">
      <alignment horizontal="center" vertical="center"/>
    </xf>
    <xf numFmtId="3" fontId="54" fillId="40" borderId="33" xfId="0" applyNumberFormat="1" applyFont="1" applyFill="1" applyBorder="1" applyAlignment="1">
      <alignment horizontal="center" vertical="center"/>
    </xf>
    <xf numFmtId="3" fontId="54" fillId="40" borderId="126" xfId="0" applyNumberFormat="1" applyFont="1" applyFill="1" applyBorder="1" applyAlignment="1">
      <alignment horizontal="center" vertical="center"/>
    </xf>
    <xf numFmtId="3" fontId="13" fillId="0" borderId="31" xfId="0" applyNumberFormat="1" applyFont="1" applyBorder="1" applyAlignment="1">
      <alignment horizontal="center"/>
    </xf>
    <xf numFmtId="3" fontId="56" fillId="0" borderId="0" xfId="0" applyNumberFormat="1" applyFont="1"/>
    <xf numFmtId="3" fontId="59" fillId="40" borderId="137" xfId="0" applyNumberFormat="1" applyFont="1" applyFill="1" applyBorder="1" applyAlignment="1">
      <alignment horizontal="center" vertical="center"/>
    </xf>
    <xf numFmtId="3" fontId="59" fillId="40" borderId="149" xfId="0" applyNumberFormat="1" applyFont="1" applyFill="1" applyBorder="1" applyAlignment="1">
      <alignment horizontal="center" vertical="center"/>
    </xf>
    <xf numFmtId="3" fontId="54" fillId="40" borderId="152" xfId="0" applyNumberFormat="1" applyFont="1" applyFill="1" applyBorder="1" applyAlignment="1">
      <alignment horizontal="center" vertical="center"/>
    </xf>
    <xf numFmtId="3" fontId="54" fillId="40" borderId="128" xfId="0" applyNumberFormat="1" applyFont="1" applyFill="1" applyBorder="1" applyAlignment="1">
      <alignment horizontal="center" vertical="center"/>
    </xf>
    <xf numFmtId="3" fontId="54" fillId="40" borderId="129" xfId="0" applyNumberFormat="1" applyFont="1" applyFill="1" applyBorder="1" applyAlignment="1">
      <alignment horizontal="center" vertical="center"/>
    </xf>
    <xf numFmtId="3" fontId="54" fillId="40" borderId="130" xfId="0" applyNumberFormat="1" applyFont="1" applyFill="1" applyBorder="1" applyAlignment="1">
      <alignment horizontal="center" vertical="center"/>
    </xf>
    <xf numFmtId="3" fontId="56" fillId="12" borderId="115" xfId="0" applyNumberFormat="1" applyFont="1" applyFill="1" applyBorder="1"/>
    <xf numFmtId="3" fontId="13" fillId="12" borderId="109" xfId="0" applyNumberFormat="1" applyFont="1" applyFill="1" applyBorder="1" applyAlignment="1">
      <alignment horizontal="center"/>
    </xf>
    <xf numFmtId="3" fontId="56" fillId="12" borderId="109" xfId="0" applyNumberFormat="1" applyFont="1" applyFill="1" applyBorder="1"/>
    <xf numFmtId="3" fontId="56" fillId="0" borderId="33" xfId="0" applyNumberFormat="1" applyFont="1" applyBorder="1" applyAlignment="1">
      <alignment horizontal="center"/>
    </xf>
    <xf numFmtId="3" fontId="54" fillId="40" borderId="133" xfId="0" applyNumberFormat="1" applyFont="1" applyFill="1" applyBorder="1" applyAlignment="1">
      <alignment horizontal="center" vertical="center"/>
    </xf>
    <xf numFmtId="3" fontId="54" fillId="40" borderId="134" xfId="0" applyNumberFormat="1" applyFont="1" applyFill="1" applyBorder="1" applyAlignment="1">
      <alignment horizontal="center" vertical="center"/>
    </xf>
    <xf numFmtId="3" fontId="54" fillId="40" borderId="151" xfId="0" applyNumberFormat="1" applyFont="1" applyFill="1" applyBorder="1" applyAlignment="1">
      <alignment horizontal="center" vertical="center"/>
    </xf>
    <xf numFmtId="3" fontId="0" fillId="0" borderId="133" xfId="0" applyNumberFormat="1" applyBorder="1" applyAlignment="1">
      <alignment horizontal="center" vertical="center"/>
    </xf>
    <xf numFmtId="3" fontId="0" fillId="0" borderId="134" xfId="0" applyNumberFormat="1" applyBorder="1" applyAlignment="1">
      <alignment horizontal="center" vertical="center"/>
    </xf>
    <xf numFmtId="3" fontId="0" fillId="0" borderId="135" xfId="0" applyNumberFormat="1" applyBorder="1" applyAlignment="1">
      <alignment horizontal="center" vertical="center"/>
    </xf>
    <xf numFmtId="3" fontId="0" fillId="0" borderId="164" xfId="0" applyNumberFormat="1" applyBorder="1" applyAlignment="1">
      <alignment horizontal="center" vertical="center"/>
    </xf>
    <xf numFmtId="3" fontId="0" fillId="0" borderId="136" xfId="0" applyNumberFormat="1" applyBorder="1" applyAlignment="1">
      <alignment horizontal="center" vertical="center"/>
    </xf>
    <xf numFmtId="3" fontId="0" fillId="0" borderId="39" xfId="0" applyNumberFormat="1" applyBorder="1" applyAlignment="1">
      <alignment horizontal="center" vertical="center"/>
    </xf>
    <xf numFmtId="3" fontId="56" fillId="0" borderId="31" xfId="0" applyNumberFormat="1" applyFont="1" applyBorder="1" applyAlignment="1">
      <alignment horizontal="center"/>
    </xf>
    <xf numFmtId="3" fontId="54" fillId="40" borderId="29" xfId="0" applyNumberFormat="1" applyFont="1" applyFill="1" applyBorder="1" applyAlignment="1">
      <alignment horizontal="center" vertical="center"/>
    </xf>
    <xf numFmtId="3" fontId="0" fillId="0" borderId="157" xfId="0" applyNumberFormat="1" applyBorder="1" applyAlignment="1">
      <alignment horizontal="center" vertical="center"/>
    </xf>
    <xf numFmtId="3" fontId="0" fillId="0" borderId="3" xfId="0" applyNumberFormat="1" applyBorder="1" applyAlignment="1">
      <alignment horizontal="center" vertical="center"/>
    </xf>
    <xf numFmtId="3" fontId="0" fillId="0" borderId="162" xfId="0" applyNumberFormat="1" applyBorder="1" applyAlignment="1">
      <alignment horizontal="center" vertical="center"/>
    </xf>
    <xf numFmtId="3" fontId="0" fillId="0" borderId="30" xfId="0" applyNumberFormat="1" applyBorder="1" applyAlignment="1">
      <alignment horizontal="center" vertical="center"/>
    </xf>
    <xf numFmtId="3" fontId="54" fillId="0" borderId="126" xfId="0" applyNumberFormat="1" applyFont="1" applyBorder="1" applyAlignment="1">
      <alignment horizontal="center" vertical="center"/>
    </xf>
    <xf numFmtId="3" fontId="54" fillId="0" borderId="2" xfId="0" applyNumberFormat="1" applyFont="1" applyBorder="1" applyAlignment="1">
      <alignment horizontal="center" vertical="center"/>
    </xf>
    <xf numFmtId="3" fontId="54" fillId="0" borderId="155" xfId="0" applyNumberFormat="1" applyFont="1" applyBorder="1" applyAlignment="1">
      <alignment horizontal="center" vertical="center"/>
    </xf>
    <xf numFmtId="3" fontId="54" fillId="0" borderId="133" xfId="0" applyNumberFormat="1" applyFont="1" applyBorder="1" applyAlignment="1">
      <alignment horizontal="center" vertical="center"/>
    </xf>
    <xf numFmtId="3" fontId="54" fillId="0" borderId="134" xfId="0" applyNumberFormat="1" applyFont="1" applyBorder="1" applyAlignment="1">
      <alignment horizontal="center" vertical="center"/>
    </xf>
    <xf numFmtId="3" fontId="54" fillId="0" borderId="135" xfId="0" applyNumberFormat="1" applyFont="1" applyBorder="1" applyAlignment="1">
      <alignment horizontal="center" vertical="center"/>
    </xf>
    <xf numFmtId="3" fontId="54" fillId="0" borderId="186" xfId="0" applyNumberFormat="1" applyFont="1" applyBorder="1"/>
    <xf numFmtId="3" fontId="54" fillId="0" borderId="30" xfId="0" applyNumberFormat="1" applyFont="1" applyBorder="1"/>
    <xf numFmtId="3" fontId="5" fillId="0" borderId="187" xfId="29" applyNumberFormat="1" applyBorder="1" applyAlignment="1">
      <alignment horizontal="center"/>
    </xf>
    <xf numFmtId="3" fontId="5" fillId="0" borderId="155" xfId="29" applyNumberFormat="1" applyBorder="1" applyAlignment="1">
      <alignment horizontal="center"/>
    </xf>
    <xf numFmtId="3" fontId="54" fillId="0" borderId="37" xfId="0" applyNumberFormat="1" applyFont="1" applyBorder="1"/>
    <xf numFmtId="3" fontId="5" fillId="0" borderId="0" xfId="29" quotePrefix="1" applyNumberFormat="1" applyAlignment="1">
      <alignment horizontal="right"/>
    </xf>
    <xf numFmtId="3" fontId="5" fillId="0" borderId="162" xfId="29" applyNumberFormat="1" applyBorder="1" applyAlignment="1">
      <alignment horizontal="center"/>
    </xf>
    <xf numFmtId="3" fontId="5" fillId="0" borderId="157" xfId="29" applyNumberFormat="1" applyBorder="1" applyAlignment="1">
      <alignment horizontal="center"/>
    </xf>
    <xf numFmtId="3" fontId="5" fillId="0" borderId="3" xfId="29" applyNumberFormat="1" applyBorder="1" applyAlignment="1">
      <alignment horizontal="center"/>
    </xf>
    <xf numFmtId="3" fontId="5" fillId="0" borderId="137" xfId="29" applyNumberFormat="1" applyBorder="1" applyAlignment="1">
      <alignment horizontal="center"/>
    </xf>
    <xf numFmtId="3" fontId="5" fillId="0" borderId="149" xfId="29" applyNumberFormat="1" applyBorder="1" applyAlignment="1">
      <alignment horizontal="center"/>
    </xf>
    <xf numFmtId="3" fontId="5" fillId="0" borderId="150" xfId="29" applyNumberFormat="1" applyBorder="1" applyAlignment="1">
      <alignment horizontal="center"/>
    </xf>
    <xf numFmtId="3" fontId="8" fillId="0" borderId="33" xfId="0" applyNumberFormat="1" applyFont="1" applyBorder="1" applyAlignment="1">
      <alignment horizontal="center"/>
    </xf>
    <xf numFmtId="3" fontId="8" fillId="0" borderId="27" xfId="0" applyNumberFormat="1" applyFont="1" applyBorder="1" applyAlignment="1">
      <alignment horizontal="center"/>
    </xf>
    <xf numFmtId="3" fontId="0" fillId="0" borderId="103" xfId="0" applyNumberFormat="1" applyBorder="1" applyAlignment="1">
      <alignment horizontal="center"/>
    </xf>
    <xf numFmtId="3" fontId="8" fillId="0" borderId="40" xfId="0" applyNumberFormat="1" applyFont="1" applyBorder="1" applyAlignment="1">
      <alignment horizontal="center"/>
    </xf>
    <xf numFmtId="3" fontId="8" fillId="0" borderId="31" xfId="0" applyNumberFormat="1" applyFont="1" applyBorder="1" applyAlignment="1">
      <alignment horizontal="center"/>
    </xf>
    <xf numFmtId="3" fontId="8" fillId="0" borderId="161" xfId="0" applyNumberFormat="1" applyFont="1" applyBorder="1" applyAlignment="1">
      <alignment horizontal="center"/>
    </xf>
    <xf numFmtId="3" fontId="8" fillId="0" borderId="252" xfId="24" applyNumberFormat="1" applyBorder="1" applyAlignment="1">
      <alignment horizontal="center"/>
    </xf>
    <xf numFmtId="3" fontId="0" fillId="0" borderId="31" xfId="0" applyNumberFormat="1" applyBorder="1" applyAlignment="1">
      <alignment horizontal="center"/>
    </xf>
    <xf numFmtId="1" fontId="54" fillId="52" borderId="3" xfId="0" applyNumberFormat="1" applyFont="1" applyFill="1" applyBorder="1" applyAlignment="1">
      <alignment horizontal="left"/>
    </xf>
    <xf numFmtId="0" fontId="8" fillId="57" borderId="40" xfId="24" applyFill="1" applyBorder="1"/>
    <xf numFmtId="169" fontId="0" fillId="0" borderId="31" xfId="0" applyNumberFormat="1" applyBorder="1" applyAlignment="1">
      <alignment horizontal="center"/>
    </xf>
    <xf numFmtId="0" fontId="0" fillId="48" borderId="40" xfId="0" applyFill="1" applyBorder="1" applyAlignment="1">
      <alignment horizontal="center"/>
    </xf>
    <xf numFmtId="169" fontId="8" fillId="0" borderId="0" xfId="24" applyNumberFormat="1"/>
    <xf numFmtId="10" fontId="8" fillId="0" borderId="133" xfId="16" applyNumberFormat="1" applyFont="1" applyFill="1" applyBorder="1" applyAlignment="1">
      <alignment horizontal="center" vertical="center"/>
    </xf>
    <xf numFmtId="10" fontId="0" fillId="0" borderId="133" xfId="16" applyNumberFormat="1" applyFont="1" applyBorder="1" applyAlignment="1">
      <alignment horizontal="center" vertical="center"/>
    </xf>
    <xf numFmtId="10" fontId="33" fillId="43" borderId="151" xfId="30" applyNumberFormat="1" applyFont="1" applyFill="1" applyBorder="1" applyAlignment="1">
      <alignment horizontal="center" vertical="center"/>
    </xf>
    <xf numFmtId="10" fontId="33" fillId="43" borderId="134" xfId="30" applyNumberFormat="1" applyFont="1" applyFill="1" applyBorder="1" applyAlignment="1">
      <alignment horizontal="center" vertical="center"/>
    </xf>
    <xf numFmtId="10" fontId="33" fillId="38" borderId="164" xfId="16" applyNumberFormat="1" applyFont="1" applyFill="1" applyBorder="1" applyAlignment="1">
      <alignment horizontal="center" vertical="center"/>
    </xf>
    <xf numFmtId="10" fontId="33" fillId="0" borderId="136" xfId="16" applyNumberFormat="1" applyFont="1" applyFill="1" applyBorder="1" applyAlignment="1">
      <alignment horizontal="center" vertical="center"/>
    </xf>
    <xf numFmtId="0" fontId="56" fillId="0" borderId="107" xfId="0" applyFont="1" applyBorder="1" applyAlignment="1">
      <alignment horizontal="center" vertical="center"/>
    </xf>
    <xf numFmtId="0" fontId="0" fillId="0" borderId="255" xfId="0" applyBorder="1"/>
    <xf numFmtId="0" fontId="8" fillId="42" borderId="40" xfId="0" applyFont="1" applyFill="1" applyBorder="1"/>
    <xf numFmtId="0" fontId="8" fillId="42" borderId="39" xfId="0" applyFont="1" applyFill="1" applyBorder="1" applyAlignment="1">
      <alignment horizontal="center"/>
    </xf>
    <xf numFmtId="0" fontId="8" fillId="42" borderId="1" xfId="0" applyFont="1" applyFill="1" applyBorder="1" applyAlignment="1">
      <alignment horizontal="center"/>
    </xf>
    <xf numFmtId="0" fontId="8" fillId="8" borderId="2" xfId="0" applyFont="1" applyFill="1" applyBorder="1"/>
    <xf numFmtId="0" fontId="8" fillId="8" borderId="33" xfId="0" applyFont="1" applyFill="1" applyBorder="1" applyAlignment="1">
      <alignment horizontal="center"/>
    </xf>
    <xf numFmtId="0" fontId="8" fillId="8" borderId="27" xfId="0" applyFont="1" applyFill="1" applyBorder="1" applyAlignment="1">
      <alignment horizontal="center"/>
    </xf>
    <xf numFmtId="0" fontId="8" fillId="8" borderId="4" xfId="0" applyFont="1" applyFill="1" applyBorder="1"/>
    <xf numFmtId="0" fontId="8" fillId="8" borderId="31" xfId="0" applyFont="1" applyFill="1" applyBorder="1" applyAlignment="1">
      <alignment horizontal="center"/>
    </xf>
    <xf numFmtId="0" fontId="8" fillId="8" borderId="161" xfId="0" applyFont="1" applyFill="1" applyBorder="1"/>
    <xf numFmtId="0" fontId="8" fillId="8" borderId="103" xfId="0" applyFont="1" applyFill="1" applyBorder="1" applyAlignment="1">
      <alignment horizontal="center"/>
    </xf>
    <xf numFmtId="0" fontId="8" fillId="8" borderId="161" xfId="0" applyFont="1" applyFill="1" applyBorder="1" applyAlignment="1">
      <alignment horizontal="center"/>
    </xf>
    <xf numFmtId="0" fontId="8" fillId="8" borderId="252" xfId="24" applyFill="1" applyBorder="1" applyAlignment="1">
      <alignment horizontal="center"/>
    </xf>
    <xf numFmtId="0" fontId="8" fillId="8" borderId="205" xfId="0" applyFont="1" applyFill="1" applyBorder="1" applyAlignment="1">
      <alignment horizontal="center"/>
    </xf>
    <xf numFmtId="0" fontId="8" fillId="8" borderId="40" xfId="0" applyFont="1" applyFill="1" applyBorder="1" applyAlignment="1">
      <alignment horizontal="center"/>
    </xf>
    <xf numFmtId="0" fontId="0" fillId="8" borderId="31" xfId="0" applyFill="1" applyBorder="1" applyAlignment="1">
      <alignment horizontal="center"/>
    </xf>
    <xf numFmtId="0" fontId="8" fillId="8" borderId="0" xfId="0" applyFont="1" applyFill="1" applyAlignment="1">
      <alignment horizontal="center"/>
    </xf>
    <xf numFmtId="0" fontId="0" fillId="8" borderId="40" xfId="0" applyFill="1" applyBorder="1" applyAlignment="1">
      <alignment horizontal="center"/>
    </xf>
    <xf numFmtId="0" fontId="8" fillId="8" borderId="103" xfId="0" applyFont="1" applyFill="1" applyBorder="1"/>
    <xf numFmtId="3" fontId="8" fillId="8" borderId="103" xfId="0" applyNumberFormat="1" applyFont="1" applyFill="1" applyBorder="1" applyAlignment="1">
      <alignment horizontal="center"/>
    </xf>
    <xf numFmtId="0" fontId="8" fillId="8" borderId="106" xfId="0" applyFont="1" applyFill="1" applyBorder="1" applyAlignment="1">
      <alignment horizontal="center"/>
    </xf>
    <xf numFmtId="0" fontId="13" fillId="8" borderId="168" xfId="0" applyFont="1" applyFill="1" applyBorder="1" applyAlignment="1">
      <alignment vertical="center" wrapText="1"/>
    </xf>
    <xf numFmtId="0" fontId="13" fillId="8" borderId="165" xfId="0" applyFont="1" applyFill="1" applyBorder="1" applyAlignment="1">
      <alignment vertical="center" wrapText="1"/>
    </xf>
    <xf numFmtId="0" fontId="13" fillId="8" borderId="168" xfId="0" applyFont="1" applyFill="1" applyBorder="1" applyAlignment="1">
      <alignment horizontal="left"/>
    </xf>
    <xf numFmtId="0" fontId="13" fillId="8" borderId="165" xfId="0" applyFont="1" applyFill="1" applyBorder="1" applyAlignment="1">
      <alignment horizontal="left"/>
    </xf>
    <xf numFmtId="169" fontId="8" fillId="8" borderId="82" xfId="0" applyNumberFormat="1" applyFont="1" applyFill="1" applyBorder="1" applyAlignment="1">
      <alignment horizontal="center"/>
    </xf>
    <xf numFmtId="173" fontId="0" fillId="0" borderId="84" xfId="0" applyNumberFormat="1" applyBorder="1" applyAlignment="1">
      <alignment horizontal="center" wrapText="1"/>
    </xf>
    <xf numFmtId="9" fontId="0" fillId="23" borderId="84" xfId="16" applyFont="1" applyFill="1" applyBorder="1" applyAlignment="1">
      <alignment horizontal="center"/>
    </xf>
    <xf numFmtId="9" fontId="8" fillId="23" borderId="83" xfId="16" applyFont="1" applyFill="1" applyBorder="1" applyAlignment="1">
      <alignment horizontal="center"/>
    </xf>
    <xf numFmtId="169" fontId="0" fillId="12" borderId="84" xfId="0" applyNumberFormat="1" applyFill="1" applyBorder="1" applyAlignment="1">
      <alignment horizontal="center"/>
    </xf>
    <xf numFmtId="170" fontId="8" fillId="0" borderId="31" xfId="0" applyNumberFormat="1" applyFont="1" applyBorder="1" applyAlignment="1">
      <alignment horizontal="center"/>
    </xf>
    <xf numFmtId="0" fontId="0" fillId="0" borderId="0" xfId="24" applyFont="1"/>
    <xf numFmtId="10" fontId="0" fillId="0" borderId="132" xfId="0" applyNumberFormat="1" applyBorder="1" applyAlignment="1">
      <alignment horizontal="center" vertical="center"/>
    </xf>
    <xf numFmtId="173" fontId="0" fillId="8" borderId="46" xfId="0" applyNumberFormat="1" applyFill="1" applyBorder="1" applyAlignment="1">
      <alignment horizontal="center"/>
    </xf>
    <xf numFmtId="0" fontId="87" fillId="0" borderId="51" xfId="0" applyFont="1" applyBorder="1" applyAlignment="1">
      <alignment vertical="center" wrapText="1"/>
    </xf>
    <xf numFmtId="0" fontId="0" fillId="0" borderId="282" xfId="0" applyBorder="1"/>
    <xf numFmtId="0" fontId="0" fillId="0" borderId="283" xfId="0" applyBorder="1"/>
    <xf numFmtId="0" fontId="40" fillId="12" borderId="285" xfId="0" applyFont="1" applyFill="1" applyBorder="1" applyAlignment="1">
      <alignment horizontal="center" vertical="center" wrapText="1"/>
    </xf>
    <xf numFmtId="0" fontId="13" fillId="8" borderId="17" xfId="0" applyFont="1" applyFill="1" applyBorder="1" applyAlignment="1">
      <alignment vertical="center" wrapText="1"/>
    </xf>
    <xf numFmtId="10" fontId="8" fillId="12" borderId="83" xfId="16" applyNumberFormat="1" applyFont="1" applyFill="1" applyBorder="1" applyAlignment="1">
      <alignment horizontal="center"/>
    </xf>
    <xf numFmtId="2" fontId="0" fillId="31" borderId="59" xfId="0" applyNumberFormat="1" applyFill="1" applyBorder="1" applyAlignment="1">
      <alignment horizontal="center"/>
    </xf>
    <xf numFmtId="0" fontId="47" fillId="23" borderId="287" xfId="0" applyFont="1" applyFill="1" applyBorder="1" applyAlignment="1">
      <alignment horizontal="center" vertical="center" wrapText="1"/>
    </xf>
    <xf numFmtId="0" fontId="0" fillId="32" borderId="286" xfId="0" applyFill="1" applyBorder="1"/>
    <xf numFmtId="173" fontId="0" fillId="0" borderId="288" xfId="0" applyNumberFormat="1" applyBorder="1" applyAlignment="1">
      <alignment horizontal="center"/>
    </xf>
    <xf numFmtId="0" fontId="0" fillId="32" borderId="288" xfId="0" applyFill="1" applyBorder="1"/>
    <xf numFmtId="173" fontId="0" fillId="0" borderId="289" xfId="0" applyNumberFormat="1" applyBorder="1" applyAlignment="1">
      <alignment horizontal="center"/>
    </xf>
    <xf numFmtId="9" fontId="25" fillId="0" borderId="84" xfId="16" applyFont="1" applyFill="1" applyBorder="1" applyAlignment="1">
      <alignment horizontal="center"/>
    </xf>
    <xf numFmtId="2" fontId="25" fillId="17" borderId="84" xfId="0" applyNumberFormat="1" applyFont="1" applyFill="1" applyBorder="1" applyAlignment="1">
      <alignment horizontal="center"/>
    </xf>
    <xf numFmtId="2" fontId="25" fillId="0" borderId="84" xfId="0" applyNumberFormat="1" applyFont="1" applyBorder="1" applyAlignment="1">
      <alignment horizontal="center"/>
    </xf>
    <xf numFmtId="169" fontId="25" fillId="0" borderId="82" xfId="0" applyNumberFormat="1" applyFont="1" applyBorder="1" applyAlignment="1">
      <alignment horizontal="center"/>
    </xf>
    <xf numFmtId="169" fontId="25" fillId="0" borderId="83" xfId="0" applyNumberFormat="1" applyFont="1" applyBorder="1" applyAlignment="1">
      <alignment horizontal="center"/>
    </xf>
    <xf numFmtId="2" fontId="25" fillId="17" borderId="84" xfId="16" applyNumberFormat="1" applyFont="1" applyFill="1" applyBorder="1" applyAlignment="1">
      <alignment horizontal="center"/>
    </xf>
    <xf numFmtId="0" fontId="13" fillId="58" borderId="277" xfId="0" applyFont="1" applyFill="1" applyBorder="1" applyAlignment="1">
      <alignment horizontal="center"/>
    </xf>
    <xf numFmtId="2" fontId="0" fillId="0" borderId="0" xfId="0" applyNumberFormat="1" applyAlignment="1">
      <alignment horizontal="center"/>
    </xf>
    <xf numFmtId="2" fontId="8" fillId="0" borderId="0" xfId="0" applyNumberFormat="1" applyFont="1" applyAlignment="1">
      <alignment horizontal="center"/>
    </xf>
    <xf numFmtId="10" fontId="8" fillId="0" borderId="0" xfId="0" applyNumberFormat="1" applyFont="1" applyAlignment="1">
      <alignment horizontal="center"/>
    </xf>
    <xf numFmtId="3" fontId="8" fillId="0" borderId="0" xfId="24" applyNumberFormat="1"/>
    <xf numFmtId="10" fontId="8" fillId="58" borderId="269" xfId="0" applyNumberFormat="1" applyFont="1" applyFill="1" applyBorder="1" applyAlignment="1">
      <alignment horizontal="center"/>
    </xf>
    <xf numFmtId="10" fontId="0" fillId="0" borderId="269" xfId="0" applyNumberFormat="1" applyBorder="1" applyAlignment="1">
      <alignment horizontal="center"/>
    </xf>
    <xf numFmtId="10" fontId="0" fillId="53" borderId="269" xfId="0" applyNumberFormat="1" applyFill="1" applyBorder="1" applyAlignment="1">
      <alignment horizontal="center"/>
    </xf>
    <xf numFmtId="2" fontId="8" fillId="58" borderId="269" xfId="0" applyNumberFormat="1" applyFont="1" applyFill="1" applyBorder="1" applyAlignment="1">
      <alignment horizontal="center"/>
    </xf>
    <xf numFmtId="2" fontId="0" fillId="58" borderId="269" xfId="0" applyNumberFormat="1" applyFill="1" applyBorder="1" applyAlignment="1">
      <alignment horizontal="center"/>
    </xf>
    <xf numFmtId="10" fontId="0" fillId="0" borderId="148" xfId="0" applyNumberFormat="1" applyBorder="1" applyAlignment="1">
      <alignment horizontal="center"/>
    </xf>
    <xf numFmtId="10" fontId="0" fillId="53" borderId="148" xfId="0" applyNumberFormat="1" applyFill="1" applyBorder="1" applyAlignment="1">
      <alignment horizontal="center"/>
    </xf>
    <xf numFmtId="0" fontId="13" fillId="58" borderId="273" xfId="0" applyFont="1" applyFill="1" applyBorder="1" applyAlignment="1">
      <alignment horizontal="center"/>
    </xf>
    <xf numFmtId="2" fontId="13" fillId="58" borderId="273" xfId="0" applyNumberFormat="1" applyFont="1" applyFill="1" applyBorder="1" applyAlignment="1">
      <alignment horizontal="center"/>
    </xf>
    <xf numFmtId="10" fontId="8" fillId="58" borderId="273" xfId="0" applyNumberFormat="1" applyFont="1" applyFill="1" applyBorder="1" applyAlignment="1">
      <alignment horizontal="center"/>
    </xf>
    <xf numFmtId="2" fontId="8" fillId="58" borderId="273" xfId="0" applyNumberFormat="1" applyFont="1" applyFill="1" applyBorder="1" applyAlignment="1">
      <alignment horizontal="center"/>
    </xf>
    <xf numFmtId="3" fontId="0" fillId="0" borderId="273" xfId="0" applyNumberFormat="1" applyBorder="1" applyAlignment="1">
      <alignment horizontal="center"/>
    </xf>
    <xf numFmtId="2" fontId="0" fillId="58" borderId="273" xfId="0" applyNumberFormat="1" applyFill="1" applyBorder="1" applyAlignment="1">
      <alignment horizontal="center"/>
    </xf>
    <xf numFmtId="3" fontId="8" fillId="53" borderId="273" xfId="24" applyNumberFormat="1" applyFill="1" applyBorder="1"/>
    <xf numFmtId="3" fontId="8" fillId="0" borderId="273" xfId="0" applyNumberFormat="1" applyFont="1" applyBorder="1" applyAlignment="1">
      <alignment horizontal="center"/>
    </xf>
    <xf numFmtId="49" fontId="13" fillId="58" borderId="273" xfId="0" applyNumberFormat="1" applyFont="1" applyFill="1" applyBorder="1" applyAlignment="1">
      <alignment horizontal="center"/>
    </xf>
    <xf numFmtId="9" fontId="8" fillId="53" borderId="273" xfId="16" applyFill="1" applyBorder="1"/>
    <xf numFmtId="10" fontId="0" fillId="0" borderId="273" xfId="0" applyNumberFormat="1" applyBorder="1" applyAlignment="1">
      <alignment horizontal="center"/>
    </xf>
    <xf numFmtId="10" fontId="0" fillId="53" borderId="273" xfId="0" applyNumberFormat="1" applyFill="1" applyBorder="1" applyAlignment="1">
      <alignment horizontal="center"/>
    </xf>
    <xf numFmtId="10" fontId="0" fillId="0" borderId="149" xfId="0" applyNumberFormat="1" applyBorder="1" applyAlignment="1">
      <alignment horizontal="center"/>
    </xf>
    <xf numFmtId="172" fontId="0" fillId="17" borderId="84" xfId="0" applyNumberFormat="1" applyFill="1" applyBorder="1" applyAlignment="1">
      <alignment horizontal="center"/>
    </xf>
    <xf numFmtId="9" fontId="54" fillId="0" borderId="0" xfId="16" applyFont="1"/>
    <xf numFmtId="9" fontId="8" fillId="0" borderId="0" xfId="0" applyNumberFormat="1" applyFont="1"/>
    <xf numFmtId="10" fontId="64" fillId="8" borderId="48" xfId="0" applyNumberFormat="1" applyFont="1" applyFill="1" applyBorder="1" applyAlignment="1">
      <alignment horizontal="center" vertical="center"/>
    </xf>
    <xf numFmtId="0" fontId="0" fillId="0" borderId="252" xfId="0" applyBorder="1"/>
    <xf numFmtId="3" fontId="54" fillId="0" borderId="103" xfId="0" applyNumberFormat="1" applyFont="1" applyBorder="1" applyAlignment="1">
      <alignment horizontal="center" vertical="center"/>
    </xf>
    <xf numFmtId="1" fontId="54" fillId="0" borderId="103" xfId="0" applyNumberFormat="1" applyFont="1" applyBorder="1" applyAlignment="1">
      <alignment horizontal="center" vertical="center"/>
    </xf>
    <xf numFmtId="10" fontId="33" fillId="0" borderId="103" xfId="16" applyNumberFormat="1" applyFont="1" applyFill="1" applyBorder="1" applyAlignment="1">
      <alignment horizontal="center" vertical="center"/>
    </xf>
    <xf numFmtId="3" fontId="25" fillId="0" borderId="103" xfId="0" applyNumberFormat="1" applyFont="1" applyBorder="1" applyAlignment="1">
      <alignment horizontal="center" vertical="center"/>
    </xf>
    <xf numFmtId="3" fontId="69" fillId="0" borderId="103" xfId="0" applyNumberFormat="1" applyFont="1" applyBorder="1" applyAlignment="1">
      <alignment horizontal="center" vertical="center"/>
    </xf>
    <xf numFmtId="3" fontId="62" fillId="0" borderId="103" xfId="0" applyNumberFormat="1" applyFont="1" applyBorder="1" applyAlignment="1">
      <alignment horizontal="center" vertical="center"/>
    </xf>
    <xf numFmtId="3" fontId="69" fillId="0" borderId="103" xfId="0" quotePrefix="1" applyNumberFormat="1" applyFont="1" applyBorder="1" applyAlignment="1">
      <alignment horizontal="center" vertical="center"/>
    </xf>
    <xf numFmtId="10" fontId="0" fillId="0" borderId="292" xfId="16" applyNumberFormat="1" applyFont="1" applyBorder="1" applyAlignment="1">
      <alignment horizontal="center" vertical="center"/>
    </xf>
    <xf numFmtId="3" fontId="54" fillId="0" borderId="207" xfId="0" applyNumberFormat="1" applyFont="1" applyBorder="1" applyAlignment="1">
      <alignment horizontal="center" vertical="center"/>
    </xf>
    <xf numFmtId="10" fontId="33" fillId="0" borderId="207" xfId="16" applyNumberFormat="1" applyFont="1" applyFill="1" applyBorder="1" applyAlignment="1">
      <alignment horizontal="center" vertical="center"/>
    </xf>
    <xf numFmtId="3" fontId="54" fillId="0" borderId="38" xfId="0" applyNumberFormat="1" applyFont="1" applyBorder="1" applyAlignment="1">
      <alignment horizontal="center" vertical="center"/>
    </xf>
    <xf numFmtId="3" fontId="69" fillId="0" borderId="38" xfId="0" quotePrefix="1" applyNumberFormat="1" applyFont="1" applyBorder="1" applyAlignment="1">
      <alignment horizontal="center" vertical="center"/>
    </xf>
    <xf numFmtId="3" fontId="69" fillId="0" borderId="38" xfId="0" applyNumberFormat="1" applyFont="1" applyBorder="1" applyAlignment="1">
      <alignment horizontal="center" vertical="center"/>
    </xf>
    <xf numFmtId="3" fontId="25" fillId="0" borderId="38" xfId="0" applyNumberFormat="1" applyFont="1" applyBorder="1" applyAlignment="1">
      <alignment horizontal="center" vertical="center"/>
    </xf>
    <xf numFmtId="168" fontId="0" fillId="0" borderId="322" xfId="16" applyNumberFormat="1" applyFont="1" applyBorder="1" applyAlignment="1">
      <alignment horizontal="center" vertical="center"/>
    </xf>
    <xf numFmtId="168" fontId="0" fillId="0" borderId="245" xfId="16" applyNumberFormat="1" applyFont="1" applyBorder="1" applyAlignment="1">
      <alignment horizontal="center" vertical="center"/>
    </xf>
    <xf numFmtId="168" fontId="0" fillId="0" borderId="248" xfId="16" applyNumberFormat="1" applyFont="1" applyBorder="1" applyAlignment="1">
      <alignment horizontal="center" vertical="center"/>
    </xf>
    <xf numFmtId="3" fontId="54" fillId="0" borderId="323" xfId="0" applyNumberFormat="1" applyFont="1" applyBorder="1" applyAlignment="1">
      <alignment horizontal="center" vertical="center"/>
    </xf>
    <xf numFmtId="1" fontId="54" fillId="0" borderId="324" xfId="0" applyNumberFormat="1" applyFont="1" applyBorder="1" applyAlignment="1">
      <alignment horizontal="center" vertical="center"/>
    </xf>
    <xf numFmtId="10" fontId="33" fillId="0" borderId="323" xfId="16" applyNumberFormat="1" applyFont="1" applyFill="1" applyBorder="1" applyAlignment="1">
      <alignment horizontal="center" vertical="center"/>
    </xf>
    <xf numFmtId="10" fontId="33" fillId="0" borderId="324" xfId="16" applyNumberFormat="1" applyFont="1" applyFill="1" applyBorder="1" applyAlignment="1">
      <alignment horizontal="center" vertical="center"/>
    </xf>
    <xf numFmtId="3" fontId="54" fillId="0" borderId="324" xfId="0" applyNumberFormat="1" applyFont="1" applyBorder="1" applyAlignment="1">
      <alignment horizontal="center" vertical="center"/>
    </xf>
    <xf numFmtId="3" fontId="25" fillId="0" borderId="323" xfId="0" applyNumberFormat="1" applyFont="1" applyBorder="1" applyAlignment="1">
      <alignment horizontal="center" vertical="center"/>
    </xf>
    <xf numFmtId="3" fontId="25" fillId="0" borderId="324" xfId="0" applyNumberFormat="1" applyFont="1" applyBorder="1" applyAlignment="1">
      <alignment horizontal="center" vertical="center"/>
    </xf>
    <xf numFmtId="3" fontId="69" fillId="0" borderId="323" xfId="0" applyNumberFormat="1" applyFont="1" applyBorder="1" applyAlignment="1">
      <alignment horizontal="center" vertical="center"/>
    </xf>
    <xf numFmtId="3" fontId="69" fillId="0" borderId="324" xfId="0" applyNumberFormat="1" applyFont="1" applyBorder="1" applyAlignment="1">
      <alignment horizontal="center" vertical="center"/>
    </xf>
    <xf numFmtId="3" fontId="62" fillId="0" borderId="323" xfId="0" applyNumberFormat="1" applyFont="1" applyBorder="1" applyAlignment="1">
      <alignment horizontal="center" vertical="center"/>
    </xf>
    <xf numFmtId="3" fontId="62" fillId="0" borderId="324" xfId="0" applyNumberFormat="1" applyFont="1" applyBorder="1" applyAlignment="1">
      <alignment horizontal="center" vertical="center"/>
    </xf>
    <xf numFmtId="3" fontId="69" fillId="0" borderId="323" xfId="0" quotePrefix="1" applyNumberFormat="1" applyFont="1" applyBorder="1" applyAlignment="1">
      <alignment horizontal="center" vertical="center"/>
    </xf>
    <xf numFmtId="3" fontId="69" fillId="0" borderId="324" xfId="0" quotePrefix="1" applyNumberFormat="1" applyFont="1" applyBorder="1" applyAlignment="1">
      <alignment horizontal="center" vertical="center"/>
    </xf>
    <xf numFmtId="3" fontId="62" fillId="38" borderId="325" xfId="0" applyNumberFormat="1" applyFont="1" applyFill="1" applyBorder="1" applyAlignment="1">
      <alignment horizontal="center" vertical="center"/>
    </xf>
    <xf numFmtId="3" fontId="62" fillId="38" borderId="249" xfId="0" applyNumberFormat="1" applyFont="1" applyFill="1" applyBorder="1" applyAlignment="1">
      <alignment horizontal="center" vertical="center"/>
    </xf>
    <xf numFmtId="3" fontId="62" fillId="38" borderId="326" xfId="0" applyNumberFormat="1" applyFont="1" applyFill="1" applyBorder="1" applyAlignment="1">
      <alignment horizontal="center" vertical="center"/>
    </xf>
    <xf numFmtId="10" fontId="64" fillId="8" borderId="299" xfId="0" applyNumberFormat="1" applyFont="1" applyFill="1" applyBorder="1" applyAlignment="1">
      <alignment horizontal="center" vertical="center"/>
    </xf>
    <xf numFmtId="10" fontId="64" fillId="8" borderId="301" xfId="0" applyNumberFormat="1" applyFont="1" applyFill="1" applyBorder="1" applyAlignment="1">
      <alignment horizontal="center" vertical="center"/>
    </xf>
    <xf numFmtId="0" fontId="63" fillId="8" borderId="142" xfId="0" applyFont="1" applyFill="1" applyBorder="1" applyAlignment="1">
      <alignment horizontal="center" vertical="center"/>
    </xf>
    <xf numFmtId="0" fontId="63" fillId="8" borderId="47" xfId="0" applyFont="1" applyFill="1" applyBorder="1" applyAlignment="1">
      <alignment horizontal="center" vertical="center"/>
    </xf>
    <xf numFmtId="0" fontId="63" fillId="8" borderId="145" xfId="0" applyFont="1" applyFill="1" applyBorder="1" applyAlignment="1">
      <alignment horizontal="center" vertical="center"/>
    </xf>
    <xf numFmtId="0" fontId="63" fillId="8" borderId="300" xfId="0" applyFont="1" applyFill="1" applyBorder="1" applyAlignment="1">
      <alignment horizontal="center" vertical="center"/>
    </xf>
    <xf numFmtId="0" fontId="13" fillId="0" borderId="146" xfId="0" applyFont="1" applyBorder="1" applyAlignment="1">
      <alignment horizontal="left" vertical="center" wrapText="1"/>
    </xf>
    <xf numFmtId="0" fontId="13" fillId="0" borderId="141" xfId="0" applyFont="1" applyBorder="1" applyAlignment="1">
      <alignment horizontal="left" vertical="center" wrapText="1"/>
    </xf>
    <xf numFmtId="0" fontId="13" fillId="0" borderId="319" xfId="0" applyFont="1" applyBorder="1" applyAlignment="1">
      <alignment horizontal="left" vertical="center" wrapText="1"/>
    </xf>
    <xf numFmtId="0" fontId="13" fillId="0" borderId="147" xfId="0" applyFont="1" applyBorder="1" applyAlignment="1">
      <alignment horizontal="left" vertical="center" wrapText="1"/>
    </xf>
    <xf numFmtId="0" fontId="13" fillId="0" borderId="0" xfId="0" applyFont="1" applyAlignment="1">
      <alignment horizontal="left" vertical="center" wrapText="1"/>
    </xf>
    <xf numFmtId="0" fontId="13" fillId="0" borderId="311" xfId="0" applyFont="1" applyBorder="1" applyAlignment="1">
      <alignment horizontal="left" vertical="center" wrapText="1"/>
    </xf>
    <xf numFmtId="0" fontId="13" fillId="0" borderId="321" xfId="0" applyFont="1" applyBorder="1" applyAlignment="1">
      <alignment horizontal="left" vertical="center" wrapText="1"/>
    </xf>
    <xf numFmtId="0" fontId="13" fillId="0" borderId="313" xfId="0" applyFont="1" applyBorder="1" applyAlignment="1">
      <alignment horizontal="left" vertical="center" wrapText="1"/>
    </xf>
    <xf numFmtId="0" fontId="13" fillId="0" borderId="314" xfId="0" applyFont="1" applyBorder="1" applyAlignment="1">
      <alignment horizontal="left" vertical="center" wrapText="1"/>
    </xf>
    <xf numFmtId="0" fontId="8" fillId="0" borderId="308" xfId="0" applyFont="1" applyBorder="1" applyAlignment="1">
      <alignment horizontal="left" vertical="center" wrapText="1"/>
    </xf>
    <xf numFmtId="0" fontId="8" fillId="0" borderId="309" xfId="0" applyFont="1" applyBorder="1" applyAlignment="1">
      <alignment horizontal="left" vertical="center" wrapText="1"/>
    </xf>
    <xf numFmtId="0" fontId="8" fillId="0" borderId="0" xfId="0" applyFont="1" applyAlignment="1">
      <alignment horizontal="left" vertical="center" wrapText="1"/>
    </xf>
    <xf numFmtId="0" fontId="8" fillId="0" borderId="311" xfId="0" applyFont="1" applyBorder="1" applyAlignment="1">
      <alignment horizontal="left" vertical="center" wrapText="1"/>
    </xf>
    <xf numFmtId="0" fontId="8" fillId="0" borderId="144" xfId="0" applyFont="1" applyBorder="1" applyAlignment="1">
      <alignment horizontal="left" vertical="center" wrapText="1"/>
    </xf>
    <xf numFmtId="0" fontId="8" fillId="0" borderId="315" xfId="0" applyFont="1" applyBorder="1" applyAlignment="1">
      <alignment horizontal="left" vertical="center" wrapText="1"/>
    </xf>
    <xf numFmtId="0" fontId="27" fillId="32" borderId="46" xfId="0" applyFont="1" applyFill="1" applyBorder="1" applyAlignment="1">
      <alignment horizontal="center"/>
    </xf>
    <xf numFmtId="0" fontId="27" fillId="32" borderId="49" xfId="0" applyFont="1" applyFill="1" applyBorder="1" applyAlignment="1">
      <alignment horizontal="center"/>
    </xf>
    <xf numFmtId="0" fontId="27" fillId="32" borderId="70" xfId="0" applyFont="1" applyFill="1" applyBorder="1" applyAlignment="1">
      <alignment horizontal="center"/>
    </xf>
    <xf numFmtId="0" fontId="27" fillId="32" borderId="317" xfId="0" applyFont="1" applyFill="1" applyBorder="1" applyAlignment="1">
      <alignment horizontal="center"/>
    </xf>
    <xf numFmtId="0" fontId="13" fillId="0" borderId="318" xfId="0" applyFont="1" applyBorder="1" applyAlignment="1">
      <alignment horizontal="left" vertical="center" wrapText="1"/>
    </xf>
    <xf numFmtId="0" fontId="70" fillId="0" borderId="141" xfId="0" applyFont="1" applyBorder="1" applyAlignment="1">
      <alignment horizontal="left" vertical="center"/>
    </xf>
    <xf numFmtId="0" fontId="70" fillId="0" borderId="142" xfId="0" applyFont="1" applyBorder="1" applyAlignment="1">
      <alignment horizontal="left" vertical="center"/>
    </xf>
    <xf numFmtId="0" fontId="70" fillId="0" borderId="310" xfId="0" applyFont="1" applyBorder="1" applyAlignment="1">
      <alignment horizontal="left" vertical="center"/>
    </xf>
    <xf numFmtId="0" fontId="70" fillId="0" borderId="0" xfId="0" applyFont="1" applyAlignment="1">
      <alignment horizontal="left" vertical="center"/>
    </xf>
    <xf numFmtId="0" fontId="70" fillId="0" borderId="143" xfId="0" applyFont="1" applyBorder="1" applyAlignment="1">
      <alignment horizontal="left" vertical="center"/>
    </xf>
    <xf numFmtId="0" fontId="70" fillId="0" borderId="312" xfId="0" applyFont="1" applyBorder="1" applyAlignment="1">
      <alignment horizontal="left" vertical="center"/>
    </xf>
    <xf numFmtId="0" fontId="70" fillId="0" borderId="313" xfId="0" applyFont="1" applyBorder="1" applyAlignment="1">
      <alignment horizontal="left" vertical="center"/>
    </xf>
    <xf numFmtId="0" fontId="70" fillId="0" borderId="320" xfId="0" applyFont="1" applyBorder="1" applyAlignment="1">
      <alignment horizontal="left" vertical="center"/>
    </xf>
    <xf numFmtId="0" fontId="27" fillId="32" borderId="146" xfId="0" applyFont="1" applyFill="1" applyBorder="1" applyAlignment="1">
      <alignment horizontal="center"/>
    </xf>
    <xf numFmtId="0" fontId="27" fillId="32" borderId="141" xfId="0" applyFont="1" applyFill="1" applyBorder="1" applyAlignment="1">
      <alignment horizontal="center"/>
    </xf>
    <xf numFmtId="0" fontId="27" fillId="32" borderId="142" xfId="0" applyFont="1" applyFill="1" applyBorder="1" applyAlignment="1">
      <alignment horizontal="center"/>
    </xf>
    <xf numFmtId="0" fontId="63" fillId="8" borderId="50" xfId="0" applyFont="1" applyFill="1" applyBorder="1" applyAlignment="1">
      <alignment horizontal="center" vertical="center"/>
    </xf>
    <xf numFmtId="0" fontId="27" fillId="8" borderId="46" xfId="0" applyFont="1" applyFill="1" applyBorder="1" applyAlignment="1">
      <alignment horizontal="center" vertical="center"/>
    </xf>
    <xf numFmtId="0" fontId="27" fillId="32" borderId="316" xfId="0" applyFont="1" applyFill="1" applyBorder="1" applyAlignment="1">
      <alignment horizontal="center"/>
    </xf>
    <xf numFmtId="0" fontId="27" fillId="32" borderId="300" xfId="0" applyFont="1" applyFill="1" applyBorder="1" applyAlignment="1">
      <alignment horizontal="center"/>
    </xf>
    <xf numFmtId="0" fontId="13" fillId="0" borderId="307" xfId="0" applyFont="1" applyBorder="1" applyAlignment="1">
      <alignment horizontal="left" vertical="center" wrapText="1"/>
    </xf>
    <xf numFmtId="0" fontId="8" fillId="0" borderId="308" xfId="0" applyFont="1" applyBorder="1" applyAlignment="1">
      <alignment horizontal="left" vertical="center"/>
    </xf>
    <xf numFmtId="0" fontId="8" fillId="0" borderId="309" xfId="0" applyFont="1" applyBorder="1" applyAlignment="1">
      <alignment horizontal="left" vertical="center"/>
    </xf>
    <xf numFmtId="0" fontId="0" fillId="0" borderId="310" xfId="0" applyBorder="1" applyAlignment="1">
      <alignment horizontal="left" vertical="center"/>
    </xf>
    <xf numFmtId="0" fontId="0" fillId="0" borderId="0" xfId="0" applyAlignment="1">
      <alignment horizontal="left" vertical="center"/>
    </xf>
    <xf numFmtId="0" fontId="8" fillId="0" borderId="311" xfId="0" applyFont="1" applyBorder="1" applyAlignment="1">
      <alignment horizontal="left" vertical="center"/>
    </xf>
    <xf numFmtId="0" fontId="0" fillId="0" borderId="312" xfId="0" applyBorder="1" applyAlignment="1">
      <alignment horizontal="left" vertical="center"/>
    </xf>
    <xf numFmtId="0" fontId="8" fillId="0" borderId="313" xfId="0" applyFont="1" applyBorder="1" applyAlignment="1">
      <alignment horizontal="left" vertical="center"/>
    </xf>
    <xf numFmtId="0" fontId="8" fillId="0" borderId="314" xfId="0" applyFont="1" applyBorder="1" applyAlignment="1">
      <alignment horizontal="left" vertical="center"/>
    </xf>
    <xf numFmtId="168" fontId="45" fillId="12" borderId="114" xfId="16" applyNumberFormat="1" applyFont="1" applyFill="1" applyBorder="1" applyAlignment="1">
      <alignment horizontal="center" vertical="center"/>
    </xf>
    <xf numFmtId="168" fontId="45" fillId="12" borderId="111" xfId="16" applyNumberFormat="1" applyFont="1" applyFill="1" applyBorder="1" applyAlignment="1">
      <alignment horizontal="center" vertical="center"/>
    </xf>
    <xf numFmtId="0" fontId="27" fillId="18" borderId="44" xfId="0" applyFont="1" applyFill="1" applyBorder="1" applyAlignment="1">
      <alignment horizontal="center" vertical="center" wrapText="1"/>
    </xf>
    <xf numFmtId="0" fontId="27" fillId="18" borderId="45" xfId="0" applyFont="1" applyFill="1" applyBorder="1" applyAlignment="1">
      <alignment horizontal="center" vertical="center" wrapText="1"/>
    </xf>
    <xf numFmtId="0" fontId="27" fillId="13" borderId="44" xfId="0" applyFont="1" applyFill="1" applyBorder="1" applyAlignment="1">
      <alignment horizontal="center" vertical="center" wrapText="1"/>
    </xf>
    <xf numFmtId="0" fontId="27" fillId="13" borderId="45" xfId="0" applyFont="1" applyFill="1" applyBorder="1" applyAlignment="1">
      <alignment horizontal="center" vertical="center" wrapText="1"/>
    </xf>
    <xf numFmtId="0" fontId="27" fillId="8" borderId="47" xfId="0" applyFont="1" applyFill="1" applyBorder="1" applyAlignment="1">
      <alignment horizontal="center" vertical="center"/>
    </xf>
    <xf numFmtId="0" fontId="47" fillId="5" borderId="259" xfId="0" applyFont="1" applyFill="1" applyBorder="1" applyAlignment="1">
      <alignment horizontal="center"/>
    </xf>
    <xf numFmtId="0" fontId="47" fillId="5" borderId="70" xfId="0" applyFont="1" applyFill="1" applyBorder="1" applyAlignment="1">
      <alignment horizontal="center"/>
    </xf>
    <xf numFmtId="0" fontId="47" fillId="5" borderId="50" xfId="0" applyFont="1" applyFill="1" applyBorder="1" applyAlignment="1">
      <alignment horizontal="center"/>
    </xf>
    <xf numFmtId="0" fontId="46" fillId="18" borderId="259" xfId="0" applyFont="1" applyFill="1" applyBorder="1" applyAlignment="1">
      <alignment horizontal="center"/>
    </xf>
    <xf numFmtId="0" fontId="46" fillId="18" borderId="70" xfId="0" applyFont="1" applyFill="1" applyBorder="1" applyAlignment="1">
      <alignment horizontal="center"/>
    </xf>
    <xf numFmtId="0" fontId="46" fillId="18" borderId="258" xfId="0" applyFont="1" applyFill="1" applyBorder="1" applyAlignment="1">
      <alignment horizontal="center"/>
    </xf>
    <xf numFmtId="0" fontId="8" fillId="8" borderId="174" xfId="0" applyFont="1" applyFill="1" applyBorder="1" applyAlignment="1">
      <alignment horizontal="center" vertical="center" wrapText="1"/>
    </xf>
    <xf numFmtId="0" fontId="0" fillId="8" borderId="175" xfId="0" applyFill="1" applyBorder="1" applyAlignment="1">
      <alignment horizontal="center" vertical="center" wrapText="1"/>
    </xf>
    <xf numFmtId="0" fontId="0" fillId="8" borderId="176" xfId="0" applyFill="1" applyBorder="1" applyAlignment="1">
      <alignment horizontal="center" vertical="center" wrapText="1"/>
    </xf>
    <xf numFmtId="0" fontId="27" fillId="32" borderId="305" xfId="0" applyFont="1" applyFill="1" applyBorder="1" applyAlignment="1">
      <alignment horizontal="center"/>
    </xf>
    <xf numFmtId="0" fontId="27" fillId="32" borderId="47" xfId="0" applyFont="1" applyFill="1" applyBorder="1" applyAlignment="1">
      <alignment horizontal="center"/>
    </xf>
    <xf numFmtId="0" fontId="27" fillId="32" borderId="48" xfId="0" applyFont="1" applyFill="1" applyBorder="1" applyAlignment="1">
      <alignment horizontal="center"/>
    </xf>
    <xf numFmtId="0" fontId="46" fillId="18" borderId="204" xfId="0" applyFont="1" applyFill="1" applyBorder="1" applyAlignment="1">
      <alignment horizontal="center"/>
    </xf>
    <xf numFmtId="0" fontId="46" fillId="18" borderId="144" xfId="0" applyFont="1" applyFill="1" applyBorder="1" applyAlignment="1">
      <alignment horizontal="center"/>
    </xf>
    <xf numFmtId="0" fontId="46" fillId="18" borderId="260" xfId="0" applyFont="1" applyFill="1" applyBorder="1" applyAlignment="1">
      <alignment horizontal="center"/>
    </xf>
    <xf numFmtId="0" fontId="0" fillId="0" borderId="49" xfId="0" applyBorder="1" applyAlignment="1">
      <alignment horizontal="left"/>
    </xf>
    <xf numFmtId="0" fontId="0" fillId="0" borderId="50" xfId="0" applyBorder="1" applyAlignment="1">
      <alignment horizontal="left"/>
    </xf>
    <xf numFmtId="0" fontId="8" fillId="16" borderId="49" xfId="0" applyFont="1" applyFill="1" applyBorder="1" applyAlignment="1">
      <alignment horizontal="left"/>
    </xf>
    <xf numFmtId="0" fontId="8" fillId="16" borderId="50" xfId="0" applyFont="1" applyFill="1" applyBorder="1" applyAlignment="1">
      <alignment horizontal="left"/>
    </xf>
    <xf numFmtId="0" fontId="8" fillId="0" borderId="49" xfId="0" applyFont="1" applyBorder="1" applyAlignment="1">
      <alignment horizontal="left" indent="1"/>
    </xf>
    <xf numFmtId="0" fontId="8" fillId="0" borderId="50" xfId="0" applyFont="1" applyBorder="1" applyAlignment="1">
      <alignment horizontal="left" indent="1"/>
    </xf>
    <xf numFmtId="168" fontId="45" fillId="12" borderId="302" xfId="16" applyNumberFormat="1" applyFont="1" applyFill="1" applyBorder="1" applyAlignment="1">
      <alignment horizontal="center" vertical="center"/>
    </xf>
    <xf numFmtId="168" fontId="45" fillId="12" borderId="303" xfId="16" applyNumberFormat="1" applyFont="1" applyFill="1" applyBorder="1" applyAlignment="1">
      <alignment horizontal="center" vertical="center"/>
    </xf>
    <xf numFmtId="168" fontId="45" fillId="12" borderId="304" xfId="16" applyNumberFormat="1" applyFont="1" applyFill="1" applyBorder="1" applyAlignment="1">
      <alignment horizontal="center" vertical="center"/>
    </xf>
    <xf numFmtId="0" fontId="27" fillId="50" borderId="284" xfId="0" applyFont="1" applyFill="1" applyBorder="1" applyAlignment="1">
      <alignment horizontal="center" vertical="center" wrapText="1"/>
    </xf>
    <xf numFmtId="0" fontId="27" fillId="50" borderId="60" xfId="0" applyFont="1" applyFill="1" applyBorder="1" applyAlignment="1">
      <alignment horizontal="center" vertical="center" wrapText="1"/>
    </xf>
    <xf numFmtId="0" fontId="47" fillId="5" borderId="306" xfId="0" applyFont="1" applyFill="1" applyBorder="1" applyAlignment="1">
      <alignment horizontal="center"/>
    </xf>
    <xf numFmtId="0" fontId="47" fillId="5" borderId="144" xfId="0" applyFont="1" applyFill="1" applyBorder="1" applyAlignment="1">
      <alignment horizontal="center"/>
    </xf>
    <xf numFmtId="0" fontId="47" fillId="5" borderId="281" xfId="0" applyFont="1" applyFill="1" applyBorder="1" applyAlignment="1">
      <alignment horizontal="center"/>
    </xf>
    <xf numFmtId="0" fontId="13" fillId="0" borderId="19" xfId="0" applyFont="1" applyBorder="1" applyAlignment="1">
      <alignment horizontal="center"/>
    </xf>
    <xf numFmtId="0" fontId="13" fillId="0" borderId="20" xfId="0" applyFont="1" applyBorder="1" applyAlignment="1">
      <alignment horizontal="center"/>
    </xf>
    <xf numFmtId="0" fontId="9" fillId="23" borderId="0" xfId="0" applyFont="1" applyFill="1" applyAlignment="1">
      <alignment horizontal="center" vertical="center" wrapText="1"/>
    </xf>
    <xf numFmtId="0" fontId="9" fillId="23" borderId="124" xfId="0" applyFont="1" applyFill="1" applyBorder="1" applyAlignment="1">
      <alignment horizontal="center" vertical="center" wrapText="1"/>
    </xf>
    <xf numFmtId="0" fontId="34" fillId="8" borderId="169" xfId="0" applyFont="1" applyFill="1" applyBorder="1" applyAlignment="1">
      <alignment horizontal="center" vertical="center" wrapText="1"/>
    </xf>
    <xf numFmtId="0" fontId="0" fillId="8" borderId="170" xfId="0" applyFill="1" applyBorder="1" applyAlignment="1">
      <alignment horizontal="center" vertical="center" wrapText="1"/>
    </xf>
    <xf numFmtId="0" fontId="0" fillId="8" borderId="171" xfId="0" applyFill="1" applyBorder="1" applyAlignment="1">
      <alignment horizontal="center" vertical="center" wrapText="1"/>
    </xf>
    <xf numFmtId="0" fontId="34" fillId="8" borderId="112" xfId="0" applyFont="1" applyFill="1" applyBorder="1" applyAlignment="1">
      <alignment horizontal="center" vertical="center" wrapText="1"/>
    </xf>
    <xf numFmtId="0" fontId="34" fillId="8" borderId="124" xfId="0" applyFont="1" applyFill="1" applyBorder="1" applyAlignment="1">
      <alignment horizontal="center" vertical="center" wrapText="1"/>
    </xf>
    <xf numFmtId="0" fontId="34" fillId="8" borderId="132" xfId="0" applyFont="1" applyFill="1" applyBorder="1" applyAlignment="1">
      <alignment horizontal="center" vertical="center" wrapText="1"/>
    </xf>
    <xf numFmtId="0" fontId="8" fillId="0" borderId="17" xfId="0" applyFont="1" applyBorder="1" applyAlignment="1">
      <alignment horizontal="left"/>
    </xf>
    <xf numFmtId="0" fontId="21" fillId="0" borderId="241" xfId="0" applyFont="1" applyBorder="1" applyAlignment="1">
      <alignment horizontal="center" vertical="center" wrapText="1"/>
    </xf>
    <xf numFmtId="0" fontId="21" fillId="0" borderId="21" xfId="0" applyFont="1" applyBorder="1" applyAlignment="1">
      <alignment horizontal="center" vertical="center" wrapText="1"/>
    </xf>
    <xf numFmtId="0" fontId="47" fillId="5" borderId="28" xfId="0" applyFont="1" applyFill="1" applyBorder="1" applyAlignment="1">
      <alignment horizontal="center"/>
    </xf>
    <xf numFmtId="0" fontId="47" fillId="5" borderId="244" xfId="0" applyFont="1" applyFill="1" applyBorder="1" applyAlignment="1">
      <alignment horizontal="center"/>
    </xf>
    <xf numFmtId="0" fontId="47" fillId="5" borderId="241" xfId="0" applyFont="1" applyFill="1" applyBorder="1" applyAlignment="1">
      <alignment horizontal="center"/>
    </xf>
    <xf numFmtId="0" fontId="47" fillId="5" borderId="17" xfId="0" applyFont="1" applyFill="1" applyBorder="1" applyAlignment="1">
      <alignment horizontal="center"/>
    </xf>
    <xf numFmtId="0" fontId="21" fillId="0" borderId="241" xfId="0" applyFont="1" applyBorder="1" applyAlignment="1">
      <alignment horizontal="center" wrapText="1"/>
    </xf>
    <xf numFmtId="0" fontId="21" fillId="0" borderId="21" xfId="0" applyFont="1" applyBorder="1" applyAlignment="1">
      <alignment horizontal="center" wrapText="1"/>
    </xf>
    <xf numFmtId="0" fontId="46" fillId="18" borderId="261" xfId="0" applyFont="1" applyFill="1" applyBorder="1" applyAlignment="1">
      <alignment horizontal="center"/>
    </xf>
    <xf numFmtId="0" fontId="46" fillId="18" borderId="262" xfId="0" applyFont="1" applyFill="1" applyBorder="1" applyAlignment="1">
      <alignment horizontal="center"/>
    </xf>
    <xf numFmtId="0" fontId="46" fillId="18" borderId="263" xfId="0" applyFont="1" applyFill="1" applyBorder="1" applyAlignment="1">
      <alignment horizontal="center"/>
    </xf>
    <xf numFmtId="0" fontId="47" fillId="5" borderId="165" xfId="0" applyFont="1" applyFill="1" applyBorder="1" applyAlignment="1">
      <alignment horizontal="center"/>
    </xf>
    <xf numFmtId="0" fontId="47" fillId="5" borderId="109" xfId="0" applyFont="1" applyFill="1" applyBorder="1" applyAlignment="1">
      <alignment horizontal="center"/>
    </xf>
    <xf numFmtId="0" fontId="47" fillId="5" borderId="22" xfId="0" applyFont="1" applyFill="1" applyBorder="1" applyAlignment="1">
      <alignment horizontal="center"/>
    </xf>
    <xf numFmtId="0" fontId="47" fillId="5" borderId="23" xfId="0" applyFont="1" applyFill="1" applyBorder="1" applyAlignment="1">
      <alignment horizontal="center"/>
    </xf>
    <xf numFmtId="0" fontId="8" fillId="0" borderId="17" xfId="0" applyFont="1" applyBorder="1" applyAlignment="1">
      <alignment horizontal="left" vertical="center"/>
    </xf>
    <xf numFmtId="0" fontId="47" fillId="5" borderId="115" xfId="0" applyFont="1" applyFill="1" applyBorder="1" applyAlignment="1">
      <alignment horizontal="center"/>
    </xf>
    <xf numFmtId="0" fontId="47" fillId="5" borderId="166" xfId="0" applyFont="1" applyFill="1" applyBorder="1" applyAlignment="1">
      <alignment horizontal="center"/>
    </xf>
    <xf numFmtId="0" fontId="47" fillId="5" borderId="167" xfId="0" applyFont="1" applyFill="1" applyBorder="1" applyAlignment="1">
      <alignment horizontal="center"/>
    </xf>
    <xf numFmtId="0" fontId="27" fillId="32" borderId="112" xfId="0" applyFont="1" applyFill="1" applyBorder="1" applyAlignment="1">
      <alignment horizontal="center"/>
    </xf>
    <xf numFmtId="0" fontId="27" fillId="32" borderId="124" xfId="0" applyFont="1" applyFill="1" applyBorder="1" applyAlignment="1">
      <alignment horizontal="center"/>
    </xf>
    <xf numFmtId="0" fontId="27" fillId="32" borderId="132" xfId="0" applyFont="1" applyFill="1" applyBorder="1" applyAlignment="1">
      <alignment horizontal="center"/>
    </xf>
    <xf numFmtId="0" fontId="46" fillId="18" borderId="264" xfId="0" applyFont="1" applyFill="1" applyBorder="1" applyAlignment="1">
      <alignment horizontal="center"/>
    </xf>
    <xf numFmtId="0" fontId="46" fillId="18" borderId="265" xfId="0" applyFont="1" applyFill="1" applyBorder="1" applyAlignment="1">
      <alignment horizontal="center"/>
    </xf>
    <xf numFmtId="0" fontId="46" fillId="18" borderId="266" xfId="0" applyFont="1" applyFill="1" applyBorder="1" applyAlignment="1">
      <alignment horizontal="center"/>
    </xf>
    <xf numFmtId="0" fontId="27" fillId="32" borderId="21" xfId="0" applyFont="1" applyFill="1" applyBorder="1" applyAlignment="1">
      <alignment horizontal="center"/>
    </xf>
    <xf numFmtId="0" fontId="27" fillId="32" borderId="19" xfId="0" applyFont="1" applyFill="1" applyBorder="1" applyAlignment="1">
      <alignment horizontal="center"/>
    </xf>
    <xf numFmtId="0" fontId="13" fillId="0" borderId="115" xfId="0" applyFont="1" applyBorder="1" applyAlignment="1">
      <alignment horizontal="center" vertical="center" wrapText="1"/>
    </xf>
    <xf numFmtId="0" fontId="13" fillId="0" borderId="166" xfId="0" applyFont="1" applyBorder="1" applyAlignment="1">
      <alignment horizontal="center" vertical="center" wrapText="1"/>
    </xf>
    <xf numFmtId="0" fontId="13" fillId="0" borderId="167" xfId="0" applyFont="1" applyBorder="1" applyAlignment="1">
      <alignment horizontal="center" vertical="center" wrapText="1"/>
    </xf>
    <xf numFmtId="0" fontId="13" fillId="0" borderId="113" xfId="0" applyFont="1" applyBorder="1" applyAlignment="1">
      <alignment horizontal="center" vertical="center" wrapText="1"/>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13" fillId="0" borderId="112" xfId="0" applyFont="1" applyBorder="1" applyAlignment="1">
      <alignment horizontal="center" vertical="center" wrapText="1"/>
    </xf>
    <xf numFmtId="0" fontId="13" fillId="0" borderId="124" xfId="0" applyFont="1" applyBorder="1" applyAlignment="1">
      <alignment horizontal="center" vertical="center" wrapText="1"/>
    </xf>
    <xf numFmtId="0" fontId="13" fillId="0" borderId="172" xfId="0" applyFont="1" applyBorder="1" applyAlignment="1">
      <alignment horizontal="center" vertical="center" wrapText="1"/>
    </xf>
    <xf numFmtId="0" fontId="0" fillId="18" borderId="21" xfId="0" applyFill="1" applyBorder="1" applyAlignment="1">
      <alignment horizontal="center" vertical="center" wrapText="1"/>
    </xf>
    <xf numFmtId="0" fontId="0" fillId="18" borderId="20" xfId="0" applyFill="1" applyBorder="1" applyAlignment="1">
      <alignment horizontal="center" vertical="center" wrapText="1"/>
    </xf>
    <xf numFmtId="0" fontId="8" fillId="8" borderId="21" xfId="0" applyFont="1" applyFill="1" applyBorder="1" applyAlignment="1">
      <alignment horizontal="center" vertical="center" wrapText="1"/>
    </xf>
    <xf numFmtId="0" fontId="0" fillId="8" borderId="20" xfId="0" applyFill="1" applyBorder="1" applyAlignment="1">
      <alignment horizontal="center" vertical="center" wrapText="1"/>
    </xf>
    <xf numFmtId="0" fontId="0" fillId="8" borderId="243" xfId="0" applyFill="1" applyBorder="1" applyAlignment="1">
      <alignment horizontal="center" vertical="center" wrapText="1"/>
    </xf>
    <xf numFmtId="0" fontId="27" fillId="32" borderId="20" xfId="0" applyFont="1" applyFill="1" applyBorder="1" applyAlignment="1">
      <alignment horizontal="center"/>
    </xf>
    <xf numFmtId="0" fontId="27" fillId="32" borderId="19" xfId="0" applyFont="1" applyFill="1" applyBorder="1" applyAlignment="1">
      <alignment horizontal="center" vertical="center" wrapText="1"/>
    </xf>
    <xf numFmtId="0" fontId="27" fillId="32" borderId="243" xfId="0" applyFont="1" applyFill="1" applyBorder="1" applyAlignment="1">
      <alignment horizontal="center" vertical="center" wrapText="1"/>
    </xf>
    <xf numFmtId="0" fontId="8" fillId="8" borderId="28" xfId="0" applyFont="1" applyFill="1" applyBorder="1" applyAlignment="1">
      <alignment horizontal="center" vertical="center" wrapText="1"/>
    </xf>
    <xf numFmtId="0" fontId="0" fillId="8" borderId="23" xfId="0" applyFill="1" applyBorder="1" applyAlignment="1">
      <alignment horizontal="center" vertical="center" wrapText="1"/>
    </xf>
    <xf numFmtId="0" fontId="9" fillId="8" borderId="114" xfId="0" applyFont="1" applyFill="1" applyBorder="1" applyAlignment="1">
      <alignment horizontal="center" vertical="center" wrapText="1"/>
    </xf>
    <xf numFmtId="0" fontId="9" fillId="8" borderId="111" xfId="0" applyFont="1" applyFill="1" applyBorder="1" applyAlignment="1">
      <alignment horizontal="center" vertical="center" wrapText="1"/>
    </xf>
    <xf numFmtId="0" fontId="9" fillId="8" borderId="206" xfId="0" applyFont="1" applyFill="1" applyBorder="1" applyAlignment="1">
      <alignment horizontal="center" vertical="center" wrapText="1"/>
    </xf>
    <xf numFmtId="0" fontId="8" fillId="0" borderId="49" xfId="0" applyFont="1" applyBorder="1" applyAlignment="1">
      <alignment horizontal="left"/>
    </xf>
    <xf numFmtId="0" fontId="8" fillId="0" borderId="50" xfId="0" applyFont="1" applyBorder="1" applyAlignment="1">
      <alignment horizontal="left"/>
    </xf>
    <xf numFmtId="0" fontId="47" fillId="5" borderId="46" xfId="0" applyFont="1" applyFill="1" applyBorder="1" applyAlignment="1">
      <alignment horizontal="center"/>
    </xf>
    <xf numFmtId="0" fontId="47" fillId="5" borderId="48" xfId="0" applyFont="1" applyFill="1" applyBorder="1" applyAlignment="1">
      <alignment horizontal="center"/>
    </xf>
    <xf numFmtId="0" fontId="13" fillId="0" borderId="49" xfId="0" applyFont="1" applyBorder="1" applyAlignment="1">
      <alignment horizontal="left"/>
    </xf>
    <xf numFmtId="0" fontId="13" fillId="0" borderId="50" xfId="0" applyFont="1" applyBorder="1" applyAlignment="1">
      <alignment horizontal="left"/>
    </xf>
    <xf numFmtId="0" fontId="13" fillId="8" borderId="327" xfId="16" applyNumberFormat="1" applyFont="1" applyFill="1" applyBorder="1" applyAlignment="1">
      <alignment horizontal="left" vertical="center"/>
    </xf>
    <xf numFmtId="0" fontId="13" fillId="8" borderId="265" xfId="16" applyNumberFormat="1" applyFont="1" applyFill="1" applyBorder="1" applyAlignment="1">
      <alignment horizontal="left" vertical="center"/>
    </xf>
    <xf numFmtId="0" fontId="13" fillId="8" borderId="28" xfId="16" applyNumberFormat="1" applyFont="1" applyFill="1" applyBorder="1" applyAlignment="1">
      <alignment horizontal="left" vertical="center"/>
    </xf>
    <xf numFmtId="0" fontId="13" fillId="8" borderId="22" xfId="16" applyNumberFormat="1" applyFont="1" applyFill="1" applyBorder="1" applyAlignment="1">
      <alignment horizontal="left" vertical="center"/>
    </xf>
    <xf numFmtId="0" fontId="13" fillId="8" borderId="329" xfId="16" applyNumberFormat="1" applyFont="1" applyFill="1" applyBorder="1" applyAlignment="1">
      <alignment horizontal="left" vertical="center"/>
    </xf>
    <xf numFmtId="0" fontId="13" fillId="8" borderId="23" xfId="16" applyNumberFormat="1" applyFont="1" applyFill="1" applyBorder="1" applyAlignment="1">
      <alignment horizontal="left" vertical="center"/>
    </xf>
    <xf numFmtId="9" fontId="8" fillId="8" borderId="329" xfId="16" applyFont="1" applyFill="1" applyBorder="1" applyAlignment="1">
      <alignment horizontal="center" vertical="center"/>
    </xf>
    <xf numFmtId="9" fontId="8" fillId="8" borderId="23" xfId="16" applyFont="1" applyFill="1" applyBorder="1" applyAlignment="1">
      <alignment horizontal="center" vertical="center"/>
    </xf>
    <xf numFmtId="9" fontId="8" fillId="8" borderId="233" xfId="16" applyFont="1" applyFill="1" applyBorder="1" applyAlignment="1">
      <alignment horizontal="center" vertical="center"/>
    </xf>
    <xf numFmtId="9" fontId="8" fillId="8" borderId="24" xfId="16" applyFont="1" applyFill="1" applyBorder="1" applyAlignment="1">
      <alignment horizontal="center" vertical="center"/>
    </xf>
    <xf numFmtId="167" fontId="9" fillId="12" borderId="131" xfId="0" applyNumberFormat="1" applyFont="1" applyFill="1" applyBorder="1" applyAlignment="1">
      <alignment horizontal="center" vertical="center"/>
    </xf>
    <xf numFmtId="167" fontId="9" fillId="12" borderId="110" xfId="0" applyNumberFormat="1" applyFont="1" applyFill="1" applyBorder="1" applyAlignment="1">
      <alignment horizontal="center" vertical="center"/>
    </xf>
    <xf numFmtId="167" fontId="9" fillId="12" borderId="132" xfId="0" applyNumberFormat="1" applyFont="1" applyFill="1" applyBorder="1" applyAlignment="1">
      <alignment horizontal="center" vertical="center"/>
    </xf>
    <xf numFmtId="0" fontId="8" fillId="8" borderId="180" xfId="0" applyFont="1" applyFill="1" applyBorder="1" applyAlignment="1">
      <alignment horizontal="center" vertical="center"/>
    </xf>
    <xf numFmtId="0" fontId="0" fillId="8" borderId="181" xfId="0" applyFill="1" applyBorder="1" applyAlignment="1">
      <alignment horizontal="center" vertical="center"/>
    </xf>
    <xf numFmtId="0" fontId="0" fillId="8" borderId="182" xfId="0" applyFill="1" applyBorder="1" applyAlignment="1">
      <alignment horizontal="center" vertical="center"/>
    </xf>
    <xf numFmtId="0" fontId="8" fillId="8" borderId="177" xfId="0" applyFont="1" applyFill="1" applyBorder="1" applyAlignment="1">
      <alignment horizontal="center" vertical="center"/>
    </xf>
    <xf numFmtId="0" fontId="0" fillId="8" borderId="178" xfId="0" applyFill="1" applyBorder="1" applyAlignment="1">
      <alignment horizontal="center" vertical="center"/>
    </xf>
    <xf numFmtId="0" fontId="0" fillId="8" borderId="179" xfId="0" applyFill="1" applyBorder="1" applyAlignment="1">
      <alignment horizontal="center" vertical="center"/>
    </xf>
    <xf numFmtId="0" fontId="47" fillId="5" borderId="10" xfId="0" applyFont="1" applyFill="1" applyBorder="1" applyAlignment="1">
      <alignment horizontal="center"/>
    </xf>
    <xf numFmtId="0" fontId="47" fillId="5" borderId="0" xfId="0" applyFont="1" applyFill="1" applyAlignment="1">
      <alignment horizontal="center"/>
    </xf>
    <xf numFmtId="0" fontId="47" fillId="5" borderId="110" xfId="0" applyFont="1" applyFill="1" applyBorder="1" applyAlignment="1">
      <alignment horizontal="center"/>
    </xf>
    <xf numFmtId="0" fontId="27" fillId="32" borderId="123" xfId="0" applyFont="1" applyFill="1" applyBorder="1" applyAlignment="1">
      <alignment horizontal="center"/>
    </xf>
    <xf numFmtId="0" fontId="27" fillId="32" borderId="109" xfId="0" applyFont="1" applyFill="1" applyBorder="1" applyAlignment="1">
      <alignment horizontal="center"/>
    </xf>
    <xf numFmtId="0" fontId="27" fillId="32" borderId="173" xfId="0" applyFont="1" applyFill="1" applyBorder="1" applyAlignment="1">
      <alignment horizontal="center"/>
    </xf>
    <xf numFmtId="0" fontId="47" fillId="5" borderId="124" xfId="0" applyFont="1" applyFill="1" applyBorder="1" applyAlignment="1">
      <alignment horizontal="center"/>
    </xf>
    <xf numFmtId="0" fontId="47" fillId="5" borderId="172" xfId="0" applyFont="1" applyFill="1" applyBorder="1" applyAlignment="1">
      <alignment horizontal="center"/>
    </xf>
    <xf numFmtId="0" fontId="9" fillId="0" borderId="237" xfId="0" applyFont="1" applyBorder="1" applyAlignment="1">
      <alignment horizontal="center" vertical="center"/>
    </xf>
    <xf numFmtId="0" fontId="9" fillId="0" borderId="55" xfId="0" applyFont="1" applyBorder="1" applyAlignment="1">
      <alignment horizontal="center" vertical="center"/>
    </xf>
    <xf numFmtId="0" fontId="9" fillId="0" borderId="238" xfId="0" applyFont="1" applyBorder="1" applyAlignment="1">
      <alignment horizontal="center" vertical="center"/>
    </xf>
    <xf numFmtId="0" fontId="27" fillId="32" borderId="28" xfId="0" applyFont="1" applyFill="1" applyBorder="1" applyAlignment="1">
      <alignment horizontal="center"/>
    </xf>
    <xf numFmtId="0" fontId="27" fillId="32" borderId="22" xfId="0" applyFont="1" applyFill="1" applyBorder="1" applyAlignment="1">
      <alignment horizontal="center"/>
    </xf>
    <xf numFmtId="0" fontId="67" fillId="8" borderId="17" xfId="0" applyFont="1" applyFill="1" applyBorder="1" applyAlignment="1">
      <alignment horizontal="center" vertical="center" wrapText="1"/>
    </xf>
    <xf numFmtId="0" fontId="47" fillId="31" borderId="24" xfId="0" applyFont="1" applyFill="1" applyBorder="1" applyAlignment="1">
      <alignment horizontal="center" vertical="center" wrapText="1"/>
    </xf>
    <xf numFmtId="0" fontId="47" fillId="31" borderId="17" xfId="0" applyFont="1" applyFill="1" applyBorder="1" applyAlignment="1">
      <alignment horizontal="center" vertical="center" wrapText="1"/>
    </xf>
    <xf numFmtId="0" fontId="47" fillId="31" borderId="233" xfId="0" applyFont="1" applyFill="1" applyBorder="1" applyAlignment="1">
      <alignment horizontal="center" vertical="center" wrapText="1"/>
    </xf>
    <xf numFmtId="0" fontId="47" fillId="31" borderId="242" xfId="0" applyFont="1" applyFill="1" applyBorder="1" applyAlignment="1">
      <alignment horizontal="center" vertical="center" wrapText="1"/>
    </xf>
    <xf numFmtId="0" fontId="8" fillId="0" borderId="17" xfId="0" quotePrefix="1" applyFont="1" applyBorder="1" applyAlignment="1">
      <alignment horizontal="left"/>
    </xf>
    <xf numFmtId="14" fontId="13" fillId="0" borderId="21" xfId="0" applyNumberFormat="1" applyFont="1" applyBorder="1" applyAlignment="1">
      <alignment horizontal="center"/>
    </xf>
    <xf numFmtId="14" fontId="13" fillId="0" borderId="20" xfId="0" applyNumberFormat="1" applyFont="1" applyBorder="1" applyAlignment="1">
      <alignment horizontal="center"/>
    </xf>
    <xf numFmtId="0" fontId="0" fillId="8" borderId="21" xfId="0" applyFill="1" applyBorder="1" applyAlignment="1">
      <alignment horizontal="center" vertical="center" wrapText="1"/>
    </xf>
    <xf numFmtId="0" fontId="13" fillId="8" borderId="328" xfId="16" applyNumberFormat="1" applyFont="1" applyFill="1" applyBorder="1" applyAlignment="1">
      <alignment horizontal="left" vertical="center"/>
    </xf>
    <xf numFmtId="0" fontId="13" fillId="8" borderId="0" xfId="16" applyNumberFormat="1" applyFont="1" applyFill="1" applyBorder="1" applyAlignment="1">
      <alignment horizontal="left" vertical="center"/>
    </xf>
    <xf numFmtId="9" fontId="8" fillId="8" borderId="330" xfId="16" applyFont="1" applyFill="1" applyBorder="1" applyAlignment="1">
      <alignment horizontal="center" vertical="center"/>
    </xf>
    <xf numFmtId="0" fontId="47" fillId="5" borderId="41" xfId="0" applyFont="1" applyFill="1" applyBorder="1" applyAlignment="1">
      <alignment horizontal="center"/>
    </xf>
    <xf numFmtId="0" fontId="47" fillId="5" borderId="42" xfId="0" applyFont="1" applyFill="1" applyBorder="1" applyAlignment="1">
      <alignment horizontal="center"/>
    </xf>
    <xf numFmtId="0" fontId="47" fillId="5" borderId="43" xfId="0" applyFont="1" applyFill="1" applyBorder="1" applyAlignment="1">
      <alignment horizontal="center"/>
    </xf>
    <xf numFmtId="0" fontId="0" fillId="18" borderId="243" xfId="0" applyFill="1" applyBorder="1" applyAlignment="1">
      <alignment horizontal="center" vertical="center" wrapText="1"/>
    </xf>
    <xf numFmtId="0" fontId="0" fillId="0" borderId="55" xfId="0" applyBorder="1" applyAlignment="1">
      <alignment horizontal="center"/>
    </xf>
    <xf numFmtId="0" fontId="0" fillId="0" borderId="56" xfId="0" applyBorder="1" applyAlignment="1">
      <alignment horizontal="center"/>
    </xf>
    <xf numFmtId="0" fontId="0" fillId="0" borderId="0" xfId="0" applyAlignment="1">
      <alignment horizontal="center"/>
    </xf>
    <xf numFmtId="0" fontId="0" fillId="0" borderId="45" xfId="0" applyBorder="1" applyAlignment="1">
      <alignment horizontal="center"/>
    </xf>
    <xf numFmtId="0" fontId="0" fillId="0" borderId="61" xfId="0" applyBorder="1" applyAlignment="1">
      <alignment horizontal="center"/>
    </xf>
    <xf numFmtId="0" fontId="0" fillId="0" borderId="62" xfId="0" applyBorder="1" applyAlignment="1">
      <alignment horizontal="center"/>
    </xf>
    <xf numFmtId="0" fontId="31" fillId="5" borderId="58" xfId="0" applyFont="1" applyFill="1" applyBorder="1" applyAlignment="1">
      <alignment horizontal="center" vertical="center"/>
    </xf>
    <xf numFmtId="0" fontId="31" fillId="5" borderId="59" xfId="0" applyFont="1" applyFill="1" applyBorder="1" applyAlignment="1">
      <alignment horizontal="center" vertical="center"/>
    </xf>
    <xf numFmtId="0" fontId="31" fillId="5" borderId="62" xfId="0" applyFont="1" applyFill="1" applyBorder="1" applyAlignment="1">
      <alignment horizontal="center" vertical="center"/>
    </xf>
    <xf numFmtId="0" fontId="13" fillId="0" borderId="68" xfId="0" applyFont="1" applyBorder="1" applyAlignment="1">
      <alignment horizontal="center"/>
    </xf>
    <xf numFmtId="0" fontId="13" fillId="0" borderId="70" xfId="0" applyFont="1" applyBorder="1" applyAlignment="1">
      <alignment horizontal="center"/>
    </xf>
    <xf numFmtId="0" fontId="13" fillId="0" borderId="69" xfId="0" applyFont="1" applyBorder="1" applyAlignment="1">
      <alignment horizontal="center"/>
    </xf>
    <xf numFmtId="0" fontId="13" fillId="0" borderId="210" xfId="0" applyFont="1" applyBorder="1" applyAlignment="1">
      <alignment horizontal="center"/>
    </xf>
    <xf numFmtId="0" fontId="13" fillId="0" borderId="141" xfId="0" applyFont="1" applyBorder="1" applyAlignment="1">
      <alignment horizontal="center"/>
    </xf>
    <xf numFmtId="0" fontId="13" fillId="0" borderId="211" xfId="0" applyFont="1" applyBorder="1" applyAlignment="1">
      <alignment horizontal="center"/>
    </xf>
    <xf numFmtId="10" fontId="13" fillId="0" borderId="68" xfId="16" applyNumberFormat="1" applyFont="1" applyBorder="1" applyAlignment="1">
      <alignment horizontal="center"/>
    </xf>
    <xf numFmtId="10" fontId="13" fillId="0" borderId="70" xfId="16" applyNumberFormat="1" applyFont="1" applyBorder="1" applyAlignment="1">
      <alignment horizontal="center"/>
    </xf>
    <xf numFmtId="10" fontId="13" fillId="0" borderId="69" xfId="16" applyNumberFormat="1" applyFont="1" applyBorder="1" applyAlignment="1">
      <alignment horizontal="center"/>
    </xf>
    <xf numFmtId="10" fontId="13" fillId="0" borderId="210" xfId="16" applyNumberFormat="1" applyFont="1" applyBorder="1" applyAlignment="1">
      <alignment horizontal="center"/>
    </xf>
    <xf numFmtId="10" fontId="13" fillId="0" borderId="141" xfId="16" applyNumberFormat="1" applyFont="1" applyBorder="1" applyAlignment="1">
      <alignment horizontal="center"/>
    </xf>
    <xf numFmtId="10" fontId="13" fillId="0" borderId="211" xfId="16" applyNumberFormat="1" applyFont="1" applyBorder="1" applyAlignment="1">
      <alignment horizontal="center"/>
    </xf>
    <xf numFmtId="0" fontId="13" fillId="14" borderId="58" xfId="0" applyFont="1" applyFill="1" applyBorder="1" applyAlignment="1">
      <alignment horizontal="center"/>
    </xf>
    <xf numFmtId="0" fontId="13" fillId="14" borderId="59" xfId="0" applyFont="1" applyFill="1" applyBorder="1" applyAlignment="1">
      <alignment horizontal="center"/>
    </xf>
    <xf numFmtId="0" fontId="13" fillId="14" borderId="60" xfId="0" applyFont="1" applyFill="1" applyBorder="1" applyAlignment="1">
      <alignment horizontal="center"/>
    </xf>
    <xf numFmtId="0" fontId="13" fillId="24" borderId="63" xfId="0" applyFont="1" applyFill="1" applyBorder="1" applyAlignment="1">
      <alignment horizontal="center"/>
    </xf>
    <xf numFmtId="0" fontId="13" fillId="24" borderId="64" xfId="0" applyFont="1" applyFill="1" applyBorder="1" applyAlignment="1">
      <alignment horizontal="center"/>
    </xf>
    <xf numFmtId="0" fontId="10" fillId="0" borderId="68" xfId="11" applyBorder="1" applyAlignment="1" applyProtection="1">
      <alignment horizontal="center"/>
    </xf>
    <xf numFmtId="0" fontId="10" fillId="0" borderId="69" xfId="11" applyBorder="1" applyAlignment="1" applyProtection="1">
      <alignment horizontal="center"/>
    </xf>
    <xf numFmtId="0" fontId="31" fillId="5" borderId="58" xfId="0" applyFont="1" applyFill="1" applyBorder="1" applyAlignment="1">
      <alignment horizontal="center"/>
    </xf>
    <xf numFmtId="0" fontId="31" fillId="5" borderId="59" xfId="0" applyFont="1" applyFill="1" applyBorder="1" applyAlignment="1">
      <alignment horizontal="center"/>
    </xf>
    <xf numFmtId="0" fontId="31" fillId="5" borderId="60" xfId="0" applyFont="1" applyFill="1" applyBorder="1" applyAlignment="1">
      <alignment horizontal="center"/>
    </xf>
    <xf numFmtId="0" fontId="31" fillId="5" borderId="57" xfId="0" applyFont="1" applyFill="1" applyBorder="1" applyAlignment="1">
      <alignment horizontal="center"/>
    </xf>
    <xf numFmtId="0" fontId="31" fillId="5" borderId="61" xfId="0" applyFont="1" applyFill="1" applyBorder="1" applyAlignment="1">
      <alignment horizontal="center"/>
    </xf>
    <xf numFmtId="0" fontId="31" fillId="5" borderId="62" xfId="0" applyFont="1" applyFill="1" applyBorder="1" applyAlignment="1">
      <alignment horizontal="center"/>
    </xf>
    <xf numFmtId="0" fontId="13" fillId="0" borderId="68" xfId="0" applyFont="1" applyBorder="1" applyAlignment="1">
      <alignment horizontal="center" vertical="center"/>
    </xf>
    <xf numFmtId="0" fontId="13" fillId="0" borderId="69" xfId="0" applyFont="1" applyBorder="1" applyAlignment="1">
      <alignment horizontal="center" vertical="center"/>
    </xf>
    <xf numFmtId="0" fontId="44" fillId="0" borderId="208" xfId="0" applyFont="1" applyBorder="1" applyAlignment="1">
      <alignment horizontal="center"/>
    </xf>
    <xf numFmtId="0" fontId="44" fillId="0" borderId="209" xfId="0" applyFont="1" applyBorder="1" applyAlignment="1">
      <alignment horizontal="center"/>
    </xf>
    <xf numFmtId="10" fontId="13" fillId="0" borderId="35" xfId="16" applyNumberFormat="1" applyFont="1" applyBorder="1" applyAlignment="1">
      <alignment horizontal="center"/>
    </xf>
    <xf numFmtId="10" fontId="13" fillId="0" borderId="209" xfId="16" applyNumberFormat="1" applyFont="1" applyBorder="1" applyAlignment="1">
      <alignment horizontal="center"/>
    </xf>
    <xf numFmtId="0" fontId="13" fillId="24" borderId="65" xfId="0" applyFont="1" applyFill="1" applyBorder="1" applyAlignment="1">
      <alignment horizontal="center"/>
    </xf>
    <xf numFmtId="0" fontId="13" fillId="24" borderId="66" xfId="0" applyFont="1" applyFill="1" applyBorder="1" applyAlignment="1">
      <alignment horizontal="center"/>
    </xf>
    <xf numFmtId="0" fontId="13" fillId="24" borderId="67" xfId="0" applyFont="1" applyFill="1" applyBorder="1" applyAlignment="1">
      <alignment horizontal="center"/>
    </xf>
    <xf numFmtId="0" fontId="8" fillId="0" borderId="68" xfId="0" applyFont="1" applyBorder="1" applyAlignment="1">
      <alignment horizontal="center" vertical="center" wrapText="1"/>
    </xf>
    <xf numFmtId="0" fontId="8" fillId="0" borderId="70" xfId="0" applyFont="1" applyBorder="1" applyAlignment="1">
      <alignment horizontal="center" vertical="center" wrapText="1"/>
    </xf>
    <xf numFmtId="0" fontId="8" fillId="0" borderId="69" xfId="0" applyFont="1" applyBorder="1" applyAlignment="1">
      <alignment horizontal="center" vertical="center" wrapText="1"/>
    </xf>
    <xf numFmtId="0" fontId="9" fillId="0" borderId="58" xfId="0" applyFont="1" applyBorder="1" applyAlignment="1">
      <alignment horizontal="center" vertical="center"/>
    </xf>
    <xf numFmtId="0" fontId="9" fillId="0" borderId="60" xfId="0" applyFont="1" applyBorder="1" applyAlignment="1">
      <alignment horizontal="center" vertical="center"/>
    </xf>
    <xf numFmtId="0" fontId="10" fillId="0" borderId="210" xfId="11" applyBorder="1" applyAlignment="1" applyProtection="1">
      <alignment horizontal="center"/>
    </xf>
    <xf numFmtId="0" fontId="10" fillId="0" borderId="211" xfId="11" applyBorder="1" applyAlignment="1" applyProtection="1">
      <alignment horizontal="center"/>
    </xf>
    <xf numFmtId="0" fontId="0" fillId="0" borderId="0" xfId="0" applyAlignment="1">
      <alignment horizontal="center" vertical="center" wrapText="1"/>
    </xf>
    <xf numFmtId="0" fontId="0" fillId="0" borderId="45" xfId="0" applyBorder="1" applyAlignment="1">
      <alignment horizontal="center" vertical="center" wrapText="1"/>
    </xf>
    <xf numFmtId="0" fontId="0" fillId="0" borderId="44" xfId="0" applyBorder="1" applyAlignment="1">
      <alignment horizontal="center" vertical="center" wrapText="1"/>
    </xf>
    <xf numFmtId="0" fontId="31" fillId="5" borderId="44" xfId="0" applyFont="1" applyFill="1" applyBorder="1" applyAlignment="1">
      <alignment horizontal="center"/>
    </xf>
    <xf numFmtId="0" fontId="46" fillId="5" borderId="0" xfId="0" applyFont="1" applyFill="1" applyAlignment="1">
      <alignment horizontal="center"/>
    </xf>
    <xf numFmtId="0" fontId="31" fillId="18" borderId="44" xfId="0" applyFont="1" applyFill="1" applyBorder="1" applyAlignment="1">
      <alignment horizontal="center"/>
    </xf>
    <xf numFmtId="0" fontId="46" fillId="5" borderId="54" xfId="0" applyFont="1" applyFill="1" applyBorder="1" applyAlignment="1">
      <alignment horizontal="center"/>
    </xf>
    <xf numFmtId="0" fontId="46" fillId="5" borderId="59" xfId="0" applyFont="1" applyFill="1" applyBorder="1" applyAlignment="1">
      <alignment horizontal="center"/>
    </xf>
    <xf numFmtId="0" fontId="0" fillId="0" borderId="81" xfId="0" applyBorder="1" applyAlignment="1">
      <alignment horizontal="center" vertical="center" wrapText="1"/>
    </xf>
    <xf numFmtId="0" fontId="34" fillId="0" borderId="81" xfId="0" applyFont="1" applyBorder="1" applyAlignment="1">
      <alignment horizontal="center" vertical="center" wrapText="1"/>
    </xf>
    <xf numFmtId="0" fontId="31" fillId="5" borderId="54" xfId="0" applyFont="1" applyFill="1" applyBorder="1" applyAlignment="1">
      <alignment horizontal="center"/>
    </xf>
    <xf numFmtId="0" fontId="8" fillId="39" borderId="198" xfId="0" applyFont="1" applyFill="1" applyBorder="1" applyAlignment="1">
      <alignment horizontal="center" vertical="center" wrapText="1"/>
    </xf>
    <xf numFmtId="0" fontId="73" fillId="0" borderId="51" xfId="0" applyFont="1" applyBorder="1" applyAlignment="1">
      <alignment horizontal="center" vertical="center" wrapText="1"/>
    </xf>
    <xf numFmtId="0" fontId="73" fillId="0" borderId="199" xfId="0" applyFont="1" applyBorder="1" applyAlignment="1">
      <alignment horizontal="center" vertical="center" wrapText="1"/>
    </xf>
    <xf numFmtId="0" fontId="27" fillId="5" borderId="195" xfId="26" applyFont="1" applyFill="1" applyBorder="1" applyAlignment="1">
      <alignment horizontal="center" vertical="center"/>
    </xf>
    <xf numFmtId="0" fontId="27" fillId="5" borderId="196" xfId="26" applyFont="1" applyFill="1" applyBorder="1" applyAlignment="1">
      <alignment horizontal="center" vertical="center"/>
    </xf>
    <xf numFmtId="0" fontId="27" fillId="5" borderId="197" xfId="26" applyFont="1" applyFill="1" applyBorder="1" applyAlignment="1">
      <alignment horizontal="center" vertical="center"/>
    </xf>
    <xf numFmtId="0" fontId="8" fillId="45" borderId="198" xfId="0" applyFont="1" applyFill="1" applyBorder="1" applyAlignment="1">
      <alignment horizontal="center" vertical="center" wrapText="1"/>
    </xf>
    <xf numFmtId="0" fontId="8" fillId="44" borderId="198" xfId="0" applyFont="1" applyFill="1" applyBorder="1" applyAlignment="1">
      <alignment horizontal="center" vertical="center" wrapText="1"/>
    </xf>
    <xf numFmtId="0" fontId="8" fillId="44" borderId="200" xfId="0" applyFont="1" applyFill="1" applyBorder="1" applyAlignment="1">
      <alignment horizontal="center" vertical="center" wrapText="1"/>
    </xf>
    <xf numFmtId="0" fontId="73" fillId="0" borderId="201" xfId="0" applyFont="1" applyBorder="1" applyAlignment="1">
      <alignment horizontal="center" vertical="center" wrapText="1"/>
    </xf>
    <xf numFmtId="0" fontId="73" fillId="0" borderId="202" xfId="0" applyFont="1" applyBorder="1" applyAlignment="1">
      <alignment horizontal="center" vertical="center" wrapText="1"/>
    </xf>
    <xf numFmtId="0" fontId="27" fillId="32" borderId="92" xfId="0" applyFont="1" applyFill="1" applyBorder="1" applyAlignment="1">
      <alignment horizontal="center"/>
    </xf>
    <xf numFmtId="0" fontId="27" fillId="32" borderId="93" xfId="0" applyFont="1" applyFill="1" applyBorder="1" applyAlignment="1">
      <alignment horizontal="center"/>
    </xf>
    <xf numFmtId="0" fontId="50" fillId="5" borderId="51" xfId="0" applyFont="1" applyFill="1" applyBorder="1" applyAlignment="1">
      <alignment horizontal="center"/>
    </xf>
    <xf numFmtId="0" fontId="68" fillId="0" borderId="95" xfId="0" applyFont="1" applyBorder="1" applyAlignment="1">
      <alignment horizontal="center" vertical="center" wrapText="1"/>
    </xf>
    <xf numFmtId="0" fontId="68" fillId="0" borderId="96" xfId="0" applyFont="1" applyBorder="1" applyAlignment="1">
      <alignment horizontal="center" vertical="center" wrapText="1"/>
    </xf>
    <xf numFmtId="0" fontId="68" fillId="0" borderId="275" xfId="0" applyFont="1" applyBorder="1" applyAlignment="1">
      <alignment horizontal="center" vertical="center" wrapText="1"/>
    </xf>
    <xf numFmtId="0" fontId="87" fillId="0" borderId="95" xfId="0" applyFont="1" applyBorder="1" applyAlignment="1">
      <alignment horizontal="center" vertical="center" wrapText="1"/>
    </xf>
    <xf numFmtId="0" fontId="87" fillId="0" borderId="96" xfId="0" applyFont="1" applyBorder="1" applyAlignment="1">
      <alignment horizontal="center" vertical="center" wrapText="1"/>
    </xf>
    <xf numFmtId="0" fontId="87" fillId="0" borderId="280" xfId="0" applyFont="1" applyBorder="1" applyAlignment="1">
      <alignment horizontal="center" vertical="center" wrapText="1"/>
    </xf>
    <xf numFmtId="2" fontId="0" fillId="0" borderId="0" xfId="26" applyNumberFormat="1" applyFont="1" applyAlignment="1">
      <alignment horizontal="center"/>
    </xf>
    <xf numFmtId="0" fontId="16" fillId="18" borderId="97" xfId="1" applyFill="1" applyBorder="1" applyAlignment="1">
      <alignment horizontal="center" vertical="center" readingOrder="1"/>
    </xf>
    <xf numFmtId="0" fontId="53" fillId="18" borderId="97" xfId="26" applyFont="1" applyFill="1" applyBorder="1" applyAlignment="1">
      <alignment horizontal="center"/>
    </xf>
    <xf numFmtId="0" fontId="0" fillId="0" borderId="0" xfId="26" applyFont="1" applyAlignment="1">
      <alignment horizontal="center"/>
    </xf>
    <xf numFmtId="0" fontId="27" fillId="5" borderId="119" xfId="26" applyFont="1" applyFill="1" applyBorder="1" applyAlignment="1">
      <alignment horizontal="center" vertical="center"/>
    </xf>
    <xf numFmtId="0" fontId="27" fillId="5" borderId="25" xfId="26" applyFont="1" applyFill="1" applyBorder="1" applyAlignment="1">
      <alignment horizontal="center" vertical="center"/>
    </xf>
    <xf numFmtId="0" fontId="27" fillId="5" borderId="26" xfId="26" applyFont="1" applyFill="1" applyBorder="1" applyAlignment="1">
      <alignment horizontal="center" vertical="center"/>
    </xf>
    <xf numFmtId="0" fontId="29" fillId="0" borderId="120" xfId="26" applyFont="1" applyBorder="1" applyAlignment="1">
      <alignment horizontal="center" vertical="center" wrapText="1"/>
    </xf>
    <xf numFmtId="0" fontId="29" fillId="0" borderId="121" xfId="26" applyFont="1" applyBorder="1" applyAlignment="1">
      <alignment horizontal="center" vertical="center" wrapText="1"/>
    </xf>
    <xf numFmtId="0" fontId="29" fillId="0" borderId="122" xfId="26" applyFont="1" applyBorder="1" applyAlignment="1">
      <alignment horizontal="center" vertical="center" wrapText="1"/>
    </xf>
    <xf numFmtId="0" fontId="8" fillId="39" borderId="189" xfId="0" applyFont="1" applyFill="1" applyBorder="1" applyAlignment="1">
      <alignment horizontal="center"/>
    </xf>
    <xf numFmtId="0" fontId="8" fillId="39" borderId="190" xfId="0" applyFont="1" applyFill="1" applyBorder="1" applyAlignment="1">
      <alignment horizontal="center"/>
    </xf>
    <xf numFmtId="0" fontId="8" fillId="39" borderId="138" xfId="0" applyFont="1" applyFill="1" applyBorder="1" applyAlignment="1">
      <alignment horizontal="center"/>
    </xf>
    <xf numFmtId="0" fontId="8" fillId="39" borderId="130" xfId="0" applyFont="1" applyFill="1" applyBorder="1" applyAlignment="1">
      <alignment horizontal="center"/>
    </xf>
    <xf numFmtId="0" fontId="65" fillId="0" borderId="104" xfId="29" applyFont="1" applyBorder="1" applyAlignment="1">
      <alignment horizontal="center" vertical="center"/>
    </xf>
    <xf numFmtId="0" fontId="65" fillId="0" borderId="106" xfId="29" applyFont="1" applyBorder="1" applyAlignment="1">
      <alignment horizontal="center" vertical="center"/>
    </xf>
    <xf numFmtId="0" fontId="55" fillId="36" borderId="0" xfId="0" applyFont="1" applyFill="1" applyAlignment="1">
      <alignment horizontal="left" vertical="center"/>
    </xf>
    <xf numFmtId="0" fontId="55" fillId="36" borderId="124" xfId="0" applyFont="1" applyFill="1" applyBorder="1" applyAlignment="1">
      <alignment horizontal="left" vertical="center"/>
    </xf>
    <xf numFmtId="0" fontId="56" fillId="0" borderId="104" xfId="0" applyFont="1" applyBorder="1" applyAlignment="1">
      <alignment horizontal="center" vertical="center"/>
    </xf>
    <xf numFmtId="0" fontId="56" fillId="0" borderId="107" xfId="0" applyFont="1" applyBorder="1" applyAlignment="1">
      <alignment horizontal="center" vertical="center"/>
    </xf>
    <xf numFmtId="0" fontId="56" fillId="0" borderId="106" xfId="0" applyFont="1" applyBorder="1" applyAlignment="1">
      <alignment horizontal="center" vertical="center"/>
    </xf>
    <xf numFmtId="0" fontId="56" fillId="0" borderId="114" xfId="0" applyFont="1" applyBorder="1" applyAlignment="1">
      <alignment horizontal="center" vertical="center" wrapText="1"/>
    </xf>
    <xf numFmtId="0" fontId="56" fillId="0" borderId="111" xfId="0" applyFont="1" applyBorder="1" applyAlignment="1">
      <alignment horizontal="center" vertical="center" wrapText="1"/>
    </xf>
    <xf numFmtId="3" fontId="56" fillId="0" borderId="111" xfId="0" applyNumberFormat="1" applyFont="1" applyBorder="1" applyAlignment="1">
      <alignment horizontal="center" vertical="center" wrapText="1"/>
    </xf>
    <xf numFmtId="0" fontId="61" fillId="28" borderId="113" xfId="0" applyFont="1" applyFill="1" applyBorder="1" applyAlignment="1">
      <alignment horizontal="center"/>
    </xf>
    <xf numFmtId="0" fontId="61" fillId="28" borderId="0" xfId="0" applyFont="1" applyFill="1" applyAlignment="1">
      <alignment horizontal="center"/>
    </xf>
    <xf numFmtId="0" fontId="61" fillId="28" borderId="123" xfId="0" applyFont="1" applyFill="1" applyBorder="1" applyAlignment="1">
      <alignment horizontal="center"/>
    </xf>
    <xf numFmtId="0" fontId="61" fillId="28" borderId="109" xfId="0" applyFont="1" applyFill="1" applyBorder="1" applyAlignment="1">
      <alignment horizontal="center"/>
    </xf>
    <xf numFmtId="0" fontId="61" fillId="28" borderId="173" xfId="0" applyFont="1" applyFill="1" applyBorder="1" applyAlignment="1">
      <alignment horizontal="center"/>
    </xf>
    <xf numFmtId="3" fontId="54" fillId="12" borderId="189" xfId="0" applyNumberFormat="1" applyFont="1" applyFill="1" applyBorder="1" applyAlignment="1">
      <alignment horizontal="center"/>
    </xf>
    <xf numFmtId="3" fontId="54" fillId="12" borderId="190" xfId="0" applyNumberFormat="1" applyFont="1" applyFill="1" applyBorder="1" applyAlignment="1">
      <alignment horizontal="center"/>
    </xf>
    <xf numFmtId="3" fontId="54" fillId="12" borderId="158" xfId="0" applyNumberFormat="1" applyFont="1" applyFill="1" applyBorder="1" applyAlignment="1">
      <alignment horizontal="center"/>
    </xf>
    <xf numFmtId="0" fontId="54" fillId="39" borderId="189" xfId="0" applyFont="1" applyFill="1" applyBorder="1" applyAlignment="1">
      <alignment horizontal="center"/>
    </xf>
    <xf numFmtId="0" fontId="54" fillId="39" borderId="190" xfId="0" applyFont="1" applyFill="1" applyBorder="1" applyAlignment="1">
      <alignment horizontal="center"/>
    </xf>
    <xf numFmtId="0" fontId="54" fillId="39" borderId="158" xfId="0" applyFont="1" applyFill="1" applyBorder="1" applyAlignment="1">
      <alignment horizontal="center"/>
    </xf>
    <xf numFmtId="3" fontId="56" fillId="0" borderId="111" xfId="0" applyNumberFormat="1" applyFont="1" applyBorder="1" applyAlignment="1">
      <alignment horizontal="center" vertical="center"/>
    </xf>
    <xf numFmtId="3" fontId="56" fillId="0" borderId="114" xfId="0" applyNumberFormat="1" applyFont="1" applyBorder="1" applyAlignment="1">
      <alignment horizontal="center" vertical="center"/>
    </xf>
    <xf numFmtId="0" fontId="56" fillId="0" borderId="191" xfId="0" applyFont="1" applyBorder="1" applyAlignment="1">
      <alignment horizontal="center" vertical="center"/>
    </xf>
    <xf numFmtId="0" fontId="56" fillId="0" borderId="148" xfId="0" applyFont="1" applyBorder="1" applyAlignment="1">
      <alignment horizontal="center" vertical="center"/>
    </xf>
    <xf numFmtId="0" fontId="56" fillId="0" borderId="103" xfId="0" applyFont="1" applyBorder="1" applyAlignment="1">
      <alignment horizontal="center" vertical="center"/>
    </xf>
    <xf numFmtId="10" fontId="0" fillId="57" borderId="38" xfId="24" applyNumberFormat="1" applyFont="1" applyFill="1" applyBorder="1" applyAlignment="1">
      <alignment horizontal="center"/>
    </xf>
    <xf numFmtId="0" fontId="0" fillId="57" borderId="39" xfId="24" applyFont="1" applyFill="1" applyBorder="1" applyAlignment="1">
      <alignment horizontal="center"/>
    </xf>
    <xf numFmtId="3" fontId="0" fillId="57" borderId="38" xfId="24" applyNumberFormat="1" applyFont="1" applyFill="1" applyBorder="1" applyAlignment="1">
      <alignment horizontal="center"/>
    </xf>
    <xf numFmtId="0" fontId="0" fillId="57" borderId="1" xfId="24" applyFont="1" applyFill="1" applyBorder="1" applyAlignment="1">
      <alignment horizontal="center"/>
    </xf>
    <xf numFmtId="0" fontId="0" fillId="57" borderId="38" xfId="24" applyFont="1" applyFill="1" applyBorder="1" applyAlignment="1">
      <alignment horizontal="center"/>
    </xf>
    <xf numFmtId="3" fontId="0" fillId="0" borderId="38" xfId="24" applyNumberFormat="1" applyFont="1" applyBorder="1" applyAlignment="1">
      <alignment horizontal="center"/>
    </xf>
    <xf numFmtId="3" fontId="0" fillId="0" borderId="39" xfId="24" applyNumberFormat="1" applyFont="1" applyBorder="1" applyAlignment="1">
      <alignment horizontal="center"/>
    </xf>
    <xf numFmtId="10" fontId="0" fillId="35" borderId="38" xfId="24" applyNumberFormat="1" applyFont="1" applyFill="1" applyBorder="1" applyAlignment="1">
      <alignment horizontal="center"/>
    </xf>
    <xf numFmtId="10" fontId="0" fillId="35" borderId="276" xfId="24" applyNumberFormat="1" applyFont="1" applyFill="1" applyBorder="1" applyAlignment="1">
      <alignment horizontal="center"/>
    </xf>
    <xf numFmtId="169" fontId="0" fillId="0" borderId="161" xfId="24" applyNumberFormat="1" applyFont="1" applyBorder="1" applyAlignment="1">
      <alignment horizontal="center"/>
    </xf>
    <xf numFmtId="169" fontId="0" fillId="0" borderId="205" xfId="24" applyNumberFormat="1" applyFont="1" applyBorder="1" applyAlignment="1">
      <alignment horizontal="center"/>
    </xf>
    <xf numFmtId="177" fontId="0" fillId="35" borderId="38" xfId="24" applyNumberFormat="1" applyFont="1" applyFill="1" applyBorder="1" applyAlignment="1">
      <alignment horizontal="center"/>
    </xf>
    <xf numFmtId="177" fontId="0" fillId="35" borderId="276" xfId="24" applyNumberFormat="1" applyFont="1" applyFill="1" applyBorder="1" applyAlignment="1">
      <alignment horizontal="center"/>
    </xf>
    <xf numFmtId="10" fontId="0" fillId="35" borderId="29" xfId="24" applyNumberFormat="1" applyFont="1" applyFill="1" applyBorder="1" applyAlignment="1">
      <alignment horizontal="center"/>
    </xf>
    <xf numFmtId="10" fontId="0" fillId="35" borderId="279" xfId="24" applyNumberFormat="1" applyFont="1" applyFill="1" applyBorder="1" applyAlignment="1">
      <alignment horizontal="center"/>
    </xf>
    <xf numFmtId="169" fontId="0" fillId="0" borderId="104" xfId="24" applyNumberFormat="1" applyFont="1" applyBorder="1" applyAlignment="1">
      <alignment horizontal="center"/>
    </xf>
    <xf numFmtId="169" fontId="0" fillId="0" borderId="103" xfId="24" applyNumberFormat="1" applyFont="1" applyBorder="1" applyAlignment="1">
      <alignment horizontal="center"/>
    </xf>
    <xf numFmtId="3" fontId="0" fillId="0" borderId="29" xfId="24" applyNumberFormat="1" applyFont="1" applyBorder="1" applyAlignment="1">
      <alignment horizontal="center"/>
    </xf>
    <xf numFmtId="3" fontId="0" fillId="0" borderId="30" xfId="24" applyNumberFormat="1" applyFont="1" applyBorder="1" applyAlignment="1">
      <alignment horizontal="center"/>
    </xf>
    <xf numFmtId="3" fontId="0" fillId="0" borderId="5" xfId="24" applyNumberFormat="1" applyFont="1" applyBorder="1" applyAlignment="1">
      <alignment horizontal="center"/>
    </xf>
    <xf numFmtId="3" fontId="0" fillId="0" borderId="1" xfId="24" applyNumberFormat="1" applyFont="1" applyBorder="1" applyAlignment="1">
      <alignment horizontal="center"/>
    </xf>
    <xf numFmtId="0" fontId="0" fillId="47" borderId="115" xfId="0" applyFill="1" applyBorder="1" applyAlignment="1">
      <alignment horizontal="center" vertical="center"/>
    </xf>
    <xf numFmtId="0" fontId="0" fillId="47" borderId="113" xfId="0" applyFill="1" applyBorder="1" applyAlignment="1">
      <alignment horizontal="center" vertical="center"/>
    </xf>
    <xf numFmtId="0" fontId="0" fillId="47" borderId="112" xfId="0" applyFill="1" applyBorder="1" applyAlignment="1">
      <alignment horizontal="center" vertical="center"/>
    </xf>
    <xf numFmtId="0" fontId="58" fillId="45" borderId="115" xfId="0" applyFont="1" applyFill="1" applyBorder="1" applyAlignment="1">
      <alignment horizontal="center" vertical="center"/>
    </xf>
    <xf numFmtId="0" fontId="58" fillId="45" borderId="113" xfId="0" applyFont="1" applyFill="1" applyBorder="1" applyAlignment="1">
      <alignment horizontal="center" vertical="center"/>
    </xf>
    <xf numFmtId="0" fontId="58" fillId="45" borderId="112" xfId="0" applyFont="1" applyFill="1" applyBorder="1" applyAlignment="1">
      <alignment horizontal="center" vertical="center"/>
    </xf>
    <xf numFmtId="0" fontId="58" fillId="44" borderId="115" xfId="0" applyFont="1" applyFill="1" applyBorder="1" applyAlignment="1">
      <alignment horizontal="center" vertical="center"/>
    </xf>
    <xf numFmtId="0" fontId="58" fillId="44" borderId="113" xfId="0" applyFont="1" applyFill="1" applyBorder="1" applyAlignment="1">
      <alignment horizontal="center" vertical="center"/>
    </xf>
    <xf numFmtId="0" fontId="58" fillId="44" borderId="112" xfId="0" applyFont="1" applyFill="1" applyBorder="1" applyAlignment="1">
      <alignment horizontal="center" vertical="center"/>
    </xf>
    <xf numFmtId="0" fontId="0" fillId="0" borderId="38" xfId="24" applyFont="1" applyBorder="1" applyAlignment="1">
      <alignment horizontal="center"/>
    </xf>
    <xf numFmtId="169" fontId="0" fillId="0" borderId="106" xfId="24" applyNumberFormat="1" applyFont="1" applyBorder="1" applyAlignment="1">
      <alignment horizontal="center"/>
    </xf>
    <xf numFmtId="0" fontId="0" fillId="35" borderId="38" xfId="24" applyFont="1" applyFill="1" applyBorder="1" applyAlignment="1">
      <alignment horizontal="center"/>
    </xf>
    <xf numFmtId="0" fontId="0" fillId="0" borderId="104" xfId="24" applyFont="1" applyBorder="1" applyAlignment="1">
      <alignment horizontal="center"/>
    </xf>
    <xf numFmtId="169" fontId="0" fillId="0" borderId="40" xfId="24" applyNumberFormat="1" applyFont="1" applyBorder="1" applyAlignment="1">
      <alignment horizontal="center"/>
    </xf>
    <xf numFmtId="0" fontId="78" fillId="7" borderId="0" xfId="0" applyFont="1" applyFill="1" applyAlignment="1">
      <alignment horizontal="center"/>
    </xf>
    <xf numFmtId="0" fontId="0" fillId="48" borderId="103" xfId="0" applyFill="1" applyBorder="1" applyAlignment="1">
      <alignment horizontal="center"/>
    </xf>
    <xf numFmtId="3" fontId="0" fillId="0" borderId="103" xfId="0" applyNumberFormat="1" applyBorder="1" applyAlignment="1">
      <alignment horizontal="center"/>
    </xf>
    <xf numFmtId="3" fontId="8" fillId="0" borderId="161" xfId="0" applyNumberFormat="1" applyFont="1" applyBorder="1" applyAlignment="1">
      <alignment horizontal="center"/>
    </xf>
    <xf numFmtId="3" fontId="8" fillId="0" borderId="101" xfId="0" applyNumberFormat="1" applyFont="1" applyBorder="1" applyAlignment="1">
      <alignment horizontal="center"/>
    </xf>
    <xf numFmtId="0" fontId="8" fillId="0" borderId="254" xfId="0" applyFont="1" applyBorder="1" applyAlignment="1">
      <alignment horizontal="center"/>
    </xf>
    <xf numFmtId="0" fontId="8" fillId="0" borderId="36" xfId="0" applyFont="1" applyBorder="1" applyAlignment="1">
      <alignment horizontal="center"/>
    </xf>
    <xf numFmtId="0" fontId="8" fillId="0" borderId="37" xfId="0" applyFont="1" applyBorder="1" applyAlignment="1">
      <alignment horizontal="center"/>
    </xf>
    <xf numFmtId="0" fontId="8" fillId="0" borderId="255" xfId="0" applyFont="1" applyBorder="1" applyAlignment="1">
      <alignment horizontal="center"/>
    </xf>
    <xf numFmtId="0" fontId="8" fillId="0" borderId="256" xfId="0" applyFont="1" applyBorder="1" applyAlignment="1">
      <alignment horizontal="center"/>
    </xf>
    <xf numFmtId="0" fontId="8" fillId="0" borderId="130" xfId="0" applyFont="1" applyBorder="1" applyAlignment="1">
      <alignment horizontal="center"/>
    </xf>
    <xf numFmtId="0" fontId="8" fillId="0" borderId="37" xfId="0" applyFont="1" applyBorder="1" applyAlignment="1">
      <alignment horizontal="center" vertical="center"/>
    </xf>
    <xf numFmtId="0" fontId="8" fillId="0" borderId="255" xfId="0" applyFont="1" applyBorder="1" applyAlignment="1">
      <alignment horizontal="center" vertical="center"/>
    </xf>
    <xf numFmtId="0" fontId="8" fillId="8" borderId="161" xfId="0" applyFont="1" applyFill="1" applyBorder="1" applyAlignment="1">
      <alignment horizontal="center"/>
    </xf>
    <xf numFmtId="0" fontId="8" fillId="8" borderId="205" xfId="0" applyFont="1" applyFill="1" applyBorder="1" applyAlignment="1">
      <alignment horizontal="center"/>
    </xf>
    <xf numFmtId="0" fontId="0" fillId="8" borderId="161" xfId="0" applyFill="1" applyBorder="1" applyAlignment="1">
      <alignment horizontal="center"/>
    </xf>
    <xf numFmtId="0" fontId="0" fillId="8" borderId="205" xfId="0" applyFill="1" applyBorder="1" applyAlignment="1">
      <alignment horizontal="center"/>
    </xf>
    <xf numFmtId="0" fontId="8" fillId="8" borderId="291" xfId="0" applyFont="1" applyFill="1" applyBorder="1" applyAlignment="1">
      <alignment horizontal="center"/>
    </xf>
    <xf numFmtId="0" fontId="0" fillId="8" borderId="290" xfId="0" applyFill="1" applyBorder="1" applyAlignment="1">
      <alignment horizontal="center"/>
    </xf>
    <xf numFmtId="0" fontId="0" fillId="42" borderId="161" xfId="0" applyFill="1" applyBorder="1" applyAlignment="1">
      <alignment horizontal="center"/>
    </xf>
    <xf numFmtId="0" fontId="0" fillId="42" borderId="205" xfId="0" applyFill="1" applyBorder="1" applyAlignment="1">
      <alignment horizontal="center"/>
    </xf>
    <xf numFmtId="169" fontId="0" fillId="57" borderId="38" xfId="24" applyNumberFormat="1" applyFont="1" applyFill="1" applyBorder="1" applyAlignment="1">
      <alignment horizontal="center"/>
    </xf>
    <xf numFmtId="169" fontId="0" fillId="57" borderId="39" xfId="24" applyNumberFormat="1" applyFont="1" applyFill="1" applyBorder="1" applyAlignment="1">
      <alignment horizontal="center"/>
    </xf>
    <xf numFmtId="0" fontId="8" fillId="0" borderId="186" xfId="0" applyFont="1" applyBorder="1" applyAlignment="1">
      <alignment horizontal="center" vertical="center" wrapText="1"/>
    </xf>
    <xf numFmtId="0" fontId="8" fillId="0" borderId="5" xfId="0" applyFont="1" applyBorder="1" applyAlignment="1">
      <alignment horizontal="center" vertical="center" wrapText="1"/>
    </xf>
    <xf numFmtId="0" fontId="8" fillId="0" borderId="298"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0" xfId="0" applyFont="1" applyAlignment="1">
      <alignment horizontal="center" vertical="center" wrapText="1"/>
    </xf>
    <xf numFmtId="0" fontId="8" fillId="0" borderId="255" xfId="0" applyFont="1" applyBorder="1" applyAlignment="1">
      <alignment horizontal="center" vertical="center" wrapText="1"/>
    </xf>
    <xf numFmtId="0" fontId="8" fillId="0" borderId="256" xfId="0" applyFont="1" applyBorder="1" applyAlignment="1">
      <alignment horizontal="center" vertical="center" wrapText="1"/>
    </xf>
    <xf numFmtId="0" fontId="8" fillId="0" borderId="138" xfId="0" applyFont="1" applyBorder="1" applyAlignment="1">
      <alignment horizontal="center" vertical="center" wrapText="1"/>
    </xf>
    <xf numFmtId="0" fontId="8" fillId="0" borderId="130" xfId="0" applyFont="1" applyBorder="1" applyAlignment="1">
      <alignment horizontal="center" vertical="center" wrapText="1"/>
    </xf>
    <xf numFmtId="0" fontId="88" fillId="59" borderId="292" xfId="0" applyFont="1" applyFill="1" applyBorder="1" applyAlignment="1">
      <alignment horizontal="center" vertical="center"/>
    </xf>
    <xf numFmtId="0" fontId="88" fillId="59" borderId="293" xfId="0" applyFont="1" applyFill="1" applyBorder="1" applyAlignment="1">
      <alignment horizontal="center" vertical="center"/>
    </xf>
    <xf numFmtId="0" fontId="88" fillId="59" borderId="294" xfId="0" applyFont="1" applyFill="1" applyBorder="1" applyAlignment="1">
      <alignment horizontal="center" vertical="center"/>
    </xf>
    <xf numFmtId="3" fontId="0" fillId="0" borderId="104" xfId="0" applyNumberFormat="1" applyBorder="1" applyAlignment="1">
      <alignment horizontal="center"/>
    </xf>
    <xf numFmtId="3" fontId="0" fillId="0" borderId="161" xfId="0" applyNumberFormat="1" applyBorder="1" applyAlignment="1">
      <alignment horizontal="center"/>
    </xf>
    <xf numFmtId="3" fontId="0" fillId="0" borderId="205" xfId="0" applyNumberFormat="1" applyBorder="1" applyAlignment="1">
      <alignment horizontal="center"/>
    </xf>
    <xf numFmtId="0" fontId="88" fillId="59" borderId="189" xfId="0" applyFont="1" applyFill="1" applyBorder="1" applyAlignment="1">
      <alignment horizontal="center" vertical="center"/>
    </xf>
    <xf numFmtId="0" fontId="88" fillId="59" borderId="190" xfId="0" applyFont="1" applyFill="1" applyBorder="1" applyAlignment="1">
      <alignment horizontal="center" vertical="center"/>
    </xf>
    <xf numFmtId="0" fontId="88" fillId="59" borderId="158" xfId="0" applyFont="1" applyFill="1" applyBorder="1" applyAlignment="1">
      <alignment horizontal="center" vertical="center"/>
    </xf>
    <xf numFmtId="0" fontId="75" fillId="18" borderId="0" xfId="24" applyFont="1" applyFill="1" applyAlignment="1">
      <alignment horizontal="center" vertical="center"/>
    </xf>
    <xf numFmtId="0" fontId="0" fillId="42" borderId="103" xfId="0" applyFill="1" applyBorder="1" applyAlignment="1">
      <alignment horizontal="center"/>
    </xf>
    <xf numFmtId="0" fontId="0" fillId="8" borderId="103" xfId="0" applyFill="1" applyBorder="1" applyAlignment="1">
      <alignment horizontal="center"/>
    </xf>
    <xf numFmtId="0" fontId="8" fillId="8" borderId="101" xfId="0" applyFont="1" applyFill="1" applyBorder="1" applyAlignment="1">
      <alignment horizontal="center"/>
    </xf>
    <xf numFmtId="0" fontId="0" fillId="8" borderId="104" xfId="0" applyFill="1" applyBorder="1" applyAlignment="1">
      <alignment horizontal="center"/>
    </xf>
    <xf numFmtId="49" fontId="8" fillId="0" borderId="292" xfId="24" applyNumberFormat="1" applyBorder="1" applyAlignment="1">
      <alignment horizontal="center" vertical="center" wrapText="1"/>
    </xf>
    <xf numFmtId="49" fontId="8" fillId="0" borderId="293" xfId="24" applyNumberFormat="1" applyBorder="1" applyAlignment="1">
      <alignment horizontal="center" vertical="center" wrapText="1"/>
    </xf>
    <xf numFmtId="49" fontId="8" fillId="0" borderId="294" xfId="24" applyNumberFormat="1" applyBorder="1" applyAlignment="1">
      <alignment horizontal="center" vertical="center" wrapText="1"/>
    </xf>
    <xf numFmtId="49" fontId="8" fillId="0" borderId="207" xfId="24" applyNumberFormat="1" applyBorder="1" applyAlignment="1">
      <alignment horizontal="center" vertical="center" wrapText="1"/>
    </xf>
    <xf numFmtId="49" fontId="8" fillId="0" borderId="1" xfId="24" applyNumberFormat="1" applyBorder="1" applyAlignment="1">
      <alignment horizontal="center" vertical="center" wrapText="1"/>
    </xf>
    <xf numFmtId="49" fontId="8" fillId="0" borderId="187" xfId="24" applyNumberFormat="1" applyBorder="1" applyAlignment="1">
      <alignment horizontal="center" vertical="center" wrapText="1"/>
    </xf>
    <xf numFmtId="0" fontId="8" fillId="0" borderId="207" xfId="24" applyBorder="1" applyAlignment="1">
      <alignment horizontal="center" vertical="center" wrapText="1"/>
    </xf>
    <xf numFmtId="0" fontId="8" fillId="0" borderId="1" xfId="24" applyBorder="1" applyAlignment="1">
      <alignment horizontal="center" vertical="center" wrapText="1"/>
    </xf>
    <xf numFmtId="0" fontId="8" fillId="0" borderId="187" xfId="24" applyBorder="1" applyAlignment="1">
      <alignment horizontal="center" vertical="center" wrapText="1"/>
    </xf>
    <xf numFmtId="0" fontId="8" fillId="0" borderId="295" xfId="24" applyBorder="1" applyAlignment="1">
      <alignment horizontal="center" vertical="center" wrapText="1"/>
    </xf>
    <xf numFmtId="0" fontId="8" fillId="0" borderId="296" xfId="24" applyBorder="1" applyAlignment="1">
      <alignment horizontal="center" vertical="center" wrapText="1"/>
    </xf>
    <xf numFmtId="0" fontId="8" fillId="0" borderId="297" xfId="24" applyBorder="1" applyAlignment="1">
      <alignment horizontal="center" vertical="center" wrapText="1"/>
    </xf>
    <xf numFmtId="0" fontId="43" fillId="0" borderId="0" xfId="0" applyFont="1" applyAlignment="1">
      <alignment horizontal="center"/>
    </xf>
    <xf numFmtId="0" fontId="9" fillId="0" borderId="0" xfId="0" applyFont="1" applyAlignment="1">
      <alignment horizontal="center"/>
    </xf>
    <xf numFmtId="0" fontId="39" fillId="0" borderId="0" xfId="0" applyFont="1" applyAlignment="1">
      <alignment horizontal="center"/>
    </xf>
    <xf numFmtId="0" fontId="13" fillId="0" borderId="3" xfId="0" applyFont="1" applyBorder="1" applyAlignment="1">
      <alignment horizontal="center"/>
    </xf>
    <xf numFmtId="0" fontId="13" fillId="0" borderId="2" xfId="0" applyFont="1" applyBorder="1" applyAlignment="1">
      <alignment horizontal="center"/>
    </xf>
    <xf numFmtId="0" fontId="13" fillId="0" borderId="29" xfId="0" applyFont="1" applyBorder="1" applyAlignment="1">
      <alignment horizontal="center"/>
    </xf>
    <xf numFmtId="0" fontId="13" fillId="0" borderId="5" xfId="0" applyFont="1" applyBorder="1" applyAlignment="1">
      <alignment horizontal="center"/>
    </xf>
    <xf numFmtId="0" fontId="13" fillId="0" borderId="30" xfId="0" applyFont="1" applyBorder="1" applyAlignment="1">
      <alignment horizontal="center"/>
    </xf>
    <xf numFmtId="0" fontId="35" fillId="19" borderId="0" xfId="0" applyFont="1" applyFill="1" applyAlignment="1">
      <alignment horizontal="center"/>
    </xf>
    <xf numFmtId="4" fontId="35" fillId="19" borderId="0" xfId="0" applyNumberFormat="1" applyFont="1" applyFill="1" applyAlignment="1">
      <alignment horizontal="center"/>
    </xf>
    <xf numFmtId="0" fontId="35" fillId="0" borderId="0" xfId="0" applyFont="1" applyAlignment="1">
      <alignment horizontal="center"/>
    </xf>
    <xf numFmtId="0" fontId="23" fillId="0" borderId="0" xfId="0" applyFont="1" applyAlignment="1">
      <alignment horizontal="center"/>
    </xf>
  </cellXfs>
  <cellStyles count="39">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Hiperligação" xfId="11" builtinId="8"/>
    <cellStyle name="Hiperligação 2" xfId="36" xr:uid="{CEDBE524-5B60-400E-AA4F-3434B40BD159}"/>
    <cellStyle name="Moneda 2" xfId="12" xr:uid="{00000000-0005-0000-0000-00000B000000}"/>
    <cellStyle name="Moneda 2 2" xfId="13" xr:uid="{00000000-0005-0000-0000-00000C000000}"/>
    <cellStyle name="Normal" xfId="0" builtinId="0"/>
    <cellStyle name="Normal 2" xfId="14" xr:uid="{00000000-0005-0000-0000-00000E000000}"/>
    <cellStyle name="Normal 2 2" xfId="15" xr:uid="{00000000-0005-0000-0000-00000F000000}"/>
    <cellStyle name="Normal 2 3" xfId="20" xr:uid="{00000000-0005-0000-0000-000010000000}"/>
    <cellStyle name="Normal 2 3 2" xfId="27" xr:uid="{6A4611F8-31D7-4EA6-B27B-70EB4E34E8FD}"/>
    <cellStyle name="Normal 2 4" xfId="21" xr:uid="{DBC68614-B0BC-4348-8A0D-C96562B201CF}"/>
    <cellStyle name="Normal 3" xfId="24" xr:uid="{371B90F0-6B8E-40BF-8358-D28B574437C9}"/>
    <cellStyle name="Normal 3 2" xfId="26" xr:uid="{41BD78A2-6B23-4ADD-839D-9D86F14E11A2}"/>
    <cellStyle name="Normal 3 3" xfId="29" xr:uid="{4CBFF9A4-05AD-4A91-8AF0-FA0B5B39E2EC}"/>
    <cellStyle name="Normal 4" xfId="35" xr:uid="{60881CC8-2A95-481F-8A97-72FFCEAE7CF3}"/>
    <cellStyle name="Normal 5" xfId="30" xr:uid="{E3BE1569-E214-4855-8BF5-B868B88B5743}"/>
    <cellStyle name="Normal 9" xfId="33" xr:uid="{CACD4D4E-2C7F-4816-9692-26D0FDD559DC}"/>
    <cellStyle name="Percentagem" xfId="16" builtinId="5"/>
    <cellStyle name="Percentagem 2" xfId="37" xr:uid="{44FEA7ED-5F44-4999-B930-78337960FF10}"/>
    <cellStyle name="Porcentaje 2" xfId="17" xr:uid="{00000000-0005-0000-0000-000012000000}"/>
    <cellStyle name="Porcentaje 2 2" xfId="18" xr:uid="{00000000-0005-0000-0000-000013000000}"/>
    <cellStyle name="Porcentaje 2 2 2" xfId="25" xr:uid="{924DB8B0-6B9C-4A78-9CB6-7EC8F42C7C6B}"/>
    <cellStyle name="Porcentaje 2 3" xfId="23" xr:uid="{1FF2580F-E450-433A-8AB5-6E1CABCA8FC9}"/>
    <cellStyle name="Porcentaje 2 4" xfId="28" xr:uid="{3D812F63-E4F6-4F6D-A613-EF79E76ACE35}"/>
    <cellStyle name="Porcentaje 3" xfId="19" xr:uid="{00000000-0005-0000-0000-000014000000}"/>
    <cellStyle name="Porcentaje 3 2" xfId="22" xr:uid="{59E732CE-B697-4AF7-8CEE-0C42EB60E78B}"/>
    <cellStyle name="Porcentaje 4 2" xfId="32" xr:uid="{C6A0E8B8-33DC-4334-89A4-99FF669E5EA8}"/>
    <cellStyle name="Porcentaje 5" xfId="31" xr:uid="{F07CEC0B-CE59-4BBC-A0C7-9B77A84167BF}"/>
    <cellStyle name="Vírgula" xfId="34" builtinId="3"/>
    <cellStyle name="Vírgula 2" xfId="38" xr:uid="{E1E916D7-A12E-4EF1-B991-29E026B20F8E}"/>
  </cellStyles>
  <dxfs count="34">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patternType="solid">
          <bgColor rgb="FF00B050"/>
        </patternFill>
      </fill>
    </dxf>
    <dxf>
      <fill>
        <patternFill patternType="solid">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s>
  <tableStyles count="1" defaultTableStyle="TableStyleMedium9" defaultPivotStyle="PivotStyleLight16">
    <tableStyle name="Invisible" pivot="0" table="0" count="0" xr9:uid="{7B8256E5-5961-45BC-8E74-75040304E975}"/>
  </tableStyles>
  <colors>
    <mruColors>
      <color rgb="FF1F497D"/>
      <color rgb="FF63CB97"/>
      <color rgb="FFC5D9F1"/>
      <color rgb="FF1B7087"/>
      <color rgb="FF3174C5"/>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microsoft.com/office/2017/06/relationships/rdRichValue" Target="richData/rdrichvalue.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RichValueTypes" Target="richData/rdRichValueTyp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Segments!$C$14:$C$16</c:f>
              <c:strCache>
                <c:ptCount val="3"/>
                <c:pt idx="0">
                  <c:v>US Domestic Package</c:v>
                </c:pt>
                <c:pt idx="1">
                  <c:v>International Package</c:v>
                </c:pt>
                <c:pt idx="2">
                  <c:v>Supply Chain Solutions</c:v>
                </c:pt>
              </c:strCache>
            </c:strRef>
          </c:cat>
          <c:val>
            <c:numRef>
              <c:f>Segments!$D$14:$D$16</c:f>
              <c:numCache>
                <c:formatCode>"$"#,##0</c:formatCode>
                <c:ptCount val="3"/>
                <c:pt idx="0">
                  <c:v>59958</c:v>
                </c:pt>
                <c:pt idx="1">
                  <c:v>17831</c:v>
                </c:pt>
                <c:pt idx="2">
                  <c:v>13169</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Segments!$C$5:$C$6</c:f>
              <c:strCache>
                <c:ptCount val="2"/>
                <c:pt idx="0">
                  <c:v>U.S.</c:v>
                </c:pt>
                <c:pt idx="1">
                  <c:v>Non-U.S.</c:v>
                </c:pt>
              </c:strCache>
            </c:strRef>
          </c:cat>
          <c:val>
            <c:numRef>
              <c:f>Segments!$D$5:$D$6</c:f>
              <c:numCache>
                <c:formatCode>"$"#,##0</c:formatCode>
                <c:ptCount val="2"/>
                <c:pt idx="0">
                  <c:v>71749</c:v>
                </c:pt>
                <c:pt idx="1">
                  <c:v>19209</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Peers!$C$8</c:f>
              <c:strCache>
                <c:ptCount val="1"/>
                <c:pt idx="0">
                  <c:v>UNITED PARCEL SERVICE, INC. (XNYS:UPS)</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Peers!$C$21</c:f>
              <c:numCache>
                <c:formatCode>0.00</c:formatCode>
                <c:ptCount val="1"/>
                <c:pt idx="0">
                  <c:v>1.8807867594147278</c:v>
                </c:pt>
              </c:numCache>
            </c:numRef>
          </c:xVal>
          <c:yVal>
            <c:numRef>
              <c:f>Peers!$C$37</c:f>
              <c:numCache>
                <c:formatCode>0.0</c:formatCode>
                <c:ptCount val="1"/>
                <c:pt idx="0">
                  <c:v>0</c:v>
                </c:pt>
              </c:numCache>
            </c:numRef>
          </c:yVal>
          <c:smooth val="0"/>
          <c:extLst>
            <c:ext xmlns:c16="http://schemas.microsoft.com/office/drawing/2014/chart" uri="{C3380CC4-5D6E-409C-BE32-E72D297353CC}">
              <c16:uniqueId val="{00000001-B547-4DF9-892F-3129917FB3B3}"/>
            </c:ext>
          </c:extLst>
        </c:ser>
        <c:ser>
          <c:idx val="1"/>
          <c:order val="1"/>
          <c:tx>
            <c:strRef>
              <c:f>Peers!$D$8</c:f>
              <c:strCache>
                <c:ptCount val="1"/>
                <c:pt idx="0">
                  <c:v>FEDEX CORPORATION (XNYS:FDX)</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Peers!$D$21</c:f>
              <c:numCache>
                <c:formatCode>0.00</c:formatCode>
                <c:ptCount val="1"/>
                <c:pt idx="0">
                  <c:v>2.8724696356275303</c:v>
                </c:pt>
              </c:numCache>
            </c:numRef>
          </c:xVal>
          <c:yVal>
            <c:numRef>
              <c:f>Peers!$D$37</c:f>
              <c:numCache>
                <c:formatCode>0.0</c:formatCode>
                <c:ptCount val="1"/>
                <c:pt idx="0">
                  <c:v>8.9155318365844689</c:v>
                </c:pt>
              </c:numCache>
            </c:numRef>
          </c:yVal>
          <c:smooth val="0"/>
          <c:extLst>
            <c:ext xmlns:c16="http://schemas.microsoft.com/office/drawing/2014/chart" uri="{C3380CC4-5D6E-409C-BE32-E72D297353CC}">
              <c16:uniqueId val="{00000002-B547-4DF9-892F-3129917FB3B3}"/>
            </c:ext>
          </c:extLst>
        </c:ser>
        <c:ser>
          <c:idx val="2"/>
          <c:order val="2"/>
          <c:tx>
            <c:strRef>
              <c:f>Peers!$E$8</c:f>
              <c:strCache>
                <c:ptCount val="1"/>
                <c:pt idx="0">
                  <c:v>Deutsche Post (XETR:DHL)</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Peers!$E$21</c:f>
              <c:numCache>
                <c:formatCode>0.00</c:formatCode>
                <c:ptCount val="1"/>
                <c:pt idx="0">
                  <c:v>1.584870848708487</c:v>
                </c:pt>
              </c:numCache>
            </c:numRef>
          </c:xVal>
          <c:yVal>
            <c:numRef>
              <c:f>Peers!$E$37</c:f>
              <c:numCache>
                <c:formatCode>0.0</c:formatCode>
                <c:ptCount val="1"/>
                <c:pt idx="0">
                  <c:v>5.2312687906184419</c:v>
                </c:pt>
              </c:numCache>
            </c:numRef>
          </c:yVal>
          <c:smooth val="0"/>
          <c:extLst>
            <c:ext xmlns:c16="http://schemas.microsoft.com/office/drawing/2014/chart" uri="{C3380CC4-5D6E-409C-BE32-E72D297353CC}">
              <c16:uniqueId val="{00000003-B547-4DF9-892F-3129917FB3B3}"/>
            </c:ext>
          </c:extLst>
        </c:ser>
        <c:ser>
          <c:idx val="3"/>
          <c:order val="3"/>
          <c:tx>
            <c:strRef>
              <c:f>Peers!$F$8</c:f>
              <c:strCache>
                <c:ptCount val="1"/>
                <c:pt idx="0">
                  <c:v>XPO (XNYS:XPO)</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Peers!$F$21</c:f>
              <c:numCache>
                <c:formatCode>0.00</c:formatCode>
                <c:ptCount val="1"/>
                <c:pt idx="0">
                  <c:v>4.3034883720930228</c:v>
                </c:pt>
              </c:numCache>
            </c:numRef>
          </c:xVal>
          <c:yVal>
            <c:numRef>
              <c:f>Peers!$F$37</c:f>
              <c:numCache>
                <c:formatCode>0.0</c:formatCode>
                <c:ptCount val="1"/>
                <c:pt idx="0">
                  <c:v>19.154651162790696</c:v>
                </c:pt>
              </c:numCache>
            </c:numRef>
          </c:yVal>
          <c:smooth val="0"/>
          <c:extLst>
            <c:ext xmlns:c16="http://schemas.microsoft.com/office/drawing/2014/chart" uri="{C3380CC4-5D6E-409C-BE32-E72D297353CC}">
              <c16:uniqueId val="{00000004-B547-4DF9-892F-3129917FB3B3}"/>
            </c:ext>
          </c:extLst>
        </c:ser>
        <c:ser>
          <c:idx val="4"/>
          <c:order val="4"/>
          <c:tx>
            <c:strRef>
              <c:f>Peers!$G$8</c:f>
              <c:strCache>
                <c:ptCount val="1"/>
                <c:pt idx="0">
                  <c:v>C.H. ROBINSON WORLDWIDE, INC. (XNAS:CHRW)</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Peers!$G$21</c:f>
              <c:numCache>
                <c:formatCode>0.00</c:formatCode>
                <c:ptCount val="1"/>
                <c:pt idx="0">
                  <c:v>2.9446254071661238</c:v>
                </c:pt>
              </c:numCache>
            </c:numRef>
          </c:xVal>
          <c:yVal>
            <c:numRef>
              <c:f>Peers!$G$37</c:f>
              <c:numCache>
                <c:formatCode>0.0</c:formatCode>
                <c:ptCount val="1"/>
                <c:pt idx="0">
                  <c:v>23.742671009771986</c:v>
                </c:pt>
              </c:numCache>
            </c:numRef>
          </c:yVal>
          <c:smooth val="0"/>
          <c:extLst>
            <c:ext xmlns:c16="http://schemas.microsoft.com/office/drawing/2014/chart" uri="{C3380CC4-5D6E-409C-BE32-E72D297353CC}">
              <c16:uniqueId val="{00000005-B547-4DF9-892F-3129917FB3B3}"/>
            </c:ext>
          </c:extLst>
        </c:ser>
        <c:ser>
          <c:idx val="5"/>
          <c:order val="5"/>
          <c:tx>
            <c:strRef>
              <c:f>Peers!$H$8</c:f>
            </c:strRef>
          </c:tx>
          <c:spPr>
            <a:ln w="25400" cap="rnd">
              <a:noFill/>
              <a:round/>
            </a:ln>
            <a:effectLst/>
          </c:spPr>
          <c:marker>
            <c:symbol val="circle"/>
            <c:size val="5"/>
            <c:spPr>
              <a:solidFill>
                <a:schemeClr val="accent6"/>
              </a:solidFill>
              <a:ln w="9525">
                <a:solidFill>
                  <a:schemeClr val="accent6"/>
                </a:solidFill>
              </a:ln>
              <a:effectLst/>
            </c:spPr>
          </c:marker>
          <c:xVal>
            <c:strRef>
              <c:f>Peers!$H$21</c:f>
            </c:strRef>
          </c:xVal>
          <c:yVal>
            <c:numRef>
              <c:f>Peers!$H$37</c:f>
            </c:numRef>
          </c:yVal>
          <c:smooth val="0"/>
          <c:extLst>
            <c:ext xmlns:c16="http://schemas.microsoft.com/office/drawing/2014/chart" uri="{C3380CC4-5D6E-409C-BE32-E72D297353CC}">
              <c16:uniqueId val="{00000006-B547-4DF9-892F-3129917FB3B3}"/>
            </c:ext>
          </c:extLst>
        </c:ser>
        <c:dLbls>
          <c:showLegendKey val="0"/>
          <c:showVal val="0"/>
          <c:showCatName val="0"/>
          <c:showSerName val="0"/>
          <c:showPercent val="0"/>
          <c:showBubbleSize val="0"/>
        </c:dLbls>
        <c:axId val="1571673951"/>
        <c:axId val="1289766175"/>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571673951"/>
        <c:crosses val="autoZero"/>
        <c:crossBetween val="midCat"/>
      </c:valAx>
      <c:spPr>
        <a:noFill/>
        <a:ln>
          <a:noFill/>
        </a:ln>
        <a:effectLst/>
      </c:spPr>
    </c:plotArea>
    <c:legend>
      <c:legendPos val="r"/>
      <c:layout>
        <c:manualLayout>
          <c:xMode val="edge"/>
          <c:yMode val="edge"/>
          <c:x val="0.79514918527433731"/>
          <c:y val="0.20740538534966782"/>
          <c:w val="0.20485076537264754"/>
          <c:h val="0.44100979088899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Peers!$C$8</c:f>
              <c:strCache>
                <c:ptCount val="1"/>
                <c:pt idx="0">
                  <c:v>UNITED PARCEL SERVICE, INC. (XNYS:UPS)</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Peers!$C$44</c:f>
              <c:numCache>
                <c:formatCode>0%</c:formatCode>
                <c:ptCount val="1"/>
                <c:pt idx="0">
                  <c:v>-0.35599999999999998</c:v>
                </c:pt>
              </c:numCache>
            </c:numRef>
          </c:xVal>
          <c:yVal>
            <c:numRef>
              <c:f>Peers!$C$49</c:f>
              <c:numCache>
                <c:formatCode>0%</c:formatCode>
                <c:ptCount val="1"/>
                <c:pt idx="0">
                  <c:v>-2.1130127163208719E-2</c:v>
                </c:pt>
              </c:numCache>
            </c:numRef>
          </c:yVal>
          <c:smooth val="0"/>
          <c:extLst>
            <c:ext xmlns:c16="http://schemas.microsoft.com/office/drawing/2014/chart" uri="{C3380CC4-5D6E-409C-BE32-E72D297353CC}">
              <c16:uniqueId val="{00000000-A0AB-4E28-9E73-D8DF3D5B0514}"/>
            </c:ext>
          </c:extLst>
        </c:ser>
        <c:ser>
          <c:idx val="1"/>
          <c:order val="1"/>
          <c:tx>
            <c:strRef>
              <c:f>Peers!$D$8</c:f>
              <c:strCache>
                <c:ptCount val="1"/>
                <c:pt idx="0">
                  <c:v>FEDEX CORPORATION (XNYS:FDX)</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Peers!$D$44</c:f>
              <c:numCache>
                <c:formatCode>0%</c:formatCode>
                <c:ptCount val="1"/>
                <c:pt idx="0">
                  <c:v>0.1449</c:v>
                </c:pt>
              </c:numCache>
            </c:numRef>
          </c:xVal>
          <c:yVal>
            <c:numRef>
              <c:f>Peers!$D$49</c:f>
              <c:numCache>
                <c:formatCode>0.00%</c:formatCode>
                <c:ptCount val="1"/>
                <c:pt idx="0">
                  <c:v>-0.17987173162308831</c:v>
                </c:pt>
              </c:numCache>
            </c:numRef>
          </c:yVal>
          <c:smooth val="0"/>
          <c:extLst>
            <c:ext xmlns:c16="http://schemas.microsoft.com/office/drawing/2014/chart" uri="{C3380CC4-5D6E-409C-BE32-E72D297353CC}">
              <c16:uniqueId val="{00000001-A0AB-4E28-9E73-D8DF3D5B0514}"/>
            </c:ext>
          </c:extLst>
        </c:ser>
        <c:ser>
          <c:idx val="2"/>
          <c:order val="2"/>
          <c:tx>
            <c:strRef>
              <c:f>Peers!$E$8</c:f>
              <c:strCache>
                <c:ptCount val="1"/>
                <c:pt idx="0">
                  <c:v>Deutsche Post (XETR:DHL)</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Peers!$E$44</c:f>
              <c:numCache>
                <c:formatCode>0%</c:formatCode>
                <c:ptCount val="1"/>
                <c:pt idx="0">
                  <c:v>-0.307</c:v>
                </c:pt>
              </c:numCache>
            </c:numRef>
          </c:xVal>
          <c:yVal>
            <c:numRef>
              <c:f>Peers!$E$49</c:f>
              <c:numCache>
                <c:formatCode>0.00%</c:formatCode>
                <c:ptCount val="1"/>
                <c:pt idx="0">
                  <c:v>0.2024938303675802</c:v>
                </c:pt>
              </c:numCache>
            </c:numRef>
          </c:yVal>
          <c:smooth val="0"/>
          <c:extLst>
            <c:ext xmlns:c16="http://schemas.microsoft.com/office/drawing/2014/chart" uri="{C3380CC4-5D6E-409C-BE32-E72D297353CC}">
              <c16:uniqueId val="{00000002-A0AB-4E28-9E73-D8DF3D5B0514}"/>
            </c:ext>
          </c:extLst>
        </c:ser>
        <c:ser>
          <c:idx val="3"/>
          <c:order val="3"/>
          <c:tx>
            <c:strRef>
              <c:f>Peers!$F$8</c:f>
              <c:strCache>
                <c:ptCount val="1"/>
                <c:pt idx="0">
                  <c:v>XPO (XNYS:XPO)</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Peers!$F$44</c:f>
              <c:numCache>
                <c:formatCode>0%</c:formatCode>
                <c:ptCount val="1"/>
                <c:pt idx="0">
                  <c:v>1.1299999999999999</c:v>
                </c:pt>
              </c:numCache>
            </c:numRef>
          </c:xVal>
          <c:yVal>
            <c:numRef>
              <c:f>Peers!$F$49</c:f>
              <c:numCache>
                <c:formatCode>0.00%</c:formatCode>
                <c:ptCount val="1"/>
                <c:pt idx="0">
                  <c:v>-0.22937853107344633</c:v>
                </c:pt>
              </c:numCache>
            </c:numRef>
          </c:yVal>
          <c:smooth val="0"/>
          <c:extLst>
            <c:ext xmlns:c16="http://schemas.microsoft.com/office/drawing/2014/chart" uri="{C3380CC4-5D6E-409C-BE32-E72D297353CC}">
              <c16:uniqueId val="{00000003-A0AB-4E28-9E73-D8DF3D5B0514}"/>
            </c:ext>
          </c:extLst>
        </c:ser>
        <c:ser>
          <c:idx val="5"/>
          <c:order val="4"/>
          <c:tx>
            <c:strRef>
              <c:f>Peers!$G$8</c:f>
              <c:strCache>
                <c:ptCount val="1"/>
                <c:pt idx="0">
                  <c:v>C.H. ROBINSON WORLDWIDE, INC. (XNAS:CHRW)</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Peers!$G$44</c:f>
              <c:numCache>
                <c:formatCode>0%</c:formatCode>
                <c:ptCount val="1"/>
                <c:pt idx="0">
                  <c:v>8.43E-2</c:v>
                </c:pt>
              </c:numCache>
            </c:numRef>
          </c:xVal>
          <c:yVal>
            <c:numRef>
              <c:f>Peers!$G$49</c:f>
              <c:numCache>
                <c:formatCode>0.00%</c:formatCode>
                <c:ptCount val="1"/>
                <c:pt idx="0">
                  <c:v>0.62947610259332887</c:v>
                </c:pt>
              </c:numCache>
            </c:numRef>
          </c:yVal>
          <c:smooth val="0"/>
          <c:extLst>
            <c:ext xmlns:c16="http://schemas.microsoft.com/office/drawing/2014/chart" uri="{C3380CC4-5D6E-409C-BE32-E72D297353CC}">
              <c16:uniqueId val="{00000005-A0AB-4E28-9E73-D8DF3D5B0514}"/>
            </c:ext>
          </c:extLst>
        </c:ser>
        <c:ser>
          <c:idx val="6"/>
          <c:order val="5"/>
          <c:tx>
            <c:strRef>
              <c:f>Peers!$H$8</c:f>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strRef>
              <c:f>Peers!$H$44</c:f>
            </c:strRef>
          </c:xVal>
          <c:yVal>
            <c:numRef>
              <c:f>Peers!$H$49</c:f>
            </c:numRef>
          </c:yVal>
          <c:smooth val="0"/>
          <c:extLst>
            <c:ext xmlns:c16="http://schemas.microsoft.com/office/drawing/2014/chart" uri="{C3380CC4-5D6E-409C-BE32-E72D297353CC}">
              <c16:uniqueId val="{00000006-A0AB-4E28-9E73-D8DF3D5B0514}"/>
            </c:ext>
          </c:extLst>
        </c:ser>
        <c:dLbls>
          <c:showLegendKey val="0"/>
          <c:showVal val="0"/>
          <c:showCatName val="0"/>
          <c:showSerName val="0"/>
          <c:showPercent val="0"/>
          <c:showBubbleSize val="0"/>
        </c:dLbls>
        <c:axId val="581212960"/>
        <c:axId val="581217120"/>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7018842544974519"/>
          <c:h val="0.43200295105462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a:t>
            </a:r>
            <a:r>
              <a:rPr lang="pt-PT" baseline="0"/>
              <a:t> GHG Scope 1 Emissions (Tonnes)</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spPr>
            <a:ln w="28575" cap="rnd">
              <a:solidFill>
                <a:schemeClr val="accent1"/>
              </a:solidFill>
              <a:round/>
            </a:ln>
            <a:effectLst/>
          </c:spPr>
          <c:marker>
            <c:symbol val="none"/>
          </c:marker>
          <c:cat>
            <c:numRef>
              <c:f>ESG!$S$4:$X$4</c:f>
              <c:numCache>
                <c:formatCode>General</c:formatCode>
                <c:ptCount val="6"/>
                <c:pt idx="0">
                  <c:v>2018</c:v>
                </c:pt>
                <c:pt idx="1">
                  <c:v>2019</c:v>
                </c:pt>
                <c:pt idx="2">
                  <c:v>2020</c:v>
                </c:pt>
                <c:pt idx="3">
                  <c:v>2021</c:v>
                </c:pt>
                <c:pt idx="4">
                  <c:v>2022</c:v>
                </c:pt>
                <c:pt idx="5">
                  <c:v>2023</c:v>
                </c:pt>
              </c:numCache>
            </c:numRef>
          </c:cat>
          <c:val>
            <c:numRef>
              <c:f>ESG!$S$5:$X$5</c:f>
              <c:numCache>
                <c:formatCode>General</c:formatCode>
                <c:ptCount val="6"/>
                <c:pt idx="0">
                  <c:v>13851000</c:v>
                </c:pt>
                <c:pt idx="1">
                  <c:v>14223000</c:v>
                </c:pt>
                <c:pt idx="2">
                  <c:v>15088000</c:v>
                </c:pt>
                <c:pt idx="3">
                  <c:v>15668000</c:v>
                </c:pt>
                <c:pt idx="4">
                  <c:v>15845000</c:v>
                </c:pt>
                <c:pt idx="5">
                  <c:v>14499000</c:v>
                </c:pt>
              </c:numCache>
            </c:numRef>
          </c:val>
          <c:smooth val="0"/>
          <c:extLst>
            <c:ext xmlns:c16="http://schemas.microsoft.com/office/drawing/2014/chart" uri="{C3380CC4-5D6E-409C-BE32-E72D297353CC}">
              <c16:uniqueId val="{00000000-8A91-455D-BB02-F358EBD7B077}"/>
            </c:ext>
          </c:extLst>
        </c:ser>
        <c:dLbls>
          <c:showLegendKey val="0"/>
          <c:showVal val="0"/>
          <c:showCatName val="0"/>
          <c:showSerName val="0"/>
          <c:showPercent val="0"/>
          <c:showBubbleSize val="0"/>
        </c:dLbls>
        <c:smooth val="0"/>
        <c:axId val="7001135"/>
        <c:axId val="7002095"/>
      </c:lineChart>
      <c:catAx>
        <c:axId val="700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002095"/>
        <c:crosses val="autoZero"/>
        <c:auto val="1"/>
        <c:lblAlgn val="ctr"/>
        <c:lblOffset val="100"/>
        <c:noMultiLvlLbl val="0"/>
      </c:catAx>
      <c:valAx>
        <c:axId val="700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0011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a:t>
            </a:r>
            <a:r>
              <a:rPr lang="pt-PT" baseline="0"/>
              <a:t> Energy Consumption (Gigajoules)</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spPr>
            <a:ln w="28575" cap="rnd">
              <a:solidFill>
                <a:schemeClr val="accent1"/>
              </a:solidFill>
              <a:round/>
            </a:ln>
            <a:effectLst/>
          </c:spPr>
          <c:marker>
            <c:symbol val="none"/>
          </c:marker>
          <c:cat>
            <c:numRef>
              <c:f>ESG!$R$13:$W$13</c:f>
              <c:numCache>
                <c:formatCode>General</c:formatCode>
                <c:ptCount val="6"/>
                <c:pt idx="0">
                  <c:v>2018</c:v>
                </c:pt>
                <c:pt idx="1">
                  <c:v>2019</c:v>
                </c:pt>
                <c:pt idx="2">
                  <c:v>2020</c:v>
                </c:pt>
                <c:pt idx="3">
                  <c:v>2021</c:v>
                </c:pt>
                <c:pt idx="4">
                  <c:v>2022</c:v>
                </c:pt>
                <c:pt idx="5">
                  <c:v>2023</c:v>
                </c:pt>
              </c:numCache>
            </c:numRef>
          </c:cat>
          <c:val>
            <c:numRef>
              <c:f>ESG!$R$14:$W$14</c:f>
              <c:numCache>
                <c:formatCode>General</c:formatCode>
                <c:ptCount val="6"/>
                <c:pt idx="0">
                  <c:v>198420000</c:v>
                </c:pt>
                <c:pt idx="1">
                  <c:v>203929000</c:v>
                </c:pt>
                <c:pt idx="2">
                  <c:v>216422000</c:v>
                </c:pt>
                <c:pt idx="3">
                  <c:v>225544000</c:v>
                </c:pt>
                <c:pt idx="4">
                  <c:v>229653000</c:v>
                </c:pt>
                <c:pt idx="5">
                  <c:v>213432000</c:v>
                </c:pt>
              </c:numCache>
            </c:numRef>
          </c:val>
          <c:smooth val="0"/>
          <c:extLst>
            <c:ext xmlns:c16="http://schemas.microsoft.com/office/drawing/2014/chart" uri="{C3380CC4-5D6E-409C-BE32-E72D297353CC}">
              <c16:uniqueId val="{00000000-0A57-4235-B0CB-19C41B9C503E}"/>
            </c:ext>
          </c:extLst>
        </c:ser>
        <c:dLbls>
          <c:showLegendKey val="0"/>
          <c:showVal val="0"/>
          <c:showCatName val="0"/>
          <c:showSerName val="0"/>
          <c:showPercent val="0"/>
          <c:showBubbleSize val="0"/>
        </c:dLbls>
        <c:smooth val="0"/>
        <c:axId val="482392575"/>
        <c:axId val="482394975"/>
      </c:lineChart>
      <c:catAx>
        <c:axId val="48239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82394975"/>
        <c:crosses val="autoZero"/>
        <c:auto val="1"/>
        <c:lblAlgn val="ctr"/>
        <c:lblOffset val="100"/>
        <c:noMultiLvlLbl val="0"/>
      </c:catAx>
      <c:valAx>
        <c:axId val="48239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823925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17</xdr:row>
      <xdr:rowOff>1773</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17</xdr:row>
      <xdr:rowOff>1773</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17</xdr:row>
      <xdr:rowOff>1773</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1</xdr:rowOff>
    </xdr:from>
    <xdr:to>
      <xdr:col>3</xdr:col>
      <xdr:colOff>24130</xdr:colOff>
      <xdr:row>16</xdr:row>
      <xdr:rowOff>39795</xdr:rowOff>
    </xdr:to>
    <xdr:pic>
      <xdr:nvPicPr>
        <xdr:cNvPr id="2" name="Imagem 2">
          <a:extLst>
            <a:ext uri="{FF2B5EF4-FFF2-40B4-BE49-F238E27FC236}">
              <a16:creationId xmlns:a16="http://schemas.microsoft.com/office/drawing/2014/main" id="{04BDA066-8E8F-25F3-F4C2-AAA45C567F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750" y="328084"/>
          <a:ext cx="3079750" cy="2836334"/>
        </a:xfrm>
        <a:prstGeom prst="rect">
          <a:avLst/>
        </a:prstGeom>
      </xdr:spPr>
    </xdr:pic>
    <xdr:clientData/>
  </xdr:twoCellAnchor>
  <xdr:twoCellAnchor editAs="oneCell">
    <xdr:from>
      <xdr:col>6</xdr:col>
      <xdr:colOff>53880</xdr:colOff>
      <xdr:row>81</xdr:row>
      <xdr:rowOff>194233</xdr:rowOff>
    </xdr:from>
    <xdr:to>
      <xdr:col>12</xdr:col>
      <xdr:colOff>1961030</xdr:colOff>
      <xdr:row>105</xdr:row>
      <xdr:rowOff>76969</xdr:rowOff>
    </xdr:to>
    <xdr:pic>
      <xdr:nvPicPr>
        <xdr:cNvPr id="3" name="Imagem 2">
          <a:extLst>
            <a:ext uri="{FF2B5EF4-FFF2-40B4-BE49-F238E27FC236}">
              <a16:creationId xmlns:a16="http://schemas.microsoft.com/office/drawing/2014/main" id="{9555A7CE-30DF-997A-C2E3-32E33DA2937B}"/>
            </a:ext>
          </a:extLst>
        </xdr:cNvPr>
        <xdr:cNvPicPr>
          <a:picLocks noChangeAspect="1"/>
        </xdr:cNvPicPr>
      </xdr:nvPicPr>
      <xdr:blipFill>
        <a:blip xmlns:r="http://schemas.openxmlformats.org/officeDocument/2006/relationships" r:embed="rId2"/>
        <a:stretch>
          <a:fillRect/>
        </a:stretch>
      </xdr:blipFill>
      <xdr:spPr>
        <a:xfrm>
          <a:off x="7696292" y="14661027"/>
          <a:ext cx="8574650" cy="36927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7697</xdr:colOff>
      <xdr:row>19</xdr:row>
      <xdr:rowOff>7698</xdr:rowOff>
    </xdr:from>
    <xdr:to>
      <xdr:col>11</xdr:col>
      <xdr:colOff>715817</xdr:colOff>
      <xdr:row>22</xdr:row>
      <xdr:rowOff>161636</xdr:rowOff>
    </xdr:to>
    <xdr:graphicFrame macro="">
      <xdr:nvGraphicFramePr>
        <xdr:cNvPr id="6"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723900</xdr:colOff>
      <xdr:row>19</xdr:row>
      <xdr:rowOff>7697</xdr:rowOff>
    </xdr:from>
    <xdr:to>
      <xdr:col>16</xdr:col>
      <xdr:colOff>7697</xdr:colOff>
      <xdr:row>23</xdr:row>
      <xdr:rowOff>2079</xdr:rowOff>
    </xdr:to>
    <xdr:graphicFrame macro="">
      <xdr:nvGraphicFramePr>
        <xdr:cNvPr id="8"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704850</xdr:colOff>
      <xdr:row>18</xdr:row>
      <xdr:rowOff>247650</xdr:rowOff>
    </xdr:from>
    <xdr:to>
      <xdr:col>11</xdr:col>
      <xdr:colOff>714375</xdr:colOff>
      <xdr:row>23</xdr:row>
      <xdr:rowOff>0</xdr:rowOff>
    </xdr:to>
    <xdr:cxnSp macro="">
      <xdr:nvCxnSpPr>
        <xdr:cNvPr id="9"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144375" y="432435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19050</xdr:colOff>
      <xdr:row>47</xdr:row>
      <xdr:rowOff>47625</xdr:rowOff>
    </xdr:from>
    <xdr:to>
      <xdr:col>35</xdr:col>
      <xdr:colOff>209550</xdr:colOff>
      <xdr:row>53</xdr:row>
      <xdr:rowOff>28575</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795168BE-2BCC-E14D-F42E-6CD34F49FE73}"/>
            </a:ext>
          </a:extLst>
        </xdr:cNvPr>
        <xdr:cNvSpPr/>
      </xdr:nvSpPr>
      <xdr:spPr bwMode="auto">
        <a:xfrm>
          <a:off x="29794200" y="10391775"/>
          <a:ext cx="952500" cy="952500"/>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editAs="oneCell">
    <xdr:from>
      <xdr:col>16</xdr:col>
      <xdr:colOff>9072</xdr:colOff>
      <xdr:row>2</xdr:row>
      <xdr:rowOff>9071</xdr:rowOff>
    </xdr:from>
    <xdr:to>
      <xdr:col>25</xdr:col>
      <xdr:colOff>20320</xdr:colOff>
      <xdr:row>20</xdr:row>
      <xdr:rowOff>184308</xdr:rowOff>
    </xdr:to>
    <xdr:pic>
      <xdr:nvPicPr>
        <xdr:cNvPr id="4" name="Picture 1" descr="A screenshot of a computer screen&#10;&#10;Description automatically generated">
          <a:extLst>
            <a:ext uri="{FF2B5EF4-FFF2-40B4-BE49-F238E27FC236}">
              <a16:creationId xmlns:a16="http://schemas.microsoft.com/office/drawing/2014/main" id="{B64230CD-CEAB-8850-97CE-DA539D8F6DA4}"/>
            </a:ext>
          </a:extLst>
        </xdr:cNvPr>
        <xdr:cNvPicPr>
          <a:picLocks noChangeAspect="1"/>
        </xdr:cNvPicPr>
      </xdr:nvPicPr>
      <xdr:blipFill>
        <a:blip xmlns:r="http://schemas.openxmlformats.org/officeDocument/2006/relationships" r:embed="rId3"/>
        <a:stretch>
          <a:fillRect/>
        </a:stretch>
      </xdr:blipFill>
      <xdr:spPr>
        <a:xfrm>
          <a:off x="15990752" y="364671"/>
          <a:ext cx="7875088" cy="3812517"/>
        </a:xfrm>
        <a:prstGeom prst="rect">
          <a:avLst/>
        </a:prstGeom>
      </xdr:spPr>
    </xdr:pic>
    <xdr:clientData/>
  </xdr:twoCellAnchor>
  <xdr:twoCellAnchor editAs="oneCell">
    <xdr:from>
      <xdr:col>9</xdr:col>
      <xdr:colOff>33270</xdr:colOff>
      <xdr:row>26</xdr:row>
      <xdr:rowOff>54737</xdr:rowOff>
    </xdr:from>
    <xdr:to>
      <xdr:col>17</xdr:col>
      <xdr:colOff>3800</xdr:colOff>
      <xdr:row>50</xdr:row>
      <xdr:rowOff>3677</xdr:rowOff>
    </xdr:to>
    <xdr:pic>
      <xdr:nvPicPr>
        <xdr:cNvPr id="5" name="Picture 1" descr="A graph of blue bars&#10;&#10;Description automatically generated with medium confidence">
          <a:extLst>
            <a:ext uri="{FF2B5EF4-FFF2-40B4-BE49-F238E27FC236}">
              <a16:creationId xmlns:a16="http://schemas.microsoft.com/office/drawing/2014/main" id="{7B58B226-69F7-1C2B-A7E3-DAFB756A98D9}"/>
            </a:ext>
          </a:extLst>
        </xdr:cNvPr>
        <xdr:cNvPicPr>
          <a:picLocks noChangeAspect="1"/>
        </xdr:cNvPicPr>
      </xdr:nvPicPr>
      <xdr:blipFill>
        <a:blip xmlns:r="http://schemas.openxmlformats.org/officeDocument/2006/relationships" r:embed="rId4"/>
        <a:stretch>
          <a:fillRect/>
        </a:stretch>
      </xdr:blipFill>
      <xdr:spPr>
        <a:xfrm>
          <a:off x="10164650" y="7545948"/>
          <a:ext cx="7415270" cy="45552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21</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5D67A490-620E-4BB6-ACF8-2FBAECF65CB2}"/>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528777</xdr:colOff>
      <xdr:row>17</xdr:row>
      <xdr:rowOff>56029</xdr:rowOff>
    </xdr:from>
    <xdr:to>
      <xdr:col>18</xdr:col>
      <xdr:colOff>702468</xdr:colOff>
      <xdr:row>33</xdr:row>
      <xdr:rowOff>114301</xdr:rowOff>
    </xdr:to>
    <xdr:graphicFrame macro="">
      <xdr:nvGraphicFramePr>
        <xdr:cNvPr id="2" name="Chart 1">
          <a:extLst>
            <a:ext uri="{FF2B5EF4-FFF2-40B4-BE49-F238E27FC236}">
              <a16:creationId xmlns:a16="http://schemas.microsoft.com/office/drawing/2014/main" i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107156</xdr:colOff>
      <xdr:row>33</xdr:row>
      <xdr:rowOff>142875</xdr:rowOff>
    </xdr:from>
    <xdr:to>
      <xdr:col>20</xdr:col>
      <xdr:colOff>273843</xdr:colOff>
      <xdr:row>50</xdr:row>
      <xdr:rowOff>142875</xdr:rowOff>
    </xdr:to>
    <xdr:graphicFrame macro="">
      <xdr:nvGraphicFramePr>
        <xdr:cNvPr id="3" name="Chart 2">
          <a:extLst>
            <a:ext uri="{FF2B5EF4-FFF2-40B4-BE49-F238E27FC236}">
              <a16:creationId xmlns:a16="http://schemas.microsoft.com/office/drawing/2014/main" id="{06EE3DBE-321E-4EF6-A0A4-D90C4883E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256525</xdr:colOff>
      <xdr:row>1</xdr:row>
      <xdr:rowOff>229809</xdr:rowOff>
    </xdr:from>
    <xdr:to>
      <xdr:col>2</xdr:col>
      <xdr:colOff>1209</xdr:colOff>
      <xdr:row>1</xdr:row>
      <xdr:rowOff>1112762</xdr:rowOff>
    </xdr:to>
    <xdr:pic>
      <xdr:nvPicPr>
        <xdr:cNvPr id="33" name="Picture 3" descr="The FedEx Logo: A Deep Dive into its Iconic Design &amp; Evolution">
          <a:extLst>
            <a:ext uri="{FF2B5EF4-FFF2-40B4-BE49-F238E27FC236}">
              <a16:creationId xmlns:a16="http://schemas.microsoft.com/office/drawing/2014/main" id="{6E41C72C-657F-B697-F374-7C063593C7FD}"/>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0234" b="21996"/>
        <a:stretch/>
      </xdr:blipFill>
      <xdr:spPr bwMode="auto">
        <a:xfrm>
          <a:off x="292811" y="399142"/>
          <a:ext cx="2259284" cy="88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24896</xdr:colOff>
      <xdr:row>2</xdr:row>
      <xdr:rowOff>122884</xdr:rowOff>
    </xdr:from>
    <xdr:to>
      <xdr:col>2</xdr:col>
      <xdr:colOff>8965</xdr:colOff>
      <xdr:row>2</xdr:row>
      <xdr:rowOff>956099</xdr:rowOff>
    </xdr:to>
    <xdr:pic>
      <xdr:nvPicPr>
        <xdr:cNvPr id="32" name="Picture 5" descr="DHL Shipping Germany for WooCommerce – WordPress dodatak | WordPress.org  Hrvatski">
          <a:extLst>
            <a:ext uri="{FF2B5EF4-FFF2-40B4-BE49-F238E27FC236}">
              <a16:creationId xmlns:a16="http://schemas.microsoft.com/office/drawing/2014/main" id="{E6E263E3-3211-2A10-8F9A-43C7F92F24C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4896" y="1754460"/>
          <a:ext cx="2592798" cy="83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0</xdr:rowOff>
    </xdr:from>
    <xdr:to>
      <xdr:col>1</xdr:col>
      <xdr:colOff>304800</xdr:colOff>
      <xdr:row>3</xdr:row>
      <xdr:rowOff>304800</xdr:rowOff>
    </xdr:to>
    <xdr:sp macro="" textlink="">
      <xdr:nvSpPr>
        <xdr:cNvPr id="4097" name="AutoShape 1">
          <a:extLst>
            <a:ext uri="{FF2B5EF4-FFF2-40B4-BE49-F238E27FC236}">
              <a16:creationId xmlns:a16="http://schemas.microsoft.com/office/drawing/2014/main" id="{8B0C3AF4-071E-BC1B-4B8F-C5B705BEC0D6}"/>
            </a:ext>
          </a:extLst>
        </xdr:cNvPr>
        <xdr:cNvSpPr>
          <a:spLocks noChangeAspect="1" noChangeArrowheads="1"/>
        </xdr:cNvSpPr>
      </xdr:nvSpPr>
      <xdr:spPr bwMode="auto">
        <a:xfrm>
          <a:off x="30480" y="224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3</xdr:row>
      <xdr:rowOff>0</xdr:rowOff>
    </xdr:from>
    <xdr:to>
      <xdr:col>13</xdr:col>
      <xdr:colOff>304800</xdr:colOff>
      <xdr:row>3</xdr:row>
      <xdr:rowOff>304800</xdr:rowOff>
    </xdr:to>
    <xdr:sp macro="" textlink="">
      <xdr:nvSpPr>
        <xdr:cNvPr id="4098" name="AutoShape 2">
          <a:extLst>
            <a:ext uri="{FF2B5EF4-FFF2-40B4-BE49-F238E27FC236}">
              <a16:creationId xmlns:a16="http://schemas.microsoft.com/office/drawing/2014/main" id="{9E3DF790-ACD2-04C8-5377-9F135E89320D}"/>
            </a:ext>
          </a:extLst>
        </xdr:cNvPr>
        <xdr:cNvSpPr>
          <a:spLocks noChangeAspect="1" noChangeArrowheads="1"/>
        </xdr:cNvSpPr>
      </xdr:nvSpPr>
      <xdr:spPr bwMode="auto">
        <a:xfrm>
          <a:off x="19827240" y="224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257440</xdr:colOff>
      <xdr:row>3</xdr:row>
      <xdr:rowOff>144278</xdr:rowOff>
    </xdr:from>
    <xdr:to>
      <xdr:col>1</xdr:col>
      <xdr:colOff>2443238</xdr:colOff>
      <xdr:row>3</xdr:row>
      <xdr:rowOff>967619</xdr:rowOff>
    </xdr:to>
    <xdr:pic>
      <xdr:nvPicPr>
        <xdr:cNvPr id="23" name="Picture 4" descr="XPO Logistics Logo PNG Vector SVG, EPS, Ai formats (2.21 KB) Free Download">
          <a:extLst>
            <a:ext uri="{FF2B5EF4-FFF2-40B4-BE49-F238E27FC236}">
              <a16:creationId xmlns:a16="http://schemas.microsoft.com/office/drawing/2014/main" id="{0DBBA54D-F96B-D06A-4FAE-E4BD91601431}"/>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r="65841" b="10743"/>
        <a:stretch/>
      </xdr:blipFill>
      <xdr:spPr bwMode="auto">
        <a:xfrm>
          <a:off x="293726" y="2393992"/>
          <a:ext cx="2185798" cy="823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60940</xdr:colOff>
      <xdr:row>4</xdr:row>
      <xdr:rowOff>240630</xdr:rowOff>
    </xdr:from>
    <xdr:to>
      <xdr:col>2</xdr:col>
      <xdr:colOff>41486</xdr:colOff>
      <xdr:row>4</xdr:row>
      <xdr:rowOff>898777</xdr:rowOff>
    </xdr:to>
    <xdr:pic>
      <xdr:nvPicPr>
        <xdr:cNvPr id="27" name="Picture 6" descr="Careers">
          <a:extLst>
            <a:ext uri="{FF2B5EF4-FFF2-40B4-BE49-F238E27FC236}">
              <a16:creationId xmlns:a16="http://schemas.microsoft.com/office/drawing/2014/main" id="{D86FDF81-C450-2A14-DEC1-D34D1EB6FF1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7226" y="3530535"/>
          <a:ext cx="2563726" cy="658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17</xdr:col>
      <xdr:colOff>363990</xdr:colOff>
      <xdr:row>2</xdr:row>
      <xdr:rowOff>57149</xdr:rowOff>
    </xdr:from>
    <xdr:to>
      <xdr:col>21</xdr:col>
      <xdr:colOff>1211034</xdr:colOff>
      <xdr:row>7</xdr:row>
      <xdr:rowOff>632730</xdr:rowOff>
    </xdr:to>
    <xdr:graphicFrame macro="">
      <xdr:nvGraphicFramePr>
        <xdr:cNvPr id="7" name="Gráfico 6">
          <a:extLst>
            <a:ext uri="{FF2B5EF4-FFF2-40B4-BE49-F238E27FC236}">
              <a16:creationId xmlns:a16="http://schemas.microsoft.com/office/drawing/2014/main" id="{70ECBF85-DB83-68F4-F1BF-D600BD65E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370794</xdr:colOff>
      <xdr:row>8</xdr:row>
      <xdr:rowOff>77560</xdr:rowOff>
    </xdr:from>
    <xdr:to>
      <xdr:col>21</xdr:col>
      <xdr:colOff>1211035</xdr:colOff>
      <xdr:row>14</xdr:row>
      <xdr:rowOff>1381124</xdr:rowOff>
    </xdr:to>
    <xdr:graphicFrame macro="">
      <xdr:nvGraphicFramePr>
        <xdr:cNvPr id="8" name="Gráfico 7">
          <a:extLst>
            <a:ext uri="{FF2B5EF4-FFF2-40B4-BE49-F238E27FC236}">
              <a16:creationId xmlns:a16="http://schemas.microsoft.com/office/drawing/2014/main" id="{3727DDA4-B8BC-9105-9E3F-70616FB06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bri\Desktop\ISEG\Lisbon%20Investment%20Society\Head%20ER\Assumptions%20sheet-%20Dami&#227;o.xlsx" TargetMode="External"/><Relationship Id="rId1" Type="http://schemas.openxmlformats.org/officeDocument/2006/relationships/externalLinkPath" Target="file:///C:\Users\gabri\Desktop\ISEG\Lisbon%20Investment%20Society\Head%20ER\Assumptions%20sheet-%20Dami&#227;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hdisegutl.sharepoint.com/sites/LIS-GENERAL-SecuritiesResearch/Shared%20Documents/Securities%20Research/One%20Pagers/Team%201%20(Pedro%20Bordalo)/Refinitiv/IS%20UPS.xlsx" TargetMode="External"/><Relationship Id="rId1" Type="http://schemas.openxmlformats.org/officeDocument/2006/relationships/externalLinkPath" Target="Refinitiv/IS%20UP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come Statement"/>
    </sheetNames>
    <sheetDataSet>
      <sheetData sheetId="0">
        <row r="164">
          <cell r="B164">
            <v>3113.44</v>
          </cell>
        </row>
        <row r="166">
          <cell r="B166">
            <v>552.20000000000005</v>
          </cell>
        </row>
      </sheetData>
    </sheetDataSet>
  </externalBook>
</externalLink>
</file>

<file path=xl/persons/person.xml><?xml version="1.0" encoding="utf-8"?>
<personList xmlns="http://schemas.microsoft.com/office/spreadsheetml/2018/threadedcomments" xmlns:x="http://schemas.openxmlformats.org/spreadsheetml/2006/main">
  <person displayName="Patricia Figueiredo Franco" id="{D3276E57-E773-4387-97D8-D48D290BF148}" userId="S::l61831@aln.iseg.ulisboa.pt::a8896beb-22f4-47f1-8e4a-33e3b9570a5b" providerId="AD"/>
  <person displayName="DAVID FILIPE DE SOUSA TITA" id="{6D2C5BD9-1C3E-4972-9F97-1CA81A3CC14E}" userId="S::david.tita@aln.iseg.ulisboa.pt::2b554b1a-dfdf-4fc2-8414-05963e9f059c"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0">
  <rv s="0">
    <v>12</v>
    <v>Exchange</v>
    <v>0</v>
  </rv>
  <rv s="0">
    <v>12</v>
    <v>Description</v>
    <v>0</v>
  </rv>
  <rv s="0">
    <v>12</v>
    <v>Currency</v>
    <v>0</v>
  </rv>
  <rv s="0">
    <v>12</v>
    <v>Price</v>
    <v>0</v>
  </rv>
  <rv s="0">
    <v>12</v>
    <v>Shares outstanding</v>
    <v>0</v>
  </rv>
  <rv s="1">
    <v>12</v>
    <v>1</v>
  </rv>
  <rv s="0">
    <v>12</v>
    <v>Beta</v>
    <v>0</v>
  </rv>
  <rv s="2">
    <v>https://www.bing.com/financeapi/forcetrigger?t=a1sqr7&amp;q=XNYS%3aFDX&amp;form=skydnc</v>
    <v>Learn more on Bing</v>
  </rv>
  <rv s="3">
    <v>pt-BR</v>
    <v>a1sqr7</v>
    <v>268435456</v>
    <v>1</v>
    <v>Da plataforma Refinitiv</v>
    <v>0</v>
    <v>1</v>
    <v>FEDEX CORPORATION (XNYS:FDX)</v>
    <v>3</v>
    <v>4</v>
    <v>Finance</v>
    <v>5</v>
    <v>313.83999999999997</v>
    <v>194.29499999999999</v>
    <v>XNYS</v>
    <v>239598900</v>
    <v>213.49</v>
    <v>1997</v>
    <v>207.38890000000001</v>
    <v>1.3757999999999999</v>
    <v>New York Stock Exchange</v>
    <v>49982726529</v>
    <v>A FedEx Corporation fornece aos clientes e empresas um portfólio de serviços de transporte, comércio eletrônico e negócios. A empresa oferece soluções de negócios integradas utilizando sua rede global flexível e eficiente. Seus segmentos incluem FedEx Express, FedEx Ground, FedEx Freight e FedEx Services. O segmento FedEx Express inclui transporte expresso, entrega terrestre de pequeno pacote e transporte de frete. O FedEx Ground Segment é um fornecedor de serviços de entrega terrestre de pacotes pequenos. Ele fornece uma entrega confiável de negócios para negócios e um serviço residencial conveniente através da FedEx Home Delivery e da FedEx Ground Economy. A FedEx Freight Segment oferece serviços de frete com menos de caminhão com cobertura em todo os Serviços dos EUA, Canadá, México, Porto Rico e Ilhas Virgens dos Estados Unidos. O segmento de Serviços FedEx fornece vendas, marketing, tecnologia da informação, comunicações, atendimento ao cliente, suporte técnico e serviços de cobrança e cobrança.</v>
    <v>XNYS</v>
    <v>217.94</v>
    <v>306000</v>
    <v>45757.616552742969</v>
    <v>7</v>
    <v>2521803</v>
    <v>USD</v>
    <v>FEDEX CORPORATION</v>
    <v>FEDEX CORPORATION</v>
    <v>13.066000000000001</v>
    <v>212.75</v>
    <v>208.61</v>
    <v>942 South Shady Grove Road, MEMPHIS, TN, 38120 US</v>
    <v>Freight &amp; Logistics Services</v>
    <v>FDX</v>
    <v>Ações</v>
    <v>FEDEX CORPORATION (XNYS:FDX)</v>
    <v>-9.33</v>
    <v>-4.2809999999999994E-2</v>
    <v>414789</v>
  </rv>
  <rv s="4">
    <v>8</v>
  </rv>
  <rv s="2">
    <v>https://www.bing.com/financeapi/forcetrigger?t=afr9ec&amp;q=XETR%3aDPW&amp;form=skydnc</v>
    <v>Learn more on Bing</v>
  </rv>
  <rv s="3">
    <v>pt-BR</v>
    <v>afr9ec</v>
    <v>268435456</v>
    <v>1</v>
    <v>Da plataforma Refinitiv</v>
    <v>0</v>
    <v>1</v>
    <v>Deutsche Post (XETR:DHL)</v>
    <v>3</v>
    <v>6</v>
    <v>Finance</v>
    <v>7</v>
    <v>44.27</v>
    <v>30.96</v>
    <v>XETR</v>
    <v>1200000000</v>
    <v>36.24</v>
    <v>1995</v>
    <v>34.04</v>
    <v>1.113</v>
    <v>Xetra</v>
    <v>39144000000</v>
    <v>Deutsche Post AG is a Germany-based company. The Company operates through two brands, DHL which engages in parcel shipment, international express delivery, freight transport, supply chain management, and e-commerce solutions along with Deutsche Post which is a mail and parcel provider. The Company is organized into five operating divisions: Express, Global Forwarding and Freight, Supply Chain, eCommerce Solutions, and Post &amp; Parcel.</v>
    <v>XETR</v>
    <v>32.619999999999997</v>
    <v>601723</v>
    <v>45757.606122685182</v>
    <v>10</v>
    <v>4392550</v>
    <v>EUR</v>
    <v>Deutsche Post</v>
    <v>Deutsche Post</v>
    <v>11.41</v>
    <v>36</v>
    <v>34.520000000000003</v>
    <v>Charles-de-Gaulle-Str. 20, BONN, NORDRHEIN-WESTFALEN, 53113 DE</v>
    <v>Freight &amp; Logistics Services</v>
    <v>DHL</v>
    <v>Ações</v>
    <v>Deutsche Post (XETR:DHL)</v>
    <v>1.9</v>
    <v>5.8245999999999999E-2</v>
    <v>3104465</v>
  </rv>
  <rv s="4">
    <v>11</v>
  </rv>
  <rv s="2">
    <v>https://www.bing.com/financeapi/forcetrigger?t=a26a7w&amp;q=XNYS%3aXPO&amp;form=skydnc</v>
    <v>Learn more on Bing</v>
  </rv>
  <rv s="3">
    <v>pt-BR</v>
    <v>a26a7w</v>
    <v>268435456</v>
    <v>1</v>
    <v>Da plataforma Refinitiv</v>
    <v>0</v>
    <v>1</v>
    <v>XPO (XNYS:XPO)</v>
    <v>3</v>
    <v>4</v>
    <v>Finance</v>
    <v>5</v>
    <v>161</v>
    <v>85.06</v>
    <v>XNYS</v>
    <v>117772600</v>
    <v>101.61499999999999</v>
    <v>2000</v>
    <v>94.670100000000005</v>
    <v>1.9987999999999999</v>
    <v>New York Stock Exchange</v>
    <v>12432070000</v>
    <v>XPO, Inc. is a provider of freight transportation services. The Company moves goods through its customers supply chains in North America and Europe. It operates through two segments: North American Less-Than-Truckload (LTL), and European Transportation. The North American LTL segment provides shippers with geographic density and day-definite domestic and cross-border services to the United States (U.S.), as well as Mexico, Canada, and the Caribbean. It also includes trailer manufacturing operations. The European Transportation segment offers a range of services, such as truckload, LTL, truck brokerage, managed transportation, last mile, freight forwarding and multimodal solutions, including road-rail and road-short sea combinations. It serves a base of customers in consumer, trade, and industrial markets. The Company offers XPO Smart, its proprietary suite of intelligent tools and analytics that self-adjusts site by site to drive productivity across LTL service center operations.</v>
    <v>XNYS</v>
    <v>105.56</v>
    <v>38000</v>
    <v>45757.616368680472</v>
    <v>13</v>
    <v>2022431</v>
    <v>USD</v>
    <v>XPO</v>
    <v>XPO</v>
    <v>30.285299999999999</v>
    <v>101.05500000000001</v>
    <v>96.905000000000001</v>
    <v>Five American Lane, GREENWICH, CT, 06831 US</v>
    <v>Freight &amp; Logistics Services</v>
    <v>XPO</v>
    <v>Ações</v>
    <v>XPO (XNYS:XPO)</v>
    <v>-8.6549999999999994</v>
    <v>-8.1990999999999994E-2</v>
    <v>549747</v>
  </rv>
  <rv s="4">
    <v>14</v>
  </rv>
  <rv s="2">
    <v>https://www.bing.com/financeapi/forcetrigger?t=a1pnu2&amp;q=XNAS%3aCHRW&amp;form=skydnc</v>
    <v>Learn more on Bing</v>
  </rv>
  <rv s="3">
    <v>pt-BR</v>
    <v>a1pnu2</v>
    <v>268435456</v>
    <v>1</v>
    <v>Da plataforma Refinitiv</v>
    <v>0</v>
    <v>1</v>
    <v>C.H. ROBINSON WORLDWIDE, INC. (XNAS:CHRW)</v>
    <v>3</v>
    <v>4</v>
    <v>Finance</v>
    <v>5</v>
    <v>114.82</v>
    <v>65</v>
    <v>XNAS</v>
    <v>118227000</v>
    <v>91.19</v>
    <v>1997</v>
    <v>89.37</v>
    <v>0.92910000000000004</v>
    <v>Nasdaq Stock Market</v>
    <v>10661119725</v>
    <v>C.H. Robinson Worldwide, Inc. É um fornecedor global de logística. Os segmentos da empresa incluem transporte de superfície norte-americano (NAST), Global Forwarding e todos os outros e corporativos. A NAST Segment fornece serviços de transporte e logística em toda a América do Norte através de uma rede de escritórios nos Estados Unidos, Canadá e México. Os serviços DA NAST Segment incluem carga de caminhão e serviços de corretagem de transporte de carga de caminhão. Global Forwarding Segment fornece serviços de transporte e logística através de uma rede internacional de escritórios na América do Norte, Europa, Ásia, Oceania, América do Sul, e o Oriente Médio e também contratos com agentes independentes em todo o mundo. Os serviços do segmento Global Forwarding incluem serviços de frete marítimo, serviços de frete aéreo e corretagem aduaneira. Todo o outro segmento e Corporate inclui Robinson Fresh e Managed Solutions. Robinson Fresh fornece serviços de sourcing. Em seu negócio de Soluções Gerenciadas, muitas vezes atua como agente do expedidor.</v>
    <v>XNAS</v>
    <v>91.94</v>
    <v>13781</v>
    <v>45757.616553483596</v>
    <v>16</v>
    <v>1702485</v>
    <v>USD</v>
    <v>C.H. ROBINSON WORLDWIDE, INC.</v>
    <v>C.H. ROBINSON WORLDWIDE, INC.</v>
    <v>23.860600000000002</v>
    <v>90.76</v>
    <v>90.174999999999997</v>
    <v>14701 Charlson Rd, EDEN PRAIRIE, MN, 55347 US</v>
    <v>Freight &amp; Logistics Services</v>
    <v>CHRW</v>
    <v>Ações</v>
    <v>C.H. ROBINSON WORLDWIDE, INC. (XNAS:CHRW)</v>
    <v>-1.7649999999999999</v>
    <v>-1.9196999999999999E-2</v>
    <v>145897</v>
  </rv>
  <rv s="4">
    <v>17</v>
  </rv>
  <rv s="0">
    <v>12</v>
    <v>Market cap</v>
    <v>0</v>
  </rv>
</rvData>
</file>

<file path=xl/richData/rdrichvaluestructure.xml><?xml version="1.0" encoding="utf-8"?>
<rvStructures xmlns="http://schemas.microsoft.com/office/spreadsheetml/2017/richdata" count="5">
  <s t="_error">
    <k n="errorType" t="i"/>
    <k n="field" t="s"/>
    <k n="subType" t="i"/>
  </s>
  <s t="_error">
    <k n="errorType" t="i"/>
    <k n="propagated" t="b"/>
  </s>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
    <k n="%cvi" t="r"/>
  </s>
</rvStructures>
</file>

<file path=xl/richData/rdsupportingpropertybag.xml><?xml version="1.0" encoding="utf-8"?>
<supportingPropertyBags xmlns="http://schemas.microsoft.com/office/spreadsheetml/2017/richdata2">
  <spbArrays count="1">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spbArrays>
  <spbData count="8">
    <spb s="0">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0</v>
      <v>Name</v>
      <v>LearnMoreOnLink</v>
    </spb>
    <spb s="2">
      <v>0</v>
      <v>0</v>
      <v>0</v>
    </spb>
    <spb s="3">
      <v>2</v>
      <v>2</v>
      <v>2</v>
      <v>2</v>
    </spb>
    <spb s="4">
      <v>1</v>
      <v>2</v>
      <v>1</v>
      <v>3</v>
      <v>2</v>
      <v>2</v>
      <v>4</v>
      <v>2</v>
      <v>2</v>
      <v>4</v>
      <v>5</v>
      <v>4</v>
      <v>6</v>
      <v>2</v>
      <v>2</v>
      <v>7</v>
      <v>4</v>
      <v>2</v>
      <v>8</v>
      <v>9</v>
    </spb>
    <spb s="5">
      <v>Tempo Real Nasdaq Última venda</v>
      <v xml:space="preserve">do fechamento anterior </v>
      <v>Origem : Nasdaq Última venda</v>
      <v xml:space="preserve">do fechamento anterior </v>
      <v>GMT</v>
    </spb>
    <spb s="4">
      <v>1</v>
      <v>10</v>
      <v>1</v>
      <v>3</v>
      <v>10</v>
      <v>10</v>
      <v>4</v>
      <v>10</v>
      <v>10</v>
      <v>4</v>
      <v>5</v>
      <v>4</v>
      <v>6</v>
      <v>10</v>
      <v>10</v>
      <v>7</v>
      <v>4</v>
      <v>10</v>
      <v>11</v>
      <v>9</v>
    </spb>
    <spb s="6">
      <v>Atraso de 15 minutos</v>
      <v xml:space="preserve">do fechamento anterior </v>
      <v xml:space="preserve">do fechamento anterior </v>
      <v>GMT</v>
    </spb>
  </spbData>
</supportingPropertyBags>
</file>

<file path=xl/richData/rdsupportingpropertybagstructure.xml><?xml version="1.0" encoding="utf-8"?>
<spbStructures xmlns="http://schemas.microsoft.com/office/spreadsheetml/2017/richdata2" count="7">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CardView" t="b"/>
    <k n="ShowInDotNotation" t="b"/>
    <k n="ShowInAutoComplete" t="b"/>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Preço" t="s"/>
    <k n="Variação" t="s"/>
    <k n="Variação (%)" t="s"/>
    <k n="Hora da última transaçã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14" formatCode="0.00%"/>
    </x:dxf>
    <x:dxf>
      <x:numFmt numFmtId="0" formatCode="General"/>
    </x:dxf>
    <x:dxf>
      <x:numFmt numFmtId="27" formatCode="m/d/yyyy\ h:mm"/>
    </x:dxf>
    <x:dxf>
      <x:numFmt numFmtId="4" formatCode="#,##0.00"/>
    </x:dxf>
    <x:dxf>
      <x:numFmt numFmtId="3" formatCode="#,##0"/>
    </x:dxf>
    <x:dxf>
      <x:numFmt numFmtId="2" formatCode="0.00"/>
    </x:dxf>
    <x:dxf>
      <x:numFmt numFmtId="1" formatCode="0"/>
    </x:dxf>
  </dxfs>
  <richProperties>
    <rPr n="NumberFormat" t="s"/>
    <rPr n="IsTitleField" t="b"/>
  </richProperties>
  <richStyles>
    <rSty dxfid="3">
      <rpv i="0">#,##0.00</rpv>
    </rSty>
    <rSty dxfid="1">
      <rpv i="0">_([$$-en-US]* #,##0.00_);_([$$-en-US]* (#,##0.00);_([$$-en-US]* "-"??_);_(@_)</rpv>
    </rSty>
    <rSty>
      <rpv i="1">1</rpv>
    </rSty>
    <rSty dxfid="4">
      <rpv i="0">#,##0</rpv>
    </rSty>
    <rSty dxfid="0"/>
    <rSty dxfid="5">
      <rpv i="0">0.00</rpv>
    </rSty>
    <rSty dxfid="6">
      <rpv i="0">0</rpv>
    </rSty>
    <rSty dxfid="1">
      <rpv i="0">_([$$-en-US]* #,##0_);_([$$-en-US]* (#,##0);_([$$-en-US]* "-"_);_(@_)</rpv>
    </rSty>
    <rSty dxfid="2"/>
    <rSty dxfid="1">
      <rpv i="0">_([$€-x-euro2] * #,##0.00_);_([$€-x-euro2] * (#,##0.00);_([$€-x-euro2] * "-"??_);_(@_)</rpv>
    </rSty>
    <rSty dxfid="1">
      <rpv i="0">_([$€-x-euro2] * #,##0_);_([$€-x-euro2] * (#,##0);_([$€-x-euro2] * "-"_);_(@_)</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threadedComments/threadedComment2.xml><?xml version="1.0" encoding="utf-8"?>
<ThreadedComments xmlns="http://schemas.microsoft.com/office/spreadsheetml/2018/threadedcomments" xmlns:x="http://schemas.openxmlformats.org/spreadsheetml/2006/main">
  <threadedComment ref="C38" dT="2024-10-01T13:03:31.12" personId="{D3276E57-E773-4387-97D8-D48D290BF148}" id="{ED3BFF41-DE41-45A7-9382-77AD69AAA261}">
    <text>Tudo gross!! =!net</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recedenceresearch.com/logistics-market" TargetMode="External"/><Relationship Id="rId2" Type="http://schemas.openxmlformats.org/officeDocument/2006/relationships/hyperlink" Target="https://www.grandviewresearch.com/industry-analysis/logistics-market-report" TargetMode="External"/><Relationship Id="rId1" Type="http://schemas.openxmlformats.org/officeDocument/2006/relationships/hyperlink" Target="https://www.statista.com/statistics/943517/logistics-industry-global-cagr/"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7"/>
  <sheetViews>
    <sheetView showGridLines="0" topLeftCell="B5" zoomScaleNormal="100" workbookViewId="0">
      <selection activeCell="E2" sqref="E2:K2"/>
    </sheetView>
  </sheetViews>
  <sheetFormatPr defaultColWidth="11.42578125" defaultRowHeight="13.15"/>
  <cols>
    <col min="1" max="1" width="0.42578125" customWidth="1"/>
    <col min="2" max="2" width="21.28515625" bestFit="1" customWidth="1"/>
    <col min="3" max="3" width="23.42578125" customWidth="1"/>
    <col min="4" max="4" width="32" customWidth="1"/>
    <col min="5" max="5" width="20.42578125" bestFit="1" customWidth="1"/>
    <col min="6" max="6" width="17" bestFit="1" customWidth="1"/>
    <col min="7" max="7" width="13.42578125" bestFit="1" customWidth="1"/>
    <col min="8" max="8" width="24.7109375" customWidth="1"/>
    <col min="9" max="9" width="17.140625" customWidth="1"/>
    <col min="10" max="10" width="10.28515625" customWidth="1"/>
    <col min="11" max="11" width="13.7109375" customWidth="1"/>
    <col min="12" max="12" width="20.7109375" bestFit="1" customWidth="1"/>
    <col min="13" max="13" width="31" customWidth="1"/>
  </cols>
  <sheetData>
    <row r="1" spans="2:17" ht="3.75" customHeight="1" thickBot="1"/>
    <row r="2" spans="2:17" ht="22.5" customHeight="1">
      <c r="B2" s="554">
        <v>45620</v>
      </c>
      <c r="C2" s="555" t="s">
        <v>0</v>
      </c>
      <c r="D2" s="566">
        <v>45657</v>
      </c>
      <c r="E2" s="1098" t="str">
        <f>Inputs!H3</f>
        <v>UNITED PARCEL SERVICE, INC. (XNYS:UPS)</v>
      </c>
      <c r="F2" s="1099"/>
      <c r="G2" s="1099"/>
      <c r="H2" s="1099"/>
      <c r="I2" s="1099"/>
      <c r="J2" s="1099"/>
      <c r="K2" s="1100"/>
      <c r="L2" s="556" t="e" cm="1" vm="1">
        <f t="array" ref="L2">_FV(E2,"Exchange")</f>
        <v>#VALUE!</v>
      </c>
      <c r="M2" s="557" t="s">
        <v>1</v>
      </c>
    </row>
    <row r="3" spans="2:17" ht="26.25" customHeight="1">
      <c r="B3" s="1016"/>
      <c r="C3" s="1017"/>
      <c r="D3" s="1104" t="s">
        <v>2</v>
      </c>
      <c r="E3" s="1104"/>
      <c r="F3" s="1104"/>
      <c r="G3" s="1104"/>
      <c r="H3" s="1105" t="s">
        <v>3</v>
      </c>
      <c r="I3" s="1105"/>
      <c r="J3" s="1106"/>
      <c r="K3" s="1106"/>
      <c r="L3" s="1105"/>
      <c r="M3" s="1107"/>
    </row>
    <row r="4" spans="2:17">
      <c r="B4" s="1016"/>
      <c r="C4" s="1017"/>
      <c r="D4" s="1103" t="e" cm="1" vm="2">
        <f t="array" ref="D4">_FV(Inputs!H3,"Description")</f>
        <v>#VALUE!</v>
      </c>
      <c r="E4" s="1103"/>
      <c r="F4" s="1103"/>
      <c r="G4" s="1103"/>
      <c r="H4" s="108" t="s">
        <v>4</v>
      </c>
      <c r="I4" s="553" t="s">
        <v>5</v>
      </c>
      <c r="J4" s="1041" t="s">
        <v>6</v>
      </c>
      <c r="K4" s="1057"/>
      <c r="L4" s="1058" t="s">
        <v>7</v>
      </c>
      <c r="M4" s="1059"/>
    </row>
    <row r="5" spans="2:17">
      <c r="B5" s="1016"/>
      <c r="C5" s="1017"/>
      <c r="D5" s="1103"/>
      <c r="E5" s="1103"/>
      <c r="F5" s="1103"/>
      <c r="G5" s="1103"/>
      <c r="H5" s="109" t="s">
        <v>8</v>
      </c>
      <c r="I5" s="308" t="s">
        <v>9</v>
      </c>
      <c r="J5" s="1060" t="s">
        <v>10</v>
      </c>
      <c r="K5" s="1061"/>
      <c r="L5" s="1054" t="s">
        <v>11</v>
      </c>
      <c r="M5" s="1056"/>
    </row>
    <row r="6" spans="2:17">
      <c r="B6" s="1016"/>
      <c r="C6" s="1017"/>
      <c r="D6" s="1103"/>
      <c r="E6" s="1103"/>
      <c r="F6" s="1103"/>
      <c r="G6" s="1103"/>
      <c r="H6" s="109" t="s">
        <v>12</v>
      </c>
      <c r="I6" s="308" t="s">
        <v>13</v>
      </c>
      <c r="J6" s="1054" t="s">
        <v>10</v>
      </c>
      <c r="K6" s="1055"/>
      <c r="L6" s="1054" t="s">
        <v>14</v>
      </c>
      <c r="M6" s="1056"/>
    </row>
    <row r="7" spans="2:17">
      <c r="B7" s="1016"/>
      <c r="C7" s="1017"/>
      <c r="D7" s="1103"/>
      <c r="E7" s="1103"/>
      <c r="F7" s="1103"/>
      <c r="G7" s="1103"/>
      <c r="H7" s="109" t="s">
        <v>15</v>
      </c>
      <c r="I7" s="308" t="s">
        <v>9</v>
      </c>
      <c r="J7" s="1054" t="s">
        <v>16</v>
      </c>
      <c r="K7" s="1055"/>
      <c r="L7" s="1111" t="s">
        <v>17</v>
      </c>
      <c r="M7" s="1056"/>
    </row>
    <row r="8" spans="2:17">
      <c r="B8" s="1016"/>
      <c r="C8" s="1017"/>
      <c r="D8" s="1103"/>
      <c r="E8" s="1103"/>
      <c r="F8" s="1103"/>
      <c r="G8" s="1103"/>
      <c r="H8" s="109" t="s">
        <v>18</v>
      </c>
      <c r="I8" s="308" t="s">
        <v>13</v>
      </c>
      <c r="J8" s="1054" t="s">
        <v>16</v>
      </c>
      <c r="K8" s="1055"/>
      <c r="L8" s="1054" t="s">
        <v>19</v>
      </c>
      <c r="M8" s="1056"/>
    </row>
    <row r="9" spans="2:17">
      <c r="B9" s="1016"/>
      <c r="C9" s="1017"/>
      <c r="D9" s="1103"/>
      <c r="E9" s="1103"/>
      <c r="F9" s="1103"/>
      <c r="G9" s="1103"/>
      <c r="H9" s="109" t="s">
        <v>20</v>
      </c>
      <c r="I9" s="308" t="s">
        <v>13</v>
      </c>
      <c r="J9" s="1054" t="s">
        <v>16</v>
      </c>
      <c r="K9" s="1055"/>
      <c r="L9" s="1054" t="s">
        <v>21</v>
      </c>
      <c r="M9" s="1056"/>
    </row>
    <row r="10" spans="2:17">
      <c r="B10" s="1016"/>
      <c r="C10" s="1017"/>
      <c r="D10" s="1103"/>
      <c r="E10" s="1103"/>
      <c r="F10" s="1103"/>
      <c r="G10" s="1103"/>
      <c r="H10" s="109" t="s">
        <v>22</v>
      </c>
      <c r="I10" s="308" t="s">
        <v>9</v>
      </c>
      <c r="J10" s="1054" t="s">
        <v>16</v>
      </c>
      <c r="K10" s="1055"/>
      <c r="L10" s="1054" t="s">
        <v>23</v>
      </c>
      <c r="M10" s="1056"/>
    </row>
    <row r="11" spans="2:17">
      <c r="B11" s="1016"/>
      <c r="C11" s="1017"/>
      <c r="D11" s="1103"/>
      <c r="E11" s="1103"/>
      <c r="F11" s="1103"/>
      <c r="G11" s="1103"/>
      <c r="H11" s="109" t="s">
        <v>24</v>
      </c>
      <c r="I11" s="308" t="s">
        <v>9</v>
      </c>
      <c r="J11" s="1054" t="s">
        <v>16</v>
      </c>
      <c r="K11" s="1055"/>
      <c r="L11" s="1054" t="s">
        <v>25</v>
      </c>
      <c r="M11" s="1056"/>
    </row>
    <row r="12" spans="2:17">
      <c r="B12" s="1016"/>
      <c r="C12" s="1017"/>
      <c r="D12" s="1103"/>
      <c r="E12" s="1103"/>
      <c r="F12" s="1103"/>
      <c r="G12" s="1103"/>
      <c r="H12" s="842" t="s">
        <v>26</v>
      </c>
      <c r="I12" s="308" t="s">
        <v>13</v>
      </c>
      <c r="J12" s="1054" t="s">
        <v>10</v>
      </c>
      <c r="K12" s="1055"/>
      <c r="L12" s="1054" t="s">
        <v>27</v>
      </c>
      <c r="M12" s="1056"/>
      <c r="P12" s="320"/>
    </row>
    <row r="13" spans="2:17">
      <c r="B13" s="1016"/>
      <c r="C13" s="1017"/>
      <c r="D13" s="1103"/>
      <c r="E13" s="1103"/>
      <c r="F13" s="1103"/>
      <c r="G13" s="1103"/>
      <c r="H13" s="109" t="s">
        <v>28</v>
      </c>
      <c r="I13" s="308" t="s">
        <v>13</v>
      </c>
      <c r="J13" s="1054" t="s">
        <v>16</v>
      </c>
      <c r="K13" s="1055"/>
      <c r="L13" s="1054" t="s">
        <v>29</v>
      </c>
      <c r="M13" s="1056"/>
    </row>
    <row r="14" spans="2:17" ht="24" customHeight="1">
      <c r="B14" s="1016"/>
      <c r="C14" s="1017"/>
      <c r="D14" s="1103"/>
      <c r="E14" s="1103"/>
      <c r="F14" s="1103"/>
      <c r="G14" s="1103"/>
      <c r="H14" s="109" t="s">
        <v>30</v>
      </c>
      <c r="I14" s="308" t="s">
        <v>9</v>
      </c>
      <c r="J14" s="1054" t="s">
        <v>16</v>
      </c>
      <c r="K14" s="1055"/>
      <c r="L14" s="1054" t="s">
        <v>31</v>
      </c>
      <c r="M14" s="1056"/>
      <c r="Q14" s="253"/>
    </row>
    <row r="15" spans="2:17" ht="25.5" customHeight="1">
      <c r="B15" s="1016"/>
      <c r="C15" s="1017"/>
      <c r="D15" s="1103"/>
      <c r="E15" s="1103"/>
      <c r="F15" s="1103"/>
      <c r="G15" s="1103"/>
      <c r="H15" s="109" t="s">
        <v>32</v>
      </c>
      <c r="I15" s="308" t="s">
        <v>13</v>
      </c>
      <c r="J15" s="1054" t="s">
        <v>16</v>
      </c>
      <c r="K15" s="1055"/>
      <c r="L15" s="1054" t="s">
        <v>33</v>
      </c>
      <c r="M15" s="1056"/>
    </row>
    <row r="16" spans="2:17">
      <c r="B16" s="1016"/>
      <c r="C16" s="1017"/>
      <c r="D16" s="1103"/>
      <c r="E16" s="1103"/>
      <c r="F16" s="1103"/>
      <c r="G16" s="1103"/>
      <c r="H16" s="109" t="s">
        <v>34</v>
      </c>
      <c r="I16" s="309" t="s">
        <v>13</v>
      </c>
      <c r="J16" s="1054" t="s">
        <v>16</v>
      </c>
      <c r="K16" s="1055"/>
      <c r="L16" s="1054" t="s">
        <v>35</v>
      </c>
      <c r="M16" s="1056"/>
    </row>
    <row r="17" spans="2:13">
      <c r="B17" s="1022" t="e" cm="1" vm="3">
        <f t="array" ref="B17">_FV(E2,"Currency")&amp;" MILLIONS"</f>
        <v>#VALUE!</v>
      </c>
      <c r="C17" s="1023"/>
      <c r="D17" s="1103"/>
      <c r="E17" s="1103"/>
      <c r="F17" s="1103"/>
      <c r="G17" s="1103"/>
      <c r="H17" s="602"/>
      <c r="I17" s="603"/>
      <c r="J17" s="1052"/>
      <c r="K17" s="1053"/>
      <c r="L17" s="1052"/>
      <c r="M17" s="1118"/>
    </row>
    <row r="18" spans="2:13" ht="17.45">
      <c r="B18" s="1038" t="s">
        <v>36</v>
      </c>
      <c r="C18" s="1039"/>
      <c r="D18" s="1039"/>
      <c r="E18" s="1039"/>
      <c r="F18" s="1039"/>
      <c r="G18" s="1039"/>
      <c r="H18" s="1039"/>
      <c r="I18" s="1039"/>
      <c r="J18" s="1039"/>
      <c r="K18" s="1039"/>
      <c r="L18" s="1039"/>
      <c r="M18" s="1040"/>
    </row>
    <row r="19" spans="2:13" ht="15.6">
      <c r="B19" s="1020" t="s">
        <v>37</v>
      </c>
      <c r="C19" s="1021"/>
      <c r="D19" s="1018" t="s">
        <v>38</v>
      </c>
      <c r="E19" s="1030"/>
      <c r="F19" s="1115" t="s">
        <v>39</v>
      </c>
      <c r="G19" s="1116"/>
      <c r="H19" s="1117"/>
      <c r="I19" s="1018" t="str">
        <f>"Profitability ("&amp;J20&amp;")"</f>
        <v>Profitability (2023)</v>
      </c>
      <c r="J19" s="1029"/>
      <c r="K19" s="1030"/>
      <c r="L19" s="1018" t="s">
        <v>40</v>
      </c>
      <c r="M19" s="1019"/>
    </row>
    <row r="20" spans="2:13">
      <c r="B20" s="558" t="s">
        <v>41</v>
      </c>
      <c r="C20" s="567" t="e" cm="1" vm="4">
        <f t="array" ref="C20">_FV(E2,"Price")</f>
        <v>#VALUE!</v>
      </c>
      <c r="D20" s="12" t="s">
        <v>42</v>
      </c>
      <c r="E20" s="119">
        <f>_xlfn.XLOOKUP(D20,'Fin. Data'!A:A,'Fin. Data'!B:B,,0)</f>
        <v>70857</v>
      </c>
      <c r="F20" s="1101" t="s">
        <v>43</v>
      </c>
      <c r="G20" s="1102"/>
      <c r="H20" s="102" t="s">
        <v>44</v>
      </c>
      <c r="I20" t="s">
        <v>45</v>
      </c>
      <c r="J20" s="1005">
        <v>2023</v>
      </c>
      <c r="K20" s="1006"/>
      <c r="L20" s="11" t="s">
        <v>46</v>
      </c>
      <c r="M20" s="561">
        <f>IF(Inputs!B82 &lt;&gt; "",Inputs!B82,"")</f>
        <v>0.99895999999999996</v>
      </c>
    </row>
    <row r="21" spans="2:13" ht="12.75" customHeight="1">
      <c r="B21" s="558" t="s">
        <v>47</v>
      </c>
      <c r="C21" s="568" t="e" cm="1" vm="5">
        <f t="array" ref="C21">_FV(E2,"Shares outstanding",TRUE)</f>
        <v>#VALUE!</v>
      </c>
      <c r="D21" s="11" t="s">
        <v>48</v>
      </c>
      <c r="E21" s="119">
        <f>_xlfn.XLOOKUP(D21,'Fin. Data'!A:A,'Fin. Data'!B:B,,0)</f>
        <v>53543</v>
      </c>
      <c r="F21" s="1071" t="str">
        <f>Segments!C5</f>
        <v>U.S.</v>
      </c>
      <c r="G21" s="1072"/>
      <c r="H21" s="1077">
        <f>Segments!B5</f>
        <v>0.7888146177356582</v>
      </c>
      <c r="I21" s="11" t="s">
        <v>49</v>
      </c>
      <c r="J21" s="1109">
        <v>45291</v>
      </c>
      <c r="K21" s="1110"/>
      <c r="L21" s="11" t="s">
        <v>50</v>
      </c>
      <c r="M21" s="569">
        <f>IF(Inputs!B83 &lt;&gt; "",Inputs!B83,"")</f>
        <v>1E-4</v>
      </c>
    </row>
    <row r="22" spans="2:13" ht="12.75" customHeight="1">
      <c r="B22" s="558" t="s">
        <v>51</v>
      </c>
      <c r="C22" s="48" t="e" vm="6">
        <f>C20*C21/1000000</f>
        <v>#VALUE!</v>
      </c>
      <c r="D22" s="11" t="s">
        <v>52</v>
      </c>
      <c r="E22" s="297" t="e" vm="6">
        <f>_xlfn.XLOOKUP("Cash &amp; Eq.",'Fin. Data'!A:A,'Fin. Data'!B:B,,0)*1000000/C21</f>
        <v>#VALUE!</v>
      </c>
      <c r="F22" s="1112"/>
      <c r="G22" s="1113"/>
      <c r="H22" s="1114"/>
      <c r="I22" s="1015" t="s">
        <v>53</v>
      </c>
      <c r="J22" s="1015"/>
      <c r="K22" s="119">
        <f>_xlfn.XLOOKUP(I22,'Fin. Data'!A:A,'Fin. Data'!B:B,,0)</f>
        <v>12507</v>
      </c>
      <c r="L22" s="8" t="s">
        <v>54</v>
      </c>
      <c r="M22" s="560" t="e" cm="1" vm="7">
        <f t="array" ref="M22">IF(_FV(E2,"Beta") &lt;&gt; "",_FV(E2,"Beta"),"")</f>
        <v>#VALUE!</v>
      </c>
    </row>
    <row r="23" spans="2:13" ht="12.75" customHeight="1">
      <c r="B23" s="559" t="s">
        <v>55</v>
      </c>
      <c r="C23" s="48">
        <f>'Fin. Data'!B58</f>
        <v>26729</v>
      </c>
      <c r="D23" s="11" t="s">
        <v>56</v>
      </c>
      <c r="E23" s="297">
        <f>IFERROR(_xlfn.XLOOKUP("EBITDA",'Fin. Data'!A:A,'Fin. Data'!B:B,,0)/_xlfn.XLOOKUP("Net Financial Cost",'Fin. Data'!A:A,'Fin. Data'!B:B,,0),"")</f>
        <v>-22.0193661971831</v>
      </c>
      <c r="F23" s="1073"/>
      <c r="G23" s="1074"/>
      <c r="H23" s="1078"/>
      <c r="I23" s="1108" t="s">
        <v>57</v>
      </c>
      <c r="J23" s="1108"/>
      <c r="K23" s="119">
        <f>_xlfn.XLOOKUP(I23,'Fin. Data'!A:A,'Fin. Data'!B:B,,0)</f>
        <v>3366</v>
      </c>
      <c r="L23" s="11" t="s">
        <v>58</v>
      </c>
      <c r="M23" s="560" t="str">
        <f>IF(Inputs!B84 &lt;&gt; "",Inputs!B84,"")</f>
        <v>A</v>
      </c>
    </row>
    <row r="24" spans="2:13" ht="12.75" customHeight="1">
      <c r="B24" s="559" t="s">
        <v>59</v>
      </c>
      <c r="C24" s="48">
        <f>'Fin. Data'!B39</f>
        <v>3206</v>
      </c>
      <c r="D24" s="11" t="s">
        <v>60</v>
      </c>
      <c r="E24" s="297">
        <f>IFERROR(_xlfn.XLOOKUP("Total Debt",'Fin. Data'!A:A,'Fin. Data'!B:B,,0)/_xlfn.XLOOKUP("EBITDA",'Fin. Data'!A:A,'Fin. Data'!B:B,,0),"")</f>
        <v>2.137123211001839</v>
      </c>
      <c r="F24" s="1071" t="str">
        <f>Segments!C6</f>
        <v>Non-U.S.</v>
      </c>
      <c r="G24" s="1075"/>
      <c r="H24" s="1079">
        <f>Segments!B6</f>
        <v>0.21118538226434178</v>
      </c>
      <c r="I24" s="1108" t="s">
        <v>61</v>
      </c>
      <c r="J24" s="1108"/>
      <c r="K24" s="119">
        <f>_xlfn.XLOOKUP(I24,'Fin. Data'!A:A,'Fin. Data'!B:B,,0)</f>
        <v>9141</v>
      </c>
      <c r="L24" s="11" t="s">
        <v>62</v>
      </c>
      <c r="M24" s="560" t="str">
        <f>IFERROR((C20*C21/(E20-E21))/1000000,"")</f>
        <v/>
      </c>
    </row>
    <row r="25" spans="2:13" ht="12.75" customHeight="1">
      <c r="B25" s="559" t="s">
        <v>63</v>
      </c>
      <c r="C25" s="48" t="e" vm="6">
        <f>C22+C23-C24</f>
        <v>#VALUE!</v>
      </c>
      <c r="D25" s="11" t="s">
        <v>64</v>
      </c>
      <c r="E25" s="297">
        <f>IFERROR(_xlfn.XLOOKUP("Other Assets",'Fin. Data'!A:A,'Fin. Data'!B:B,,0)/_xlfn.XLOOKUP("Total Assets",'Fin. Data'!A:A,'Fin. Data'!B:B,,0),"")</f>
        <v>0.19928870824336339</v>
      </c>
      <c r="F25" s="1073"/>
      <c r="G25" s="1076"/>
      <c r="H25" s="1080"/>
      <c r="I25" s="1015" t="s">
        <v>65</v>
      </c>
      <c r="J25" s="1015"/>
      <c r="K25" s="119">
        <f>_xlfn.XLOOKUP(I25,'Fin. Data'!A:A,'Fin. Data'!B:B,,0)</f>
        <v>6708</v>
      </c>
      <c r="L25" s="11" t="s">
        <v>66</v>
      </c>
      <c r="M25" s="561">
        <f>IFERROR(K31/E20,"")</f>
        <v>-9.2486745604997873E-3</v>
      </c>
    </row>
    <row r="26" spans="2:13" ht="12.75" customHeight="1">
      <c r="B26" s="559" t="s">
        <v>67</v>
      </c>
      <c r="C26" s="121" t="s">
        <v>19</v>
      </c>
      <c r="D26" s="11" t="s">
        <v>68</v>
      </c>
      <c r="E26" s="297">
        <f>_xlfn.XLOOKUP(D26,'Fin. Data'!A:A,'Fin. Data'!B:B,,0)</f>
        <v>0.3772245508559493</v>
      </c>
      <c r="F26" s="1041" t="s">
        <v>69</v>
      </c>
      <c r="G26" s="1042"/>
      <c r="H26" s="103" t="s">
        <v>44</v>
      </c>
      <c r="I26" s="1015" t="s">
        <v>70</v>
      </c>
      <c r="J26" s="1015"/>
      <c r="K26" s="66" t="e" vm="6">
        <f>1000000*K25/C21</f>
        <v>#VALUE!</v>
      </c>
      <c r="L26" s="11" t="s">
        <v>71</v>
      </c>
      <c r="M26" s="562" t="str">
        <f>IFERROR(C22/K30,"")</f>
        <v/>
      </c>
    </row>
    <row r="27" spans="2:13" ht="12.75" customHeight="1">
      <c r="B27" s="558" t="s">
        <v>72</v>
      </c>
      <c r="C27" s="122" t="s">
        <v>19</v>
      </c>
      <c r="D27" s="11" t="s">
        <v>73</v>
      </c>
      <c r="E27" s="120">
        <f>IFERROR(AVERAGE(_xlfn.XLOOKUP("EBITDA Margin",'Fin. Data'!A:A,'Fin. Data'!B:D,,0)),"")</f>
        <v>0.13049776369559077</v>
      </c>
      <c r="F27" s="1071" t="str">
        <f>Segments!C14</f>
        <v>US Domestic Package</v>
      </c>
      <c r="G27" s="1072"/>
      <c r="H27" s="1077">
        <f>Segments!B14</f>
        <v>0.65918335935266825</v>
      </c>
      <c r="I27" s="1015" t="s">
        <v>74</v>
      </c>
      <c r="J27" s="1015"/>
      <c r="K27" s="67">
        <f>IFERROR(K25/E20,"")</f>
        <v>9.4669545704729241E-2</v>
      </c>
      <c r="L27" s="11" t="s">
        <v>75</v>
      </c>
      <c r="M27" s="563" t="str">
        <f>IFERROR(C25/E20,"")</f>
        <v/>
      </c>
    </row>
    <row r="28" spans="2:13" ht="12.75" customHeight="1">
      <c r="B28" s="558" t="s">
        <v>76</v>
      </c>
      <c r="C28" s="16" t="s">
        <v>77</v>
      </c>
      <c r="D28" s="11" t="s">
        <v>78</v>
      </c>
      <c r="E28" s="120">
        <f>IFERROR(AVERAGE(_xlfn.XLOOKUP("Operating Margin",'Fin. Data'!A:A,'Fin. Data'!B:D,,0)),"")</f>
        <v>0.1208893716568185</v>
      </c>
      <c r="F28" s="1073"/>
      <c r="G28" s="1074"/>
      <c r="H28" s="1078"/>
      <c r="I28" s="1015" t="s">
        <v>79</v>
      </c>
      <c r="J28" s="1015"/>
      <c r="K28" s="67">
        <f>IFERROR(Peers!C18,"")</f>
        <v>0.17517705399105549</v>
      </c>
      <c r="L28" s="11" t="s">
        <v>80</v>
      </c>
      <c r="M28" s="563" t="str">
        <f>IFERROR(C25/K29,"")</f>
        <v/>
      </c>
    </row>
    <row r="29" spans="2:13" ht="15.6">
      <c r="B29" s="1020" t="s">
        <v>81</v>
      </c>
      <c r="C29" s="1021"/>
      <c r="D29" s="11" t="s">
        <v>82</v>
      </c>
      <c r="E29" s="120">
        <f>IFERROR(AVERAGE(_xlfn.XLOOKUP("Net Income Margin",'Fin. Data'!A:A,'Fin. Data'!B:D,,0)),"")</f>
        <v>0.10711129791530899</v>
      </c>
      <c r="F29" s="1071" t="str">
        <f>Segments!C15</f>
        <v>International Package</v>
      </c>
      <c r="G29" s="1075"/>
      <c r="H29" s="1079">
        <f>Segments!B15</f>
        <v>0.19603553288330877</v>
      </c>
      <c r="I29" s="1031" t="s">
        <v>83</v>
      </c>
      <c r="J29" s="1031"/>
      <c r="K29" s="507">
        <f>AVERAGE(_xlfn.XLOOKUP("EBITDA",'Fin. Data'!A:A,'Fin. Data'!B:D,,0))</f>
        <v>12546</v>
      </c>
      <c r="L29" s="11" t="s">
        <v>84</v>
      </c>
      <c r="M29" s="562" t="str">
        <f>IFERROR(C22/K31,"")</f>
        <v/>
      </c>
    </row>
    <row r="30" spans="2:13" ht="12.75" customHeight="1">
      <c r="B30" s="564" t="s">
        <v>85</v>
      </c>
      <c r="C30" s="275"/>
      <c r="D30" s="565"/>
      <c r="E30" s="127"/>
      <c r="F30" s="1073"/>
      <c r="G30" s="1076"/>
      <c r="H30" s="1080"/>
      <c r="I30" s="1015" t="s">
        <v>86</v>
      </c>
      <c r="J30" s="1015"/>
      <c r="K30" s="119">
        <f>AVERAGE(_xlfn.XLOOKUP("Net Income",'Fin. Data'!A:A,'Fin. Data'!B:D,,0))</f>
        <v>10382</v>
      </c>
      <c r="L30" s="11" t="s">
        <v>87</v>
      </c>
      <c r="M30" s="562" t="s">
        <v>19</v>
      </c>
    </row>
    <row r="31" spans="2:13" ht="12.75" customHeight="1">
      <c r="B31" s="564" t="s">
        <v>88</v>
      </c>
      <c r="C31" s="272"/>
      <c r="D31" s="11" t="s">
        <v>89</v>
      </c>
      <c r="E31" s="388">
        <f>IFERROR(-_xlfn.XLOOKUP("Net Financial Cost",'Fin. Data'!A:A,'Fin. Data'!B:B,,0)/AVERAGE(_xlfn.XLOOKUP("Net Debt",'Fin. Data'!A:A,'Fin. Data'!B:D,,0)),"")</f>
        <v>3.0098030557272806E-2</v>
      </c>
      <c r="F31" s="1071" t="str">
        <f>Segments!C16</f>
        <v>Supply Chain Solutions</v>
      </c>
      <c r="G31" s="1075"/>
      <c r="H31" s="1079">
        <f>Segments!B16</f>
        <v>0.14478110776402295</v>
      </c>
      <c r="I31" s="1015" t="s">
        <v>90</v>
      </c>
      <c r="J31" s="1015"/>
      <c r="K31" s="119">
        <f>AVERAGE(_xlfn.XLOOKUP("Net Financial Cost",'Fin. Data'!A:A,'Fin. Data'!B:D,,0))</f>
        <v>-655.33333333333337</v>
      </c>
      <c r="L31" s="11" t="s">
        <v>91</v>
      </c>
      <c r="M31" s="561" t="e">
        <f>-IFERROR(SUM(E52:E54)/(3*C22),"")</f>
        <v>#VALUE!</v>
      </c>
    </row>
    <row r="32" spans="2:13" ht="12.4" customHeight="1">
      <c r="B32" s="564" t="s">
        <v>92</v>
      </c>
      <c r="C32" s="276"/>
      <c r="D32" s="124"/>
      <c r="E32" s="126"/>
      <c r="F32" s="1073"/>
      <c r="G32" s="1076"/>
      <c r="H32" s="1080"/>
      <c r="I32" s="124"/>
      <c r="J32" s="125"/>
      <c r="K32" s="125"/>
      <c r="L32" s="11" t="s">
        <v>93</v>
      </c>
      <c r="M32" s="569" t="e">
        <f>-IFERROR(L53/C22,"")</f>
        <v>#VALUE!</v>
      </c>
    </row>
    <row r="33" spans="1:19" ht="17.45">
      <c r="B33" s="1024" t="s">
        <v>94</v>
      </c>
      <c r="C33" s="1025"/>
      <c r="D33" s="1025"/>
      <c r="E33" s="1025"/>
      <c r="F33" s="1025"/>
      <c r="G33" s="1025"/>
      <c r="H33" s="1025"/>
      <c r="I33" s="1025"/>
      <c r="J33" s="1025"/>
      <c r="K33" s="1025"/>
      <c r="L33" s="1025"/>
      <c r="M33" s="1026"/>
    </row>
    <row r="34" spans="1:19" ht="16.149999999999999" thickBot="1">
      <c r="B34" s="1027" t="s">
        <v>95</v>
      </c>
      <c r="C34" s="1028"/>
      <c r="D34" s="1028"/>
      <c r="E34" s="1028"/>
      <c r="F34" s="1028"/>
      <c r="G34" s="1028"/>
      <c r="H34" s="391" t="s">
        <v>96</v>
      </c>
      <c r="I34" s="1032" t="s">
        <v>97</v>
      </c>
      <c r="J34" s="1033"/>
      <c r="K34" s="1033"/>
      <c r="L34" s="1033"/>
      <c r="M34" s="1034"/>
      <c r="N34" s="10"/>
    </row>
    <row r="35" spans="1:19" ht="13.15" customHeight="1" thickBot="1">
      <c r="A35" s="10"/>
      <c r="B35" s="392" t="s">
        <v>98</v>
      </c>
      <c r="C35" s="1035" t="s">
        <v>99</v>
      </c>
      <c r="D35" s="1036"/>
      <c r="E35" s="1036"/>
      <c r="F35" s="1036"/>
      <c r="G35" s="1037"/>
      <c r="H35" s="1007" t="s">
        <v>100</v>
      </c>
      <c r="I35" s="1043" t="s">
        <v>101</v>
      </c>
      <c r="J35" s="1044"/>
      <c r="K35" s="1044"/>
      <c r="L35" s="1044"/>
      <c r="M35" s="1045"/>
    </row>
    <row r="36" spans="1:19" ht="30" customHeight="1" thickBot="1">
      <c r="A36" s="10"/>
      <c r="B36" s="825" t="s">
        <v>102</v>
      </c>
      <c r="C36" s="1009" t="s">
        <v>103</v>
      </c>
      <c r="D36" s="1010"/>
      <c r="E36" s="1010"/>
      <c r="F36" s="1010"/>
      <c r="G36" s="1011"/>
      <c r="H36" s="1007"/>
      <c r="I36" s="1046"/>
      <c r="J36" s="1047"/>
      <c r="K36" s="1047"/>
      <c r="L36" s="1047"/>
      <c r="M36" s="1048"/>
    </row>
    <row r="37" spans="1:19" ht="24.4" customHeight="1" thickBot="1">
      <c r="A37" s="10"/>
      <c r="B37" s="825" t="s">
        <v>104</v>
      </c>
      <c r="C37" s="1009" t="s">
        <v>105</v>
      </c>
      <c r="D37" s="1010"/>
      <c r="E37" s="1010"/>
      <c r="F37" s="1010"/>
      <c r="G37" s="1011"/>
      <c r="H37" s="1007"/>
      <c r="I37" s="1046"/>
      <c r="J37" s="1047"/>
      <c r="K37" s="1047"/>
      <c r="L37" s="1047"/>
      <c r="M37" s="1048"/>
    </row>
    <row r="38" spans="1:19" ht="24.4" customHeight="1" thickBot="1">
      <c r="B38" s="826" t="s">
        <v>106</v>
      </c>
      <c r="C38" s="1012" t="s">
        <v>107</v>
      </c>
      <c r="D38" s="1013"/>
      <c r="E38" s="1013"/>
      <c r="F38" s="1013"/>
      <c r="G38" s="1014"/>
      <c r="H38" s="1008"/>
      <c r="I38" s="1049"/>
      <c r="J38" s="1050"/>
      <c r="K38" s="1050"/>
      <c r="L38" s="1050"/>
      <c r="M38" s="1051"/>
    </row>
    <row r="39" spans="1:19" ht="16.149999999999999" thickBot="1">
      <c r="B39" s="1090" t="s">
        <v>108</v>
      </c>
      <c r="C39" s="1091"/>
      <c r="D39" s="1091"/>
      <c r="E39" s="1091"/>
      <c r="F39" s="1091"/>
      <c r="G39" s="1092"/>
      <c r="H39" s="393" t="s">
        <v>109</v>
      </c>
      <c r="I39" s="1096" t="s">
        <v>110</v>
      </c>
      <c r="J39" s="1096"/>
      <c r="K39" s="1096"/>
      <c r="L39" s="1096"/>
      <c r="M39" s="1097"/>
    </row>
    <row r="40" spans="1:19" ht="13.15" customHeight="1" thickBot="1">
      <c r="B40" s="394" t="s">
        <v>111</v>
      </c>
      <c r="C40" s="1093" t="s">
        <v>99</v>
      </c>
      <c r="D40" s="1094"/>
      <c r="E40" s="1094"/>
      <c r="F40" s="1094"/>
      <c r="G40" s="1095"/>
      <c r="H40" s="1081" t="str">
        <f>IFERROR(DCF!D75,"")</f>
        <v/>
      </c>
      <c r="I40" s="1062" t="s">
        <v>112</v>
      </c>
      <c r="J40" s="969">
        <f>DCF!F50</f>
        <v>8.4999999999999992E-2</v>
      </c>
      <c r="K40" s="969"/>
      <c r="L40" s="1062" t="s">
        <v>113</v>
      </c>
      <c r="M40" s="997" t="str">
        <f>IFERROR(DCF!D74,"")</f>
        <v/>
      </c>
    </row>
    <row r="41" spans="1:19" ht="29.25" customHeight="1" thickBot="1">
      <c r="B41" s="825" t="s">
        <v>114</v>
      </c>
      <c r="C41" s="982" t="s">
        <v>115</v>
      </c>
      <c r="D41" s="983"/>
      <c r="E41" s="983"/>
      <c r="F41" s="983"/>
      <c r="G41" s="984"/>
      <c r="H41" s="1082"/>
      <c r="I41" s="1063"/>
      <c r="J41" s="970"/>
      <c r="K41" s="970"/>
      <c r="L41" s="1063"/>
      <c r="M41" s="998"/>
    </row>
    <row r="42" spans="1:19" ht="25.5" customHeight="1" thickBot="1">
      <c r="B42" s="827" t="s">
        <v>116</v>
      </c>
      <c r="C42" s="1087" t="s">
        <v>117</v>
      </c>
      <c r="D42" s="1088"/>
      <c r="E42" s="1088"/>
      <c r="F42" s="1088"/>
      <c r="G42" s="1089"/>
      <c r="H42" s="1082"/>
      <c r="I42" s="1063"/>
      <c r="J42" s="970"/>
      <c r="K42" s="970"/>
      <c r="L42" s="1063"/>
      <c r="M42" s="998"/>
    </row>
    <row r="43" spans="1:19" ht="18" customHeight="1" thickBot="1">
      <c r="B43" s="828" t="s">
        <v>118</v>
      </c>
      <c r="C43" s="1084" t="s">
        <v>119</v>
      </c>
      <c r="D43" s="1085"/>
      <c r="E43" s="1085"/>
      <c r="F43" s="1085"/>
      <c r="G43" s="1086"/>
      <c r="H43" s="1083"/>
      <c r="I43" s="1063"/>
      <c r="J43" s="970"/>
      <c r="K43" s="970"/>
      <c r="L43" s="1064"/>
      <c r="M43" s="999"/>
    </row>
    <row r="44" spans="1:19" ht="17.45">
      <c r="B44" s="988" t="s">
        <v>120</v>
      </c>
      <c r="C44" s="989"/>
      <c r="D44" s="989"/>
      <c r="E44" s="989"/>
      <c r="F44" s="989"/>
      <c r="G44" s="989"/>
      <c r="H44" s="989"/>
      <c r="I44" s="989"/>
      <c r="J44" s="989"/>
      <c r="K44" s="989"/>
      <c r="L44" s="989"/>
      <c r="M44" s="990"/>
    </row>
    <row r="45" spans="1:19">
      <c r="B45" s="487" t="s">
        <v>121</v>
      </c>
      <c r="C45" s="110" t="s">
        <v>122</v>
      </c>
      <c r="D45" s="110" t="s">
        <v>123</v>
      </c>
      <c r="E45" s="131" t="s">
        <v>124</v>
      </c>
      <c r="F45" s="110" t="s">
        <v>125</v>
      </c>
      <c r="G45" s="110" t="s">
        <v>68</v>
      </c>
      <c r="H45" s="130" t="s">
        <v>57</v>
      </c>
      <c r="I45" s="130" t="s">
        <v>126</v>
      </c>
      <c r="J45" s="940" t="s">
        <v>127</v>
      </c>
      <c r="K45" s="940"/>
      <c r="L45" s="940"/>
      <c r="M45" s="987"/>
    </row>
    <row r="46" spans="1:19">
      <c r="B46" s="488">
        <f t="shared" ref="B46:B52" si="0">B47-1</f>
        <v>2015</v>
      </c>
      <c r="C46" s="129" cm="1">
        <f t="array" ref="C46:C54">_xlfn.SORTBY(TRANSPOSE(_xlfn.XLOOKUP(C$45,'Fin. Data'!$A:$A,'Fin. Data'!$B:$J,,0)),$B$46:$B$54,-1)</f>
        <v>58363</v>
      </c>
      <c r="D46" s="105" cm="1">
        <f t="array" ref="D46:D54">_xlfn.SORTBY(TRANSPOSE(_xlfn.XLOOKUP(D$45,'Fin. Data'!$A:$A,'Fin. Data'!$B:$J,,0)),$B$46:$B$54,-1)</f>
        <v>0.13138461011257133</v>
      </c>
      <c r="E46" s="129" cm="1">
        <f t="array" ref="E46:E54">_xlfn.SORTBY(TRANSPOSE(_xlfn.XLOOKUP(E$45,'Fin. Data'!$A:$A,'Fin. Data'!$B:$J,,0)),$B$46:$B$54,-1)</f>
        <v>-5227</v>
      </c>
      <c r="F46" s="128">
        <f>Inputs!J77</f>
        <v>556</v>
      </c>
      <c r="G46" s="105" cm="1">
        <f t="array" ref="G46:G54">_xlfn.SORTBY(TRANSPOSE(_xlfn.XLOOKUP(G$45,'Fin. Data'!$A:$A,'Fin. Data'!$B:$J,,0)),$B$46:$B$54,-1)</f>
        <v>0.37414841690376133</v>
      </c>
      <c r="H46" s="129" cm="1">
        <f t="array" ref="H46:H54">_xlfn.SORTBY(TRANSPOSE(_xlfn.XLOOKUP(H$45,'Fin. Data'!$A:$A,'Fin. Data'!$B:$J,,0)),$B$46:$B$54,-1)</f>
        <v>2084</v>
      </c>
      <c r="I46" s="129" cm="1">
        <f t="array" ref="I46:I54">_xlfn.SORTBY(TRANSPOSE(_xlfn.XLOOKUP(I$45,'Fin. Data'!$A:$A,'Fin. Data'!$B:$J,,0)),$B$46:$B$54,-1)</f>
        <v>-2409</v>
      </c>
      <c r="J46" s="323"/>
      <c r="K46" s="124"/>
      <c r="L46" s="106">
        <f>J20</f>
        <v>2023</v>
      </c>
      <c r="M46" s="325">
        <f>L46-1</f>
        <v>2022</v>
      </c>
    </row>
    <row r="47" spans="1:19">
      <c r="B47" s="488">
        <f t="shared" si="0"/>
        <v>2016</v>
      </c>
      <c r="C47" s="129">
        <v>60906</v>
      </c>
      <c r="D47" s="104">
        <v>8.97612714675073E-2</v>
      </c>
      <c r="E47" s="129">
        <v>-5321</v>
      </c>
      <c r="F47" s="128">
        <f>Inputs!I77</f>
        <v>767</v>
      </c>
      <c r="G47" s="105">
        <v>0.39812269361270031</v>
      </c>
      <c r="H47" s="129">
        <v>2224</v>
      </c>
      <c r="I47" s="129">
        <v>-3512</v>
      </c>
      <c r="J47" s="1065" t="s">
        <v>65</v>
      </c>
      <c r="K47" s="1066"/>
      <c r="L47" s="48">
        <f>_xlfn.XLOOKUP($J47,'Fin. Data'!$A:$A,'Fin. Data'!B:B,,0)</f>
        <v>6708</v>
      </c>
      <c r="M47" s="363">
        <f>_xlfn.XLOOKUP($J47,'Fin. Data'!$A:$A,'Fin. Data'!C:C,,0)</f>
        <v>11548</v>
      </c>
      <c r="N47" s="19">
        <f t="shared" ref="N47:N55" si="1">(C47/C46)-1</f>
        <v>4.3572126175830617E-2</v>
      </c>
      <c r="O47" s="19">
        <f t="shared" ref="O47:O55" si="2">(D47/D46)-1</f>
        <v>-0.31680528343008241</v>
      </c>
      <c r="P47" s="18"/>
      <c r="Q47" s="17"/>
      <c r="R47" s="17"/>
      <c r="S47" s="17"/>
    </row>
    <row r="48" spans="1:19">
      <c r="B48" s="488">
        <f t="shared" si="0"/>
        <v>2017</v>
      </c>
      <c r="C48" s="129">
        <v>65872</v>
      </c>
      <c r="D48" s="104">
        <v>0.11429742530969152</v>
      </c>
      <c r="E48" s="129">
        <v>-4584</v>
      </c>
      <c r="F48" s="128">
        <f>Inputs!H77</f>
        <v>-209</v>
      </c>
      <c r="G48" s="105">
        <v>0.5349646499130013</v>
      </c>
      <c r="H48" s="129">
        <v>2282</v>
      </c>
      <c r="I48" s="129">
        <v>-5361</v>
      </c>
      <c r="J48" s="1065" t="s">
        <v>128</v>
      </c>
      <c r="K48" s="1066"/>
      <c r="L48" s="48">
        <f>_xlfn.XLOOKUP($J48,'Fin. Data'!$A:$A,'Fin. Data'!B:B,,0)</f>
        <v>10238</v>
      </c>
      <c r="M48" s="363">
        <f>_xlfn.XLOOKUP($J48,'Fin. Data'!$A:$A,'Fin. Data'!C:C,,0)</f>
        <v>14104</v>
      </c>
      <c r="N48" s="19">
        <f t="shared" si="1"/>
        <v>8.1535480905001068E-2</v>
      </c>
      <c r="O48" s="19">
        <f t="shared" si="2"/>
        <v>0.27334900053266353</v>
      </c>
      <c r="P48" s="18"/>
      <c r="Q48" s="17">
        <f t="shared" ref="Q48:Q54" si="3">F48/F47-1</f>
        <v>-1.272490221642764</v>
      </c>
      <c r="R48" s="17">
        <f t="shared" ref="R48:S54" si="4">H48/H47-1</f>
        <v>2.6079136690647431E-2</v>
      </c>
      <c r="S48" s="17">
        <f t="shared" si="4"/>
        <v>0.52648063781321186</v>
      </c>
    </row>
    <row r="49" spans="2:19">
      <c r="B49" s="488">
        <f t="shared" si="0"/>
        <v>2018</v>
      </c>
      <c r="C49" s="129">
        <v>71861</v>
      </c>
      <c r="D49" s="104">
        <v>9.7744256272526128E-2</v>
      </c>
      <c r="E49" s="129">
        <v>-4022</v>
      </c>
      <c r="F49" s="128">
        <f>Inputs!G77</f>
        <v>689</v>
      </c>
      <c r="G49" s="105">
        <v>0.45457453614843252</v>
      </c>
      <c r="H49" s="129">
        <v>2207</v>
      </c>
      <c r="I49" s="129">
        <v>-6240</v>
      </c>
      <c r="J49" s="1065" t="s">
        <v>129</v>
      </c>
      <c r="K49" s="1066"/>
      <c r="L49" s="48">
        <f>_xlfn.XLOOKUP($J49,'Fin. Data'!$A:$A,'Fin. Data'!B:B,,0)</f>
        <v>-7133</v>
      </c>
      <c r="M49" s="363">
        <f>_xlfn.XLOOKUP($J49,'Fin. Data'!$A:$A,'Fin. Data'!C:C,,0)</f>
        <v>-7472</v>
      </c>
      <c r="N49" s="19">
        <f t="shared" si="1"/>
        <v>9.0918751518095808E-2</v>
      </c>
      <c r="O49" s="19">
        <f t="shared" si="2"/>
        <v>-0.14482538860621041</v>
      </c>
      <c r="P49" s="18"/>
      <c r="Q49" s="17">
        <f t="shared" si="3"/>
        <v>-4.2966507177033488</v>
      </c>
      <c r="R49" s="17">
        <f t="shared" si="4"/>
        <v>-3.2865907099035918E-2</v>
      </c>
      <c r="S49" s="17">
        <f t="shared" si="4"/>
        <v>0.16396194739787351</v>
      </c>
    </row>
    <row r="50" spans="2:19">
      <c r="B50" s="488">
        <f t="shared" si="0"/>
        <v>2019</v>
      </c>
      <c r="C50" s="129">
        <v>74094</v>
      </c>
      <c r="D50" s="104">
        <v>0.10524468917861095</v>
      </c>
      <c r="E50" s="129">
        <v>-4198</v>
      </c>
      <c r="F50" s="128">
        <f>Inputs!F77</f>
        <v>851</v>
      </c>
      <c r="G50" s="105">
        <v>0.48683823910676322</v>
      </c>
      <c r="H50" s="129">
        <v>2360</v>
      </c>
      <c r="I50" s="129">
        <v>-6386</v>
      </c>
      <c r="J50" s="995" t="s">
        <v>130</v>
      </c>
      <c r="K50" s="996"/>
      <c r="L50" s="48">
        <f>_xlfn.XLOOKUP($J50,'Fin. Data'!$A:$A,'Fin. Data'!B:B,,0)</f>
        <v>-5158</v>
      </c>
      <c r="M50" s="363">
        <f>_xlfn.XLOOKUP($J50,'Fin. Data'!$A:$A,'Fin. Data'!C:C,,0)</f>
        <v>-4769</v>
      </c>
      <c r="N50" s="19">
        <f t="shared" si="1"/>
        <v>3.1073878738119509E-2</v>
      </c>
      <c r="O50" s="19">
        <f t="shared" si="2"/>
        <v>7.6735280333736E-2</v>
      </c>
      <c r="P50" s="18"/>
      <c r="Q50" s="17">
        <f t="shared" si="3"/>
        <v>0.23512336719883886</v>
      </c>
      <c r="R50" s="17">
        <f t="shared" si="4"/>
        <v>6.9324875396465702E-2</v>
      </c>
      <c r="S50" s="17">
        <f t="shared" si="4"/>
        <v>2.3397435897435814E-2</v>
      </c>
    </row>
    <row r="51" spans="2:19">
      <c r="B51" s="488">
        <f t="shared" si="0"/>
        <v>2020</v>
      </c>
      <c r="C51" s="129">
        <v>84628</v>
      </c>
      <c r="D51" s="104">
        <v>9.0797372028170342E-2</v>
      </c>
      <c r="E51" s="129">
        <v>-3598</v>
      </c>
      <c r="F51" s="128">
        <f>Inputs!E77</f>
        <v>659</v>
      </c>
      <c r="G51" s="105">
        <v>0.44471862581720289</v>
      </c>
      <c r="H51" s="129">
        <v>2698</v>
      </c>
      <c r="I51" s="129">
        <v>-5432</v>
      </c>
      <c r="J51" s="995" t="s">
        <v>131</v>
      </c>
      <c r="K51" s="996"/>
      <c r="L51" s="48">
        <f>_xlfn.XLOOKUP($J51,'Fin. Data'!$A:$A,'Fin. Data'!B:B,,0)</f>
        <v>-1329</v>
      </c>
      <c r="M51" s="363">
        <f>_xlfn.XLOOKUP($J51,'Fin. Data'!$A:$A,'Fin. Data'!C:C,,0)</f>
        <v>-755</v>
      </c>
      <c r="N51" s="19">
        <f t="shared" si="1"/>
        <v>0.14217075606661811</v>
      </c>
      <c r="O51" s="19">
        <f t="shared" si="2"/>
        <v>-0.13727359796675387</v>
      </c>
      <c r="P51" s="18"/>
      <c r="Q51" s="17">
        <f t="shared" si="3"/>
        <v>-0.22561692126909516</v>
      </c>
      <c r="R51" s="17">
        <f t="shared" si="4"/>
        <v>0.14322033898305087</v>
      </c>
      <c r="S51" s="17">
        <f t="shared" si="4"/>
        <v>-0.14938928906984028</v>
      </c>
    </row>
    <row r="52" spans="2:19">
      <c r="B52" s="488">
        <f t="shared" si="0"/>
        <v>2021</v>
      </c>
      <c r="C52" s="129">
        <v>97287</v>
      </c>
      <c r="D52" s="104">
        <v>0.13167226864843196</v>
      </c>
      <c r="E52" s="129">
        <v>-3937</v>
      </c>
      <c r="F52" s="128">
        <f>Inputs!D77</f>
        <v>4366</v>
      </c>
      <c r="G52" s="105">
        <v>0.36781211728261654</v>
      </c>
      <c r="H52" s="129">
        <v>2953</v>
      </c>
      <c r="I52" s="129">
        <v>-4796</v>
      </c>
      <c r="J52" s="1065" t="s">
        <v>132</v>
      </c>
      <c r="K52" s="1066"/>
      <c r="L52" s="48">
        <f>_xlfn.XLOOKUP($J52,'Fin. Data'!$A:$A,'Fin. Data'!B:B,,0)</f>
        <v>-5534</v>
      </c>
      <c r="M52" s="363">
        <f>_xlfn.XLOOKUP($J52,'Fin. Data'!$A:$A,'Fin. Data'!C:C,,0)</f>
        <v>-11185</v>
      </c>
      <c r="N52" s="19">
        <f t="shared" si="1"/>
        <v>0.14958406201257257</v>
      </c>
      <c r="O52" s="19">
        <f t="shared" si="2"/>
        <v>0.45017708890935704</v>
      </c>
      <c r="P52" s="18"/>
      <c r="Q52" s="17">
        <f t="shared" si="3"/>
        <v>5.6251896813353568</v>
      </c>
      <c r="R52" s="17">
        <f t="shared" si="4"/>
        <v>9.4514455151964327E-2</v>
      </c>
      <c r="S52" s="17">
        <f t="shared" si="4"/>
        <v>-0.11708394698085423</v>
      </c>
    </row>
    <row r="53" spans="2:19">
      <c r="B53" s="488">
        <f>B54-1</f>
        <v>2022</v>
      </c>
      <c r="C53" s="129">
        <v>100338</v>
      </c>
      <c r="D53" s="104">
        <v>0.13049891367178934</v>
      </c>
      <c r="E53" s="837">
        <v>-8614</v>
      </c>
      <c r="F53" s="128">
        <f>Inputs!C$77</f>
        <v>-4553</v>
      </c>
      <c r="G53" s="105">
        <v>0.3292981272144424</v>
      </c>
      <c r="H53" s="129">
        <v>3188</v>
      </c>
      <c r="I53" s="129">
        <v>-5524</v>
      </c>
      <c r="J53" s="995" t="s">
        <v>133</v>
      </c>
      <c r="K53" s="996"/>
      <c r="L53" s="48">
        <f>_xlfn.XLOOKUP($J53,'Fin. Data'!$A:$A,'Fin. Data'!B:B,,0)</f>
        <v>-5372</v>
      </c>
      <c r="M53" s="363">
        <f>_xlfn.XLOOKUP($J53,'Fin. Data'!$A:$A,'Fin. Data'!C:C,,0)</f>
        <v>-5114</v>
      </c>
      <c r="N53" s="19">
        <f t="shared" si="1"/>
        <v>3.1360819020012975E-2</v>
      </c>
      <c r="O53" s="19">
        <f t="shared" si="2"/>
        <v>-8.9111776434527279E-3</v>
      </c>
      <c r="P53" s="18"/>
      <c r="Q53" s="17">
        <f t="shared" si="3"/>
        <v>-2.0428309665597801</v>
      </c>
      <c r="R53" s="17">
        <f t="shared" si="4"/>
        <v>7.9580088046054875E-2</v>
      </c>
      <c r="S53" s="17">
        <f t="shared" si="4"/>
        <v>0.15179316096747297</v>
      </c>
    </row>
    <row r="54" spans="2:19">
      <c r="B54" s="488">
        <f>J20</f>
        <v>2023</v>
      </c>
      <c r="C54" s="129">
        <v>90958</v>
      </c>
      <c r="D54" s="104">
        <v>0.10049693265023417</v>
      </c>
      <c r="E54" s="129">
        <v>-7622</v>
      </c>
      <c r="F54" s="128">
        <f>Inputs!B77</f>
        <v>-2429</v>
      </c>
      <c r="G54" s="105">
        <v>0.3772245508559493</v>
      </c>
      <c r="H54" s="129">
        <v>3366</v>
      </c>
      <c r="I54" s="129">
        <v>-6487</v>
      </c>
      <c r="J54" s="995" t="s">
        <v>134</v>
      </c>
      <c r="K54" s="996"/>
      <c r="L54" s="48">
        <f>_xlfn.XLOOKUP($J54,'Fin. Data'!$A:$A,'Fin. Data'!B:B,,0)</f>
        <v>-2250</v>
      </c>
      <c r="M54" s="363">
        <f>_xlfn.XLOOKUP($J54,'Fin. Data'!$A:$A,'Fin. Data'!C:C,,0)</f>
        <v>-3500</v>
      </c>
      <c r="N54" s="19">
        <f t="shared" si="1"/>
        <v>-9.3484023998883781E-2</v>
      </c>
      <c r="O54" s="19">
        <f t="shared" si="2"/>
        <v>-0.22990215149998494</v>
      </c>
      <c r="P54" s="18"/>
      <c r="Q54" s="17">
        <f t="shared" si="3"/>
        <v>-0.46650560070283331</v>
      </c>
      <c r="R54" s="17">
        <f t="shared" si="4"/>
        <v>5.5834378920953665E-2</v>
      </c>
      <c r="S54" s="17">
        <f t="shared" si="4"/>
        <v>0.17433019551049966</v>
      </c>
    </row>
    <row r="55" spans="2:19">
      <c r="B55" s="489" t="s">
        <v>135</v>
      </c>
      <c r="C55" s="107">
        <f>IFERROR((C54/C46)^(1/8)-1,"")</f>
        <v>5.7031456656406965E-2</v>
      </c>
      <c r="D55" s="107">
        <f>IFERROR((D54/D46)^(1/8)-1,"")</f>
        <v>-3.2945302804420762E-2</v>
      </c>
      <c r="E55" s="123"/>
      <c r="F55" s="107" t="str">
        <f>IFERROR((F54/F46)^(1/8)-1,"")</f>
        <v/>
      </c>
      <c r="G55" s="123"/>
      <c r="H55" s="107">
        <f>IFERROR((H54/H46)^(1/8)-1,"")</f>
        <v>6.1761685975137759E-2</v>
      </c>
      <c r="I55" s="123"/>
      <c r="J55" s="1065" t="s">
        <v>136</v>
      </c>
      <c r="K55" s="1066"/>
      <c r="L55" s="48">
        <f>_xlfn.XLOOKUP($J55,'Fin. Data'!$A:$A,'Fin. Data'!B:B,,0)</f>
        <v>0</v>
      </c>
      <c r="M55" s="363">
        <f>_xlfn.XLOOKUP($J55,'Fin. Data'!$A:$A,'Fin. Data'!C:C,,0)</f>
        <v>0</v>
      </c>
      <c r="N55" s="19">
        <f t="shared" si="1"/>
        <v>-0.99999937299130748</v>
      </c>
      <c r="O55" s="19">
        <f t="shared" si="2"/>
        <v>-1.3278239637331259</v>
      </c>
      <c r="P55" s="18"/>
      <c r="Q55" s="17"/>
      <c r="R55" s="17"/>
      <c r="S55" s="17"/>
    </row>
    <row r="56" spans="2:19">
      <c r="B56" s="489" t="s">
        <v>137</v>
      </c>
      <c r="C56" s="107">
        <f>IFERROR(AVERAGE(N47:N54),"")</f>
        <v>5.959148130467086E-2</v>
      </c>
      <c r="D56" s="107">
        <f>IFERROR(AVERAGE(O47:O54),"")</f>
        <v>-4.6820286713409737E-3</v>
      </c>
      <c r="E56" s="123"/>
      <c r="F56" s="107">
        <f>IFERROR(AVERAGE(Q47:Q54),"")</f>
        <v>-0.34911162562051795</v>
      </c>
      <c r="G56" s="123"/>
      <c r="H56" s="107">
        <f>IFERROR(AVERAGE(S47:S54),"")</f>
        <v>0.11049859164797134</v>
      </c>
      <c r="I56" s="123"/>
      <c r="J56" s="1069" t="s">
        <v>138</v>
      </c>
      <c r="K56" s="1070"/>
      <c r="L56" s="132">
        <f>L48-L49+L52-L53-L54</f>
        <v>19459</v>
      </c>
      <c r="M56" s="326">
        <f>M48-M49+M52-M53-M54</f>
        <v>19005</v>
      </c>
    </row>
    <row r="57" spans="2:19">
      <c r="B57" s="489" t="s">
        <v>139</v>
      </c>
      <c r="C57" s="107">
        <f>IFERROR(STDEV(C47:C54)/AVERAGE(C47:C54),"")</f>
        <v>0.18219326181654436</v>
      </c>
      <c r="D57" s="107">
        <f>IFERROR(STDEV(D46:D54)/AVERAGE(D46:D54),"")</f>
        <v>0.15737821648110309</v>
      </c>
      <c r="E57" s="123"/>
      <c r="F57" s="107">
        <f>IFERROR(STDEV(F46:F54)/AVERAGE(F46:F54),"")</f>
        <v>31.698807561550204</v>
      </c>
      <c r="G57" s="123"/>
      <c r="H57" s="107">
        <f>IFERROR(STDEV(H46:H54)/AVERAGE(H46:H54),"")</f>
        <v>0.18209298557333073</v>
      </c>
      <c r="I57" s="123"/>
      <c r="J57" s="991" t="s">
        <v>140</v>
      </c>
      <c r="K57" s="992"/>
      <c r="L57" s="321">
        <f>IFERROR(SUM(I51:I54)/(C54-C50),"")</f>
        <v>-1.3187262808349147</v>
      </c>
      <c r="M57" s="362">
        <f>IFERROR((SUM(I51:I54)-SUM(H51:H54))/(C54-C50),"")</f>
        <v>-2.0424573055028463</v>
      </c>
    </row>
    <row r="58" spans="2:19">
      <c r="B58" s="489" t="s">
        <v>141</v>
      </c>
      <c r="C58" s="107">
        <f>IFERROR(C54/C53-1,"")</f>
        <v>-9.3484023998883781E-2</v>
      </c>
      <c r="D58" s="107">
        <f>IFERROR(D54/D53-1,"")</f>
        <v>-0.22990215149998494</v>
      </c>
      <c r="E58" s="123"/>
      <c r="F58" s="107">
        <f>IFERROR(1-(F54/F53),"")</f>
        <v>0.46650560070283331</v>
      </c>
      <c r="G58" s="123"/>
      <c r="H58" s="107">
        <f>IFERROR(1-(H54/H53),"")</f>
        <v>-5.5834378920953665E-2</v>
      </c>
      <c r="I58" s="123"/>
      <c r="J58" s="993" t="s">
        <v>142</v>
      </c>
      <c r="K58" s="994"/>
      <c r="L58" s="322">
        <f>IFERROR(L57/E27,"")</f>
        <v>-10.105355398358229</v>
      </c>
      <c r="M58" s="327">
        <f>IFERROR(M57/E27,"")</f>
        <v>-15.651282042405271</v>
      </c>
    </row>
    <row r="59" spans="2:19" ht="17.45">
      <c r="B59" s="979" t="s">
        <v>143</v>
      </c>
      <c r="C59" s="980"/>
      <c r="D59" s="980"/>
      <c r="E59" s="980"/>
      <c r="F59" s="980"/>
      <c r="G59" s="980"/>
      <c r="H59" s="980"/>
      <c r="I59" s="980"/>
      <c r="J59" s="980"/>
      <c r="K59" s="980"/>
      <c r="L59" s="980"/>
      <c r="M59" s="981"/>
    </row>
    <row r="60" spans="2:19" ht="15.6">
      <c r="B60" s="976" t="s">
        <v>144</v>
      </c>
      <c r="C60" s="977"/>
      <c r="D60" s="977"/>
      <c r="E60" s="977"/>
      <c r="F60" s="977"/>
      <c r="G60" s="977"/>
      <c r="H60" s="977"/>
      <c r="I60" s="978"/>
      <c r="J60" s="1067" t="s">
        <v>145</v>
      </c>
      <c r="K60" s="1067"/>
      <c r="L60" s="1067"/>
      <c r="M60" s="1068"/>
    </row>
    <row r="61" spans="2:19">
      <c r="B61" s="985" t="s">
        <v>146</v>
      </c>
      <c r="C61" s="986"/>
      <c r="D61" s="986"/>
      <c r="E61" s="953" t="s">
        <v>147</v>
      </c>
      <c r="F61" s="954"/>
      <c r="G61" s="954"/>
      <c r="H61" s="954"/>
      <c r="I61" s="955"/>
      <c r="J61" s="940" t="s">
        <v>148</v>
      </c>
      <c r="K61" s="940"/>
      <c r="L61" s="940"/>
      <c r="M61" s="324" t="s">
        <v>149</v>
      </c>
    </row>
    <row r="62" spans="2:19" ht="15" customHeight="1">
      <c r="B62" s="960" t="s">
        <v>150</v>
      </c>
      <c r="C62" s="961"/>
      <c r="D62" s="962"/>
      <c r="E62" s="934" t="s">
        <v>151</v>
      </c>
      <c r="F62" s="934"/>
      <c r="G62" s="934"/>
      <c r="H62" s="934"/>
      <c r="I62" s="935"/>
      <c r="J62" s="921" t="s">
        <v>152</v>
      </c>
      <c r="K62" s="922"/>
      <c r="L62" s="922"/>
      <c r="M62" s="919">
        <v>8.7300000000000003E-2</v>
      </c>
    </row>
    <row r="63" spans="2:19" ht="15" customHeight="1">
      <c r="B63" s="963"/>
      <c r="C63" s="964"/>
      <c r="D63" s="965"/>
      <c r="E63" s="936"/>
      <c r="F63" s="936"/>
      <c r="G63" s="936"/>
      <c r="H63" s="936"/>
      <c r="I63" s="937"/>
      <c r="J63" s="923"/>
      <c r="K63" s="924"/>
      <c r="L63" s="924"/>
      <c r="M63" s="920"/>
    </row>
    <row r="64" spans="2:19" ht="15" customHeight="1">
      <c r="B64" s="963"/>
      <c r="C64" s="964"/>
      <c r="D64" s="965"/>
      <c r="E64" s="936"/>
      <c r="F64" s="936"/>
      <c r="G64" s="936"/>
      <c r="H64" s="936"/>
      <c r="I64" s="937"/>
      <c r="J64" s="921" t="s">
        <v>153</v>
      </c>
      <c r="K64" s="922"/>
      <c r="L64" s="922"/>
      <c r="M64" s="919">
        <v>7.5600000000000001E-2</v>
      </c>
    </row>
    <row r="65" spans="2:13" ht="15" customHeight="1">
      <c r="B65" s="963"/>
      <c r="C65" s="964"/>
      <c r="D65" s="965"/>
      <c r="E65" s="936"/>
      <c r="F65" s="936"/>
      <c r="G65" s="936"/>
      <c r="H65" s="936"/>
      <c r="I65" s="937"/>
      <c r="J65" s="923"/>
      <c r="K65" s="924"/>
      <c r="L65" s="924"/>
      <c r="M65" s="920"/>
    </row>
    <row r="66" spans="2:13">
      <c r="B66" s="963"/>
      <c r="C66" s="964"/>
      <c r="D66" s="965"/>
      <c r="E66" s="936"/>
      <c r="F66" s="936"/>
      <c r="G66" s="936"/>
      <c r="H66" s="936"/>
      <c r="I66" s="937"/>
      <c r="J66" s="921" t="s">
        <v>154</v>
      </c>
      <c r="K66" s="922"/>
      <c r="L66" s="922"/>
      <c r="M66" s="919">
        <v>3.9600000000000003E-2</v>
      </c>
    </row>
    <row r="67" spans="2:13">
      <c r="B67" s="963"/>
      <c r="C67" s="964"/>
      <c r="D67" s="965"/>
      <c r="E67" s="936"/>
      <c r="F67" s="936"/>
      <c r="G67" s="936"/>
      <c r="H67" s="936"/>
      <c r="I67" s="937"/>
      <c r="J67" s="923"/>
      <c r="K67" s="924"/>
      <c r="L67" s="924"/>
      <c r="M67" s="920"/>
    </row>
    <row r="68" spans="2:13">
      <c r="B68" s="963"/>
      <c r="C68" s="964"/>
      <c r="D68" s="965"/>
      <c r="E68" s="936"/>
      <c r="F68" s="936"/>
      <c r="G68" s="936"/>
      <c r="H68" s="936"/>
      <c r="I68" s="937"/>
      <c r="J68" s="921" t="s">
        <v>155</v>
      </c>
      <c r="K68" s="922"/>
      <c r="L68" s="922"/>
      <c r="M68" s="919">
        <v>3.2399999999999998E-2</v>
      </c>
    </row>
    <row r="69" spans="2:13">
      <c r="B69" s="963"/>
      <c r="C69" s="964"/>
      <c r="D69" s="965"/>
      <c r="E69" s="936"/>
      <c r="F69" s="936"/>
      <c r="G69" s="936"/>
      <c r="H69" s="936"/>
      <c r="I69" s="937"/>
      <c r="J69" s="923"/>
      <c r="K69" s="924"/>
      <c r="L69" s="924"/>
      <c r="M69" s="920"/>
    </row>
    <row r="70" spans="2:13">
      <c r="B70" s="963"/>
      <c r="C70" s="964"/>
      <c r="D70" s="965"/>
      <c r="E70" s="936"/>
      <c r="F70" s="936"/>
      <c r="G70" s="936"/>
      <c r="H70" s="936"/>
      <c r="I70" s="937"/>
      <c r="J70" s="921" t="s">
        <v>156</v>
      </c>
      <c r="K70" s="922"/>
      <c r="L70" s="922"/>
      <c r="M70" s="919">
        <v>2.81E-2</v>
      </c>
    </row>
    <row r="71" spans="2:13">
      <c r="B71" s="966"/>
      <c r="C71" s="967"/>
      <c r="D71" s="968"/>
      <c r="E71" s="938"/>
      <c r="F71" s="938"/>
      <c r="G71" s="938"/>
      <c r="H71" s="938"/>
      <c r="I71" s="939"/>
      <c r="J71" s="923"/>
      <c r="K71" s="924"/>
      <c r="L71" s="924"/>
      <c r="M71" s="920"/>
    </row>
    <row r="72" spans="2:13">
      <c r="B72" s="958" t="s">
        <v>157</v>
      </c>
      <c r="C72" s="959"/>
      <c r="D72" s="959"/>
      <c r="E72" s="941" t="s">
        <v>158</v>
      </c>
      <c r="F72" s="942"/>
      <c r="G72" s="942"/>
      <c r="H72" s="942"/>
      <c r="I72" s="943"/>
      <c r="J72" s="921" t="s">
        <v>159</v>
      </c>
      <c r="K72" s="922"/>
      <c r="L72" s="922"/>
      <c r="M72" s="919">
        <v>2.6100000000000002E-2</v>
      </c>
    </row>
    <row r="73" spans="2:13" ht="15" customHeight="1">
      <c r="B73" s="944" t="s">
        <v>160</v>
      </c>
      <c r="C73" s="945"/>
      <c r="D73" s="946"/>
      <c r="E73" s="925" t="s">
        <v>161</v>
      </c>
      <c r="F73" s="926"/>
      <c r="G73" s="926"/>
      <c r="H73" s="926"/>
      <c r="I73" s="927"/>
      <c r="J73" s="923"/>
      <c r="K73" s="924"/>
      <c r="L73" s="924"/>
      <c r="M73" s="920"/>
    </row>
    <row r="74" spans="2:13" ht="15" customHeight="1">
      <c r="B74" s="947"/>
      <c r="C74" s="948"/>
      <c r="D74" s="949"/>
      <c r="E74" s="928"/>
      <c r="F74" s="929"/>
      <c r="G74" s="929"/>
      <c r="H74" s="929"/>
      <c r="I74" s="930"/>
      <c r="J74" s="921" t="s">
        <v>162</v>
      </c>
      <c r="K74" s="922"/>
      <c r="L74" s="922"/>
      <c r="M74" s="919">
        <v>2.0400000000000001E-2</v>
      </c>
    </row>
    <row r="75" spans="2:13" ht="15" customHeight="1">
      <c r="B75" s="947"/>
      <c r="C75" s="948"/>
      <c r="D75" s="949"/>
      <c r="E75" s="928"/>
      <c r="F75" s="929"/>
      <c r="G75" s="929"/>
      <c r="H75" s="929"/>
      <c r="I75" s="930"/>
      <c r="J75" s="923"/>
      <c r="K75" s="924"/>
      <c r="L75" s="924"/>
      <c r="M75" s="920"/>
    </row>
    <row r="76" spans="2:13" ht="15" customHeight="1">
      <c r="B76" s="947"/>
      <c r="C76" s="948"/>
      <c r="D76" s="949"/>
      <c r="E76" s="928"/>
      <c r="F76" s="929"/>
      <c r="G76" s="929"/>
      <c r="H76" s="929"/>
      <c r="I76" s="930"/>
      <c r="J76" s="921" t="s">
        <v>163</v>
      </c>
      <c r="K76" s="922"/>
      <c r="L76" s="922"/>
      <c r="M76" s="919">
        <v>1.72E-2</v>
      </c>
    </row>
    <row r="77" spans="2:13" ht="13.15" customHeight="1">
      <c r="B77" s="947"/>
      <c r="C77" s="948"/>
      <c r="D77" s="949"/>
      <c r="E77" s="928"/>
      <c r="F77" s="929"/>
      <c r="G77" s="929"/>
      <c r="H77" s="929"/>
      <c r="I77" s="930"/>
      <c r="J77" s="923"/>
      <c r="K77" s="924"/>
      <c r="L77" s="924"/>
      <c r="M77" s="920"/>
    </row>
    <row r="78" spans="2:13" ht="13.15" customHeight="1">
      <c r="B78" s="947"/>
      <c r="C78" s="948"/>
      <c r="D78" s="949"/>
      <c r="E78" s="928"/>
      <c r="F78" s="929"/>
      <c r="G78" s="929"/>
      <c r="H78" s="929"/>
      <c r="I78" s="930"/>
      <c r="J78" s="921" t="s">
        <v>164</v>
      </c>
      <c r="K78" s="922"/>
      <c r="L78" s="922"/>
      <c r="M78" s="919">
        <v>1.44E-2</v>
      </c>
    </row>
    <row r="79" spans="2:13" ht="13.15" customHeight="1">
      <c r="B79" s="947"/>
      <c r="C79" s="948"/>
      <c r="D79" s="949"/>
      <c r="E79" s="928"/>
      <c r="F79" s="929"/>
      <c r="G79" s="929"/>
      <c r="H79" s="929"/>
      <c r="I79" s="930"/>
      <c r="J79" s="923"/>
      <c r="K79" s="924"/>
      <c r="L79" s="924"/>
      <c r="M79" s="920"/>
    </row>
    <row r="80" spans="2:13" ht="21.6" customHeight="1">
      <c r="B80" s="947"/>
      <c r="C80" s="948"/>
      <c r="D80" s="949"/>
      <c r="E80" s="928"/>
      <c r="F80" s="929"/>
      <c r="G80" s="929"/>
      <c r="H80" s="929"/>
      <c r="I80" s="930"/>
      <c r="J80" s="956" t="s">
        <v>165</v>
      </c>
      <c r="K80" s="957"/>
      <c r="L80" s="957"/>
      <c r="M80" s="884">
        <v>1.4E-2</v>
      </c>
    </row>
    <row r="81" spans="2:13" ht="21.6" customHeight="1">
      <c r="B81" s="950"/>
      <c r="C81" s="951"/>
      <c r="D81" s="952"/>
      <c r="E81" s="931"/>
      <c r="F81" s="932"/>
      <c r="G81" s="932"/>
      <c r="H81" s="932"/>
      <c r="I81" s="933"/>
      <c r="J81" s="921" t="s">
        <v>166</v>
      </c>
      <c r="K81" s="975"/>
      <c r="L81" s="975"/>
      <c r="M81" s="884">
        <f>SUM(M62:M80)</f>
        <v>0.35510000000000003</v>
      </c>
    </row>
    <row r="82" spans="2:13" ht="15.6">
      <c r="G82" s="1002" t="s">
        <v>167</v>
      </c>
      <c r="H82" s="1003"/>
      <c r="I82" s="1003"/>
      <c r="J82" s="977"/>
      <c r="K82" s="977"/>
      <c r="L82" s="977"/>
      <c r="M82" s="1004"/>
    </row>
    <row r="83" spans="2:13" s="10" customFormat="1">
      <c r="B83"/>
      <c r="C83"/>
      <c r="D83"/>
      <c r="E83"/>
      <c r="F83"/>
      <c r="G83" s="839"/>
      <c r="H83"/>
      <c r="I83"/>
      <c r="J83"/>
      <c r="K83"/>
      <c r="L83"/>
      <c r="M83" s="840"/>
    </row>
    <row r="84" spans="2:13">
      <c r="G84" s="839"/>
      <c r="M84" s="840"/>
    </row>
    <row r="85" spans="2:13">
      <c r="G85" s="839"/>
      <c r="M85" s="840"/>
    </row>
    <row r="86" spans="2:13">
      <c r="E86" s="885"/>
      <c r="G86" s="839"/>
      <c r="M86" s="840"/>
    </row>
    <row r="87" spans="2:13">
      <c r="G87" s="839"/>
      <c r="M87" s="840"/>
    </row>
    <row r="88" spans="2:13">
      <c r="G88" s="839"/>
      <c r="M88" s="840"/>
    </row>
    <row r="89" spans="2:13">
      <c r="G89" s="839"/>
      <c r="M89" s="840"/>
    </row>
    <row r="90" spans="2:13">
      <c r="G90" s="839"/>
      <c r="M90" s="840"/>
    </row>
    <row r="91" spans="2:13">
      <c r="G91" s="839"/>
      <c r="M91" s="840"/>
    </row>
    <row r="92" spans="2:13">
      <c r="G92" s="839"/>
      <c r="M92" s="840"/>
    </row>
    <row r="93" spans="2:13">
      <c r="G93" s="839"/>
      <c r="M93" s="840"/>
    </row>
    <row r="94" spans="2:13">
      <c r="G94" s="839"/>
      <c r="M94" s="840"/>
    </row>
    <row r="95" spans="2:13">
      <c r="G95" s="839"/>
      <c r="M95" s="840"/>
    </row>
    <row r="96" spans="2:13">
      <c r="G96" s="839"/>
      <c r="M96" s="840"/>
    </row>
    <row r="97" spans="7:13">
      <c r="G97" s="839"/>
      <c r="M97" s="840"/>
    </row>
    <row r="98" spans="7:13">
      <c r="G98" s="839"/>
      <c r="M98" s="840"/>
    </row>
    <row r="99" spans="7:13">
      <c r="G99" s="839"/>
      <c r="M99" s="840"/>
    </row>
    <row r="100" spans="7:13">
      <c r="G100" s="839"/>
      <c r="M100" s="840"/>
    </row>
    <row r="101" spans="7:13">
      <c r="G101" s="839"/>
      <c r="M101" s="840"/>
    </row>
    <row r="102" spans="7:13">
      <c r="G102" s="839"/>
      <c r="M102" s="840"/>
    </row>
    <row r="103" spans="7:13">
      <c r="G103" s="839"/>
      <c r="M103" s="840"/>
    </row>
    <row r="104" spans="7:13">
      <c r="G104" s="839"/>
      <c r="M104" s="840"/>
    </row>
    <row r="105" spans="7:13">
      <c r="G105" s="839"/>
      <c r="M105" s="840"/>
    </row>
    <row r="106" spans="7:13" ht="13.9" thickBot="1">
      <c r="G106" s="839"/>
      <c r="M106" s="840"/>
    </row>
    <row r="107" spans="7:13" ht="50.25" customHeight="1" thickBot="1">
      <c r="G107" s="1000" t="str">
        <f>E2</f>
        <v>UNITED PARCEL SERVICE, INC. (XNYS:UPS)</v>
      </c>
      <c r="H107" s="1001"/>
      <c r="I107" s="973" t="e" vm="8">
        <f>Peers!C2</f>
        <v>#VALUE!</v>
      </c>
      <c r="J107" s="974"/>
      <c r="K107" s="971" t="e" vm="9">
        <f>Peers!C3</f>
        <v>#VALUE!</v>
      </c>
      <c r="L107" s="972"/>
      <c r="M107" s="841" t="e" vm="10">
        <f>Peers!C4</f>
        <v>#VALUE!</v>
      </c>
    </row>
  </sheetData>
  <mergeCells count="135">
    <mergeCell ref="E2:K2"/>
    <mergeCell ref="F20:G20"/>
    <mergeCell ref="D4:G17"/>
    <mergeCell ref="D3:G3"/>
    <mergeCell ref="H3:M3"/>
    <mergeCell ref="L10:M10"/>
    <mergeCell ref="L11:M11"/>
    <mergeCell ref="I24:J24"/>
    <mergeCell ref="I25:J25"/>
    <mergeCell ref="J21:K21"/>
    <mergeCell ref="I22:J22"/>
    <mergeCell ref="I23:J23"/>
    <mergeCell ref="L14:M14"/>
    <mergeCell ref="L15:M15"/>
    <mergeCell ref="L6:M6"/>
    <mergeCell ref="L7:M7"/>
    <mergeCell ref="F21:G23"/>
    <mergeCell ref="F24:G25"/>
    <mergeCell ref="H21:H23"/>
    <mergeCell ref="H24:H25"/>
    <mergeCell ref="F19:H19"/>
    <mergeCell ref="L16:M16"/>
    <mergeCell ref="L9:M9"/>
    <mergeCell ref="L17:M17"/>
    <mergeCell ref="L40:L43"/>
    <mergeCell ref="J51:K51"/>
    <mergeCell ref="J52:K52"/>
    <mergeCell ref="J60:M60"/>
    <mergeCell ref="J55:K55"/>
    <mergeCell ref="J56:K56"/>
    <mergeCell ref="F27:G28"/>
    <mergeCell ref="F29:G30"/>
    <mergeCell ref="F31:G32"/>
    <mergeCell ref="H27:H28"/>
    <mergeCell ref="H29:H30"/>
    <mergeCell ref="H31:H32"/>
    <mergeCell ref="C36:G36"/>
    <mergeCell ref="J47:K47"/>
    <mergeCell ref="J48:K48"/>
    <mergeCell ref="J49:K49"/>
    <mergeCell ref="J50:K50"/>
    <mergeCell ref="H40:H43"/>
    <mergeCell ref="C43:G43"/>
    <mergeCell ref="C42:G42"/>
    <mergeCell ref="B39:G39"/>
    <mergeCell ref="C40:G40"/>
    <mergeCell ref="I39:M39"/>
    <mergeCell ref="I40:I43"/>
    <mergeCell ref="J17:K17"/>
    <mergeCell ref="J12:K12"/>
    <mergeCell ref="J13:K13"/>
    <mergeCell ref="J14:K14"/>
    <mergeCell ref="J15:K15"/>
    <mergeCell ref="J16:K16"/>
    <mergeCell ref="L12:M12"/>
    <mergeCell ref="L13:M13"/>
    <mergeCell ref="J4:K4"/>
    <mergeCell ref="L4:M4"/>
    <mergeCell ref="J5:K5"/>
    <mergeCell ref="J10:K10"/>
    <mergeCell ref="J11:K11"/>
    <mergeCell ref="L5:M5"/>
    <mergeCell ref="L8:M8"/>
    <mergeCell ref="J6:K6"/>
    <mergeCell ref="J7:K7"/>
    <mergeCell ref="J8:K8"/>
    <mergeCell ref="J9:K9"/>
    <mergeCell ref="J20:K20"/>
    <mergeCell ref="H35:H38"/>
    <mergeCell ref="C37:G37"/>
    <mergeCell ref="C38:G38"/>
    <mergeCell ref="I26:J26"/>
    <mergeCell ref="I27:J27"/>
    <mergeCell ref="I28:J28"/>
    <mergeCell ref="B3:C16"/>
    <mergeCell ref="L19:M19"/>
    <mergeCell ref="B19:C19"/>
    <mergeCell ref="B29:C29"/>
    <mergeCell ref="B17:C17"/>
    <mergeCell ref="B33:M33"/>
    <mergeCell ref="B34:G34"/>
    <mergeCell ref="I19:K19"/>
    <mergeCell ref="I29:J29"/>
    <mergeCell ref="I30:J30"/>
    <mergeCell ref="I31:J31"/>
    <mergeCell ref="I34:M34"/>
    <mergeCell ref="C35:G35"/>
    <mergeCell ref="D19:E19"/>
    <mergeCell ref="B18:M18"/>
    <mergeCell ref="F26:G26"/>
    <mergeCell ref="I35:M38"/>
    <mergeCell ref="J40:K43"/>
    <mergeCell ref="J66:L67"/>
    <mergeCell ref="M66:M67"/>
    <mergeCell ref="J68:L69"/>
    <mergeCell ref="M68:M69"/>
    <mergeCell ref="J70:L71"/>
    <mergeCell ref="K107:L107"/>
    <mergeCell ref="I107:J107"/>
    <mergeCell ref="J81:L81"/>
    <mergeCell ref="B60:I60"/>
    <mergeCell ref="B59:M59"/>
    <mergeCell ref="C41:G41"/>
    <mergeCell ref="B61:D61"/>
    <mergeCell ref="J45:M45"/>
    <mergeCell ref="B44:M44"/>
    <mergeCell ref="J57:K57"/>
    <mergeCell ref="J58:K58"/>
    <mergeCell ref="J54:K54"/>
    <mergeCell ref="J53:K53"/>
    <mergeCell ref="J72:L73"/>
    <mergeCell ref="M70:M71"/>
    <mergeCell ref="M40:M43"/>
    <mergeCell ref="G107:H107"/>
    <mergeCell ref="G82:M82"/>
    <mergeCell ref="E73:I81"/>
    <mergeCell ref="E62:I71"/>
    <mergeCell ref="J61:L61"/>
    <mergeCell ref="E72:I72"/>
    <mergeCell ref="B73:D81"/>
    <mergeCell ref="E61:I61"/>
    <mergeCell ref="J80:L80"/>
    <mergeCell ref="B72:D72"/>
    <mergeCell ref="B62:D71"/>
    <mergeCell ref="M72:M73"/>
    <mergeCell ref="J74:L75"/>
    <mergeCell ref="M74:M75"/>
    <mergeCell ref="J76:L77"/>
    <mergeCell ref="M76:M77"/>
    <mergeCell ref="J78:L79"/>
    <mergeCell ref="M78:M79"/>
    <mergeCell ref="J62:L63"/>
    <mergeCell ref="M62:M63"/>
    <mergeCell ref="J64:L65"/>
    <mergeCell ref="M64:M65"/>
  </mergeCells>
  <phoneticPr fontId="0" type="noConversion"/>
  <conditionalFormatting sqref="C30">
    <cfRule type="expression" dxfId="33" priority="2">
      <formula>$C$7="Low"</formula>
    </cfRule>
  </conditionalFormatting>
  <conditionalFormatting sqref="C31">
    <cfRule type="expression" dxfId="32" priority="1">
      <formula>$C$9="Low"</formula>
    </cfRule>
  </conditionalFormatting>
  <conditionalFormatting sqref="C46:C54 D46:E46">
    <cfRule type="dataBar" priority="13">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6:D54">
    <cfRule type="dataBar" priority="12">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7:D54">
    <cfRule type="dataBar" priority="19">
      <dataBar>
        <cfvo type="min"/>
        <cfvo type="max"/>
        <color rgb="FF638EC6"/>
      </dataBar>
      <extLst>
        <ext xmlns:x14="http://schemas.microsoft.com/office/spreadsheetml/2009/9/main" uri="{B025F937-C7B1-47D3-B67F-A62EFF666E3E}">
          <x14:id>{8F05AC94-FB75-41DC-A030-BD50695363B2}</x14:id>
        </ext>
      </extLst>
    </cfRule>
    <cfRule type="dataBar" priority="21">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6:E54">
    <cfRule type="dataBar" priority="11">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7:E54">
    <cfRule type="dataBar" priority="14">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5:E58 G55:G58 I55:I58">
    <cfRule type="dataBar" priority="16">
      <dataBar>
        <cfvo type="min"/>
        <cfvo type="max"/>
        <color rgb="FF638EC6"/>
      </dataBar>
      <extLst>
        <ext xmlns:x14="http://schemas.microsoft.com/office/spreadsheetml/2009/9/main" uri="{B025F937-C7B1-47D3-B67F-A62EFF666E3E}">
          <x14:id>{4382A5A4-8938-4754-913D-04C8EB3E9944}</x14:id>
        </ext>
      </extLst>
    </cfRule>
    <cfRule type="dataBar" priority="17">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6:F54">
    <cfRule type="dataBar" priority="18">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6:G54">
    <cfRule type="dataBar" priority="20">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1 H24">
    <cfRule type="dataBar" priority="10">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7 H29 H31">
    <cfRule type="dataBar" priority="254">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6:H54">
    <cfRule type="dataBar" priority="23">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6:I54">
    <cfRule type="dataBar" priority="15">
      <dataBar>
        <cfvo type="min"/>
        <cfvo type="max"/>
        <color rgb="FF63C384"/>
      </dataBar>
      <extLst>
        <ext xmlns:x14="http://schemas.microsoft.com/office/spreadsheetml/2009/9/main" uri="{B025F937-C7B1-47D3-B67F-A62EFF666E3E}">
          <x14:id>{60823727-C433-4BFE-A422-F2DB16A0B39B}</x14:id>
        </ext>
      </extLst>
    </cfRule>
  </conditionalFormatting>
  <conditionalFormatting sqref="M40">
    <cfRule type="cellIs" dxfId="31" priority="3" operator="lessThan">
      <formula>0</formula>
    </cfRule>
    <cfRule type="cellIs" dxfId="30" priority="4" operator="greaterThan">
      <formula>0</formula>
    </cfRule>
  </conditionalFormatting>
  <printOptions horizontalCentered="1" verticalCentered="1"/>
  <pageMargins left="0" right="0" top="0.19685039370078741" bottom="0.19685039370078741" header="0" footer="0"/>
  <pageSetup paperSize="134" scale="49" orientation="landscape" r:id="rId1"/>
  <headerFooter alignWithMargins="0"/>
  <ignoredErrors>
    <ignoredError sqref="N47:S57"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C46:C54 D46:E46</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D46:D54</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D47:D54</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E46:E54</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E47:E54</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E55:E58 G55:G58 I55:I58</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F46:F54</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G46:G54</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H21 H24</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H27 H29 H31</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H46:H54</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I46:I54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A1:Y66"/>
  <sheetViews>
    <sheetView showGridLines="0" zoomScale="85" zoomScaleNormal="85" workbookViewId="0">
      <selection activeCell="Q21" sqref="Q21"/>
    </sheetView>
  </sheetViews>
  <sheetFormatPr defaultColWidth="11.42578125" defaultRowHeight="13.15"/>
  <cols>
    <col min="1" max="1" width="2.140625" customWidth="1"/>
    <col min="2" max="2" width="11" customWidth="1"/>
    <col min="3" max="3" width="42.7109375" customWidth="1"/>
    <col min="4" max="4" width="15.28515625" style="2" customWidth="1"/>
    <col min="5" max="9" width="15.28515625" customWidth="1"/>
    <col min="10" max="10" width="11.42578125" bestFit="1" customWidth="1"/>
    <col min="11" max="11" width="14.140625" customWidth="1"/>
    <col min="12" max="12" width="14.42578125" customWidth="1"/>
    <col min="17" max="17" width="23.42578125" customWidth="1"/>
  </cols>
  <sheetData>
    <row r="1" spans="2:25" ht="7.5" customHeight="1"/>
    <row r="2" spans="2:25" ht="21">
      <c r="B2" s="1174" t="str">
        <f>"Regions "&amp;"("&amp;OP!$J$20&amp;")"</f>
        <v>Regions (2023)</v>
      </c>
      <c r="C2" s="1174"/>
      <c r="D2" s="1174"/>
      <c r="E2" s="1174"/>
      <c r="F2" s="1174"/>
      <c r="G2" s="1174"/>
      <c r="H2" s="1174"/>
      <c r="I2" s="1174"/>
      <c r="J2" s="1174"/>
      <c r="K2" s="1174"/>
      <c r="L2" s="1174"/>
      <c r="M2" s="1174"/>
      <c r="N2" s="1174"/>
      <c r="O2" s="1174"/>
      <c r="P2" s="1174"/>
      <c r="Q2" s="1172" t="s">
        <v>168</v>
      </c>
      <c r="R2" s="1172"/>
      <c r="S2" s="1172"/>
      <c r="T2" s="1172"/>
      <c r="U2" s="1172"/>
      <c r="V2" s="1172"/>
      <c r="W2" s="1172"/>
      <c r="X2" s="1172"/>
      <c r="Y2" s="1172"/>
    </row>
    <row r="3" spans="2:25" ht="18" thickBot="1">
      <c r="B3" s="163"/>
      <c r="C3" s="164"/>
      <c r="D3" s="1176" t="s">
        <v>169</v>
      </c>
      <c r="E3" s="1176"/>
      <c r="F3" s="1176"/>
      <c r="G3" s="1176"/>
      <c r="H3" s="1176"/>
      <c r="I3" s="1176"/>
      <c r="J3" s="142"/>
      <c r="K3" s="1173" t="s">
        <v>170</v>
      </c>
      <c r="L3" s="1173"/>
      <c r="M3" s="1173"/>
      <c r="N3" s="1173"/>
      <c r="O3" s="1173"/>
      <c r="P3" s="1173"/>
      <c r="Q3" s="134"/>
      <c r="Y3" s="157"/>
    </row>
    <row r="4" spans="2:25" ht="13.9" thickBot="1">
      <c r="B4" s="148" t="s">
        <v>171</v>
      </c>
      <c r="C4" s="149" t="s">
        <v>172</v>
      </c>
      <c r="D4" s="150">
        <f>OP!J20</f>
        <v>2023</v>
      </c>
      <c r="E4" s="150">
        <f>D4-1</f>
        <v>2022</v>
      </c>
      <c r="F4" s="150">
        <f>E4-1</f>
        <v>2021</v>
      </c>
      <c r="G4" s="150">
        <f>F4-1</f>
        <v>2020</v>
      </c>
      <c r="H4" s="150">
        <f>G4-1</f>
        <v>2019</v>
      </c>
      <c r="I4" s="150">
        <f>H4-1</f>
        <v>2018</v>
      </c>
      <c r="J4" s="143"/>
      <c r="K4" s="150">
        <f>OP!J20</f>
        <v>2023</v>
      </c>
      <c r="L4" s="150">
        <f t="shared" ref="L4:P4" si="0">K4-1</f>
        <v>2022</v>
      </c>
      <c r="M4" s="150">
        <f t="shared" si="0"/>
        <v>2021</v>
      </c>
      <c r="N4" s="150">
        <f t="shared" si="0"/>
        <v>2020</v>
      </c>
      <c r="O4" s="150">
        <f t="shared" si="0"/>
        <v>2019</v>
      </c>
      <c r="P4" s="165">
        <f t="shared" si="0"/>
        <v>2018</v>
      </c>
      <c r="Q4" s="134"/>
      <c r="Y4" s="157"/>
    </row>
    <row r="5" spans="2:25">
      <c r="B5" s="146">
        <f>IFERROR(D5/$D$9,"")</f>
        <v>0.7888146177356582</v>
      </c>
      <c r="C5" s="147" t="s">
        <v>173</v>
      </c>
      <c r="D5" s="151">
        <v>71749</v>
      </c>
      <c r="E5" s="151">
        <v>78110</v>
      </c>
      <c r="F5" s="151">
        <v>74376</v>
      </c>
      <c r="G5" s="151">
        <v>66580</v>
      </c>
      <c r="H5" s="151">
        <v>58699</v>
      </c>
      <c r="I5" s="151">
        <v>56115</v>
      </c>
      <c r="J5" s="144"/>
      <c r="K5" s="264">
        <f t="shared" ref="K5:O5" si="1">(D5-E5)/E5</f>
        <v>-8.1436435795672765E-2</v>
      </c>
      <c r="L5" s="264">
        <f t="shared" si="1"/>
        <v>5.020436700010756E-2</v>
      </c>
      <c r="M5" s="264">
        <f t="shared" si="1"/>
        <v>0.11709221988585161</v>
      </c>
      <c r="N5" s="264">
        <f t="shared" si="1"/>
        <v>0.13426123102608223</v>
      </c>
      <c r="O5" s="264">
        <f t="shared" si="1"/>
        <v>4.6048293682616058E-2</v>
      </c>
      <c r="P5" s="264" t="s">
        <v>19</v>
      </c>
      <c r="Q5" s="134"/>
      <c r="Y5" s="157"/>
    </row>
    <row r="6" spans="2:25" ht="13.9" thickBot="1">
      <c r="B6" s="146">
        <f>IFERROR(D6/$D$9,"")</f>
        <v>0.21118538226434178</v>
      </c>
      <c r="C6" s="147" t="s">
        <v>174</v>
      </c>
      <c r="D6" s="151">
        <v>19209</v>
      </c>
      <c r="E6" s="151">
        <v>22228</v>
      </c>
      <c r="F6" s="151">
        <v>22911</v>
      </c>
      <c r="G6" s="151">
        <v>18048</v>
      </c>
      <c r="H6" s="151">
        <v>15395</v>
      </c>
      <c r="I6" s="151">
        <v>15746</v>
      </c>
      <c r="J6" s="144"/>
      <c r="K6" s="264">
        <f t="shared" ref="K6:O6" si="2">(D6-E6)/E6</f>
        <v>-0.13581968688141083</v>
      </c>
      <c r="L6" s="264">
        <f t="shared" si="2"/>
        <v>-2.9811007812840993E-2</v>
      </c>
      <c r="M6" s="264">
        <f t="shared" si="2"/>
        <v>0.26944813829787234</v>
      </c>
      <c r="N6" s="264">
        <f t="shared" si="2"/>
        <v>0.17232867814225397</v>
      </c>
      <c r="O6" s="264">
        <f t="shared" si="2"/>
        <v>-2.2291375587450781E-2</v>
      </c>
      <c r="P6" s="264" t="s">
        <v>19</v>
      </c>
      <c r="Q6" s="134"/>
      <c r="Y6" s="157"/>
    </row>
    <row r="7" spans="2:25" hidden="1">
      <c r="B7" s="137">
        <f>IFERROR(D7/$D$9,"")</f>
        <v>0</v>
      </c>
      <c r="C7" s="136"/>
      <c r="D7" s="140"/>
      <c r="E7" s="140"/>
      <c r="F7" s="140"/>
      <c r="G7" s="140"/>
      <c r="H7" s="140"/>
      <c r="I7" s="140"/>
      <c r="J7" s="144"/>
      <c r="K7" s="140"/>
      <c r="L7" s="140"/>
      <c r="M7" s="140"/>
      <c r="N7" s="140"/>
      <c r="O7" s="140"/>
      <c r="P7" s="166"/>
      <c r="Q7" s="134"/>
      <c r="Y7" s="157"/>
    </row>
    <row r="8" spans="2:25" hidden="1">
      <c r="B8" s="138">
        <f>IFERROR(D8/$D$9,"")</f>
        <v>0</v>
      </c>
      <c r="C8" s="152"/>
      <c r="D8" s="521"/>
      <c r="E8" s="521"/>
      <c r="F8" s="521"/>
      <c r="G8" s="521"/>
      <c r="H8" s="521"/>
      <c r="I8" s="521"/>
      <c r="J8" s="144"/>
      <c r="K8" s="141"/>
      <c r="L8" s="141"/>
      <c r="M8" s="141"/>
      <c r="N8" s="141"/>
      <c r="O8" s="141"/>
      <c r="P8" s="167"/>
      <c r="Q8" s="134"/>
      <c r="Y8" s="157"/>
    </row>
    <row r="9" spans="2:25" ht="13.9" thickBot="1">
      <c r="B9" s="139">
        <f>SUM(B5:B8)</f>
        <v>1</v>
      </c>
      <c r="C9" s="519" t="s">
        <v>166</v>
      </c>
      <c r="D9" s="516">
        <f t="shared" ref="D9:I9" si="3">SUM(D5:D8)</f>
        <v>90958</v>
      </c>
      <c r="E9" s="517">
        <f t="shared" si="3"/>
        <v>100338</v>
      </c>
      <c r="F9" s="517">
        <f t="shared" si="3"/>
        <v>97287</v>
      </c>
      <c r="G9" s="517">
        <f t="shared" si="3"/>
        <v>84628</v>
      </c>
      <c r="H9" s="517">
        <f t="shared" si="3"/>
        <v>74094</v>
      </c>
      <c r="I9" s="518">
        <f t="shared" si="3"/>
        <v>71861</v>
      </c>
      <c r="J9" s="520"/>
      <c r="K9" s="266">
        <f>(D9-E9)/E9</f>
        <v>-9.3484023998883767E-2</v>
      </c>
      <c r="L9" s="266">
        <f>(E9-F9)/F9</f>
        <v>3.1360819020012955E-2</v>
      </c>
      <c r="M9" s="266">
        <f>(F9-G9)/G9</f>
        <v>0.14958406201257268</v>
      </c>
      <c r="N9" s="266">
        <f t="shared" ref="N9:O9" si="4">(G9-H9)/H9</f>
        <v>0.14217075606661808</v>
      </c>
      <c r="O9" s="266">
        <f t="shared" si="4"/>
        <v>3.1073878738119426E-2</v>
      </c>
      <c r="P9" s="266" t="s">
        <v>19</v>
      </c>
      <c r="Q9" s="134"/>
      <c r="Y9" s="157"/>
    </row>
    <row r="10" spans="2:25">
      <c r="B10" s="161"/>
      <c r="C10" s="6"/>
      <c r="D10" s="14"/>
      <c r="E10" s="14"/>
      <c r="F10" s="14"/>
      <c r="G10" s="14"/>
      <c r="H10" s="14"/>
      <c r="I10" s="14"/>
      <c r="J10" s="14"/>
      <c r="K10" s="14"/>
      <c r="L10" s="14"/>
      <c r="M10" s="14"/>
      <c r="N10" s="14"/>
      <c r="O10" s="14"/>
      <c r="P10" s="14"/>
      <c r="Q10" s="134"/>
      <c r="Y10" s="157"/>
    </row>
    <row r="11" spans="2:25" ht="21.6" thickBot="1">
      <c r="B11" s="1174" t="str">
        <f>"Categories "&amp;"("&amp;OP!$J$20&amp;")"</f>
        <v>Categories (2023)</v>
      </c>
      <c r="C11" s="1174"/>
      <c r="D11" s="1174"/>
      <c r="E11" s="1174"/>
      <c r="F11" s="1174"/>
      <c r="G11" s="1174"/>
      <c r="H11" s="1174"/>
      <c r="I11" s="1174"/>
      <c r="J11" s="1174"/>
      <c r="K11" s="1174"/>
      <c r="L11" s="1174"/>
      <c r="M11" s="1174"/>
      <c r="N11" s="1174"/>
      <c r="O11" s="1174"/>
      <c r="P11" s="1174"/>
      <c r="Q11" s="134"/>
      <c r="S11" s="269"/>
      <c r="Y11" s="157"/>
    </row>
    <row r="12" spans="2:25" ht="21">
      <c r="B12" s="163"/>
      <c r="C12" s="164"/>
      <c r="D12" s="1147" t="s">
        <v>169</v>
      </c>
      <c r="E12" s="1147"/>
      <c r="F12" s="1147"/>
      <c r="G12" s="1147"/>
      <c r="H12" s="1147"/>
      <c r="I12" s="1147"/>
      <c r="J12" s="142"/>
      <c r="K12" s="1175" t="s">
        <v>170</v>
      </c>
      <c r="L12" s="1175"/>
      <c r="M12" s="1175"/>
      <c r="N12" s="1175"/>
      <c r="O12" s="1175"/>
      <c r="P12" s="1175"/>
      <c r="Q12" s="134"/>
      <c r="Y12" s="157"/>
    </row>
    <row r="13" spans="2:25" ht="13.9" thickBot="1">
      <c r="B13" s="162" t="s">
        <v>171</v>
      </c>
      <c r="C13" s="133" t="s">
        <v>175</v>
      </c>
      <c r="D13" s="150">
        <f>OP!J20</f>
        <v>2023</v>
      </c>
      <c r="E13" s="150">
        <f>D13-1</f>
        <v>2022</v>
      </c>
      <c r="F13" s="150">
        <f>E13-1</f>
        <v>2021</v>
      </c>
      <c r="G13" s="150">
        <f>F13-1</f>
        <v>2020</v>
      </c>
      <c r="H13" s="150">
        <f>G13-1</f>
        <v>2019</v>
      </c>
      <c r="I13" s="150">
        <f>H13-1</f>
        <v>2018</v>
      </c>
      <c r="J13" s="143"/>
      <c r="K13" s="145">
        <f>OP!J20</f>
        <v>2023</v>
      </c>
      <c r="L13" s="145">
        <f t="shared" ref="L13:P13" si="5">K13-1</f>
        <v>2022</v>
      </c>
      <c r="M13" s="145">
        <f t="shared" si="5"/>
        <v>2021</v>
      </c>
      <c r="N13" s="145">
        <f t="shared" si="5"/>
        <v>2020</v>
      </c>
      <c r="O13" s="145">
        <f t="shared" si="5"/>
        <v>2019</v>
      </c>
      <c r="P13" s="168">
        <f t="shared" si="5"/>
        <v>2018</v>
      </c>
      <c r="Q13" s="134"/>
      <c r="Y13" s="157"/>
    </row>
    <row r="14" spans="2:25" ht="13.9" thickBot="1">
      <c r="B14" s="146">
        <f>IFERROR(D14/$D$17,"")</f>
        <v>0.65918335935266825</v>
      </c>
      <c r="C14" s="147" t="s">
        <v>176</v>
      </c>
      <c r="D14" s="151">
        <v>59958</v>
      </c>
      <c r="E14" s="151">
        <v>64209</v>
      </c>
      <c r="F14" s="151">
        <v>60137</v>
      </c>
      <c r="G14" s="151">
        <v>53499</v>
      </c>
      <c r="H14" s="151">
        <v>46493</v>
      </c>
      <c r="I14" s="151">
        <v>43593</v>
      </c>
      <c r="J14" s="144"/>
      <c r="K14" s="267">
        <f>(D14-E14)/E14</f>
        <v>-6.6205672102041771E-2</v>
      </c>
      <c r="L14" s="267">
        <f t="shared" ref="L14:O17" si="6">(E14-F14)/F14</f>
        <v>6.7712057468779618E-2</v>
      </c>
      <c r="M14" s="267">
        <f t="shared" si="6"/>
        <v>0.124077085553001</v>
      </c>
      <c r="N14" s="267">
        <f t="shared" si="6"/>
        <v>0.15068935108510959</v>
      </c>
      <c r="O14" s="267">
        <f t="shared" si="6"/>
        <v>6.652444199756842E-2</v>
      </c>
      <c r="P14" s="267" t="s">
        <v>19</v>
      </c>
      <c r="Q14" s="134"/>
      <c r="Y14" s="157"/>
    </row>
    <row r="15" spans="2:25">
      <c r="B15" s="146">
        <f>IFERROR(D15/$D$17,"")</f>
        <v>0.19603553288330877</v>
      </c>
      <c r="C15" s="147" t="s">
        <v>177</v>
      </c>
      <c r="D15" s="151">
        <v>17831</v>
      </c>
      <c r="E15" s="151">
        <v>19698</v>
      </c>
      <c r="F15" s="151">
        <v>19541</v>
      </c>
      <c r="G15" s="151">
        <v>15945</v>
      </c>
      <c r="H15" s="151">
        <v>14220</v>
      </c>
      <c r="I15" s="151">
        <v>14442</v>
      </c>
      <c r="J15" s="144"/>
      <c r="K15" s="267">
        <f>(D15-E15)/E15</f>
        <v>-9.4781196060513759E-2</v>
      </c>
      <c r="L15" s="267">
        <f t="shared" ref="L15" si="7">(E15-F15)/F15</f>
        <v>8.0343892328949389E-3</v>
      </c>
      <c r="M15" s="267">
        <f t="shared" ref="M15" si="8">(F15-G15)/G15</f>
        <v>0.22552524302289118</v>
      </c>
      <c r="N15" s="267">
        <f t="shared" ref="N15" si="9">(G15-H15)/H15</f>
        <v>0.12130801687763713</v>
      </c>
      <c r="O15" s="267">
        <f t="shared" ref="O15" si="10">(H15-I15)/I15</f>
        <v>-1.5371832156211051E-2</v>
      </c>
      <c r="P15" s="429" t="s">
        <v>19</v>
      </c>
      <c r="Q15" s="134"/>
      <c r="Y15" s="157"/>
    </row>
    <row r="16" spans="2:25" ht="13.9" thickBot="1">
      <c r="B16" s="146">
        <f>IFERROR(D16/$D$17,"")</f>
        <v>0.14478110776402295</v>
      </c>
      <c r="C16" s="147" t="s">
        <v>178</v>
      </c>
      <c r="D16" s="151">
        <v>13169</v>
      </c>
      <c r="E16" s="151">
        <v>16431</v>
      </c>
      <c r="F16" s="151">
        <v>17429</v>
      </c>
      <c r="G16" s="151">
        <v>15184</v>
      </c>
      <c r="H16" s="151">
        <v>13381</v>
      </c>
      <c r="I16" s="151">
        <v>13826</v>
      </c>
      <c r="J16" s="144"/>
      <c r="K16" s="268">
        <f t="shared" ref="K16" si="11">(D16-E16)/E16</f>
        <v>-0.19852717424380745</v>
      </c>
      <c r="L16" s="268">
        <f t="shared" si="6"/>
        <v>-5.7260887027368181E-2</v>
      </c>
      <c r="M16" s="268">
        <f t="shared" si="6"/>
        <v>0.14785300316122235</v>
      </c>
      <c r="N16" s="268">
        <f t="shared" si="6"/>
        <v>0.13474329272849564</v>
      </c>
      <c r="O16" s="268">
        <f t="shared" si="6"/>
        <v>-3.2185737017213945E-2</v>
      </c>
      <c r="P16" s="268" t="s">
        <v>19</v>
      </c>
      <c r="Q16" s="134"/>
      <c r="Y16" s="157"/>
    </row>
    <row r="17" spans="2:25" ht="13.9" thickBot="1">
      <c r="B17" s="139">
        <f>SUM(B14:B16)</f>
        <v>1</v>
      </c>
      <c r="C17" s="519" t="s">
        <v>166</v>
      </c>
      <c r="D17" s="516">
        <f t="shared" ref="D17:I17" si="12">SUM(D14:D16)</f>
        <v>90958</v>
      </c>
      <c r="E17" s="517">
        <f t="shared" si="12"/>
        <v>100338</v>
      </c>
      <c r="F17" s="517">
        <f t="shared" si="12"/>
        <v>97107</v>
      </c>
      <c r="G17" s="517">
        <f t="shared" si="12"/>
        <v>84628</v>
      </c>
      <c r="H17" s="517">
        <f t="shared" si="12"/>
        <v>74094</v>
      </c>
      <c r="I17" s="518">
        <f t="shared" si="12"/>
        <v>71861</v>
      </c>
      <c r="J17" s="520"/>
      <c r="K17" s="265">
        <f>(D17-E17)/E17</f>
        <v>-9.3484023998883767E-2</v>
      </c>
      <c r="L17" s="266">
        <f t="shared" si="6"/>
        <v>3.327257561246872E-2</v>
      </c>
      <c r="M17" s="266">
        <f t="shared" ref="M17" si="13">(F17-G17)/G17</f>
        <v>0.14745710639504656</v>
      </c>
      <c r="N17" s="266">
        <f t="shared" ref="N17" si="14">(G17-H17)/H17</f>
        <v>0.14217075606661808</v>
      </c>
      <c r="O17" s="266">
        <f t="shared" ref="O17" si="15">(H17-I17)/I17</f>
        <v>3.1073878738119426E-2</v>
      </c>
      <c r="P17" s="266" t="s">
        <v>19</v>
      </c>
      <c r="Q17" s="134"/>
      <c r="Y17" s="157"/>
    </row>
    <row r="18" spans="2:25">
      <c r="C18" s="13"/>
      <c r="D18" s="14"/>
      <c r="E18" s="15"/>
      <c r="F18" s="14"/>
      <c r="G18" s="15"/>
      <c r="H18" s="14"/>
      <c r="I18" s="15"/>
      <c r="Q18" s="134"/>
      <c r="Y18" s="157"/>
    </row>
    <row r="19" spans="2:25" ht="21">
      <c r="B19" s="1147" t="s">
        <v>69</v>
      </c>
      <c r="C19" s="1147"/>
      <c r="D19" s="1147" t="s">
        <v>179</v>
      </c>
      <c r="E19" s="1147"/>
      <c r="F19" s="1147"/>
      <c r="G19" s="1147"/>
      <c r="H19" s="1147"/>
      <c r="I19" s="1179" t="s">
        <v>180</v>
      </c>
      <c r="J19" s="1179"/>
      <c r="K19" s="1179"/>
      <c r="L19" s="1179"/>
      <c r="M19" s="1179"/>
      <c r="N19" s="1179"/>
      <c r="O19" s="1179"/>
      <c r="P19" s="1179"/>
      <c r="Q19" s="134"/>
      <c r="Y19" s="157"/>
    </row>
    <row r="20" spans="2:25" ht="55.15" customHeight="1" thickBot="1">
      <c r="B20" s="1165" t="str">
        <f>C14</f>
        <v>US Domestic Package</v>
      </c>
      <c r="C20" s="1165"/>
      <c r="D20" s="1177" t="s">
        <v>181</v>
      </c>
      <c r="E20" s="1177"/>
      <c r="F20" s="1177"/>
      <c r="G20" s="1177"/>
      <c r="H20" s="1177"/>
      <c r="I20" s="134"/>
      <c r="Q20" s="134"/>
      <c r="Y20" s="157"/>
    </row>
    <row r="21" spans="2:25" ht="87.6" customHeight="1" thickBot="1">
      <c r="B21" s="1165" t="str">
        <f>C15</f>
        <v>International Package</v>
      </c>
      <c r="C21" s="1166"/>
      <c r="D21" s="1177" t="s">
        <v>182</v>
      </c>
      <c r="E21" s="1177"/>
      <c r="F21" s="1177"/>
      <c r="G21" s="1177"/>
      <c r="H21" s="1177"/>
      <c r="I21" s="134"/>
      <c r="Q21" s="134"/>
      <c r="Y21" s="157"/>
    </row>
    <row r="22" spans="2:25" ht="111" customHeight="1" thickBot="1">
      <c r="B22" s="1165" t="str">
        <f>C16</f>
        <v>Supply Chain Solutions</v>
      </c>
      <c r="C22" s="1166"/>
      <c r="D22" s="1178" t="s">
        <v>183</v>
      </c>
      <c r="E22" s="1178"/>
      <c r="F22" s="1178"/>
      <c r="G22" s="1178"/>
      <c r="H22" s="1178"/>
      <c r="I22" s="134"/>
      <c r="Y22" s="157"/>
    </row>
    <row r="23" spans="2:25" ht="13.9" customHeight="1" thickBot="1">
      <c r="I23" s="135"/>
      <c r="J23" s="158"/>
      <c r="K23" s="158"/>
      <c r="L23" s="158"/>
      <c r="M23" s="158"/>
      <c r="N23" s="158"/>
      <c r="O23" s="158"/>
      <c r="P23" s="158"/>
      <c r="Q23" s="135"/>
      <c r="R23" s="158"/>
      <c r="S23" s="158"/>
      <c r="T23" s="158"/>
      <c r="U23" s="158"/>
      <c r="V23" s="158"/>
      <c r="W23" s="158"/>
      <c r="X23" s="158"/>
      <c r="Y23" s="160"/>
    </row>
    <row r="24" spans="2:25" ht="21.6" thickBot="1">
      <c r="B24" s="1147" t="s">
        <v>184</v>
      </c>
      <c r="C24" s="1148"/>
      <c r="D24" s="1148"/>
      <c r="E24" s="1148"/>
      <c r="F24" s="1148"/>
      <c r="G24" s="1148"/>
      <c r="H24" s="1148"/>
      <c r="I24" s="1149"/>
      <c r="J24" s="1125" t="s">
        <v>185</v>
      </c>
      <c r="K24" s="1126"/>
      <c r="L24" s="1126"/>
      <c r="M24" s="1126"/>
      <c r="N24" s="1126"/>
      <c r="O24" s="1126"/>
      <c r="P24" s="1126"/>
      <c r="Q24" s="1127"/>
    </row>
    <row r="25" spans="2:25" ht="13.9" thickBot="1">
      <c r="B25" s="1140" t="s">
        <v>186</v>
      </c>
      <c r="C25" s="1142"/>
      <c r="D25" s="1140" t="s">
        <v>179</v>
      </c>
      <c r="E25" s="1141"/>
      <c r="F25" s="1141"/>
      <c r="G25" s="1141"/>
      <c r="H25" s="1141"/>
      <c r="I25" s="1142"/>
      <c r="J25" s="1119"/>
      <c r="K25" s="1119"/>
      <c r="L25" s="1119"/>
      <c r="M25" s="1119"/>
      <c r="N25" s="1119"/>
      <c r="O25" s="1119"/>
      <c r="P25" s="1119"/>
      <c r="Q25" s="1120"/>
    </row>
    <row r="26" spans="2:25" ht="28.15" customHeight="1">
      <c r="B26" s="1153" t="s">
        <v>187</v>
      </c>
      <c r="C26" s="1154"/>
      <c r="D26" s="1162" t="s">
        <v>188</v>
      </c>
      <c r="E26" s="1163"/>
      <c r="F26" s="1163"/>
      <c r="G26" s="1163"/>
      <c r="H26" s="1163"/>
      <c r="I26" s="1164"/>
      <c r="J26" s="1121"/>
      <c r="K26" s="1121"/>
      <c r="L26" s="1121"/>
      <c r="M26" s="1121"/>
      <c r="N26" s="1121"/>
      <c r="O26" s="1121"/>
      <c r="P26" s="1121"/>
      <c r="Q26" s="1122"/>
    </row>
    <row r="27" spans="2:25" ht="27.6" customHeight="1">
      <c r="B27" s="1153" t="s">
        <v>189</v>
      </c>
      <c r="C27" s="1154"/>
      <c r="D27" s="1162" t="s">
        <v>190</v>
      </c>
      <c r="E27" s="1163"/>
      <c r="F27" s="1163"/>
      <c r="G27" s="1163"/>
      <c r="H27" s="1163"/>
      <c r="I27" s="1164"/>
      <c r="J27" s="1121"/>
      <c r="K27" s="1121"/>
      <c r="L27" s="1121"/>
      <c r="M27" s="1121"/>
      <c r="N27" s="1121"/>
      <c r="O27" s="1121"/>
      <c r="P27" s="1121"/>
      <c r="Q27" s="1122"/>
    </row>
    <row r="28" spans="2:25" ht="31.15" customHeight="1" thickBot="1">
      <c r="B28" s="1153" t="s">
        <v>191</v>
      </c>
      <c r="C28" s="1154"/>
      <c r="D28" s="1162" t="s">
        <v>192</v>
      </c>
      <c r="E28" s="1163"/>
      <c r="F28" s="1163"/>
      <c r="G28" s="1163"/>
      <c r="H28" s="1163"/>
      <c r="I28" s="1164"/>
      <c r="J28" s="1121"/>
      <c r="K28" s="1121"/>
      <c r="L28" s="1121"/>
      <c r="M28" s="1121"/>
      <c r="N28" s="1121"/>
      <c r="O28" s="1121"/>
      <c r="P28" s="1121"/>
      <c r="Q28" s="1122"/>
    </row>
    <row r="29" spans="2:25" ht="13.9" thickBot="1">
      <c r="B29" s="1140" t="s">
        <v>193</v>
      </c>
      <c r="C29" s="1141"/>
      <c r="D29" s="1141"/>
      <c r="E29" s="1141"/>
      <c r="F29" s="1141"/>
      <c r="G29" s="1141"/>
      <c r="H29" s="1141"/>
      <c r="I29" s="1142"/>
      <c r="J29" s="1121"/>
      <c r="K29" s="1121"/>
      <c r="L29" s="1121"/>
      <c r="M29" s="1121"/>
      <c r="N29" s="1121"/>
      <c r="O29" s="1121"/>
      <c r="P29" s="1121"/>
      <c r="Q29" s="1122"/>
    </row>
    <row r="30" spans="2:25" ht="13.5" customHeight="1">
      <c r="B30" s="1143" t="s">
        <v>194</v>
      </c>
      <c r="C30" s="1144"/>
      <c r="D30" s="1159" t="s">
        <v>195</v>
      </c>
      <c r="E30" s="1160"/>
      <c r="F30" s="1161"/>
      <c r="G30" s="1159" t="s">
        <v>196</v>
      </c>
      <c r="H30" s="1160"/>
      <c r="I30" s="1161"/>
      <c r="J30" s="1121"/>
      <c r="K30" s="1121"/>
      <c r="L30" s="1121"/>
      <c r="M30" s="1121"/>
      <c r="N30" s="1121"/>
      <c r="O30" s="1121"/>
      <c r="P30" s="1121"/>
      <c r="Q30" s="1122"/>
      <c r="T30" s="10"/>
      <c r="U30" s="10"/>
    </row>
    <row r="31" spans="2:25">
      <c r="B31" s="1145" t="s">
        <v>197</v>
      </c>
      <c r="C31" s="1146"/>
      <c r="D31" s="1134">
        <v>8.3900000000000002E-2</v>
      </c>
      <c r="E31" s="1135"/>
      <c r="F31" s="1136"/>
      <c r="G31" s="1128" t="s">
        <v>198</v>
      </c>
      <c r="H31" s="1129"/>
      <c r="I31" s="1130"/>
      <c r="J31" s="1121"/>
      <c r="K31" s="1121"/>
      <c r="L31" s="1121"/>
      <c r="M31" s="1121"/>
      <c r="N31" s="1121"/>
      <c r="O31" s="1121"/>
      <c r="P31" s="1121"/>
      <c r="Q31" s="1122"/>
      <c r="T31" s="10"/>
      <c r="U31" s="10"/>
    </row>
    <row r="32" spans="2:25">
      <c r="B32" s="1145" t="s">
        <v>199</v>
      </c>
      <c r="C32" s="1146"/>
      <c r="D32" s="1134">
        <v>7.1999999999999995E-2</v>
      </c>
      <c r="E32" s="1135"/>
      <c r="F32" s="1136"/>
      <c r="G32" s="1128" t="s">
        <v>200</v>
      </c>
      <c r="H32" s="1129"/>
      <c r="I32" s="1130"/>
      <c r="J32" s="1121"/>
      <c r="K32" s="1121"/>
      <c r="L32" s="1121"/>
      <c r="M32" s="1121"/>
      <c r="N32" s="1121"/>
      <c r="O32" s="1121"/>
      <c r="P32" s="1121"/>
      <c r="Q32" s="1122"/>
      <c r="T32" s="10"/>
      <c r="U32" s="10"/>
    </row>
    <row r="33" spans="1:21" ht="13.9" thickBot="1">
      <c r="B33" s="1167" t="s">
        <v>201</v>
      </c>
      <c r="C33" s="1168"/>
      <c r="D33" s="1137">
        <v>9.35E-2</v>
      </c>
      <c r="E33" s="1138"/>
      <c r="F33" s="1139"/>
      <c r="G33" s="1131" t="s">
        <v>202</v>
      </c>
      <c r="H33" s="1132"/>
      <c r="I33" s="1133"/>
      <c r="J33" s="1121"/>
      <c r="K33" s="1121"/>
      <c r="L33" s="1121"/>
      <c r="M33" s="1121"/>
      <c r="N33" s="1121"/>
      <c r="O33" s="1121"/>
      <c r="P33" s="1121"/>
      <c r="Q33" s="1122"/>
      <c r="T33" s="10"/>
      <c r="U33" s="10"/>
    </row>
    <row r="34" spans="1:21" ht="12.4" customHeight="1" thickBot="1">
      <c r="B34" s="1155" t="s">
        <v>203</v>
      </c>
      <c r="C34" s="1156"/>
      <c r="D34" s="1157">
        <f>AVERAGE(D31:F33)</f>
        <v>8.3133333333333323E-2</v>
      </c>
      <c r="E34" s="1157"/>
      <c r="F34" s="1157"/>
      <c r="G34" s="1157"/>
      <c r="H34" s="1157"/>
      <c r="I34" s="1158"/>
      <c r="J34" s="1121"/>
      <c r="K34" s="1121"/>
      <c r="L34" s="1121"/>
      <c r="M34" s="1121"/>
      <c r="N34" s="1121"/>
      <c r="O34" s="1121"/>
      <c r="P34" s="1121"/>
      <c r="Q34" s="1122"/>
      <c r="T34" s="10"/>
      <c r="U34" s="10"/>
    </row>
    <row r="35" spans="1:21" ht="21.6" thickBot="1">
      <c r="B35" s="1150" t="s">
        <v>204</v>
      </c>
      <c r="C35" s="1151"/>
      <c r="D35" s="1151"/>
      <c r="E35" s="1151"/>
      <c r="F35" s="1151"/>
      <c r="G35" s="1151"/>
      <c r="H35" s="1151"/>
      <c r="I35" s="1152"/>
      <c r="J35" s="1121"/>
      <c r="K35" s="1121"/>
      <c r="L35" s="1121"/>
      <c r="M35" s="1121"/>
      <c r="N35" s="1121"/>
      <c r="O35" s="1121"/>
      <c r="P35" s="1121"/>
      <c r="Q35" s="1122"/>
      <c r="T35" s="10"/>
      <c r="U35" s="10"/>
    </row>
    <row r="36" spans="1:21" ht="13.15" customHeight="1">
      <c r="B36" s="270"/>
      <c r="C36" s="153"/>
      <c r="D36" s="154"/>
      <c r="E36" s="155"/>
      <c r="F36" s="155"/>
      <c r="G36" s="155"/>
      <c r="H36" s="155"/>
      <c r="I36" s="156"/>
      <c r="J36" s="1121"/>
      <c r="K36" s="1121"/>
      <c r="L36" s="1121"/>
      <c r="M36" s="1121"/>
      <c r="N36" s="1121"/>
      <c r="O36" s="1121"/>
      <c r="P36" s="1121"/>
      <c r="Q36" s="1122"/>
      <c r="T36" s="10"/>
      <c r="U36" s="10"/>
    </row>
    <row r="37" spans="1:21">
      <c r="B37" s="134"/>
      <c r="I37" s="157"/>
      <c r="J37" s="1121"/>
      <c r="K37" s="1121"/>
      <c r="L37" s="1121"/>
      <c r="M37" s="1121"/>
      <c r="N37" s="1121"/>
      <c r="O37" s="1121"/>
      <c r="P37" s="1121"/>
      <c r="Q37" s="1122"/>
      <c r="T37" s="10"/>
      <c r="U37" s="10"/>
    </row>
    <row r="38" spans="1:21" ht="12.75" customHeight="1">
      <c r="A38" s="804"/>
      <c r="B38" s="1169" t="s">
        <v>205</v>
      </c>
      <c r="C38" s="1169"/>
      <c r="D38" s="1169"/>
      <c r="E38" s="1169"/>
      <c r="F38" s="1169"/>
      <c r="G38" s="1169"/>
      <c r="H38" s="1169"/>
      <c r="I38" s="1170"/>
      <c r="J38" s="1121"/>
      <c r="K38" s="1121"/>
      <c r="L38" s="1121"/>
      <c r="M38" s="1121"/>
      <c r="N38" s="1121"/>
      <c r="O38" s="1121"/>
      <c r="P38" s="1121"/>
      <c r="Q38" s="1122"/>
      <c r="T38" s="10"/>
      <c r="U38" s="10"/>
    </row>
    <row r="39" spans="1:21">
      <c r="B39" s="1171"/>
      <c r="C39" s="1169"/>
      <c r="D39" s="1169"/>
      <c r="E39" s="1169"/>
      <c r="F39" s="1169"/>
      <c r="G39" s="1169"/>
      <c r="H39" s="1169"/>
      <c r="I39" s="1170"/>
      <c r="J39" s="1121"/>
      <c r="K39" s="1121"/>
      <c r="L39" s="1121"/>
      <c r="M39" s="1121"/>
      <c r="N39" s="1121"/>
      <c r="O39" s="1121"/>
      <c r="P39" s="1121"/>
      <c r="Q39" s="1122"/>
      <c r="T39" s="10"/>
      <c r="U39" s="10"/>
    </row>
    <row r="40" spans="1:21">
      <c r="B40" s="1171"/>
      <c r="C40" s="1169"/>
      <c r="D40" s="1169"/>
      <c r="E40" s="1169"/>
      <c r="F40" s="1169"/>
      <c r="G40" s="1169"/>
      <c r="H40" s="1169"/>
      <c r="I40" s="1170"/>
      <c r="J40" s="1121"/>
      <c r="K40" s="1121"/>
      <c r="L40" s="1121"/>
      <c r="M40" s="1121"/>
      <c r="N40" s="1121"/>
      <c r="O40" s="1121"/>
      <c r="P40" s="1121"/>
      <c r="Q40" s="1122"/>
      <c r="T40" s="10"/>
      <c r="U40" s="10"/>
    </row>
    <row r="41" spans="1:21">
      <c r="B41" s="1171"/>
      <c r="C41" s="1169"/>
      <c r="D41" s="1169"/>
      <c r="E41" s="1169"/>
      <c r="F41" s="1169"/>
      <c r="G41" s="1169"/>
      <c r="H41" s="1169"/>
      <c r="I41" s="1170"/>
      <c r="J41" s="1121"/>
      <c r="K41" s="1121"/>
      <c r="L41" s="1121"/>
      <c r="M41" s="1121"/>
      <c r="N41" s="1121"/>
      <c r="O41" s="1121"/>
      <c r="P41" s="1121"/>
      <c r="Q41" s="1122"/>
      <c r="T41" s="10"/>
      <c r="U41" s="10"/>
    </row>
    <row r="42" spans="1:21">
      <c r="B42" s="1171"/>
      <c r="C42" s="1169"/>
      <c r="D42" s="1169"/>
      <c r="E42" s="1169"/>
      <c r="F42" s="1169"/>
      <c r="G42" s="1169"/>
      <c r="H42" s="1169"/>
      <c r="I42" s="1170"/>
      <c r="J42" s="1121"/>
      <c r="K42" s="1121"/>
      <c r="L42" s="1121"/>
      <c r="M42" s="1121"/>
      <c r="N42" s="1121"/>
      <c r="O42" s="1121"/>
      <c r="P42" s="1121"/>
      <c r="Q42" s="1122"/>
      <c r="T42" s="10"/>
      <c r="U42" s="10"/>
    </row>
    <row r="43" spans="1:21">
      <c r="B43" s="1171"/>
      <c r="C43" s="1169"/>
      <c r="D43" s="1169"/>
      <c r="E43" s="1169"/>
      <c r="F43" s="1169"/>
      <c r="G43" s="1169"/>
      <c r="H43" s="1169"/>
      <c r="I43" s="1170"/>
      <c r="J43" s="1121"/>
      <c r="K43" s="1121"/>
      <c r="L43" s="1121"/>
      <c r="M43" s="1121"/>
      <c r="N43" s="1121"/>
      <c r="O43" s="1121"/>
      <c r="P43" s="1121"/>
      <c r="Q43" s="1122"/>
      <c r="T43" s="10"/>
      <c r="U43" s="10"/>
    </row>
    <row r="44" spans="1:21">
      <c r="B44" s="1171"/>
      <c r="C44" s="1169"/>
      <c r="D44" s="1169"/>
      <c r="E44" s="1169"/>
      <c r="F44" s="1169"/>
      <c r="G44" s="1169"/>
      <c r="H44" s="1169"/>
      <c r="I44" s="1170"/>
      <c r="J44" s="1121"/>
      <c r="K44" s="1121"/>
      <c r="L44" s="1121"/>
      <c r="M44" s="1121"/>
      <c r="N44" s="1121"/>
      <c r="O44" s="1121"/>
      <c r="P44" s="1121"/>
      <c r="Q44" s="1122"/>
      <c r="T44" s="10"/>
      <c r="U44" s="10"/>
    </row>
    <row r="45" spans="1:21">
      <c r="B45" s="1171"/>
      <c r="C45" s="1169"/>
      <c r="D45" s="1169"/>
      <c r="E45" s="1169"/>
      <c r="F45" s="1169"/>
      <c r="G45" s="1169"/>
      <c r="H45" s="1169"/>
      <c r="I45" s="1170"/>
      <c r="J45" s="1121"/>
      <c r="K45" s="1121"/>
      <c r="L45" s="1121"/>
      <c r="M45" s="1121"/>
      <c r="N45" s="1121"/>
      <c r="O45" s="1121"/>
      <c r="P45" s="1121"/>
      <c r="Q45" s="1122"/>
      <c r="T45" s="10"/>
      <c r="U45" s="10"/>
    </row>
    <row r="46" spans="1:21">
      <c r="B46" s="1171"/>
      <c r="C46" s="1169"/>
      <c r="D46" s="1169"/>
      <c r="E46" s="1169"/>
      <c r="F46" s="1169"/>
      <c r="G46" s="1169"/>
      <c r="H46" s="1169"/>
      <c r="I46" s="1170"/>
      <c r="J46" s="1121"/>
      <c r="K46" s="1121"/>
      <c r="L46" s="1121"/>
      <c r="M46" s="1121"/>
      <c r="N46" s="1121"/>
      <c r="O46" s="1121"/>
      <c r="P46" s="1121"/>
      <c r="Q46" s="1122"/>
      <c r="T46" s="10"/>
      <c r="U46" s="10"/>
    </row>
    <row r="47" spans="1:21">
      <c r="B47" s="1171"/>
      <c r="C47" s="1169"/>
      <c r="D47" s="1169"/>
      <c r="E47" s="1169"/>
      <c r="F47" s="1169"/>
      <c r="G47" s="1169"/>
      <c r="H47" s="1169"/>
      <c r="I47" s="1170"/>
      <c r="J47" s="1121"/>
      <c r="K47" s="1121"/>
      <c r="L47" s="1121"/>
      <c r="M47" s="1121"/>
      <c r="N47" s="1121"/>
      <c r="O47" s="1121"/>
      <c r="P47" s="1121"/>
      <c r="Q47" s="1122"/>
      <c r="T47" s="10"/>
      <c r="U47" s="10"/>
    </row>
    <row r="48" spans="1:21">
      <c r="B48" s="1171"/>
      <c r="C48" s="1169"/>
      <c r="D48" s="1169"/>
      <c r="E48" s="1169"/>
      <c r="F48" s="1169"/>
      <c r="G48" s="1169"/>
      <c r="H48" s="1169"/>
      <c r="I48" s="1170"/>
      <c r="J48" s="1121"/>
      <c r="K48" s="1121"/>
      <c r="L48" s="1121"/>
      <c r="M48" s="1121"/>
      <c r="N48" s="1121"/>
      <c r="O48" s="1121"/>
      <c r="P48" s="1121"/>
      <c r="Q48" s="1122"/>
      <c r="T48" s="10"/>
      <c r="U48" s="10"/>
    </row>
    <row r="49" spans="2:21">
      <c r="B49" s="1171"/>
      <c r="C49" s="1169"/>
      <c r="D49" s="1169"/>
      <c r="E49" s="1169"/>
      <c r="F49" s="1169"/>
      <c r="G49" s="1169"/>
      <c r="H49" s="1169"/>
      <c r="I49" s="1170"/>
      <c r="J49" s="1121"/>
      <c r="K49" s="1121"/>
      <c r="L49" s="1121"/>
      <c r="M49" s="1121"/>
      <c r="N49" s="1121"/>
      <c r="O49" s="1121"/>
      <c r="P49" s="1121"/>
      <c r="Q49" s="1122"/>
      <c r="T49" s="10"/>
      <c r="U49" s="10"/>
    </row>
    <row r="50" spans="2:21">
      <c r="B50" s="1171"/>
      <c r="C50" s="1169"/>
      <c r="D50" s="1169"/>
      <c r="E50" s="1169"/>
      <c r="F50" s="1169"/>
      <c r="G50" s="1169"/>
      <c r="H50" s="1169"/>
      <c r="I50" s="1170"/>
      <c r="J50" s="1121"/>
      <c r="K50" s="1121"/>
      <c r="L50" s="1121"/>
      <c r="M50" s="1121"/>
      <c r="N50" s="1121"/>
      <c r="O50" s="1121"/>
      <c r="P50" s="1121"/>
      <c r="Q50" s="1122"/>
      <c r="T50" s="10"/>
      <c r="U50" s="10"/>
    </row>
    <row r="51" spans="2:21">
      <c r="B51" s="134"/>
      <c r="I51" s="157"/>
      <c r="J51" s="1121"/>
      <c r="K51" s="1121"/>
      <c r="L51" s="1121"/>
      <c r="M51" s="1121"/>
      <c r="N51" s="1121"/>
      <c r="O51" s="1121"/>
      <c r="P51" s="1121"/>
      <c r="Q51" s="1122"/>
      <c r="T51" s="10"/>
      <c r="U51" s="10"/>
    </row>
    <row r="52" spans="2:21" ht="13.9" thickBot="1">
      <c r="B52" s="135"/>
      <c r="C52" s="158"/>
      <c r="D52" s="159"/>
      <c r="E52" s="158"/>
      <c r="F52" s="158"/>
      <c r="G52" s="158"/>
      <c r="H52" s="158"/>
      <c r="I52" s="160"/>
      <c r="J52" s="1123"/>
      <c r="K52" s="1123"/>
      <c r="L52" s="1123"/>
      <c r="M52" s="1123"/>
      <c r="N52" s="1123"/>
      <c r="O52" s="1123"/>
      <c r="P52" s="1123"/>
      <c r="Q52" s="1124"/>
      <c r="T52" s="10"/>
      <c r="U52" s="10"/>
    </row>
    <row r="53" spans="2:21">
      <c r="T53" s="10"/>
      <c r="U53" s="10"/>
    </row>
    <row r="54" spans="2:21">
      <c r="T54" s="10"/>
      <c r="U54" s="10"/>
    </row>
    <row r="55" spans="2:21">
      <c r="T55" s="10"/>
      <c r="U55" s="10"/>
    </row>
    <row r="56" spans="2:21">
      <c r="T56" s="10"/>
      <c r="U56" s="10"/>
    </row>
    <row r="57" spans="2:21">
      <c r="O57" s="271"/>
      <c r="T57" s="10"/>
      <c r="U57" s="10"/>
    </row>
    <row r="58" spans="2:21">
      <c r="O58" s="271"/>
      <c r="T58" s="10"/>
      <c r="U58" s="10"/>
    </row>
    <row r="59" spans="2:21">
      <c r="O59" s="271"/>
      <c r="T59" s="10"/>
      <c r="U59" s="10"/>
    </row>
    <row r="60" spans="2:21">
      <c r="T60" s="10"/>
      <c r="U60" s="10"/>
    </row>
    <row r="61" spans="2:21">
      <c r="T61" s="10"/>
      <c r="U61" s="10"/>
    </row>
    <row r="62" spans="2:21">
      <c r="T62" s="10"/>
      <c r="U62" s="10"/>
    </row>
    <row r="63" spans="2:21">
      <c r="T63" s="10"/>
      <c r="U63" s="10"/>
    </row>
    <row r="64" spans="2:21">
      <c r="T64" s="10"/>
      <c r="U64" s="10"/>
    </row>
    <row r="65" spans="20:21">
      <c r="T65" s="10"/>
      <c r="U65" s="10"/>
    </row>
    <row r="66" spans="20:21">
      <c r="T66" s="10"/>
      <c r="U66" s="10"/>
    </row>
  </sheetData>
  <mergeCells count="44">
    <mergeCell ref="B38:I50"/>
    <mergeCell ref="Q2:Y2"/>
    <mergeCell ref="K3:P3"/>
    <mergeCell ref="B2:P2"/>
    <mergeCell ref="K12:P12"/>
    <mergeCell ref="B11:P11"/>
    <mergeCell ref="D12:I12"/>
    <mergeCell ref="D3:I3"/>
    <mergeCell ref="D19:H19"/>
    <mergeCell ref="D20:H20"/>
    <mergeCell ref="D21:H21"/>
    <mergeCell ref="D22:H22"/>
    <mergeCell ref="I19:P19"/>
    <mergeCell ref="B20:C20"/>
    <mergeCell ref="B19:C19"/>
    <mergeCell ref="B22:C22"/>
    <mergeCell ref="B21:C21"/>
    <mergeCell ref="B33:C33"/>
    <mergeCell ref="B27:C27"/>
    <mergeCell ref="B28:C28"/>
    <mergeCell ref="D25:I25"/>
    <mergeCell ref="D26:I26"/>
    <mergeCell ref="D34:I34"/>
    <mergeCell ref="D30:F30"/>
    <mergeCell ref="G30:I30"/>
    <mergeCell ref="B32:C32"/>
    <mergeCell ref="D27:I27"/>
    <mergeCell ref="D28:I28"/>
    <mergeCell ref="J25:Q52"/>
    <mergeCell ref="J24:Q24"/>
    <mergeCell ref="G32:I32"/>
    <mergeCell ref="G33:I33"/>
    <mergeCell ref="D31:F31"/>
    <mergeCell ref="D32:F32"/>
    <mergeCell ref="D33:F33"/>
    <mergeCell ref="B29:I29"/>
    <mergeCell ref="B30:C30"/>
    <mergeCell ref="B31:C31"/>
    <mergeCell ref="G31:I31"/>
    <mergeCell ref="B24:I24"/>
    <mergeCell ref="B35:I35"/>
    <mergeCell ref="B25:C25"/>
    <mergeCell ref="B26:C26"/>
    <mergeCell ref="B34:C34"/>
  </mergeCells>
  <phoneticPr fontId="0" type="noConversion"/>
  <conditionalFormatting sqref="B5:B8">
    <cfRule type="dataBar" priority="142">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4:B16">
    <cfRule type="dataBar" priority="243">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D8">
    <cfRule type="dataBar" priority="144">
      <dataBar>
        <cfvo type="min"/>
        <cfvo type="max"/>
        <color rgb="FF63C384"/>
      </dataBar>
      <extLst>
        <ext xmlns:x14="http://schemas.microsoft.com/office/spreadsheetml/2009/9/main" uri="{B025F937-C7B1-47D3-B67F-A62EFF666E3E}">
          <x14:id>{767D33FE-8570-4B26-81B7-5505E2A08A62}</x14:id>
        </ext>
      </extLst>
    </cfRule>
  </conditionalFormatting>
  <conditionalFormatting sqref="D14:D16">
    <cfRule type="dataBar" priority="244">
      <dataBar>
        <cfvo type="min"/>
        <cfvo type="max"/>
        <color rgb="FF63C384"/>
      </dataBar>
      <extLst>
        <ext xmlns:x14="http://schemas.microsoft.com/office/spreadsheetml/2009/9/main" uri="{B025F937-C7B1-47D3-B67F-A62EFF666E3E}">
          <x14:id>{3F107DCC-63A1-497B-B919-528218A545C1}</x14:id>
        </ext>
      </extLst>
    </cfRule>
  </conditionalFormatting>
  <conditionalFormatting sqref="D5:I6">
    <cfRule type="dataBar" priority="146">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4:I16">
    <cfRule type="dataBar" priority="245">
      <dataBar>
        <cfvo type="min"/>
        <cfvo type="max"/>
        <color rgb="FF63C384"/>
      </dataBar>
      <extLst>
        <ext xmlns:x14="http://schemas.microsoft.com/office/spreadsheetml/2009/9/main" uri="{B025F937-C7B1-47D3-B67F-A62EFF666E3E}">
          <x14:id>{5BBC426E-7FA9-4F5C-AC78-B3996BA8F931}</x14:id>
        </ext>
      </extLst>
    </cfRule>
  </conditionalFormatting>
  <conditionalFormatting sqref="E5:E8">
    <cfRule type="dataBar" priority="147">
      <dataBar>
        <cfvo type="min"/>
        <cfvo type="max"/>
        <color rgb="FF63C384"/>
      </dataBar>
      <extLst>
        <ext xmlns:x14="http://schemas.microsoft.com/office/spreadsheetml/2009/9/main" uri="{B025F937-C7B1-47D3-B67F-A62EFF666E3E}">
          <x14:id>{740A2B96-C6E5-4177-AC04-9573B81E30EC}</x14:id>
        </ext>
      </extLst>
    </cfRule>
  </conditionalFormatting>
  <conditionalFormatting sqref="E14:E16">
    <cfRule type="dataBar" priority="246">
      <dataBar>
        <cfvo type="min"/>
        <cfvo type="max"/>
        <color rgb="FF63C384"/>
      </dataBar>
      <extLst>
        <ext xmlns:x14="http://schemas.microsoft.com/office/spreadsheetml/2009/9/main" uri="{B025F937-C7B1-47D3-B67F-A62EFF666E3E}">
          <x14:id>{5AA7A103-2149-42E1-9BBB-48A01258D43D}</x14:id>
        </ext>
      </extLst>
    </cfRule>
  </conditionalFormatting>
  <conditionalFormatting sqref="F5:F8">
    <cfRule type="dataBar" priority="149">
      <dataBar>
        <cfvo type="min"/>
        <cfvo type="max"/>
        <color rgb="FF63C384"/>
      </dataBar>
      <extLst>
        <ext xmlns:x14="http://schemas.microsoft.com/office/spreadsheetml/2009/9/main" uri="{B025F937-C7B1-47D3-B67F-A62EFF666E3E}">
          <x14:id>{5EFE30C4-0901-404E-9108-731E3BE4821E}</x14:id>
        </ext>
      </extLst>
    </cfRule>
  </conditionalFormatting>
  <conditionalFormatting sqref="F14:F16">
    <cfRule type="dataBar" priority="247">
      <dataBar>
        <cfvo type="min"/>
        <cfvo type="max"/>
        <color rgb="FF63C384"/>
      </dataBar>
      <extLst>
        <ext xmlns:x14="http://schemas.microsoft.com/office/spreadsheetml/2009/9/main" uri="{B025F937-C7B1-47D3-B67F-A62EFF666E3E}">
          <x14:id>{5EE1521A-2483-44CA-9CCA-E5FC63E6246F}</x14:id>
        </ext>
      </extLst>
    </cfRule>
  </conditionalFormatting>
  <conditionalFormatting sqref="G5:G8">
    <cfRule type="dataBar" priority="151">
      <dataBar>
        <cfvo type="min"/>
        <cfvo type="max"/>
        <color rgb="FF63C384"/>
      </dataBar>
      <extLst>
        <ext xmlns:x14="http://schemas.microsoft.com/office/spreadsheetml/2009/9/main" uri="{B025F937-C7B1-47D3-B67F-A62EFF666E3E}">
          <x14:id>{A1F44ECC-EF2B-4606-87E9-B7F443AC18BF}</x14:id>
        </ext>
      </extLst>
    </cfRule>
  </conditionalFormatting>
  <conditionalFormatting sqref="G14:G16">
    <cfRule type="dataBar" priority="248">
      <dataBar>
        <cfvo type="min"/>
        <cfvo type="max"/>
        <color rgb="FF63C384"/>
      </dataBar>
      <extLst>
        <ext xmlns:x14="http://schemas.microsoft.com/office/spreadsheetml/2009/9/main" uri="{B025F937-C7B1-47D3-B67F-A62EFF666E3E}">
          <x14:id>{00DC50B7-1706-4DFB-A90F-9F95CB19CA6D}</x14:id>
        </ext>
      </extLst>
    </cfRule>
  </conditionalFormatting>
  <conditionalFormatting sqref="H5:H8">
    <cfRule type="dataBar" priority="153">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4:H16">
    <cfRule type="dataBar" priority="249">
      <dataBar>
        <cfvo type="min"/>
        <cfvo type="max"/>
        <color rgb="FF63C384"/>
      </dataBar>
      <extLst>
        <ext xmlns:x14="http://schemas.microsoft.com/office/spreadsheetml/2009/9/main" uri="{B025F937-C7B1-47D3-B67F-A62EFF666E3E}">
          <x14:id>{EED505F4-1AE5-4E85-A25F-1DAC1EADC97D}</x14:id>
        </ext>
      </extLst>
    </cfRule>
  </conditionalFormatting>
  <conditionalFormatting sqref="I5:I8">
    <cfRule type="dataBar" priority="155">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4:I16">
    <cfRule type="dataBar" priority="250">
      <dataBar>
        <cfvo type="min"/>
        <cfvo type="max"/>
        <color rgb="FF63C384"/>
      </dataBar>
      <extLst>
        <ext xmlns:x14="http://schemas.microsoft.com/office/spreadsheetml/2009/9/main" uri="{B025F937-C7B1-47D3-B67F-A62EFF666E3E}">
          <x14:id>{A192D211-7CF8-4DE2-A7D7-7E84CEAE76AC}</x14:id>
        </ext>
      </extLst>
    </cfRule>
  </conditionalFormatting>
  <conditionalFormatting sqref="K5:K8">
    <cfRule type="dataBar" priority="157">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4:K16">
    <cfRule type="dataBar" priority="225">
      <dataBar>
        <cfvo type="min"/>
        <cfvo type="max"/>
        <color rgb="FF63C384"/>
      </dataBar>
      <extLst>
        <ext xmlns:x14="http://schemas.microsoft.com/office/spreadsheetml/2009/9/main" uri="{B025F937-C7B1-47D3-B67F-A62EFF666E3E}">
          <x14:id>{60785AC6-7D44-400D-A2D8-9BBBDC5C548B}</x14:id>
        </ext>
      </extLst>
    </cfRule>
  </conditionalFormatting>
  <conditionalFormatting sqref="K14:O16">
    <cfRule type="dataBar" priority="226">
      <dataBar>
        <cfvo type="min"/>
        <cfvo type="max"/>
        <color rgb="FF63C384"/>
      </dataBar>
      <extLst>
        <ext xmlns:x14="http://schemas.microsoft.com/office/spreadsheetml/2009/9/main" uri="{B025F937-C7B1-47D3-B67F-A62EFF666E3E}">
          <x14:id>{BE9D279A-ADD8-46F4-B26E-577DEFFA037B}</x14:id>
        </ext>
      </extLst>
    </cfRule>
    <cfRule type="dataBar" priority="251">
      <dataBar>
        <cfvo type="min"/>
        <cfvo type="max"/>
        <color rgb="FF63C384"/>
      </dataBar>
      <extLst>
        <ext xmlns:x14="http://schemas.microsoft.com/office/spreadsheetml/2009/9/main" uri="{B025F937-C7B1-47D3-B67F-A62EFF666E3E}">
          <x14:id>{CBC457F7-3DB8-46A0-988B-11CCF8FF31E5}</x14:id>
        </ext>
      </extLst>
    </cfRule>
    <cfRule type="dataBar" priority="252">
      <dataBar>
        <cfvo type="min"/>
        <cfvo type="max"/>
        <color rgb="FF63C384"/>
      </dataBar>
      <extLst>
        <ext xmlns:x14="http://schemas.microsoft.com/office/spreadsheetml/2009/9/main" uri="{B025F937-C7B1-47D3-B67F-A62EFF666E3E}">
          <x14:id>{589E11FE-E342-4D21-9EB3-CB0F15AE87A6}</x14:id>
        </ext>
      </extLst>
    </cfRule>
  </conditionalFormatting>
  <conditionalFormatting sqref="K5:P6">
    <cfRule type="dataBar" priority="159">
      <dataBar>
        <cfvo type="min"/>
        <cfvo type="max"/>
        <color rgb="FF63C384"/>
      </dataBar>
      <extLst>
        <ext xmlns:x14="http://schemas.microsoft.com/office/spreadsheetml/2009/9/main" uri="{B025F937-C7B1-47D3-B67F-A62EFF666E3E}">
          <x14:id>{1642E512-5328-4DB9-81F4-5A67EFFA2D7A}</x14:id>
        </ext>
      </extLst>
    </cfRule>
    <cfRule type="dataBar" priority="160">
      <dataBar>
        <cfvo type="min"/>
        <cfvo type="max"/>
        <color rgb="FF63C384"/>
      </dataBar>
      <extLst>
        <ext xmlns:x14="http://schemas.microsoft.com/office/spreadsheetml/2009/9/main" uri="{B025F937-C7B1-47D3-B67F-A62EFF666E3E}">
          <x14:id>{5832A442-CC22-41FC-AD17-86122538435B}</x14:id>
        </ext>
      </extLst>
    </cfRule>
  </conditionalFormatting>
  <conditionalFormatting sqref="K14:P16">
    <cfRule type="dataBar" priority="231">
      <dataBar>
        <cfvo type="min"/>
        <cfvo type="max"/>
        <color rgb="FF63C384"/>
      </dataBar>
      <extLst>
        <ext xmlns:x14="http://schemas.microsoft.com/office/spreadsheetml/2009/9/main" uri="{B025F937-C7B1-47D3-B67F-A62EFF666E3E}">
          <x14:id>{A85696C3-3FD4-4347-BBC8-6CEF041D9BC2}</x14:id>
        </ext>
      </extLst>
    </cfRule>
    <cfRule type="dataBar" priority="253">
      <dataBar>
        <cfvo type="min"/>
        <cfvo type="max"/>
        <color rgb="FF63C384"/>
      </dataBar>
      <extLst>
        <ext xmlns:x14="http://schemas.microsoft.com/office/spreadsheetml/2009/9/main" uri="{B025F937-C7B1-47D3-B67F-A62EFF666E3E}">
          <x14:id>{EC7F1560-4E75-4756-AE37-09B82982D1AB}</x14:id>
        </ext>
      </extLst>
    </cfRule>
    <cfRule type="dataBar" priority="232">
      <dataBar>
        <cfvo type="min"/>
        <cfvo type="max"/>
        <color rgb="FF63C384"/>
      </dataBar>
      <extLst>
        <ext xmlns:x14="http://schemas.microsoft.com/office/spreadsheetml/2009/9/main" uri="{B025F937-C7B1-47D3-B67F-A62EFF666E3E}">
          <x14:id>{4CBCF4A4-EFBB-41F0-984E-0C4EF2D8C81C}</x14:id>
        </ext>
      </extLst>
    </cfRule>
    <cfRule type="dataBar" priority="233">
      <dataBar>
        <cfvo type="min"/>
        <cfvo type="max"/>
        <color rgb="FF63C384"/>
      </dataBar>
      <extLst>
        <ext xmlns:x14="http://schemas.microsoft.com/office/spreadsheetml/2009/9/main" uri="{B025F937-C7B1-47D3-B67F-A62EFF666E3E}">
          <x14:id>{9095667E-69EE-4811-BEDE-AFA010708C3B}</x14:id>
        </ext>
      </extLst>
    </cfRule>
    <cfRule type="dataBar" priority="234">
      <dataBar>
        <cfvo type="min"/>
        <cfvo type="max"/>
        <color rgb="FF63C384"/>
      </dataBar>
      <extLst>
        <ext xmlns:x14="http://schemas.microsoft.com/office/spreadsheetml/2009/9/main" uri="{B025F937-C7B1-47D3-B67F-A62EFF666E3E}">
          <x14:id>{00030478-9DDE-4C48-B970-8BFEEA7887D7}</x14:id>
        </ext>
      </extLst>
    </cfRule>
  </conditionalFormatting>
  <conditionalFormatting sqref="L5:L8">
    <cfRule type="dataBar" priority="161">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4:L16">
    <cfRule type="dataBar" priority="237">
      <dataBar>
        <cfvo type="min"/>
        <cfvo type="max"/>
        <color rgb="FF63C384"/>
      </dataBar>
      <extLst>
        <ext xmlns:x14="http://schemas.microsoft.com/office/spreadsheetml/2009/9/main" uri="{B025F937-C7B1-47D3-B67F-A62EFF666E3E}">
          <x14:id>{4BEF7755-0998-42F9-BE2B-3DDE71DD6879}</x14:id>
        </ext>
      </extLst>
    </cfRule>
  </conditionalFormatting>
  <conditionalFormatting sqref="M7:M8">
    <cfRule type="dataBar" priority="53">
      <dataBar>
        <cfvo type="min"/>
        <cfvo type="max"/>
        <color rgb="FF63C384"/>
      </dataBar>
      <extLst>
        <ext xmlns:x14="http://schemas.microsoft.com/office/spreadsheetml/2009/9/main" uri="{B025F937-C7B1-47D3-B67F-A62EFF666E3E}">
          <x14:id>{CF921376-951B-44A1-A35C-F489AA25CABD}</x14:id>
        </ext>
      </extLst>
    </cfRule>
  </conditionalFormatting>
  <conditionalFormatting sqref="M16">
    <cfRule type="dataBar" priority="238">
      <dataBar>
        <cfvo type="min"/>
        <cfvo type="max"/>
        <color rgb="FF63C384"/>
      </dataBar>
      <extLst>
        <ext xmlns:x14="http://schemas.microsoft.com/office/spreadsheetml/2009/9/main" uri="{B025F937-C7B1-47D3-B67F-A62EFF666E3E}">
          <x14:id>{56FDBD16-DDEB-4D7A-98AA-9D8D76CB1BBA}</x14:id>
        </ext>
      </extLst>
    </cfRule>
  </conditionalFormatting>
  <conditionalFormatting sqref="M5:P6">
    <cfRule type="dataBar" priority="163">
      <dataBar>
        <cfvo type="min"/>
        <cfvo type="max"/>
        <color rgb="FF63C384"/>
      </dataBar>
      <extLst>
        <ext xmlns:x14="http://schemas.microsoft.com/office/spreadsheetml/2009/9/main" uri="{B025F937-C7B1-47D3-B67F-A62EFF666E3E}">
          <x14:id>{418255D3-2B96-41A9-9582-87939D7FAE81}</x14:id>
        </ext>
      </extLst>
    </cfRule>
  </conditionalFormatting>
  <conditionalFormatting sqref="N7:N8">
    <cfRule type="dataBar" priority="52">
      <dataBar>
        <cfvo type="min"/>
        <cfvo type="max"/>
        <color rgb="FF63C384"/>
      </dataBar>
      <extLst>
        <ext xmlns:x14="http://schemas.microsoft.com/office/spreadsheetml/2009/9/main" uri="{B025F937-C7B1-47D3-B67F-A62EFF666E3E}">
          <x14:id>{13101FF6-2EA7-4030-B4D6-DA0DA1C2F6A6}</x14:id>
        </ext>
      </extLst>
    </cfRule>
  </conditionalFormatting>
  <conditionalFormatting sqref="N14:N16">
    <cfRule type="dataBar" priority="239">
      <dataBar>
        <cfvo type="min"/>
        <cfvo type="max"/>
        <color rgb="FF63C384"/>
      </dataBar>
      <extLst>
        <ext xmlns:x14="http://schemas.microsoft.com/office/spreadsheetml/2009/9/main" uri="{B025F937-C7B1-47D3-B67F-A62EFF666E3E}">
          <x14:id>{E359D2BF-B4C7-4D3A-9103-4CBEE70A31B4}</x14:id>
        </ext>
      </extLst>
    </cfRule>
  </conditionalFormatting>
  <conditionalFormatting sqref="O7:O8">
    <cfRule type="dataBar" priority="51">
      <dataBar>
        <cfvo type="min"/>
        <cfvo type="max"/>
        <color rgb="FF63C384"/>
      </dataBar>
      <extLst>
        <ext xmlns:x14="http://schemas.microsoft.com/office/spreadsheetml/2009/9/main" uri="{B025F937-C7B1-47D3-B67F-A62EFF666E3E}">
          <x14:id>{1F18C40A-A33A-4D0B-B57F-47D9D6CF0D64}</x14:id>
        </ext>
      </extLst>
    </cfRule>
  </conditionalFormatting>
  <conditionalFormatting sqref="O14:O16">
    <cfRule type="dataBar" priority="240">
      <dataBar>
        <cfvo type="min"/>
        <cfvo type="max"/>
        <color rgb="FF63C384"/>
      </dataBar>
      <extLst>
        <ext xmlns:x14="http://schemas.microsoft.com/office/spreadsheetml/2009/9/main" uri="{B025F937-C7B1-47D3-B67F-A62EFF666E3E}">
          <x14:id>{26AC0999-7FF4-4431-B91F-7A7C0E85B670}</x14:id>
        </ext>
      </extLst>
    </cfRule>
  </conditionalFormatting>
  <conditionalFormatting sqref="P7:P8">
    <cfRule type="dataBar" priority="50">
      <dataBar>
        <cfvo type="min"/>
        <cfvo type="max"/>
        <color rgb="FF63C384"/>
      </dataBar>
      <extLst>
        <ext xmlns:x14="http://schemas.microsoft.com/office/spreadsheetml/2009/9/main" uri="{B025F937-C7B1-47D3-B67F-A62EFF666E3E}">
          <x14:id>{BA11135A-0895-4A01-87D0-A486C9D5843C}</x14:id>
        </ext>
      </extLst>
    </cfRule>
  </conditionalFormatting>
  <conditionalFormatting sqref="P14:P16">
    <cfRule type="dataBar" priority="241">
      <dataBar>
        <cfvo type="min"/>
        <cfvo type="max"/>
        <color rgb="FF63C384"/>
      </dataBar>
      <extLst>
        <ext xmlns:x14="http://schemas.microsoft.com/office/spreadsheetml/2009/9/main" uri="{B025F937-C7B1-47D3-B67F-A62EFF666E3E}">
          <x14:id>{00154FAC-2C70-4EF2-A308-BA8404420986}</x14:id>
        </ext>
      </extLst>
    </cfRule>
  </conditionalFormatting>
  <hyperlinks>
    <hyperlink ref="B31:C31" r:id="rId1" display="Statista" xr:uid="{7300F827-1DAB-42C7-9AFF-12F8CEFBC182}"/>
    <hyperlink ref="B32:C32" r:id="rId2" display="Grand View Reseacrh" xr:uid="{61B6A600-F693-4C99-AC47-9C1C5AC55234}"/>
    <hyperlink ref="B33:C33" r:id="rId3" display="Precedence Research" xr:uid="{F898D506-2127-4808-8F9A-238E2100F8FB}"/>
  </hyperlinks>
  <pageMargins left="0.75" right="0.75" top="1" bottom="1" header="0" footer="0"/>
  <pageSetup orientation="landscape" r:id="rId4"/>
  <headerFooter alignWithMargins="0"/>
  <drawing r:id="rId5"/>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B5:B8</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B14:B16</xm:sqref>
        </x14:conditionalFormatting>
        <x14:conditionalFormatting xmlns:xm="http://schemas.microsoft.com/office/excel/2006/main">
          <x14:cfRule type="dataBar" id="{767D33FE-8570-4B26-81B7-5505E2A08A62}">
            <x14:dataBar minLength="0" maxLength="100" gradient="0">
              <x14:cfvo type="autoMin"/>
              <x14:cfvo type="autoMax"/>
              <x14:negativeFillColor rgb="FFFF0000"/>
              <x14:axisColor rgb="FF000000"/>
            </x14:dataBar>
          </x14:cfRule>
          <xm:sqref>D5:D8</xm:sqref>
        </x14:conditionalFormatting>
        <x14:conditionalFormatting xmlns:xm="http://schemas.microsoft.com/office/excel/2006/main">
          <x14:cfRule type="dataBar" id="{3F107DCC-63A1-497B-B919-528218A545C1}">
            <x14:dataBar minLength="0" maxLength="100" gradient="0">
              <x14:cfvo type="autoMin"/>
              <x14:cfvo type="autoMax"/>
              <x14:negativeFillColor rgb="FFFF0000"/>
              <x14:axisColor rgb="FF000000"/>
            </x14:dataBar>
          </x14:cfRule>
          <xm:sqref>D14:D16</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D5:I6</xm:sqref>
        </x14:conditionalFormatting>
        <x14:conditionalFormatting xmlns:xm="http://schemas.microsoft.com/office/excel/2006/main">
          <x14:cfRule type="dataBar" id="{5BBC426E-7FA9-4F5C-AC78-B3996BA8F931}">
            <x14:dataBar minLength="0" maxLength="100" gradient="0">
              <x14:cfvo type="autoMin"/>
              <x14:cfvo type="autoMax"/>
              <x14:negativeFillColor rgb="FFFF0000"/>
              <x14:axisColor rgb="FF000000"/>
            </x14:dataBar>
          </x14:cfRule>
          <xm:sqref>D14:I16</xm:sqref>
        </x14:conditionalFormatting>
        <x14:conditionalFormatting xmlns:xm="http://schemas.microsoft.com/office/excel/2006/main">
          <x14:cfRule type="dataBar" id="{740A2B96-C6E5-4177-AC04-9573B81E30EC}">
            <x14:dataBar minLength="0" maxLength="100" gradient="0">
              <x14:cfvo type="autoMin"/>
              <x14:cfvo type="autoMax"/>
              <x14:negativeFillColor rgb="FFFF0000"/>
              <x14:axisColor rgb="FF000000"/>
            </x14:dataBar>
          </x14:cfRule>
          <xm:sqref>E5:E8</xm:sqref>
        </x14:conditionalFormatting>
        <x14:conditionalFormatting xmlns:xm="http://schemas.microsoft.com/office/excel/2006/main">
          <x14:cfRule type="dataBar" id="{5AA7A103-2149-42E1-9BBB-48A01258D43D}">
            <x14:dataBar minLength="0" maxLength="100" gradient="0">
              <x14:cfvo type="autoMin"/>
              <x14:cfvo type="autoMax"/>
              <x14:negativeFillColor rgb="FFFF0000"/>
              <x14:axisColor rgb="FF000000"/>
            </x14:dataBar>
          </x14:cfRule>
          <xm:sqref>E14:E16</xm:sqref>
        </x14:conditionalFormatting>
        <x14:conditionalFormatting xmlns:xm="http://schemas.microsoft.com/office/excel/2006/main">
          <x14:cfRule type="dataBar" id="{5EFE30C4-0901-404E-9108-731E3BE4821E}">
            <x14:dataBar minLength="0" maxLength="100" gradient="0">
              <x14:cfvo type="autoMin"/>
              <x14:cfvo type="autoMax"/>
              <x14:negativeFillColor rgb="FFFF0000"/>
              <x14:axisColor rgb="FF000000"/>
            </x14:dataBar>
          </x14:cfRule>
          <xm:sqref>F5:F8</xm:sqref>
        </x14:conditionalFormatting>
        <x14:conditionalFormatting xmlns:xm="http://schemas.microsoft.com/office/excel/2006/main">
          <x14:cfRule type="dataBar" id="{5EE1521A-2483-44CA-9CCA-E5FC63E6246F}">
            <x14:dataBar minLength="0" maxLength="100" gradient="0">
              <x14:cfvo type="autoMin"/>
              <x14:cfvo type="autoMax"/>
              <x14:negativeFillColor rgb="FFFF0000"/>
              <x14:axisColor rgb="FF000000"/>
            </x14:dataBar>
          </x14:cfRule>
          <xm:sqref>F14:F16</xm:sqref>
        </x14:conditionalFormatting>
        <x14:conditionalFormatting xmlns:xm="http://schemas.microsoft.com/office/excel/2006/main">
          <x14:cfRule type="dataBar" id="{A1F44ECC-EF2B-4606-87E9-B7F443AC18BF}">
            <x14:dataBar minLength="0" maxLength="100" gradient="0">
              <x14:cfvo type="autoMin"/>
              <x14:cfvo type="autoMax"/>
              <x14:negativeFillColor rgb="FFFF0000"/>
              <x14:axisColor rgb="FF000000"/>
            </x14:dataBar>
          </x14:cfRule>
          <xm:sqref>G5:G8</xm:sqref>
        </x14:conditionalFormatting>
        <x14:conditionalFormatting xmlns:xm="http://schemas.microsoft.com/office/excel/2006/main">
          <x14:cfRule type="dataBar" id="{00DC50B7-1706-4DFB-A90F-9F95CB19CA6D}">
            <x14:dataBar minLength="0" maxLength="100" gradient="0">
              <x14:cfvo type="autoMin"/>
              <x14:cfvo type="autoMax"/>
              <x14:negativeFillColor rgb="FFFF0000"/>
              <x14:axisColor rgb="FF000000"/>
            </x14:dataBar>
          </x14:cfRule>
          <xm:sqref>G14:G16</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H5:H8</xm:sqref>
        </x14:conditionalFormatting>
        <x14:conditionalFormatting xmlns:xm="http://schemas.microsoft.com/office/excel/2006/main">
          <x14:cfRule type="dataBar" id="{EED505F4-1AE5-4E85-A25F-1DAC1EADC97D}">
            <x14:dataBar minLength="0" maxLength="100" gradient="0">
              <x14:cfvo type="autoMin"/>
              <x14:cfvo type="autoMax"/>
              <x14:negativeFillColor rgb="FFFF0000"/>
              <x14:axisColor rgb="FF000000"/>
            </x14:dataBar>
          </x14:cfRule>
          <xm:sqref>H14:H16</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I5:I8</xm:sqref>
        </x14:conditionalFormatting>
        <x14:conditionalFormatting xmlns:xm="http://schemas.microsoft.com/office/excel/2006/main">
          <x14:cfRule type="dataBar" id="{A192D211-7CF8-4DE2-A7D7-7E84CEAE76AC}">
            <x14:dataBar minLength="0" maxLength="100" gradient="0">
              <x14:cfvo type="autoMin"/>
              <x14:cfvo type="autoMax"/>
              <x14:negativeFillColor rgb="FFFF0000"/>
              <x14:axisColor rgb="FF000000"/>
            </x14:dataBar>
          </x14:cfRule>
          <xm:sqref>I14:I16</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K5:K8</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K14:K16</xm:sqref>
        </x14:conditionalFormatting>
        <x14:conditionalFormatting xmlns:xm="http://schemas.microsoft.com/office/excel/2006/main">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14:cfRule type="dataBar" id="{589E11FE-E342-4D21-9EB3-CB0F15AE87A6}">
            <x14:dataBar minLength="0" maxLength="100" gradient="0">
              <x14:cfvo type="autoMin"/>
              <x14:cfvo type="autoMax"/>
              <x14:negativeFillColor rgb="FFFF0000"/>
              <x14:axisColor rgb="FF000000"/>
            </x14:dataBar>
          </x14:cfRule>
          <xm:sqref>K14:O16</xm:sqref>
        </x14:conditionalFormatting>
        <x14:conditionalFormatting xmlns:xm="http://schemas.microsoft.com/office/excel/2006/main">
          <x14:cfRule type="dataBar" id="{1642E512-5328-4DB9-81F4-5A67EFFA2D7A}">
            <x14:dataBar minLength="0" maxLength="100" gradient="0">
              <x14:cfvo type="autoMin"/>
              <x14:cfvo type="autoMax"/>
              <x14:negativeFillColor rgb="FFFF0000"/>
              <x14:axisColor rgb="FF000000"/>
            </x14:dataBar>
          </x14:cfRule>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m:sqref>K5:P6</xm:sqref>
        </x14:conditionalFormatting>
        <x14:conditionalFormatting xmlns:xm="http://schemas.microsoft.com/office/excel/2006/main">
          <x14:cfRule type="dataBar" id="{A85696C3-3FD4-4347-BBC8-6CEF041D9BC2}">
            <x14:dataBar minLength="0" maxLength="100" gradient="0">
              <x14:cfvo type="autoMin"/>
              <x14:cfvo type="autoMax"/>
              <x14:negativeFillColor rgb="FFFF0000"/>
              <x14:axisColor rgb="FF000000"/>
            </x14:dataBar>
          </x14:cfRule>
          <x14:cfRule type="dataBar" id="{EC7F1560-4E75-4756-AE37-09B82982D1AB}">
            <x14:dataBar minLength="0" maxLength="100" gradient="0">
              <x14:cfvo type="autoMin"/>
              <x14:cfvo type="autoMax"/>
              <x14:negativeFill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14:cfRule type="dataBar" id="{9095667E-69EE-4811-BEDE-AFA010708C3B}">
            <x14:dataBar minLength="0" maxLength="100" gradient="0">
              <x14:cfvo type="autoMin"/>
              <x14:cfvo type="autoMax"/>
              <x14:negativeFillColor rgb="FFFF0000"/>
              <x14:axisColor rgb="FF000000"/>
            </x14:dataBar>
          </x14:cfRule>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m:sqref>K14:P16</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L5:L8</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L14:L16</xm:sqref>
        </x14:conditionalFormatting>
        <x14:conditionalFormatting xmlns:xm="http://schemas.microsoft.com/office/excel/2006/main">
          <x14:cfRule type="dataBar" id="{CF921376-951B-44A1-A35C-F489AA25CABD}">
            <x14:dataBar minLength="0" maxLength="100" gradient="0">
              <x14:cfvo type="autoMin"/>
              <x14:cfvo type="autoMax"/>
              <x14:negativeFillColor rgb="FFFF0000"/>
              <x14:axisColor rgb="FF000000"/>
            </x14:dataBar>
          </x14:cfRule>
          <xm:sqref>M7:M8</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M16</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M5:P6</xm:sqref>
        </x14:conditionalFormatting>
        <x14:conditionalFormatting xmlns:xm="http://schemas.microsoft.com/office/excel/2006/main">
          <x14:cfRule type="dataBar" id="{13101FF6-2EA7-4030-B4D6-DA0DA1C2F6A6}">
            <x14:dataBar minLength="0" maxLength="100" gradient="0">
              <x14:cfvo type="autoMin"/>
              <x14:cfvo type="autoMax"/>
              <x14:negativeFillColor rgb="FFFF0000"/>
              <x14:axisColor rgb="FF000000"/>
            </x14:dataBar>
          </x14:cfRule>
          <xm:sqref>N7:N8</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N14:N16</xm:sqref>
        </x14:conditionalFormatting>
        <x14:conditionalFormatting xmlns:xm="http://schemas.microsoft.com/office/excel/2006/main">
          <x14:cfRule type="dataBar" id="{1F18C40A-A33A-4D0B-B57F-47D9D6CF0D64}">
            <x14:dataBar minLength="0" maxLength="100" gradient="0">
              <x14:cfvo type="autoMin"/>
              <x14:cfvo type="autoMax"/>
              <x14:negativeFillColor rgb="FFFF0000"/>
              <x14:axisColor rgb="FF000000"/>
            </x14:dataBar>
          </x14:cfRule>
          <xm:sqref>O7:O8</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O14:O16</xm:sqref>
        </x14:conditionalFormatting>
        <x14:conditionalFormatting xmlns:xm="http://schemas.microsoft.com/office/excel/2006/main">
          <x14:cfRule type="dataBar" id="{BA11135A-0895-4A01-87D0-A486C9D5843C}">
            <x14:dataBar minLength="0" maxLength="100" gradient="0">
              <x14:cfvo type="autoMin"/>
              <x14:cfvo type="autoMax"/>
              <x14:negativeFillColor rgb="FFFF0000"/>
              <x14:axisColor rgb="FF000000"/>
            </x14:dataBar>
          </x14:cfRule>
          <xm:sqref>P7:P8</xm:sqref>
        </x14:conditionalFormatting>
        <x14:conditionalFormatting xmlns:xm="http://schemas.microsoft.com/office/excel/2006/main">
          <x14:cfRule type="dataBar" id="{00154FAC-2C70-4EF2-A308-BA8404420986}">
            <x14:dataBar minLength="0" maxLength="100" gradient="0">
              <x14:cfvo type="autoMin"/>
              <x14:cfvo type="autoMax"/>
              <x14:negativeFillColor rgb="FFFF0000"/>
              <x14:axisColor rgb="FF000000"/>
            </x14:dataBar>
          </x14:cfRule>
          <xm:sqref>P14:P16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3.15"/>
  <cols>
    <col min="1" max="1" width="27.140625" bestFit="1" customWidth="1"/>
  </cols>
  <sheetData>
    <row r="1" spans="1:1">
      <c r="A1" t="s">
        <v>206</v>
      </c>
    </row>
    <row r="2" spans="1:1">
      <c r="A2" t="s">
        <v>207</v>
      </c>
    </row>
    <row r="3" spans="1:1">
      <c r="A3" t="s">
        <v>208</v>
      </c>
    </row>
    <row r="4" spans="1:1">
      <c r="A4" t="s">
        <v>209</v>
      </c>
    </row>
    <row r="5" spans="1:1">
      <c r="A5" t="s">
        <v>210</v>
      </c>
    </row>
    <row r="6" spans="1:1">
      <c r="A6" s="10" t="s">
        <v>211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N78"/>
  <sheetViews>
    <sheetView showGridLines="0" topLeftCell="A2" zoomScaleNormal="100" workbookViewId="0">
      <pane xSplit="1" topLeftCell="B1" activePane="topRight" state="frozen"/>
      <selection pane="topRight" activeCell="G61" sqref="G61"/>
      <selection activeCell="A47" sqref="A47"/>
    </sheetView>
  </sheetViews>
  <sheetFormatPr defaultColWidth="11.42578125" defaultRowHeight="13.15"/>
  <cols>
    <col min="1" max="1" width="0.42578125" customWidth="1"/>
    <col min="2" max="2" width="37.7109375" bestFit="1" customWidth="1"/>
    <col min="3" max="4" width="32.140625" customWidth="1"/>
    <col min="5" max="5" width="33.42578125" customWidth="1"/>
    <col min="6" max="6" width="33.7109375" customWidth="1"/>
    <col min="7" max="7" width="32.140625" customWidth="1"/>
    <col min="8" max="8" width="33.28515625" hidden="1" customWidth="1"/>
    <col min="9" max="9" width="15.28515625" customWidth="1"/>
    <col min="10" max="10" width="10.7109375" customWidth="1"/>
  </cols>
  <sheetData>
    <row r="1" spans="2:14" ht="13.9">
      <c r="B1" s="194" t="s">
        <v>212</v>
      </c>
      <c r="C1" s="195" t="s">
        <v>213</v>
      </c>
      <c r="D1" s="1193" t="s">
        <v>179</v>
      </c>
      <c r="E1" s="1193"/>
      <c r="F1" s="1193"/>
      <c r="G1" s="1193"/>
      <c r="H1" s="1193"/>
    </row>
    <row r="2" spans="2:14" ht="114" customHeight="1">
      <c r="B2" s="196"/>
      <c r="C2" s="315" t="e" vm="8">
        <v>#VALUE!</v>
      </c>
      <c r="D2" s="1197" t="s">
        <v>214</v>
      </c>
      <c r="E2" s="1198"/>
      <c r="F2" s="1198"/>
      <c r="G2" s="1199"/>
      <c r="H2" s="838"/>
    </row>
    <row r="3" spans="2:14" ht="102.6" customHeight="1">
      <c r="B3" s="196"/>
      <c r="C3" s="316" t="e" vm="9">
        <v>#VALUE!</v>
      </c>
      <c r="D3" s="1197" t="s">
        <v>215</v>
      </c>
      <c r="E3" s="1198"/>
      <c r="F3" s="1198"/>
      <c r="G3" s="1199"/>
      <c r="H3" s="838"/>
    </row>
    <row r="4" spans="2:14" ht="99.6" customHeight="1">
      <c r="C4" s="317" t="e" vm="10">
        <v>#VALUE!</v>
      </c>
      <c r="D4" s="1197" t="s">
        <v>216</v>
      </c>
      <c r="E4" s="1198"/>
      <c r="F4" s="1198"/>
      <c r="G4" s="1199"/>
      <c r="H4" s="838"/>
    </row>
    <row r="5" spans="2:14" ht="106.15" customHeight="1">
      <c r="B5" s="196"/>
      <c r="C5" s="318" t="e" vm="11">
        <v>#VALUE!</v>
      </c>
      <c r="D5" s="1197" t="s">
        <v>217</v>
      </c>
      <c r="E5" s="1198"/>
      <c r="F5" s="1198"/>
      <c r="G5" s="1199"/>
      <c r="H5" s="838"/>
    </row>
    <row r="6" spans="2:14" ht="81.75" hidden="1" customHeight="1">
      <c r="B6" s="196"/>
      <c r="C6" s="655"/>
      <c r="D6" s="1194" t="e" cm="1" vm="2">
        <f t="array" ref="D6">_FV(C6,"Description")</f>
        <v>#VALUE!</v>
      </c>
      <c r="E6" s="1195"/>
      <c r="F6" s="1195"/>
      <c r="G6" s="1195"/>
      <c r="H6" s="1196"/>
      <c r="L6" s="2"/>
    </row>
    <row r="7" spans="2:14" ht="13.9" thickBot="1">
      <c r="B7" s="10"/>
    </row>
    <row r="8" spans="2:14" ht="57" customHeight="1" thickBot="1">
      <c r="B8" s="193" t="s">
        <v>218</v>
      </c>
      <c r="C8" s="310" t="str">
        <f>OP!E2</f>
        <v>UNITED PARCEL SERVICE, INC. (XNYS:UPS)</v>
      </c>
      <c r="D8" s="311" t="e" vm="8">
        <f>C2</f>
        <v>#VALUE!</v>
      </c>
      <c r="E8" s="312" t="e" vm="9">
        <f>C3</f>
        <v>#VALUE!</v>
      </c>
      <c r="F8" s="313" t="e" vm="10">
        <f>C4</f>
        <v>#VALUE!</v>
      </c>
      <c r="G8" s="497" t="e" vm="11">
        <f>C5</f>
        <v>#VALUE!</v>
      </c>
      <c r="H8" s="314">
        <f>C6</f>
        <v>0</v>
      </c>
      <c r="I8" s="189" t="s">
        <v>219</v>
      </c>
      <c r="J8" s="466" t="s">
        <v>220</v>
      </c>
    </row>
    <row r="9" spans="2:14" ht="16.5" customHeight="1" thickBot="1">
      <c r="B9" s="187" t="s">
        <v>221</v>
      </c>
      <c r="C9" s="171"/>
      <c r="D9" s="172"/>
      <c r="E9" s="172"/>
      <c r="F9" s="172"/>
      <c r="G9" s="172"/>
      <c r="H9" s="173"/>
      <c r="I9" s="174" t="str">
        <f t="shared" ref="I9" si="0">IFERROR(AVERAGE(C9:H9),"")</f>
        <v/>
      </c>
      <c r="J9" s="441"/>
      <c r="L9" s="1183" t="s">
        <v>222</v>
      </c>
      <c r="M9" s="1184"/>
      <c r="N9" s="1185"/>
    </row>
    <row r="10" spans="2:14" ht="13.5" customHeight="1" thickBot="1">
      <c r="B10" s="186" t="s">
        <v>223</v>
      </c>
      <c r="C10" s="169" t="e" cm="1" vm="12">
        <f t="array" ref="C10">_FV(C8,"Market cap",TRUE)/1000000</f>
        <v>#VALUE!</v>
      </c>
      <c r="D10" s="169">
        <v>65676</v>
      </c>
      <c r="E10" s="169">
        <v>43701</v>
      </c>
      <c r="F10" s="169">
        <v>12772</v>
      </c>
      <c r="G10" s="169">
        <v>12770</v>
      </c>
      <c r="H10" s="169" t="e" cm="1" vm="12">
        <f t="array" ref="H10">_FV(H8,"Market cap",TRUE)/1000000</f>
        <v>#VALUE!</v>
      </c>
      <c r="I10" s="425" t="str">
        <f>IFERROR(AVERAGE(C10:G10),"")</f>
        <v/>
      </c>
      <c r="J10" s="442" t="e" vm="6">
        <f>SQRT((C10-I10)^2)</f>
        <v>#VALUE!</v>
      </c>
      <c r="L10" s="1186"/>
      <c r="M10" s="1181" t="s">
        <v>224</v>
      </c>
      <c r="N10" s="1182"/>
    </row>
    <row r="11" spans="2:14" ht="13.9" thickBot="1">
      <c r="B11" s="395" t="s">
        <v>225</v>
      </c>
      <c r="C11" s="396">
        <f>C56</f>
        <v>90958</v>
      </c>
      <c r="D11" s="396">
        <f t="shared" ref="D11:H11" si="1">D56</f>
        <v>87693</v>
      </c>
      <c r="E11" s="396">
        <f t="shared" si="1"/>
        <v>90391.644799999995</v>
      </c>
      <c r="F11" s="396">
        <f t="shared" si="1"/>
        <v>7744</v>
      </c>
      <c r="G11" s="396">
        <f t="shared" si="1"/>
        <v>17596</v>
      </c>
      <c r="H11" s="396">
        <f t="shared" si="1"/>
        <v>0</v>
      </c>
      <c r="I11" s="425">
        <f t="shared" ref="I11:I50" si="2">IFERROR(AVERAGE(C11:G11),"")</f>
        <v>58876.528960000003</v>
      </c>
      <c r="J11" s="443">
        <f>SQRT((C11-I11)^2)</f>
        <v>32081.471039999997</v>
      </c>
      <c r="L11" s="1186"/>
      <c r="M11" s="1181"/>
      <c r="N11" s="1182"/>
    </row>
    <row r="12" spans="2:14" ht="16.5" customHeight="1" thickBot="1">
      <c r="B12" s="187" t="s">
        <v>226</v>
      </c>
      <c r="C12" s="192"/>
      <c r="D12" s="192"/>
      <c r="E12" s="192"/>
      <c r="F12" s="192"/>
      <c r="G12" s="192"/>
      <c r="H12" s="192"/>
      <c r="I12" s="192"/>
      <c r="J12" s="444"/>
      <c r="L12" s="1180"/>
      <c r="M12" s="1181" t="s">
        <v>227</v>
      </c>
      <c r="N12" s="1182"/>
    </row>
    <row r="13" spans="2:14" ht="13.9" thickBot="1">
      <c r="B13" s="186" t="s">
        <v>228</v>
      </c>
      <c r="C13" s="406">
        <f>C56/C55-1</f>
        <v>-9.3484023998883781E-2</v>
      </c>
      <c r="D13" s="406">
        <f t="shared" ref="D13:H13" si="3">D56/D55-1</f>
        <v>-2.7308524208307872E-2</v>
      </c>
      <c r="E13" s="406">
        <f t="shared" si="3"/>
        <v>-0.10711419184310578</v>
      </c>
      <c r="F13" s="406">
        <f t="shared" si="3"/>
        <v>3.3687483804094587E-3</v>
      </c>
      <c r="G13" s="406">
        <f t="shared" si="3"/>
        <v>-0.28752480058306673</v>
      </c>
      <c r="H13" s="406" t="e">
        <f t="shared" si="3"/>
        <v>#DIV/0!</v>
      </c>
      <c r="I13" s="426">
        <f t="shared" si="2"/>
        <v>-0.10241255845059094</v>
      </c>
      <c r="J13" s="445">
        <f t="shared" ref="J13:J18" si="4">SQRT((C13-I13)^2)</f>
        <v>8.9285344517071596E-3</v>
      </c>
      <c r="L13" s="1180"/>
      <c r="M13" s="1181"/>
      <c r="N13" s="1182"/>
    </row>
    <row r="14" spans="2:14" ht="13.9" thickBot="1">
      <c r="B14" s="397" t="s">
        <v>229</v>
      </c>
      <c r="C14" s="398">
        <f>C56/C54-1</f>
        <v>7.479793921633493E-2</v>
      </c>
      <c r="D14" s="398">
        <f t="shared" ref="D14:H14" si="5">D56/D54-1</f>
        <v>4.4474088543217549E-2</v>
      </c>
      <c r="E14" s="398">
        <f t="shared" si="5"/>
        <v>0.10909632176707884</v>
      </c>
      <c r="F14" s="398">
        <f t="shared" si="5"/>
        <v>0.25551232166018156</v>
      </c>
      <c r="G14" s="398">
        <f t="shared" si="5"/>
        <v>8.5703708274202484E-2</v>
      </c>
      <c r="H14" s="398" t="e">
        <f t="shared" si="5"/>
        <v>#DIV/0!</v>
      </c>
      <c r="I14" s="426">
        <f t="shared" si="2"/>
        <v>0.11391687589220308</v>
      </c>
      <c r="J14" s="446">
        <f t="shared" si="4"/>
        <v>3.9118936675868146E-2</v>
      </c>
      <c r="L14" s="1187"/>
      <c r="M14" s="1181" t="s">
        <v>230</v>
      </c>
      <c r="N14" s="1182"/>
    </row>
    <row r="15" spans="2:14" ht="13.9" thickBot="1">
      <c r="B15" s="407" t="s">
        <v>123</v>
      </c>
      <c r="C15" s="831">
        <f>C59/C56</f>
        <v>0.10049693265023417</v>
      </c>
      <c r="D15" s="408">
        <f t="shared" ref="D15:H15" si="6">D59/D56</f>
        <v>6.3391604803119977E-2</v>
      </c>
      <c r="E15" s="408">
        <f t="shared" si="6"/>
        <v>6.8030039873773818E-2</v>
      </c>
      <c r="F15" s="408">
        <f t="shared" si="6"/>
        <v>7.0118801652892568E-2</v>
      </c>
      <c r="G15" s="408">
        <f t="shared" si="6"/>
        <v>2.9268015458058648E-2</v>
      </c>
      <c r="H15" s="408" t="e">
        <f t="shared" si="6"/>
        <v>#DIV/0!</v>
      </c>
      <c r="I15" s="426">
        <f t="shared" si="2"/>
        <v>6.6261078887615829E-2</v>
      </c>
      <c r="J15" s="447">
        <f t="shared" si="4"/>
        <v>3.423585376261834E-2</v>
      </c>
      <c r="L15" s="1188"/>
      <c r="M15" s="1189"/>
      <c r="N15" s="1190"/>
    </row>
    <row r="16" spans="2:14" ht="13.9" thickBot="1">
      <c r="B16" s="397" t="s">
        <v>231</v>
      </c>
      <c r="C16" s="398">
        <f>C62/C56</f>
        <v>7.3748323402009722E-2</v>
      </c>
      <c r="D16" s="398">
        <f t="shared" ref="D16:H16" si="7">D62/D56</f>
        <v>4.9388206584333981E-2</v>
      </c>
      <c r="E16" s="398">
        <f t="shared" si="7"/>
        <v>4.8129846620514206E-2</v>
      </c>
      <c r="F16" s="398">
        <f t="shared" si="7"/>
        <v>2.4405991735537189E-2</v>
      </c>
      <c r="G16" s="398">
        <f t="shared" si="7"/>
        <v>5.3478063196180953E-2</v>
      </c>
      <c r="H16" s="398" t="e">
        <f t="shared" si="7"/>
        <v>#DIV/0!</v>
      </c>
      <c r="I16" s="426">
        <f t="shared" si="2"/>
        <v>4.983008630771521E-2</v>
      </c>
      <c r="J16" s="446">
        <f t="shared" si="4"/>
        <v>2.3918237094294512E-2</v>
      </c>
    </row>
    <row r="17" spans="1:10" ht="13.9" thickBot="1">
      <c r="B17" s="407" t="s">
        <v>232</v>
      </c>
      <c r="C17" s="408">
        <f>C62/C74</f>
        <v>0.3875944356970546</v>
      </c>
      <c r="D17" s="408">
        <f t="shared" ref="D17:H17" si="8">D62/D74</f>
        <v>0.15702269596113408</v>
      </c>
      <c r="E17" s="408">
        <f t="shared" si="8"/>
        <v>0.17190913062472699</v>
      </c>
      <c r="F17" s="408">
        <f t="shared" si="8"/>
        <v>0.14928909952606634</v>
      </c>
      <c r="G17" s="850">
        <f t="shared" si="8"/>
        <v>0.6631430584918957</v>
      </c>
      <c r="H17" s="408" t="e">
        <f t="shared" si="8"/>
        <v>#DIV/0!</v>
      </c>
      <c r="I17" s="426">
        <f t="shared" si="2"/>
        <v>0.30579168406017559</v>
      </c>
      <c r="J17" s="447">
        <f t="shared" si="4"/>
        <v>8.1802751636879001E-2</v>
      </c>
    </row>
    <row r="18" spans="1:10" ht="13.9" thickBot="1">
      <c r="B18" s="395" t="s">
        <v>233</v>
      </c>
      <c r="C18" s="832">
        <f>(1+C61/(C59+C60))*C59/(C73+C74-C65)</f>
        <v>0.17517705399105549</v>
      </c>
      <c r="D18" s="399">
        <f t="shared" ref="D18:H18" si="9">(1+D61/(D59+D60))*D59/(D73+D74-D65)</f>
        <v>6.709407084593097E-2</v>
      </c>
      <c r="E18" s="399">
        <f t="shared" si="9"/>
        <v>9.3277210938948127E-2</v>
      </c>
      <c r="F18" s="399">
        <f t="shared" si="9"/>
        <v>8.9497886047916253E-2</v>
      </c>
      <c r="G18" s="399">
        <f t="shared" si="9"/>
        <v>7.1621304995200544E-2</v>
      </c>
      <c r="H18" s="399" t="e">
        <f t="shared" si="9"/>
        <v>#DIV/0!</v>
      </c>
      <c r="I18" s="426">
        <f t="shared" si="2"/>
        <v>9.9333505363810276E-2</v>
      </c>
      <c r="J18" s="448">
        <f t="shared" si="4"/>
        <v>7.5843548627245211E-2</v>
      </c>
    </row>
    <row r="19" spans="1:10" ht="16.149999999999999" thickBot="1">
      <c r="B19" s="187" t="s">
        <v>234</v>
      </c>
      <c r="C19" s="192"/>
      <c r="D19" s="192"/>
      <c r="E19" s="192"/>
      <c r="F19" s="192"/>
      <c r="G19" s="192"/>
      <c r="H19" s="192"/>
      <c r="I19" s="192"/>
      <c r="J19" s="444"/>
    </row>
    <row r="20" spans="1:10" ht="13.9" thickBot="1">
      <c r="B20" s="186" t="s">
        <v>68</v>
      </c>
      <c r="C20" s="409">
        <f>C73/C70</f>
        <v>0.3772245508559493</v>
      </c>
      <c r="D20" s="409">
        <f t="shared" ref="D20:H20" si="10">D73/D70</f>
        <v>0.4335168434723643</v>
      </c>
      <c r="E20" s="409">
        <f t="shared" si="10"/>
        <v>0.31174604124884009</v>
      </c>
      <c r="F20" s="409">
        <f t="shared" si="10"/>
        <v>0.54898558462359848</v>
      </c>
      <c r="G20" s="409">
        <f t="shared" si="10"/>
        <v>0.3737799043062201</v>
      </c>
      <c r="H20" s="409" t="e">
        <f t="shared" si="10"/>
        <v>#DIV/0!</v>
      </c>
      <c r="I20" s="428">
        <f t="shared" si="2"/>
        <v>0.40905058490139445</v>
      </c>
      <c r="J20" s="449">
        <f>SQRT((C20-I20)^2)</f>
        <v>3.1826034045445151E-2</v>
      </c>
    </row>
    <row r="21" spans="1:10" ht="13.9" thickBot="1">
      <c r="B21" s="397" t="s">
        <v>235</v>
      </c>
      <c r="C21" s="400">
        <f>(C73-C65)/C58</f>
        <v>1.8807867594147278</v>
      </c>
      <c r="D21" s="401">
        <f t="shared" ref="D21:H21" si="11">(D73-D65)/D58</f>
        <v>2.8724696356275303</v>
      </c>
      <c r="E21" s="401">
        <f t="shared" si="11"/>
        <v>1.584870848708487</v>
      </c>
      <c r="F21" s="851">
        <f t="shared" si="11"/>
        <v>4.3034883720930228</v>
      </c>
      <c r="G21" s="401">
        <f t="shared" si="11"/>
        <v>2.9446254071661238</v>
      </c>
      <c r="H21" s="401" t="e">
        <f t="shared" si="11"/>
        <v>#DIV/0!</v>
      </c>
      <c r="I21" s="428">
        <f t="shared" si="2"/>
        <v>2.7172482046019786</v>
      </c>
      <c r="J21" s="450">
        <f>SQRT((C21-I21)^2)</f>
        <v>0.83646144518725074</v>
      </c>
    </row>
    <row r="22" spans="1:10" ht="13.9" thickBot="1">
      <c r="B22" s="410" t="s">
        <v>236</v>
      </c>
      <c r="C22" s="422">
        <f t="shared" ref="C22:H22" si="12">-C58/C60</f>
        <v>22.0193661971831</v>
      </c>
      <c r="D22" s="422">
        <f t="shared" si="12"/>
        <v>28.981333333333332</v>
      </c>
      <c r="E22" s="422">
        <f t="shared" si="12"/>
        <v>14.609164420485175</v>
      </c>
      <c r="F22" s="422">
        <f t="shared" si="12"/>
        <v>5.1190476190476186</v>
      </c>
      <c r="G22" s="422">
        <f t="shared" si="12"/>
        <v>5.8476190476190473</v>
      </c>
      <c r="H22" s="422" t="e">
        <f t="shared" si="12"/>
        <v>#DIV/0!</v>
      </c>
      <c r="I22" s="428">
        <f t="shared" si="2"/>
        <v>15.315306123533654</v>
      </c>
      <c r="J22" s="451">
        <f>SQRT((C22-I22)^2)</f>
        <v>6.7040600736494458</v>
      </c>
    </row>
    <row r="23" spans="1:10" ht="16.149999999999999" thickBot="1">
      <c r="B23" s="187" t="s">
        <v>237</v>
      </c>
      <c r="C23" s="192"/>
      <c r="D23" s="192"/>
      <c r="E23" s="192"/>
      <c r="F23" s="192"/>
      <c r="G23" s="192"/>
      <c r="H23" s="192"/>
      <c r="I23" s="192"/>
      <c r="J23" s="444"/>
    </row>
    <row r="24" spans="1:10" ht="13.9" thickBot="1">
      <c r="B24" s="402" t="s">
        <v>238</v>
      </c>
      <c r="C24" s="403">
        <f>C68/C72</f>
        <v>1.0982688391038697</v>
      </c>
      <c r="D24" s="403">
        <f t="shared" ref="D24:H24" si="13">D68/D72</f>
        <v>1.3633096218644702</v>
      </c>
      <c r="E24" s="403">
        <f t="shared" si="13"/>
        <v>0.94542859954728864</v>
      </c>
      <c r="F24" s="403">
        <f t="shared" si="13"/>
        <v>1.0018867924528303</v>
      </c>
      <c r="G24" s="403">
        <f t="shared" si="13"/>
        <v>1.4035087719298245</v>
      </c>
      <c r="H24" s="403" t="e">
        <f t="shared" si="13"/>
        <v>#DIV/0!</v>
      </c>
      <c r="I24" s="428">
        <f t="shared" si="2"/>
        <v>1.1624805249796568</v>
      </c>
      <c r="J24" s="452">
        <f>SQRT((C24-I24)^2)</f>
        <v>6.4211685875787072E-2</v>
      </c>
    </row>
    <row r="25" spans="1:10" ht="13.9" thickBot="1">
      <c r="B25" s="410" t="s">
        <v>239</v>
      </c>
      <c r="C25" s="411">
        <f>(C65+C66)/C72</f>
        <v>0.82303688617334236</v>
      </c>
      <c r="D25" s="411">
        <f t="shared" ref="D25:H25" si="14">(D65+D66)/D72</f>
        <v>1.2420816173717708</v>
      </c>
      <c r="E25" s="411">
        <f t="shared" si="14"/>
        <v>0.69806121444739688</v>
      </c>
      <c r="F25" s="411">
        <f t="shared" si="14"/>
        <v>0.87106918238993714</v>
      </c>
      <c r="G25" s="411">
        <f t="shared" si="14"/>
        <v>1.2314814814814814</v>
      </c>
      <c r="H25" s="411" t="e">
        <f t="shared" si="14"/>
        <v>#DIV/0!</v>
      </c>
      <c r="I25" s="428">
        <f t="shared" si="2"/>
        <v>0.97314607637278561</v>
      </c>
      <c r="J25" s="453">
        <f>SQRT((C25-I25)^2)</f>
        <v>0.15010919019944324</v>
      </c>
    </row>
    <row r="26" spans="1:10" ht="16.149999999999999" thickBot="1">
      <c r="B26" s="187" t="s">
        <v>240</v>
      </c>
      <c r="C26" s="192"/>
      <c r="D26" s="192"/>
      <c r="E26" s="192"/>
      <c r="F26" s="192"/>
      <c r="G26" s="192"/>
      <c r="H26" s="192"/>
      <c r="I26" s="192"/>
      <c r="J26" s="444"/>
    </row>
    <row r="27" spans="1:10" ht="13.9" thickBot="1">
      <c r="B27" s="402" t="s">
        <v>241</v>
      </c>
      <c r="C27" s="412">
        <f>C57/C67</f>
        <v>87.504812834224595</v>
      </c>
      <c r="D27" s="403">
        <f t="shared" ref="D27:H27" si="15">D57/D67</f>
        <v>111.95602605863192</v>
      </c>
      <c r="E27" s="403">
        <f t="shared" si="15"/>
        <v>63.66069745523091</v>
      </c>
      <c r="F27" s="403" t="s">
        <v>242</v>
      </c>
      <c r="G27" s="403" t="s">
        <v>242</v>
      </c>
      <c r="H27" s="403" t="e">
        <f t="shared" si="15"/>
        <v>#DIV/0!</v>
      </c>
      <c r="I27" s="425">
        <f t="shared" si="2"/>
        <v>87.707178782695806</v>
      </c>
      <c r="J27" s="452">
        <f>SQRT((C27-I27)^2)</f>
        <v>0.20236594847121125</v>
      </c>
    </row>
    <row r="28" spans="1:10" ht="13.9" thickBot="1">
      <c r="B28" s="407" t="s">
        <v>243</v>
      </c>
      <c r="C28" s="411">
        <f>C56/C66</f>
        <v>8.0195732675013218</v>
      </c>
      <c r="D28" s="411">
        <f t="shared" ref="D28:H28" si="16">D56/D66</f>
        <v>8.6936651135124414</v>
      </c>
      <c r="E28" s="411">
        <f>E56/E66</f>
        <v>7.7591344785043184</v>
      </c>
      <c r="F28" s="411">
        <f t="shared" si="16"/>
        <v>7.9588900308324773</v>
      </c>
      <c r="G28" s="411">
        <f>G56/G66</f>
        <v>7.3870696893366921</v>
      </c>
      <c r="H28" s="411" t="e">
        <f t="shared" si="16"/>
        <v>#DIV/0!</v>
      </c>
      <c r="I28" s="428">
        <f t="shared" si="2"/>
        <v>7.96366651593745</v>
      </c>
      <c r="J28" s="453">
        <f>SQRT((C28-I28)^2)</f>
        <v>5.5906751563871815E-2</v>
      </c>
    </row>
    <row r="29" spans="1:10" ht="13.9" thickBot="1">
      <c r="A29" s="10" t="s">
        <v>244</v>
      </c>
      <c r="B29" s="397" t="s">
        <v>245</v>
      </c>
      <c r="C29" s="404">
        <f>C57/C71</f>
        <v>12.904889589905363</v>
      </c>
      <c r="D29" s="401">
        <f t="shared" ref="D29:H29" si="17">D57/D71</f>
        <v>21.555660081530259</v>
      </c>
      <c r="E29" s="401">
        <f t="shared" si="17"/>
        <v>7.966033730392736</v>
      </c>
      <c r="F29" s="401">
        <f t="shared" si="17"/>
        <v>13.109022556390977</v>
      </c>
      <c r="G29" s="401">
        <f t="shared" si="17"/>
        <v>13.099693251533742</v>
      </c>
      <c r="H29" s="401" t="e">
        <f t="shared" si="17"/>
        <v>#DIV/0!</v>
      </c>
      <c r="I29" s="428">
        <f t="shared" si="2"/>
        <v>13.727059841950615</v>
      </c>
      <c r="J29" s="450">
        <f>SQRT((C29-I29)^2)</f>
        <v>0.82217025204525207</v>
      </c>
    </row>
    <row r="30" spans="1:10" ht="13.9" thickBot="1">
      <c r="B30" s="407" t="s">
        <v>246</v>
      </c>
      <c r="C30" s="411">
        <f>C56/C69</f>
        <v>2.4619840303153335</v>
      </c>
      <c r="D30" s="411">
        <f t="shared" ref="D30:H30" si="18">D56/D69</f>
        <v>3.2111391848841042</v>
      </c>
      <c r="E30" s="411">
        <f t="shared" si="18"/>
        <v>1.7175689586353229</v>
      </c>
      <c r="F30" s="411">
        <f t="shared" si="18"/>
        <v>1.3127648754026107</v>
      </c>
      <c r="G30" s="852">
        <f t="shared" si="18"/>
        <v>7.5036247334754798</v>
      </c>
      <c r="H30" s="411" t="e">
        <f t="shared" si="18"/>
        <v>#DIV/0!</v>
      </c>
      <c r="I30" s="428">
        <f t="shared" si="2"/>
        <v>3.2414163565425702</v>
      </c>
      <c r="J30" s="453">
        <f>SQRT((C30-I30)^2)</f>
        <v>0.77943232622723668</v>
      </c>
    </row>
    <row r="31" spans="1:10" ht="13.9" thickBot="1">
      <c r="B31" s="395" t="s">
        <v>247</v>
      </c>
      <c r="C31" s="413">
        <f>C56/C70</f>
        <v>1.2836840396855638</v>
      </c>
      <c r="D31" s="413">
        <f t="shared" ref="D31:H31" si="19">D56/D70</f>
        <v>1.0078844230923949</v>
      </c>
      <c r="E31" s="413">
        <f t="shared" si="19"/>
        <v>1.2236656988056396</v>
      </c>
      <c r="F31" s="413">
        <f t="shared" si="19"/>
        <v>1.0336358782701549</v>
      </c>
      <c r="G31" s="413">
        <f t="shared" si="19"/>
        <v>3.3676555023923447</v>
      </c>
      <c r="H31" s="413" t="e">
        <f t="shared" si="19"/>
        <v>#DIV/0!</v>
      </c>
      <c r="I31" s="428">
        <f t="shared" si="2"/>
        <v>1.5833051084492196</v>
      </c>
      <c r="J31" s="454">
        <f>SQRT((C31-I31)^2)</f>
        <v>0.2996210687636558</v>
      </c>
    </row>
    <row r="32" spans="1:10" ht="16.149999999999999" thickBot="1">
      <c r="B32" s="188" t="s">
        <v>110</v>
      </c>
      <c r="C32" s="192"/>
      <c r="D32" s="192"/>
      <c r="E32" s="192"/>
      <c r="F32" s="192"/>
      <c r="G32" s="192"/>
      <c r="H32" s="192"/>
      <c r="I32" s="844"/>
      <c r="J32" s="444"/>
    </row>
    <row r="33" spans="2:11" ht="13.9" thickBot="1">
      <c r="B33" s="186" t="s">
        <v>248</v>
      </c>
      <c r="C33" s="829" t="e" vm="6">
        <f>C10/C62</f>
        <v>#VALUE!</v>
      </c>
      <c r="D33" s="421">
        <f t="shared" ref="D33:H33" si="20">D10/D62</f>
        <v>15.164165319787578</v>
      </c>
      <c r="E33" s="421">
        <f t="shared" si="20"/>
        <v>10.044969171614715</v>
      </c>
      <c r="F33" s="853">
        <f t="shared" si="20"/>
        <v>67.576719576719583</v>
      </c>
      <c r="G33" s="421">
        <f t="shared" si="20"/>
        <v>13.57066950053135</v>
      </c>
      <c r="H33" s="421" t="e" vm="6">
        <f t="shared" si="20"/>
        <v>#VALUE!</v>
      </c>
      <c r="I33" s="428" t="str">
        <f t="shared" si="2"/>
        <v/>
      </c>
      <c r="J33" s="455" t="e" vm="6">
        <f>SQRT((C33-I33)^2)</f>
        <v>#VALUE!</v>
      </c>
    </row>
    <row r="34" spans="2:11" ht="13.9" thickBot="1">
      <c r="B34" s="397" t="s">
        <v>244</v>
      </c>
      <c r="C34" s="405" t="e" vm="6">
        <f>C10/C56</f>
        <v>#VALUE!</v>
      </c>
      <c r="D34" s="405">
        <f t="shared" ref="D34:H34" si="21">D10/D56</f>
        <v>0.74893092949266193</v>
      </c>
      <c r="E34" s="405">
        <f t="shared" si="21"/>
        <v>0.48346282553760989</v>
      </c>
      <c r="F34" s="405">
        <f t="shared" si="21"/>
        <v>1.6492768595041323</v>
      </c>
      <c r="G34" s="405">
        <f t="shared" si="21"/>
        <v>0.72573312116390087</v>
      </c>
      <c r="H34" s="405" t="e" vm="6">
        <f t="shared" si="21"/>
        <v>#VALUE!</v>
      </c>
      <c r="I34" s="428" t="str">
        <f t="shared" si="2"/>
        <v/>
      </c>
      <c r="J34" s="456" t="e" vm="6">
        <f>SQRT((C34-I34)^2)</f>
        <v>#VALUE!</v>
      </c>
    </row>
    <row r="35" spans="2:11" ht="13.9" thickBot="1">
      <c r="B35" s="407" t="s">
        <v>249</v>
      </c>
      <c r="C35" s="833" t="e" vm="6">
        <f>C10/C74</f>
        <v>#VALUE!</v>
      </c>
      <c r="D35" s="423">
        <f t="shared" ref="D35:H35" si="22">D10/D74</f>
        <v>2.3811181205133782</v>
      </c>
      <c r="E35" s="423">
        <f t="shared" si="22"/>
        <v>1.7268219174444697</v>
      </c>
      <c r="F35" s="423">
        <f t="shared" si="22"/>
        <v>10.088467614533965</v>
      </c>
      <c r="G35" s="423">
        <f t="shared" si="22"/>
        <v>8.9992952783650466</v>
      </c>
      <c r="H35" s="423" t="e" vm="6">
        <f t="shared" si="22"/>
        <v>#VALUE!</v>
      </c>
      <c r="I35" s="428" t="str">
        <f t="shared" si="2"/>
        <v/>
      </c>
      <c r="J35" s="457" t="e" vm="6">
        <f>SQRT((C35-I35)^2)</f>
        <v>#VALUE!</v>
      </c>
    </row>
    <row r="36" spans="2:11" ht="13.9" thickBot="1">
      <c r="B36" s="397" t="s">
        <v>250</v>
      </c>
      <c r="C36" s="405" t="e" vm="6">
        <f>(C73+C10-C65)/C56</f>
        <v>#VALUE!</v>
      </c>
      <c r="D36" s="405">
        <f t="shared" ref="D36:G36" si="23">(D73+D10-D65)/D56</f>
        <v>1.1049228558721904</v>
      </c>
      <c r="E36" s="405">
        <f t="shared" si="23"/>
        <v>0.69359516732679272</v>
      </c>
      <c r="F36" s="405">
        <f t="shared" si="23"/>
        <v>2.1271952479338845</v>
      </c>
      <c r="G36" s="405">
        <f t="shared" si="23"/>
        <v>0.82848374630597865</v>
      </c>
      <c r="H36" s="405" t="e" vm="6">
        <f>(H73+H10-H65)/H56</f>
        <v>#VALUE!</v>
      </c>
      <c r="I36" s="428" t="str">
        <f t="shared" si="2"/>
        <v/>
      </c>
      <c r="J36" s="456" t="e" vm="6">
        <f>SQRT((C36-I36)^2)</f>
        <v>#VALUE!</v>
      </c>
    </row>
    <row r="37" spans="2:11" ht="13.9" thickBot="1">
      <c r="B37" s="410" t="s">
        <v>251</v>
      </c>
      <c r="C37" s="420" t="e" vm="6">
        <f>(C73+C10-C65)/C58</f>
        <v>#VALUE!</v>
      </c>
      <c r="D37" s="420">
        <f t="shared" ref="D37:H37" si="24">(D73+D10-D65)/D58</f>
        <v>8.9155318365844689</v>
      </c>
      <c r="E37" s="420">
        <f t="shared" si="24"/>
        <v>5.2312687906184419</v>
      </c>
      <c r="F37" s="420">
        <f t="shared" si="24"/>
        <v>19.154651162790696</v>
      </c>
      <c r="G37" s="854">
        <f t="shared" si="24"/>
        <v>23.742671009771986</v>
      </c>
      <c r="H37" s="420" t="e" vm="6">
        <f t="shared" si="24"/>
        <v>#VALUE!</v>
      </c>
      <c r="I37" s="428" t="str">
        <f t="shared" si="2"/>
        <v/>
      </c>
      <c r="J37" s="458" t="e" vm="6">
        <f>SQRT((C37-I37)^2)</f>
        <v>#VALUE!</v>
      </c>
    </row>
    <row r="38" spans="2:11" ht="16.149999999999999" thickBot="1">
      <c r="B38" s="188" t="s">
        <v>252</v>
      </c>
      <c r="C38" s="192"/>
      <c r="D38" s="192"/>
      <c r="E38" s="192"/>
      <c r="F38" s="192"/>
      <c r="G38" s="192"/>
      <c r="H38" s="192"/>
      <c r="I38" s="188"/>
      <c r="J38" s="444"/>
    </row>
    <row r="39" spans="2:11" ht="13.9" thickBot="1">
      <c r="B39" s="186" t="s">
        <v>46</v>
      </c>
      <c r="C39" s="424">
        <f>OP!M20</f>
        <v>0.99895999999999996</v>
      </c>
      <c r="D39" s="424">
        <v>0.91700000000000004</v>
      </c>
      <c r="E39" s="424">
        <v>0.80400000000000005</v>
      </c>
      <c r="F39" s="424">
        <v>0.89259999999999995</v>
      </c>
      <c r="G39" s="424">
        <v>0.997</v>
      </c>
      <c r="H39" s="424"/>
      <c r="I39" s="426">
        <f t="shared" si="2"/>
        <v>0.92191200000000006</v>
      </c>
      <c r="J39" s="459">
        <f>SQRT((C39-I39)^2)</f>
        <v>7.7047999999999894E-2</v>
      </c>
    </row>
    <row r="40" spans="2:11" ht="13.9" thickBot="1">
      <c r="B40" s="414" t="s">
        <v>253</v>
      </c>
      <c r="C40" s="415" t="e" vm="6">
        <f>OP!M22</f>
        <v>#VALUE!</v>
      </c>
      <c r="D40" s="415">
        <v>1.18</v>
      </c>
      <c r="E40" s="415">
        <v>1.07</v>
      </c>
      <c r="F40" s="855">
        <v>1.96</v>
      </c>
      <c r="G40" s="415">
        <v>0.83</v>
      </c>
      <c r="H40" s="415"/>
      <c r="I40" s="425" t="str">
        <f t="shared" si="2"/>
        <v/>
      </c>
      <c r="J40" s="460" t="e" vm="6">
        <f>SQRT((C40-I40)^2)</f>
        <v>#VALUE!</v>
      </c>
    </row>
    <row r="41" spans="2:11" ht="13.9" thickBot="1">
      <c r="B41" s="410" t="s">
        <v>254</v>
      </c>
      <c r="C41" s="843" t="e">
        <f>OP!M32</f>
        <v>#VALUE!</v>
      </c>
      <c r="D41" s="419">
        <v>2.2499999999999999E-2</v>
      </c>
      <c r="E41" s="419">
        <v>4.8599999999999997E-2</v>
      </c>
      <c r="F41" s="419">
        <v>0</v>
      </c>
      <c r="G41" s="419">
        <v>2.06E-2</v>
      </c>
      <c r="H41" s="419"/>
      <c r="I41" s="426" t="str">
        <f t="shared" si="2"/>
        <v/>
      </c>
      <c r="J41" s="461" t="e">
        <f>SQRT((C41-I41)^2)</f>
        <v>#VALUE!</v>
      </c>
    </row>
    <row r="42" spans="2:11" ht="16.149999999999999" thickBot="1">
      <c r="B42" s="188" t="s">
        <v>255</v>
      </c>
      <c r="C42" s="192"/>
      <c r="D42" s="192"/>
      <c r="E42" s="192"/>
      <c r="F42" s="192"/>
      <c r="G42" s="192"/>
      <c r="H42" s="192"/>
      <c r="I42" s="188"/>
      <c r="J42" s="444"/>
    </row>
    <row r="43" spans="2:11" ht="13.9" thickBot="1">
      <c r="B43" s="190" t="s">
        <v>256</v>
      </c>
      <c r="C43" s="501">
        <v>-0.14080000000000001</v>
      </c>
      <c r="D43" s="501">
        <v>0.11169999999999999</v>
      </c>
      <c r="E43" s="501">
        <v>-9.4000000000000004E-3</v>
      </c>
      <c r="F43" s="501">
        <v>0.51529999999999998</v>
      </c>
      <c r="G43" s="501">
        <v>0.2702</v>
      </c>
      <c r="H43" s="501"/>
      <c r="I43" s="426">
        <f t="shared" si="2"/>
        <v>0.14939999999999998</v>
      </c>
      <c r="J43" s="435">
        <f>SQRT((C43-I43)^2)</f>
        <v>0.29020000000000001</v>
      </c>
    </row>
    <row r="44" spans="2:11" ht="13.9" thickBot="1">
      <c r="B44" s="397" t="s">
        <v>257</v>
      </c>
      <c r="C44" s="502">
        <v>-0.35599999999999998</v>
      </c>
      <c r="D44" s="502">
        <v>0.1449</v>
      </c>
      <c r="E44" s="502">
        <v>-0.307</v>
      </c>
      <c r="F44" s="502">
        <v>1.1299999999999999</v>
      </c>
      <c r="G44" s="502">
        <v>8.43E-2</v>
      </c>
      <c r="H44" s="502"/>
      <c r="I44" s="426">
        <f t="shared" si="2"/>
        <v>0.13923999999999997</v>
      </c>
      <c r="J44" s="462">
        <f>SQRT((C44-I44)^2)</f>
        <v>0.49523999999999996</v>
      </c>
    </row>
    <row r="45" spans="2:11" ht="13.9" thickBot="1">
      <c r="B45" s="191" t="s">
        <v>258</v>
      </c>
      <c r="C45" s="522" t="e" cm="1" vm="4">
        <f t="array" ref="C45">_FV(C8,"Price")</f>
        <v>#VALUE!</v>
      </c>
      <c r="D45" s="522">
        <v>265.92</v>
      </c>
      <c r="E45" s="522">
        <v>41.25</v>
      </c>
      <c r="F45" s="522">
        <v>115.37</v>
      </c>
      <c r="G45" s="522">
        <v>109.1</v>
      </c>
      <c r="H45" s="522" t="e" cm="1" vm="4">
        <f t="array" ref="H45">_FV(H8,"Price")</f>
        <v>#VALUE!</v>
      </c>
      <c r="I45" s="425" t="str">
        <f t="shared" si="2"/>
        <v/>
      </c>
      <c r="J45" s="463" t="e" vm="6">
        <f>SQRT((C45-I45)^2)</f>
        <v>#VALUE!</v>
      </c>
    </row>
    <row r="46" spans="2:11" ht="13.9" thickBot="1">
      <c r="B46" s="397" t="s">
        <v>259</v>
      </c>
      <c r="C46" s="881">
        <v>144.53</v>
      </c>
      <c r="D46" s="881">
        <v>306.76</v>
      </c>
      <c r="E46" s="881">
        <v>46.2</v>
      </c>
      <c r="F46" s="881">
        <v>131.94999999999999</v>
      </c>
      <c r="G46" s="881">
        <v>104.3</v>
      </c>
      <c r="H46" s="416"/>
      <c r="I46" s="425">
        <f t="shared" si="2"/>
        <v>146.74799999999999</v>
      </c>
      <c r="J46" s="464">
        <f>SQRT((C46-I46)^2)</f>
        <v>2.2179999999999893</v>
      </c>
    </row>
    <row r="47" spans="2:11" ht="13.9" thickBot="1">
      <c r="B47" s="417" t="s">
        <v>260</v>
      </c>
      <c r="C47" s="418" t="e" vm="6">
        <f>C46/C45-1</f>
        <v>#VALUE!</v>
      </c>
      <c r="D47" s="418">
        <f t="shared" ref="D47:H47" si="25">D46/D45-1</f>
        <v>0.15358002406738858</v>
      </c>
      <c r="E47" s="418">
        <f t="shared" si="25"/>
        <v>0.12000000000000011</v>
      </c>
      <c r="F47" s="418">
        <f t="shared" si="25"/>
        <v>0.14371153679466042</v>
      </c>
      <c r="G47" s="418">
        <f t="shared" si="25"/>
        <v>-4.399633363886335E-2</v>
      </c>
      <c r="H47" s="418" t="e" vm="6">
        <f t="shared" si="25"/>
        <v>#VALUE!</v>
      </c>
      <c r="I47" s="426" t="str">
        <f t="shared" si="2"/>
        <v/>
      </c>
      <c r="J47" s="465" t="e" vm="6">
        <f>SQRT((C47-I47)^2)</f>
        <v>#VALUE!</v>
      </c>
    </row>
    <row r="48" spans="2:11" ht="16.149999999999999" thickBot="1">
      <c r="B48" s="188" t="s">
        <v>261</v>
      </c>
      <c r="C48" s="188"/>
      <c r="D48" s="188"/>
      <c r="E48" s="188"/>
      <c r="F48" s="188"/>
      <c r="G48" s="188"/>
      <c r="H48" s="188"/>
      <c r="I48" s="188"/>
      <c r="J48" s="434"/>
      <c r="K48" s="439"/>
    </row>
    <row r="49" spans="2:11" ht="13.9" thickBot="1">
      <c r="B49" s="190" t="s">
        <v>262</v>
      </c>
      <c r="C49" s="467">
        <f>(Inputs!B59-Inputs!E59)/Inputs!E59</f>
        <v>-2.1130127163208719E-2</v>
      </c>
      <c r="D49" s="355">
        <f>(8312-10135)/10135</f>
        <v>-0.17987173162308831</v>
      </c>
      <c r="E49" s="355">
        <f>(9258-7699)/7699</f>
        <v>0.2024938303675802</v>
      </c>
      <c r="F49" s="355">
        <f>(682-885)/885</f>
        <v>-0.22937853107344633</v>
      </c>
      <c r="G49" s="355">
        <f>(731946-449191)/449191</f>
        <v>0.62947610259332887</v>
      </c>
      <c r="H49" s="355"/>
      <c r="I49" s="426">
        <f t="shared" si="2"/>
        <v>8.0317908620233136E-2</v>
      </c>
      <c r="J49" s="435">
        <f>SQRT((C49-I49)^2)</f>
        <v>0.10144803578344186</v>
      </c>
      <c r="K49" s="355"/>
    </row>
    <row r="50" spans="2:11" ht="13.9" thickBot="1">
      <c r="B50" s="436" t="s">
        <v>263</v>
      </c>
      <c r="C50" s="437">
        <f t="shared" ref="C50:H50" si="26">C63/C11</f>
        <v>0</v>
      </c>
      <c r="D50" s="437">
        <f t="shared" si="26"/>
        <v>0</v>
      </c>
      <c r="E50" s="437">
        <f t="shared" si="26"/>
        <v>0</v>
      </c>
      <c r="F50" s="437">
        <f t="shared" si="26"/>
        <v>0</v>
      </c>
      <c r="G50" s="437">
        <f t="shared" si="26"/>
        <v>0</v>
      </c>
      <c r="H50" s="437" t="e">
        <f t="shared" si="26"/>
        <v>#DIV/0!</v>
      </c>
      <c r="I50" s="425">
        <f t="shared" si="2"/>
        <v>0</v>
      </c>
      <c r="J50" s="438">
        <f>SQRT((C50-I50)^2)</f>
        <v>0</v>
      </c>
      <c r="K50" s="440"/>
    </row>
    <row r="51" spans="2:11" ht="13.9" thickBot="1"/>
    <row r="52" spans="2:11" ht="49.9" customHeight="1" thickBot="1">
      <c r="B52" s="390" t="s">
        <v>264</v>
      </c>
      <c r="C52" s="310" t="str">
        <f>OP!E2</f>
        <v>UNITED PARCEL SERVICE, INC. (XNYS:UPS)</v>
      </c>
      <c r="D52" s="311" t="e" vm="8">
        <f>D8</f>
        <v>#VALUE!</v>
      </c>
      <c r="E52" s="312" t="e" vm="9">
        <f>E8</f>
        <v>#VALUE!</v>
      </c>
      <c r="F52" s="313" t="e" vm="10">
        <f>F8</f>
        <v>#VALUE!</v>
      </c>
      <c r="G52" s="845" t="e" vm="11">
        <f>G8</f>
        <v>#VALUE!</v>
      </c>
      <c r="H52" s="498">
        <f>H8</f>
        <v>0</v>
      </c>
    </row>
    <row r="53" spans="2:11" ht="13.9" thickBot="1">
      <c r="B53" s="180" t="s">
        <v>265</v>
      </c>
      <c r="C53" s="181"/>
      <c r="D53" s="181"/>
      <c r="E53" s="181"/>
      <c r="F53" s="181"/>
      <c r="G53" s="846"/>
      <c r="H53" s="182"/>
    </row>
    <row r="54" spans="2:11" ht="13.9" thickBot="1">
      <c r="B54" s="175" t="s">
        <v>266</v>
      </c>
      <c r="C54" s="197">
        <f>'Fin. Data'!E5</f>
        <v>84628</v>
      </c>
      <c r="D54" s="170">
        <v>83959</v>
      </c>
      <c r="E54" s="170">
        <f>66716*1.2216</f>
        <v>81500.265599999999</v>
      </c>
      <c r="F54" s="170">
        <v>6168</v>
      </c>
      <c r="G54" s="847">
        <v>16207</v>
      </c>
      <c r="H54" s="178"/>
    </row>
    <row r="55" spans="2:11" ht="13.9" thickBot="1">
      <c r="B55" s="175" t="s">
        <v>267</v>
      </c>
      <c r="C55" s="197">
        <f>'Fin. Data'!C5</f>
        <v>100338</v>
      </c>
      <c r="D55" s="170">
        <v>90155</v>
      </c>
      <c r="E55" s="170">
        <f>94436*1.072</f>
        <v>101235.39200000001</v>
      </c>
      <c r="F55" s="170">
        <v>7718</v>
      </c>
      <c r="G55" s="847">
        <v>24697</v>
      </c>
      <c r="H55" s="178"/>
    </row>
    <row r="56" spans="2:11" ht="13.9" thickBot="1">
      <c r="B56" s="175" t="s">
        <v>225</v>
      </c>
      <c r="C56" s="197">
        <f>'Fin. Data'!B5</f>
        <v>90958</v>
      </c>
      <c r="D56" s="170">
        <f>87693</f>
        <v>87693</v>
      </c>
      <c r="E56" s="170">
        <f>81758*1.1056</f>
        <v>90391.644799999995</v>
      </c>
      <c r="F56" s="170">
        <v>7744</v>
      </c>
      <c r="G56" s="847">
        <v>17596</v>
      </c>
      <c r="H56" s="178"/>
    </row>
    <row r="57" spans="2:11" ht="13.9" thickBot="1">
      <c r="B57" s="175" t="s">
        <v>268</v>
      </c>
      <c r="C57" s="197">
        <f>'Fin. Data'!B5-'Fin. Data'!B7</f>
        <v>81817</v>
      </c>
      <c r="D57" s="170">
        <v>68741</v>
      </c>
      <c r="E57" s="170">
        <f>67544*1.1056</f>
        <v>74676.646399999998</v>
      </c>
      <c r="F57" s="170">
        <v>6974</v>
      </c>
      <c r="G57" s="847">
        <v>17082</v>
      </c>
      <c r="H57" s="178"/>
    </row>
    <row r="58" spans="2:11" ht="13.9" thickBot="1">
      <c r="B58" s="175" t="s">
        <v>53</v>
      </c>
      <c r="C58" s="197">
        <f>'Fin. Data'!B19</f>
        <v>12507</v>
      </c>
      <c r="D58" s="170">
        <v>10868</v>
      </c>
      <c r="E58" s="170">
        <f>10840*1.1056</f>
        <v>11984.704</v>
      </c>
      <c r="F58" s="170">
        <v>860</v>
      </c>
      <c r="G58" s="847">
        <v>614</v>
      </c>
      <c r="H58" s="178"/>
    </row>
    <row r="59" spans="2:11" ht="13.9" thickBot="1">
      <c r="B59" s="175" t="s">
        <v>269</v>
      </c>
      <c r="C59" s="389">
        <f>'Fin. Data'!B11</f>
        <v>9141</v>
      </c>
      <c r="D59" s="170">
        <v>5559</v>
      </c>
      <c r="E59" s="170">
        <f>5562*1.1056</f>
        <v>6149.3471999999992</v>
      </c>
      <c r="F59" s="170">
        <v>543</v>
      </c>
      <c r="G59" s="847">
        <v>515</v>
      </c>
      <c r="H59" s="178"/>
    </row>
    <row r="60" spans="2:11" ht="13.9" thickBot="1">
      <c r="B60" s="175" t="s">
        <v>270</v>
      </c>
      <c r="C60" s="389">
        <f>'Fin. Data'!B14</f>
        <v>-568</v>
      </c>
      <c r="D60" s="170">
        <v>-375</v>
      </c>
      <c r="E60" s="170">
        <f>-742*1.1056</f>
        <v>-820.35519999999997</v>
      </c>
      <c r="F60" s="830">
        <v>-168</v>
      </c>
      <c r="G60" s="847">
        <v>-105</v>
      </c>
      <c r="H60" s="178"/>
    </row>
    <row r="61" spans="2:11" ht="13.9" thickBot="1">
      <c r="B61" s="175" t="s">
        <v>271</v>
      </c>
      <c r="C61" s="389">
        <f>'Fin. Data'!B21</f>
        <v>-1865</v>
      </c>
      <c r="D61" s="170">
        <v>-1505</v>
      </c>
      <c r="E61" s="170">
        <f>-1581*1.1056</f>
        <v>-1747.9535999999998</v>
      </c>
      <c r="F61" s="170">
        <v>-68</v>
      </c>
      <c r="G61" s="847">
        <v>-226</v>
      </c>
      <c r="H61" s="178"/>
    </row>
    <row r="62" spans="2:11" ht="13.9" thickBot="1">
      <c r="B62" s="175" t="s">
        <v>65</v>
      </c>
      <c r="C62" s="389">
        <f>'Fin. Data'!B23</f>
        <v>6708</v>
      </c>
      <c r="D62" s="170">
        <v>4331</v>
      </c>
      <c r="E62" s="170">
        <f>3935*1.1056</f>
        <v>4350.5360000000001</v>
      </c>
      <c r="F62" s="170">
        <v>189</v>
      </c>
      <c r="G62" s="847">
        <v>941</v>
      </c>
      <c r="H62" s="178"/>
    </row>
    <row r="63" spans="2:11" ht="13.9" thickBot="1">
      <c r="B63" s="175" t="s">
        <v>272</v>
      </c>
      <c r="C63" s="389"/>
      <c r="D63" s="170"/>
      <c r="E63" s="170"/>
      <c r="F63" s="170"/>
      <c r="G63" s="847"/>
      <c r="H63" s="178"/>
    </row>
    <row r="64" spans="2:11" ht="13.9" thickBot="1">
      <c r="B64" s="183" t="s">
        <v>273</v>
      </c>
      <c r="C64" s="184"/>
      <c r="D64" s="184"/>
      <c r="E64" s="184"/>
      <c r="F64" s="184"/>
      <c r="G64" s="848"/>
      <c r="H64" s="185"/>
    </row>
    <row r="65" spans="2:8" ht="13.9" thickBot="1">
      <c r="B65" s="175" t="s">
        <v>274</v>
      </c>
      <c r="C65" s="197">
        <f>'Fin. Data'!B39</f>
        <v>3206</v>
      </c>
      <c r="D65" s="170">
        <v>6501</v>
      </c>
      <c r="E65" s="170">
        <f>3649*1.1056</f>
        <v>4034.3343999999997</v>
      </c>
      <c r="F65" s="170">
        <v>412</v>
      </c>
      <c r="G65" s="847">
        <v>145</v>
      </c>
      <c r="H65" s="178"/>
    </row>
    <row r="66" spans="2:8" ht="13.9" thickBot="1">
      <c r="B66" s="175" t="s">
        <v>275</v>
      </c>
      <c r="C66" s="197">
        <f>'Fin. Data'!B40</f>
        <v>11342</v>
      </c>
      <c r="D66" s="170">
        <v>10087</v>
      </c>
      <c r="E66" s="170">
        <f>10537*1.1056</f>
        <v>11649.707199999999</v>
      </c>
      <c r="F66" s="170">
        <v>973</v>
      </c>
      <c r="G66" s="847">
        <v>2382</v>
      </c>
      <c r="H66" s="178"/>
    </row>
    <row r="67" spans="2:8" ht="13.9" thickBot="1">
      <c r="B67" s="175" t="s">
        <v>276</v>
      </c>
      <c r="C67" s="197">
        <f>'Fin. Data'!B41</f>
        <v>935</v>
      </c>
      <c r="D67" s="170">
        <v>614</v>
      </c>
      <c r="E67" s="170">
        <f>1061*1.1056</f>
        <v>1173.0416</v>
      </c>
      <c r="F67" s="170" t="s">
        <v>242</v>
      </c>
      <c r="G67" s="847" t="s">
        <v>242</v>
      </c>
      <c r="H67" s="178"/>
    </row>
    <row r="68" spans="2:8" ht="13.9" thickBot="1">
      <c r="B68" s="175" t="s">
        <v>277</v>
      </c>
      <c r="C68" s="197">
        <f>Inputs!B27</f>
        <v>19413</v>
      </c>
      <c r="D68" s="170">
        <v>18207</v>
      </c>
      <c r="E68" s="170">
        <f>19213*1.1056</f>
        <v>21241.892799999998</v>
      </c>
      <c r="F68" s="170">
        <v>1593</v>
      </c>
      <c r="G68" s="847">
        <v>2880</v>
      </c>
      <c r="H68" s="178"/>
    </row>
    <row r="69" spans="2:8" ht="13.9" thickBot="1">
      <c r="B69" s="175" t="s">
        <v>278</v>
      </c>
      <c r="C69" s="197">
        <f>'Fin. Data'!B42</f>
        <v>36945</v>
      </c>
      <c r="D69" s="170">
        <v>27309</v>
      </c>
      <c r="E69" s="170">
        <f>47601*1.1056</f>
        <v>52627.665599999993</v>
      </c>
      <c r="F69" s="170">
        <v>5899</v>
      </c>
      <c r="G69" s="847">
        <f>G70-G68</f>
        <v>2345</v>
      </c>
      <c r="H69" s="178"/>
    </row>
    <row r="70" spans="2:8" ht="13.9" thickBot="1">
      <c r="B70" s="175" t="s">
        <v>42</v>
      </c>
      <c r="C70" s="197">
        <f>'Fin. Data'!B44</f>
        <v>70857</v>
      </c>
      <c r="D70" s="170">
        <v>87007</v>
      </c>
      <c r="E70" s="170">
        <f>66814*1.1056</f>
        <v>73869.558399999994</v>
      </c>
      <c r="F70" s="170">
        <v>7492</v>
      </c>
      <c r="G70" s="847">
        <v>5225</v>
      </c>
      <c r="H70" s="178"/>
    </row>
    <row r="71" spans="2:8" ht="13.9" thickBot="1">
      <c r="B71" s="175" t="s">
        <v>279</v>
      </c>
      <c r="C71" s="197">
        <f>Inputs!B43</f>
        <v>6340</v>
      </c>
      <c r="D71" s="170">
        <v>3189</v>
      </c>
      <c r="E71" s="170">
        <f>8479*1.1056</f>
        <v>9374.3823999999986</v>
      </c>
      <c r="F71" s="170">
        <v>532</v>
      </c>
      <c r="G71" s="847">
        <v>1304</v>
      </c>
      <c r="H71" s="178"/>
    </row>
    <row r="72" spans="2:8" ht="13.9" thickBot="1">
      <c r="B72" s="175" t="s">
        <v>280</v>
      </c>
      <c r="C72" s="197">
        <f>Inputs!B42</f>
        <v>17676</v>
      </c>
      <c r="D72" s="170">
        <v>13355</v>
      </c>
      <c r="E72" s="170">
        <f>20322*1.1056</f>
        <v>22468.003199999999</v>
      </c>
      <c r="F72" s="170">
        <v>1590</v>
      </c>
      <c r="G72" s="847">
        <v>2052</v>
      </c>
      <c r="H72" s="178"/>
    </row>
    <row r="73" spans="2:8" ht="13.9" thickBot="1">
      <c r="B73" s="175" t="s">
        <v>281</v>
      </c>
      <c r="C73" s="197">
        <f>'Fin. Data'!B58</f>
        <v>26729</v>
      </c>
      <c r="D73" s="170">
        <v>37719</v>
      </c>
      <c r="E73" s="170">
        <f>1.1056*20829</f>
        <v>23028.542399999998</v>
      </c>
      <c r="F73" s="170">
        <v>4113</v>
      </c>
      <c r="G73" s="847">
        <v>1953</v>
      </c>
      <c r="H73" s="178"/>
    </row>
    <row r="74" spans="2:8" ht="13.9" thickBot="1">
      <c r="B74" s="176" t="s">
        <v>282</v>
      </c>
      <c r="C74" s="198">
        <f>'Fin. Data'!B64</f>
        <v>17306.75</v>
      </c>
      <c r="D74" s="177">
        <v>27582</v>
      </c>
      <c r="E74" s="177">
        <f>22890*1.1056</f>
        <v>25307.183999999997</v>
      </c>
      <c r="F74" s="177">
        <v>1266</v>
      </c>
      <c r="G74" s="849">
        <v>1419</v>
      </c>
      <c r="H74" s="179"/>
    </row>
    <row r="75" spans="2:8" ht="13.9" thickBot="1">
      <c r="B75" s="1191" t="s">
        <v>283</v>
      </c>
      <c r="C75" s="1192"/>
      <c r="D75" s="184"/>
      <c r="E75" s="184"/>
      <c r="F75" s="184"/>
      <c r="G75" s="848"/>
      <c r="H75" s="185"/>
    </row>
    <row r="76" spans="2:8" ht="13.9" thickBot="1">
      <c r="B76" s="175" t="s">
        <v>284</v>
      </c>
      <c r="C76" s="197">
        <v>71749</v>
      </c>
      <c r="D76" s="170">
        <v>63531</v>
      </c>
      <c r="E76" s="170">
        <f>17815*1.1056</f>
        <v>19696.263999999999</v>
      </c>
      <c r="F76" s="170">
        <v>4572</v>
      </c>
      <c r="G76" s="847">
        <v>14796</v>
      </c>
      <c r="H76" s="178"/>
    </row>
    <row r="78" spans="2:8" ht="15">
      <c r="G78" s="654"/>
    </row>
  </sheetData>
  <mergeCells count="14">
    <mergeCell ref="B75:C75"/>
    <mergeCell ref="D1:H1"/>
    <mergeCell ref="D6:H6"/>
    <mergeCell ref="D2:G2"/>
    <mergeCell ref="D3:G3"/>
    <mergeCell ref="D4:G4"/>
    <mergeCell ref="D5:G5"/>
    <mergeCell ref="L12:L13"/>
    <mergeCell ref="M12:N13"/>
    <mergeCell ref="L9:N9"/>
    <mergeCell ref="L10:L11"/>
    <mergeCell ref="L14:L15"/>
    <mergeCell ref="M14:N15"/>
    <mergeCell ref="M10:N11"/>
  </mergeCells>
  <conditionalFormatting sqref="C76">
    <cfRule type="dataBar" priority="4">
      <dataBar>
        <cfvo type="num" val="0"/>
        <cfvo type="num" val="$C$56"/>
        <color rgb="FF63CB97"/>
      </dataBar>
      <extLst>
        <ext xmlns:x14="http://schemas.microsoft.com/office/spreadsheetml/2009/9/main" uri="{B025F937-C7B1-47D3-B67F-A62EFF666E3E}">
          <x14:id>{05FFAA24-8ED9-42E7-81DD-42909E55C8D0}</x14:id>
        </ext>
      </extLst>
    </cfRule>
  </conditionalFormatting>
  <conditionalFormatting sqref="D76">
    <cfRule type="dataBar" priority="7">
      <dataBar>
        <cfvo type="num" val="0"/>
        <cfvo type="num" val="$D$56"/>
        <color rgb="FF63CB97"/>
      </dataBar>
      <extLst>
        <ext xmlns:x14="http://schemas.microsoft.com/office/spreadsheetml/2009/9/main" uri="{B025F937-C7B1-47D3-B67F-A62EFF666E3E}">
          <x14:id>{8EF9E6DC-129E-4173-8D42-FD6A2EDF99E9}</x14:id>
        </ext>
      </extLst>
    </cfRule>
  </conditionalFormatting>
  <conditionalFormatting sqref="E76">
    <cfRule type="dataBar" priority="1">
      <dataBar>
        <cfvo type="num" val="0"/>
        <cfvo type="num" val="$E$56"/>
        <color rgb="FF63CB97"/>
      </dataBar>
      <extLst>
        <ext xmlns:x14="http://schemas.microsoft.com/office/spreadsheetml/2009/9/main" uri="{B025F937-C7B1-47D3-B67F-A62EFF666E3E}">
          <x14:id>{2983EE9C-4D3F-44F7-9EEC-48D1CDC8464A}</x14:id>
        </ext>
      </extLst>
    </cfRule>
  </conditionalFormatting>
  <conditionalFormatting sqref="F76">
    <cfRule type="dataBar" priority="6">
      <dataBar>
        <cfvo type="num" val="0"/>
        <cfvo type="num" val="$F$56"/>
        <color rgb="FF63CB97"/>
      </dataBar>
      <extLst>
        <ext xmlns:x14="http://schemas.microsoft.com/office/spreadsheetml/2009/9/main" uri="{B025F937-C7B1-47D3-B67F-A62EFF666E3E}">
          <x14:id>{7285C202-BD93-410D-9229-541FF40061E3}</x14:id>
        </ext>
      </extLst>
    </cfRule>
  </conditionalFormatting>
  <conditionalFormatting sqref="G76">
    <cfRule type="dataBar" priority="5">
      <dataBar>
        <cfvo type="num" val="0"/>
        <cfvo type="num" val="$G$56"/>
        <color rgb="FF63CB97"/>
      </dataBar>
      <extLst>
        <ext xmlns:x14="http://schemas.microsoft.com/office/spreadsheetml/2009/9/main" uri="{B025F937-C7B1-47D3-B67F-A62EFF666E3E}">
          <x14:id>{FD1F8589-55A8-4557-A309-5BD83FE52ED3}</x14:id>
        </ext>
      </extLst>
    </cfRule>
  </conditionalFormatting>
  <pageMargins left="0.7" right="0.7" top="0.75" bottom="0.75" header="0.3" footer="0.3"/>
  <pageSetup orientation="portrait" r:id="rId1"/>
  <ignoredErrors>
    <ignoredError sqref="J46"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05FFAA24-8ED9-42E7-81DD-42909E55C8D0}">
            <x14:dataBar minLength="0" maxLength="100" gradient="0">
              <x14:cfvo type="num">
                <xm:f>0</xm:f>
              </x14:cfvo>
              <x14:cfvo type="num">
                <xm:f>$C$56</xm:f>
              </x14:cfvo>
              <x14:negativeFillColor rgb="FFFF0000"/>
              <x14:axisColor rgb="FF000000"/>
            </x14:dataBar>
          </x14:cfRule>
          <xm:sqref>C76</xm:sqref>
        </x14:conditionalFormatting>
        <x14:conditionalFormatting xmlns:xm="http://schemas.microsoft.com/office/excel/2006/main">
          <x14:cfRule type="dataBar" id="{8EF9E6DC-129E-4173-8D42-FD6A2EDF99E9}">
            <x14:dataBar minLength="0" maxLength="100" gradient="0">
              <x14:cfvo type="num">
                <xm:f>0</xm:f>
              </x14:cfvo>
              <x14:cfvo type="num">
                <xm:f>$D$56</xm:f>
              </x14:cfvo>
              <x14:negativeFillColor rgb="FFFF0000"/>
              <x14:axisColor rgb="FF000000"/>
            </x14:dataBar>
          </x14:cfRule>
          <xm:sqref>D76</xm:sqref>
        </x14:conditionalFormatting>
        <x14:conditionalFormatting xmlns:xm="http://schemas.microsoft.com/office/excel/2006/main">
          <x14:cfRule type="dataBar" id="{2983EE9C-4D3F-44F7-9EEC-48D1CDC8464A}">
            <x14:dataBar minLength="0" maxLength="100" gradient="0">
              <x14:cfvo type="num">
                <xm:f>0</xm:f>
              </x14:cfvo>
              <x14:cfvo type="num">
                <xm:f>$E$56</xm:f>
              </x14:cfvo>
              <x14:negativeFillColor rgb="FFFF0000"/>
              <x14:axisColor rgb="FF000000"/>
            </x14:dataBar>
          </x14:cfRule>
          <xm:sqref>E76</xm:sqref>
        </x14:conditionalFormatting>
        <x14:conditionalFormatting xmlns:xm="http://schemas.microsoft.com/office/excel/2006/main">
          <x14:cfRule type="dataBar" id="{7285C202-BD93-410D-9229-541FF40061E3}">
            <x14:dataBar minLength="0" maxLength="100" gradient="0">
              <x14:cfvo type="num">
                <xm:f>0</xm:f>
              </x14:cfvo>
              <x14:cfvo type="num">
                <xm:f>$F$56</xm:f>
              </x14:cfvo>
              <x14:negativeFillColor rgb="FFFF0000"/>
              <x14:axisColor rgb="FF000000"/>
            </x14:dataBar>
          </x14:cfRule>
          <xm:sqref>F76</xm:sqref>
        </x14:conditionalFormatting>
        <x14:conditionalFormatting xmlns:xm="http://schemas.microsoft.com/office/excel/2006/main">
          <x14:cfRule type="dataBar" id="{FD1F8589-55A8-4557-A309-5BD83FE52ED3}">
            <x14:dataBar minLength="0" maxLength="100" gradient="0">
              <x14:cfvo type="num">
                <xm:f>0</xm:f>
              </x14:cfvo>
              <x14:cfvo type="num">
                <xm:f>$G$56</xm:f>
              </x14:cfvo>
              <x14:negativeFillColor rgb="FFFF0000"/>
              <x14:axisColor rgb="FF000000"/>
            </x14:dataBar>
          </x14:cfRule>
          <xm:sqref>G76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Z100"/>
  <sheetViews>
    <sheetView showGridLines="0" topLeftCell="A15" zoomScale="28" zoomScaleNormal="85" workbookViewId="0">
      <selection activeCell="I36" sqref="I36"/>
    </sheetView>
  </sheetViews>
  <sheetFormatPr defaultColWidth="11.42578125" defaultRowHeight="12.75" customHeight="1"/>
  <cols>
    <col min="1" max="1" width="1.140625" style="70" customWidth="1"/>
    <col min="2" max="2" width="59.42578125" style="70" customWidth="1"/>
    <col min="3" max="4" width="12.7109375" style="70" customWidth="1"/>
    <col min="5" max="5" width="11.42578125" style="70" bestFit="1" customWidth="1"/>
    <col min="6" max="6" width="11" style="70" customWidth="1"/>
    <col min="7" max="7" width="10.28515625" style="70" customWidth="1"/>
    <col min="8" max="8" width="20.28515625" style="378" customWidth="1"/>
    <col min="9" max="9" width="22.28515625" style="378" customWidth="1"/>
    <col min="10" max="10" width="64" style="70" customWidth="1"/>
    <col min="11" max="11" width="34.7109375" style="70" bestFit="1" customWidth="1"/>
    <col min="12" max="12" width="21.28515625" style="70" customWidth="1"/>
    <col min="13" max="13" width="19.7109375" style="70" customWidth="1"/>
    <col min="14" max="14" width="20.7109375" style="70" bestFit="1" customWidth="1"/>
    <col min="15" max="15" width="19.7109375" style="70" bestFit="1" customWidth="1"/>
    <col min="16" max="16" width="19.7109375" style="70" customWidth="1"/>
    <col min="17" max="17" width="11.42578125" style="70" customWidth="1"/>
    <col min="18" max="18" width="10.28515625" style="70" customWidth="1"/>
    <col min="19" max="19" width="12.28515625" style="70" bestFit="1" customWidth="1"/>
    <col min="20" max="20" width="15.28515625" style="70" customWidth="1"/>
    <col min="21" max="21" width="18.140625" style="70" bestFit="1" customWidth="1"/>
    <col min="22" max="22" width="18.28515625" style="70" bestFit="1" customWidth="1"/>
    <col min="23" max="23" width="17.42578125" style="70" bestFit="1" customWidth="1"/>
    <col min="24" max="29" width="11.42578125" style="70"/>
    <col min="30" max="30" width="13" style="70" bestFit="1" customWidth="1"/>
    <col min="31" max="16384" width="11.42578125" style="70"/>
  </cols>
  <sheetData>
    <row r="1" spans="1:24" ht="13.15">
      <c r="B1" s="212" t="s">
        <v>285</v>
      </c>
      <c r="C1" s="74"/>
      <c r="D1" s="74"/>
      <c r="E1" s="74"/>
      <c r="F1" s="74"/>
      <c r="G1" s="74"/>
      <c r="H1" s="375"/>
      <c r="I1" s="375"/>
      <c r="J1" s="74"/>
      <c r="S1" s="84" t="s">
        <v>286</v>
      </c>
    </row>
    <row r="2" spans="1:24" ht="13.15">
      <c r="B2" s="80" t="s">
        <v>287</v>
      </c>
      <c r="C2" s="213" t="s">
        <v>288</v>
      </c>
      <c r="D2" s="74"/>
      <c r="E2" s="74"/>
      <c r="F2" s="74"/>
      <c r="G2" s="74"/>
      <c r="H2" s="375"/>
      <c r="I2" s="375"/>
      <c r="J2" s="74"/>
      <c r="S2" s="84" t="s">
        <v>289</v>
      </c>
    </row>
    <row r="3" spans="1:24" ht="21">
      <c r="B3" s="1201" t="s">
        <v>290</v>
      </c>
      <c r="C3" s="1201"/>
      <c r="D3" s="1201"/>
      <c r="E3" s="1201"/>
      <c r="F3" s="1201"/>
      <c r="G3" s="1201"/>
      <c r="H3" s="1201"/>
      <c r="I3" s="1201"/>
      <c r="J3" s="1201"/>
      <c r="K3" s="1202" t="s">
        <v>291</v>
      </c>
      <c r="L3" s="1202"/>
      <c r="M3" s="1202"/>
      <c r="N3" s="1202"/>
      <c r="O3" s="1202"/>
      <c r="P3" s="1202"/>
    </row>
    <row r="4" spans="1:24" ht="31.15">
      <c r="B4" s="205" t="s">
        <v>292</v>
      </c>
      <c r="C4" s="229" t="s">
        <v>293</v>
      </c>
      <c r="D4" s="229" t="s">
        <v>294</v>
      </c>
      <c r="E4" s="229" t="s">
        <v>295</v>
      </c>
      <c r="F4" s="229" t="s">
        <v>296</v>
      </c>
      <c r="G4" s="229" t="s">
        <v>297</v>
      </c>
      <c r="H4" s="206" t="s">
        <v>298</v>
      </c>
      <c r="I4" s="206" t="s">
        <v>299</v>
      </c>
      <c r="J4" s="207" t="s">
        <v>300</v>
      </c>
      <c r="K4" s="205" t="s">
        <v>292</v>
      </c>
      <c r="L4" s="230" t="str">
        <f>Peers!C8</f>
        <v>UNITED PARCEL SERVICE, INC. (XNYS:UPS)</v>
      </c>
      <c r="M4" s="230" t="e" vm="8">
        <f>Peers!D8</f>
        <v>#VALUE!</v>
      </c>
      <c r="N4" s="230" t="e" vm="9">
        <f>Peers!E8</f>
        <v>#VALUE!</v>
      </c>
      <c r="O4" s="230" t="e" vm="10">
        <f>Peers!F8</f>
        <v>#VALUE!</v>
      </c>
      <c r="P4" s="230" t="e" vm="11">
        <f>Peers!G8</f>
        <v>#VALUE!</v>
      </c>
      <c r="Q4" s="496" t="s">
        <v>219</v>
      </c>
      <c r="S4" s="84">
        <v>2018</v>
      </c>
      <c r="T4" s="84">
        <v>2019</v>
      </c>
      <c r="U4" s="84">
        <v>2020</v>
      </c>
      <c r="V4" s="84">
        <v>2021</v>
      </c>
      <c r="W4" s="84">
        <v>2022</v>
      </c>
      <c r="X4" s="84">
        <v>2023</v>
      </c>
    </row>
    <row r="5" spans="1:24" ht="13.9">
      <c r="B5" s="214" t="s">
        <v>301</v>
      </c>
      <c r="C5" s="215"/>
      <c r="D5" s="216"/>
      <c r="E5" s="216"/>
      <c r="F5" s="216"/>
      <c r="G5" s="216"/>
      <c r="H5" s="376"/>
      <c r="I5" s="376"/>
      <c r="J5" s="217"/>
      <c r="K5" s="214" t="s">
        <v>302</v>
      </c>
      <c r="L5" s="216"/>
      <c r="M5" s="216"/>
      <c r="N5" s="216"/>
      <c r="O5" s="216"/>
      <c r="P5" s="217"/>
      <c r="Q5" s="217"/>
      <c r="S5" s="650">
        <v>13851000</v>
      </c>
      <c r="T5" s="650">
        <v>14223000</v>
      </c>
      <c r="U5" s="650">
        <v>15088000</v>
      </c>
      <c r="V5" s="650">
        <v>15668000</v>
      </c>
      <c r="W5" s="650">
        <v>15845000</v>
      </c>
      <c r="X5" s="651">
        <v>14499000</v>
      </c>
    </row>
    <row r="6" spans="1:24" ht="105.6">
      <c r="A6" s="70">
        <v>1</v>
      </c>
      <c r="B6" s="209" t="s">
        <v>303</v>
      </c>
      <c r="C6" s="208" t="str">
        <f>VLOOKUP($B$2,'Sector Impact'!$K$4:$AA$16,A6+1,FALSE)</f>
        <v>Very High</v>
      </c>
      <c r="D6" s="208" t="s">
        <v>286</v>
      </c>
      <c r="E6" s="208" t="s">
        <v>304</v>
      </c>
      <c r="F6" s="218" t="s">
        <v>286</v>
      </c>
      <c r="G6" s="275"/>
      <c r="H6" s="625" t="s">
        <v>305</v>
      </c>
      <c r="I6" s="632" t="s">
        <v>306</v>
      </c>
      <c r="J6" s="625" t="s">
        <v>307</v>
      </c>
      <c r="K6" s="209" t="s">
        <v>308</v>
      </c>
      <c r="L6" s="609">
        <f>L12/L$11</f>
        <v>159.40324105631171</v>
      </c>
      <c r="M6" s="610">
        <f t="shared" ref="M6:N6" si="0">M12/M$11</f>
        <v>178.52410112551743</v>
      </c>
      <c r="N6" s="610">
        <f t="shared" si="0"/>
        <v>81.421023578582137</v>
      </c>
      <c r="O6" s="610" t="s">
        <v>242</v>
      </c>
      <c r="P6" s="610">
        <f t="shared" ref="P6:P8" si="1">P12/P$11</f>
        <v>426.68788360991135</v>
      </c>
      <c r="Q6" s="426">
        <f>IFERROR(AVERAGE(L6:P6),"")</f>
        <v>211.50906234258065</v>
      </c>
    </row>
    <row r="7" spans="1:24" s="74" customFormat="1" ht="17.45">
      <c r="A7" s="74">
        <v>2</v>
      </c>
      <c r="B7" s="209" t="s">
        <v>309</v>
      </c>
      <c r="C7" s="208" t="str">
        <f>VLOOKUP($B$2,'Sector Impact'!$K$4:$AA$16,A7+1,FALSE)</f>
        <v>Very High</v>
      </c>
      <c r="D7" s="208" t="s">
        <v>289</v>
      </c>
      <c r="E7" s="211"/>
      <c r="F7" s="211"/>
      <c r="G7" s="211"/>
      <c r="H7" s="633"/>
      <c r="I7" s="634"/>
      <c r="J7" s="626"/>
      <c r="K7" s="209" t="s">
        <v>310</v>
      </c>
      <c r="L7" s="610" t="s">
        <v>242</v>
      </c>
      <c r="M7" s="610" t="s">
        <v>242</v>
      </c>
      <c r="N7" s="610" t="s">
        <v>242</v>
      </c>
      <c r="O7" s="610" t="s">
        <v>242</v>
      </c>
      <c r="P7" s="610" t="s">
        <v>242</v>
      </c>
      <c r="Q7" s="427" t="str">
        <f>IFERROR(AVERAGE(L7:P7),"")</f>
        <v/>
      </c>
    </row>
    <row r="8" spans="1:24" ht="66">
      <c r="A8" s="70">
        <v>3</v>
      </c>
      <c r="B8" s="209" t="s">
        <v>311</v>
      </c>
      <c r="C8" s="208" t="str">
        <f>VLOOKUP($B$2,'Sector Impact'!$K$4:$AA$16,A8+1,FALSE)</f>
        <v>Very High</v>
      </c>
      <c r="D8" s="208" t="s">
        <v>286</v>
      </c>
      <c r="E8" s="208" t="s">
        <v>304</v>
      </c>
      <c r="F8" s="218" t="s">
        <v>286</v>
      </c>
      <c r="G8" s="275"/>
      <c r="H8" s="632" t="s">
        <v>312</v>
      </c>
      <c r="I8" s="635" t="s">
        <v>313</v>
      </c>
      <c r="J8" s="627" t="s">
        <v>314</v>
      </c>
      <c r="K8" s="209" t="s">
        <v>315</v>
      </c>
      <c r="L8" s="610">
        <f t="shared" ref="L8:M9" si="2">L14/L$11</f>
        <v>2346.4895886013323</v>
      </c>
      <c r="M8" s="610">
        <f t="shared" si="2"/>
        <v>3468.680510417023</v>
      </c>
      <c r="N8" s="610">
        <f>N14/N$11</f>
        <v>1244.0028388928317</v>
      </c>
      <c r="O8" s="610" t="s">
        <v>242</v>
      </c>
      <c r="P8" s="610">
        <f t="shared" si="1"/>
        <v>19.370766083200728</v>
      </c>
      <c r="Q8" s="427">
        <f>IFERROR(AVERAGE(L8:P8),"")</f>
        <v>1769.635925998597</v>
      </c>
    </row>
    <row r="9" spans="1:24" ht="26.45">
      <c r="A9" s="70">
        <v>4</v>
      </c>
      <c r="B9" s="209" t="s">
        <v>316</v>
      </c>
      <c r="C9" s="208" t="str">
        <f>VLOOKUP($B$2,'Sector Impact'!$K$4:$AA$16,A9+1,FALSE)</f>
        <v>High</v>
      </c>
      <c r="D9" s="208" t="s">
        <v>289</v>
      </c>
      <c r="E9" s="208"/>
      <c r="F9" s="218" t="s">
        <v>289</v>
      </c>
      <c r="G9" s="272"/>
      <c r="H9" s="625" t="s">
        <v>242</v>
      </c>
      <c r="I9" s="636" t="s">
        <v>242</v>
      </c>
      <c r="J9" s="624" t="s">
        <v>317</v>
      </c>
      <c r="K9" s="209" t="s">
        <v>318</v>
      </c>
      <c r="L9" s="610" t="s">
        <v>242</v>
      </c>
      <c r="M9" s="610">
        <f t="shared" si="2"/>
        <v>6.4448473652400988</v>
      </c>
      <c r="N9" s="610">
        <f>N14/N$11</f>
        <v>1244.0028388928317</v>
      </c>
      <c r="O9" s="610" t="s">
        <v>242</v>
      </c>
      <c r="P9" s="610" t="s">
        <v>242</v>
      </c>
      <c r="Q9" s="427">
        <f>IFERROR(AVERAGE(L9:P9),"")</f>
        <v>625.22384312903591</v>
      </c>
    </row>
    <row r="10" spans="1:24" ht="13.9">
      <c r="A10" s="70">
        <v>5</v>
      </c>
      <c r="B10" s="209" t="s">
        <v>319</v>
      </c>
      <c r="C10" s="208" t="str">
        <f>VLOOKUP($B$2,'Sector Impact'!$K$4:$AA$16,A10+1,FALSE)</f>
        <v>High</v>
      </c>
      <c r="D10" s="208" t="s">
        <v>289</v>
      </c>
      <c r="E10" s="208"/>
      <c r="F10" s="218" t="s">
        <v>289</v>
      </c>
      <c r="G10" s="272"/>
      <c r="H10" s="625" t="s">
        <v>242</v>
      </c>
      <c r="I10" s="625" t="s">
        <v>242</v>
      </c>
      <c r="J10" s="628"/>
      <c r="K10" s="214" t="s">
        <v>320</v>
      </c>
      <c r="L10" s="216"/>
      <c r="M10" s="216"/>
      <c r="N10" s="216"/>
      <c r="O10" s="216"/>
      <c r="P10" s="216"/>
      <c r="R10"/>
      <c r="U10" s="74"/>
      <c r="V10" s="74"/>
      <c r="W10" s="74"/>
    </row>
    <row r="11" spans="1:24" ht="13.9">
      <c r="B11" s="214" t="s">
        <v>321</v>
      </c>
      <c r="C11" s="211"/>
      <c r="D11" s="211"/>
      <c r="E11" s="219"/>
      <c r="F11" s="219"/>
      <c r="G11" s="220"/>
      <c r="H11" s="637"/>
      <c r="I11" s="637"/>
      <c r="J11" s="629"/>
      <c r="K11" s="209" t="s">
        <v>322</v>
      </c>
      <c r="L11" s="607">
        <v>90958</v>
      </c>
      <c r="M11" s="607">
        <v>87693</v>
      </c>
      <c r="N11" s="607">
        <v>101448</v>
      </c>
      <c r="O11" s="607">
        <v>7744</v>
      </c>
      <c r="P11" s="607">
        <v>17596</v>
      </c>
      <c r="R11"/>
    </row>
    <row r="12" spans="1:24" ht="13.15">
      <c r="A12" s="70">
        <v>6</v>
      </c>
      <c r="B12" s="209" t="s">
        <v>323</v>
      </c>
      <c r="C12" s="208" t="str">
        <f>VLOOKUP($B$2,'Sector Impact'!$K$4:$AA$16,A12+1,FALSE)</f>
        <v>Low</v>
      </c>
      <c r="D12" s="208"/>
      <c r="E12" s="208"/>
      <c r="F12" s="218"/>
      <c r="G12" s="277"/>
      <c r="H12" s="625" t="s">
        <v>242</v>
      </c>
      <c r="I12" s="622" t="s">
        <v>242</v>
      </c>
      <c r="J12" s="630" t="s">
        <v>324</v>
      </c>
      <c r="K12" s="608" t="s">
        <v>325</v>
      </c>
      <c r="L12" s="604">
        <v>14499000</v>
      </c>
      <c r="M12" s="306">
        <v>15655314</v>
      </c>
      <c r="N12" s="604">
        <v>8260000</v>
      </c>
      <c r="O12" s="652" t="str">
        <f>"-"</f>
        <v>-</v>
      </c>
      <c r="P12" s="646">
        <f>7.508 *10^6</f>
        <v>7508000</v>
      </c>
      <c r="R12"/>
    </row>
    <row r="13" spans="1:24" ht="52.9">
      <c r="A13" s="70">
        <v>7</v>
      </c>
      <c r="B13" s="209" t="s">
        <v>326</v>
      </c>
      <c r="C13" s="208" t="str">
        <f>VLOOKUP($B$2,'Sector Impact'!$K$4:$AA$16,A13+1,FALSE)</f>
        <v>Medium</v>
      </c>
      <c r="D13" s="208" t="s">
        <v>289</v>
      </c>
      <c r="E13" s="208" t="s">
        <v>327</v>
      </c>
      <c r="F13" s="221" t="s">
        <v>289</v>
      </c>
      <c r="G13" s="272"/>
      <c r="H13" s="625" t="s">
        <v>242</v>
      </c>
      <c r="I13" s="622" t="s">
        <v>242</v>
      </c>
      <c r="J13" s="623" t="s">
        <v>328</v>
      </c>
      <c r="K13" s="608" t="s">
        <v>329</v>
      </c>
      <c r="L13" s="604" t="str">
        <f>"-"</f>
        <v>-</v>
      </c>
      <c r="M13" s="646" t="str">
        <f>"-"</f>
        <v>-</v>
      </c>
      <c r="N13" s="649">
        <v>1400000</v>
      </c>
      <c r="O13" s="652" t="str">
        <f>"-"</f>
        <v>-</v>
      </c>
      <c r="P13" s="649" t="str">
        <f>"-"</f>
        <v>-</v>
      </c>
      <c r="R13" s="84">
        <v>2018</v>
      </c>
      <c r="S13" s="84">
        <v>2019</v>
      </c>
      <c r="T13" s="84">
        <v>2020</v>
      </c>
      <c r="U13" s="84">
        <v>2021</v>
      </c>
      <c r="V13" s="84">
        <v>2022</v>
      </c>
      <c r="W13" s="84">
        <v>2023</v>
      </c>
    </row>
    <row r="14" spans="1:24" ht="13.15">
      <c r="A14" s="70">
        <v>8</v>
      </c>
      <c r="B14" s="222" t="s">
        <v>330</v>
      </c>
      <c r="C14" s="208" t="str">
        <f>VLOOKUP($B$2,'Sector Impact'!$K$4:$AA$16,A14+1,FALSE)</f>
        <v>High</v>
      </c>
      <c r="D14" s="208" t="s">
        <v>289</v>
      </c>
      <c r="E14" s="617" t="s">
        <v>331</v>
      </c>
      <c r="F14" s="613" t="s">
        <v>289</v>
      </c>
      <c r="G14" s="620"/>
      <c r="H14" s="638" t="s">
        <v>242</v>
      </c>
      <c r="I14" s="622" t="s">
        <v>242</v>
      </c>
      <c r="J14" s="622" t="s">
        <v>242</v>
      </c>
      <c r="K14" s="209" t="s">
        <v>332</v>
      </c>
      <c r="L14" s="645">
        <v>213432000</v>
      </c>
      <c r="M14" s="647">
        <v>304179000</v>
      </c>
      <c r="N14" s="646">
        <v>126201600</v>
      </c>
      <c r="O14" s="652" t="str">
        <f>"-"</f>
        <v>-</v>
      </c>
      <c r="P14" s="306">
        <v>340848</v>
      </c>
      <c r="R14" s="650">
        <v>198420000</v>
      </c>
      <c r="S14" s="650">
        <v>203929000</v>
      </c>
      <c r="T14" s="650">
        <v>216422000</v>
      </c>
      <c r="U14" s="650">
        <v>225544000</v>
      </c>
      <c r="V14" s="650">
        <v>229653000</v>
      </c>
      <c r="W14" s="651">
        <v>213432000</v>
      </c>
    </row>
    <row r="15" spans="1:24" ht="158.44999999999999">
      <c r="A15" s="70">
        <v>9</v>
      </c>
      <c r="B15" s="222" t="s">
        <v>333</v>
      </c>
      <c r="C15" s="208" t="str">
        <f>VLOOKUP($B$2,'Sector Impact'!$K$4:$AA$16,A15+1,FALSE)</f>
        <v>Very High</v>
      </c>
      <c r="D15" s="612" t="s">
        <v>286</v>
      </c>
      <c r="E15" s="615" t="s">
        <v>331</v>
      </c>
      <c r="F15" s="616" t="s">
        <v>286</v>
      </c>
      <c r="G15" s="620"/>
      <c r="H15" s="639" t="s">
        <v>242</v>
      </c>
      <c r="I15" s="640" t="s">
        <v>334</v>
      </c>
      <c r="J15" s="622" t="s">
        <v>335</v>
      </c>
      <c r="K15" s="209" t="s">
        <v>336</v>
      </c>
      <c r="L15" s="604" t="str">
        <f>"-"</f>
        <v>-</v>
      </c>
      <c r="M15" s="306">
        <v>565168</v>
      </c>
      <c r="N15" s="649" t="str">
        <f>"-"</f>
        <v>-</v>
      </c>
      <c r="O15" s="652" t="str">
        <f>"-"</f>
        <v>-</v>
      </c>
      <c r="P15" s="653" t="str">
        <f>"-"</f>
        <v>-</v>
      </c>
      <c r="R15"/>
    </row>
    <row r="16" spans="1:24" ht="103.5" customHeight="1">
      <c r="A16" s="70">
        <v>10</v>
      </c>
      <c r="B16" s="209" t="s">
        <v>337</v>
      </c>
      <c r="C16" s="208" t="str">
        <f>VLOOKUP($B$2,'Sector Impact'!$K$4:$AA$16,A16+1,FALSE)</f>
        <v>Medium</v>
      </c>
      <c r="D16" s="612" t="s">
        <v>286</v>
      </c>
      <c r="E16" s="619" t="s">
        <v>331</v>
      </c>
      <c r="F16" s="618" t="s">
        <v>286</v>
      </c>
      <c r="G16" s="272"/>
      <c r="H16" s="639" t="s">
        <v>338</v>
      </c>
      <c r="I16" s="639" t="s">
        <v>242</v>
      </c>
      <c r="J16" s="621" t="s">
        <v>339</v>
      </c>
      <c r="K16" s="214" t="s">
        <v>340</v>
      </c>
      <c r="L16" s="605"/>
      <c r="M16" s="605"/>
      <c r="N16" s="648"/>
      <c r="O16" s="605"/>
      <c r="P16" s="606"/>
      <c r="R16"/>
    </row>
    <row r="17" spans="1:18" ht="13.15">
      <c r="A17" s="70">
        <v>11</v>
      </c>
      <c r="B17" s="209" t="s">
        <v>341</v>
      </c>
      <c r="C17" s="208" t="str">
        <f>VLOOKUP($B$2,'Sector Impact'!$K$4:$AA$16,A17+1,FALSE)</f>
        <v>Very High</v>
      </c>
      <c r="D17" s="223" t="s">
        <v>289</v>
      </c>
      <c r="E17" s="614" t="s">
        <v>327</v>
      </c>
      <c r="F17" s="614" t="s">
        <v>289</v>
      </c>
      <c r="G17" s="272"/>
      <c r="H17" s="639" t="s">
        <v>242</v>
      </c>
      <c r="I17" s="639" t="s">
        <v>242</v>
      </c>
      <c r="J17" s="642" t="s">
        <v>242</v>
      </c>
      <c r="K17" s="209" t="s">
        <v>342</v>
      </c>
      <c r="L17" s="604" t="s">
        <v>343</v>
      </c>
      <c r="M17" s="604" t="s">
        <v>344</v>
      </c>
      <c r="N17" s="604" t="s">
        <v>345</v>
      </c>
      <c r="O17" s="604" t="s">
        <v>346</v>
      </c>
      <c r="P17" s="604" t="s">
        <v>347</v>
      </c>
      <c r="R17"/>
    </row>
    <row r="18" spans="1:18" ht="52.9">
      <c r="A18" s="70">
        <v>12</v>
      </c>
      <c r="B18" s="209" t="s">
        <v>348</v>
      </c>
      <c r="C18" s="208" t="str">
        <f>VLOOKUP($B$2,'Sector Impact'!$K$4:$AA$16,A18+1,FALSE)</f>
        <v>Medium</v>
      </c>
      <c r="D18" s="208" t="s">
        <v>286</v>
      </c>
      <c r="E18" s="208" t="s">
        <v>331</v>
      </c>
      <c r="F18" s="218" t="s">
        <v>289</v>
      </c>
      <c r="G18" s="272"/>
      <c r="H18" s="639" t="s">
        <v>242</v>
      </c>
      <c r="I18" s="641" t="s">
        <v>242</v>
      </c>
      <c r="J18" s="611" t="s">
        <v>349</v>
      </c>
      <c r="K18" s="608" t="s">
        <v>350</v>
      </c>
      <c r="L18" s="604" t="s">
        <v>351</v>
      </c>
      <c r="M18" s="604" t="s">
        <v>352</v>
      </c>
      <c r="N18" s="604" t="s">
        <v>353</v>
      </c>
      <c r="O18" s="604" t="s">
        <v>354</v>
      </c>
      <c r="P18" s="604" t="s">
        <v>355</v>
      </c>
    </row>
    <row r="19" spans="1:18" ht="52.9">
      <c r="A19" s="70">
        <v>13</v>
      </c>
      <c r="B19" s="209" t="s">
        <v>356</v>
      </c>
      <c r="C19" s="208" t="str">
        <f>VLOOKUP($B$2,'Sector Impact'!$K$4:$AA$16,A19+1,FALSE)</f>
        <v>Very High</v>
      </c>
      <c r="D19" s="208" t="s">
        <v>286</v>
      </c>
      <c r="E19" s="208" t="s">
        <v>331</v>
      </c>
      <c r="F19" s="218" t="s">
        <v>289</v>
      </c>
      <c r="G19" s="272"/>
      <c r="H19" s="639" t="s">
        <v>242</v>
      </c>
      <c r="I19" s="641" t="s">
        <v>242</v>
      </c>
      <c r="J19" s="644" t="s">
        <v>357</v>
      </c>
      <c r="K19" s="608" t="s">
        <v>358</v>
      </c>
      <c r="L19" s="604" t="s">
        <v>359</v>
      </c>
      <c r="M19" s="604" t="s">
        <v>360</v>
      </c>
      <c r="N19" s="604" t="s">
        <v>361</v>
      </c>
      <c r="O19" s="604" t="s">
        <v>360</v>
      </c>
      <c r="P19" s="604" t="s">
        <v>362</v>
      </c>
    </row>
    <row r="20" spans="1:18" ht="145.15">
      <c r="A20" s="70">
        <v>14</v>
      </c>
      <c r="B20" s="209" t="s">
        <v>363</v>
      </c>
      <c r="C20" s="208" t="str">
        <f>VLOOKUP($B$2,'Sector Impact'!$K$4:$AA$16,A20+1,FALSE)</f>
        <v>Very High</v>
      </c>
      <c r="D20" s="208" t="s">
        <v>286</v>
      </c>
      <c r="E20" s="208" t="s">
        <v>331</v>
      </c>
      <c r="F20" s="218" t="s">
        <v>286</v>
      </c>
      <c r="G20" s="272"/>
      <c r="H20" s="639" t="s">
        <v>242</v>
      </c>
      <c r="I20" s="641" t="s">
        <v>242</v>
      </c>
      <c r="J20" s="611" t="s">
        <v>364</v>
      </c>
      <c r="K20" s="608" t="s">
        <v>365</v>
      </c>
      <c r="L20" s="604" t="s">
        <v>366</v>
      </c>
      <c r="M20" s="604" t="s">
        <v>359</v>
      </c>
      <c r="N20" s="604" t="s">
        <v>367</v>
      </c>
      <c r="O20" s="604" t="s">
        <v>9</v>
      </c>
      <c r="P20" s="604" t="s">
        <v>367</v>
      </c>
    </row>
    <row r="21" spans="1:18" ht="171.6">
      <c r="A21" s="70">
        <v>15</v>
      </c>
      <c r="B21" s="209" t="s">
        <v>368</v>
      </c>
      <c r="C21" s="208" t="str">
        <f>VLOOKUP($B$2,'Sector Impact'!$K$4:$AA$16,A21+1,FALSE)</f>
        <v>Very High</v>
      </c>
      <c r="D21" s="208" t="s">
        <v>289</v>
      </c>
      <c r="E21" s="208" t="s">
        <v>304</v>
      </c>
      <c r="F21" s="218" t="s">
        <v>289</v>
      </c>
      <c r="G21" s="275"/>
      <c r="H21" s="639" t="s">
        <v>242</v>
      </c>
      <c r="I21" s="641" t="s">
        <v>242</v>
      </c>
      <c r="J21" s="643" t="s">
        <v>369</v>
      </c>
    </row>
    <row r="22" spans="1:18" ht="39.6">
      <c r="A22" s="70">
        <v>16</v>
      </c>
      <c r="B22" s="209" t="s">
        <v>370</v>
      </c>
      <c r="C22" s="210" t="str">
        <f>VLOOKUP($B$2,'Sector Impact'!$K$4:$AA$16,A22+1,FALSE)</f>
        <v>High</v>
      </c>
      <c r="D22" s="208" t="s">
        <v>289</v>
      </c>
      <c r="E22" s="208" t="s">
        <v>327</v>
      </c>
      <c r="F22" s="218" t="s">
        <v>289</v>
      </c>
      <c r="G22" s="272"/>
      <c r="H22" s="639" t="s">
        <v>242</v>
      </c>
      <c r="I22" s="641" t="s">
        <v>242</v>
      </c>
      <c r="J22" s="624" t="s">
        <v>371</v>
      </c>
    </row>
    <row r="23" spans="1:18" ht="13.9">
      <c r="B23" s="214" t="s">
        <v>372</v>
      </c>
      <c r="C23" s="224"/>
      <c r="D23" s="211"/>
      <c r="E23" s="219"/>
      <c r="F23" s="219"/>
      <c r="G23" s="220"/>
      <c r="H23" s="637"/>
      <c r="I23" s="637"/>
      <c r="J23" s="628"/>
      <c r="K23" s="1204" t="s">
        <v>373</v>
      </c>
      <c r="L23" s="1205"/>
      <c r="M23" s="1206"/>
    </row>
    <row r="24" spans="1:18" ht="26.45">
      <c r="A24" s="70">
        <v>17</v>
      </c>
      <c r="B24" s="209" t="s">
        <v>374</v>
      </c>
      <c r="C24" s="225"/>
      <c r="D24" s="226"/>
      <c r="E24" s="221" t="s">
        <v>327</v>
      </c>
      <c r="F24" s="221" t="s">
        <v>289</v>
      </c>
      <c r="G24" s="272"/>
      <c r="H24" s="625" t="s">
        <v>242</v>
      </c>
      <c r="I24" s="625" t="s">
        <v>242</v>
      </c>
      <c r="J24" s="379" t="s">
        <v>375</v>
      </c>
      <c r="K24" s="239" t="s">
        <v>376</v>
      </c>
      <c r="L24" s="71" t="s">
        <v>377</v>
      </c>
      <c r="M24" s="72" t="s">
        <v>378</v>
      </c>
      <c r="O24" s="468" t="s">
        <v>222</v>
      </c>
    </row>
    <row r="25" spans="1:18" ht="15.75" customHeight="1">
      <c r="A25" s="70">
        <v>18</v>
      </c>
      <c r="B25" s="209" t="s">
        <v>379</v>
      </c>
      <c r="C25" s="225"/>
      <c r="D25" s="226"/>
      <c r="E25" s="221" t="s">
        <v>331</v>
      </c>
      <c r="F25" s="221" t="s">
        <v>289</v>
      </c>
      <c r="G25" s="272"/>
      <c r="H25" s="625" t="s">
        <v>242</v>
      </c>
      <c r="I25" s="625" t="s">
        <v>242</v>
      </c>
      <c r="J25" s="621" t="s">
        <v>380</v>
      </c>
      <c r="K25" s="199" t="s">
        <v>381</v>
      </c>
      <c r="L25" s="200" t="s">
        <v>382</v>
      </c>
      <c r="M25" s="1207" t="s">
        <v>383</v>
      </c>
      <c r="O25" s="469"/>
    </row>
    <row r="26" spans="1:18" ht="15.75" customHeight="1">
      <c r="A26" s="70">
        <v>19</v>
      </c>
      <c r="B26" s="209" t="s">
        <v>384</v>
      </c>
      <c r="C26" s="225"/>
      <c r="D26" s="226"/>
      <c r="E26" s="221" t="s">
        <v>331</v>
      </c>
      <c r="F26" s="221" t="s">
        <v>289</v>
      </c>
      <c r="G26" s="272"/>
      <c r="H26" s="625" t="s">
        <v>242</v>
      </c>
      <c r="I26" s="625" t="s">
        <v>242</v>
      </c>
      <c r="J26" s="631" t="s">
        <v>385</v>
      </c>
      <c r="K26" s="199" t="s">
        <v>327</v>
      </c>
      <c r="L26" s="200" t="s">
        <v>331</v>
      </c>
      <c r="M26" s="1208"/>
      <c r="O26" s="470"/>
    </row>
    <row r="27" spans="1:18" ht="13.15">
      <c r="A27" s="70">
        <v>20</v>
      </c>
      <c r="B27" s="209" t="s">
        <v>386</v>
      </c>
      <c r="C27" s="225"/>
      <c r="D27" s="226"/>
      <c r="E27" s="221" t="s">
        <v>382</v>
      </c>
      <c r="F27" s="221" t="s">
        <v>289</v>
      </c>
      <c r="G27" s="276"/>
      <c r="H27" s="625" t="s">
        <v>242</v>
      </c>
      <c r="I27" s="625" t="s">
        <v>242</v>
      </c>
      <c r="J27" s="631" t="s">
        <v>387</v>
      </c>
      <c r="K27" s="201" t="s">
        <v>388</v>
      </c>
      <c r="L27" s="202" t="s">
        <v>327</v>
      </c>
      <c r="M27" s="1208"/>
      <c r="O27" s="471"/>
    </row>
    <row r="28" spans="1:18" ht="26.45">
      <c r="A28" s="70">
        <v>21</v>
      </c>
      <c r="B28" s="209" t="s">
        <v>389</v>
      </c>
      <c r="C28" s="225"/>
      <c r="D28" s="226"/>
      <c r="E28" s="221" t="s">
        <v>382</v>
      </c>
      <c r="F28" s="221" t="s">
        <v>289</v>
      </c>
      <c r="G28" s="276"/>
      <c r="H28" s="625" t="s">
        <v>242</v>
      </c>
      <c r="I28" s="625" t="s">
        <v>242</v>
      </c>
      <c r="J28" s="621" t="s">
        <v>390</v>
      </c>
      <c r="K28" s="203" t="s">
        <v>391</v>
      </c>
      <c r="L28" s="204" t="s">
        <v>304</v>
      </c>
      <c r="M28" s="1209"/>
    </row>
    <row r="29" spans="1:18" ht="39.6">
      <c r="A29" s="70">
        <v>22</v>
      </c>
      <c r="B29" s="209" t="s">
        <v>392</v>
      </c>
      <c r="C29" s="225"/>
      <c r="D29" s="226"/>
      <c r="E29" s="221" t="s">
        <v>331</v>
      </c>
      <c r="F29" s="221" t="s">
        <v>289</v>
      </c>
      <c r="G29" s="272"/>
      <c r="H29" s="625" t="s">
        <v>242</v>
      </c>
      <c r="I29" s="625" t="s">
        <v>242</v>
      </c>
      <c r="J29" s="621" t="s">
        <v>393</v>
      </c>
    </row>
    <row r="30" spans="1:18" ht="25.9" customHeight="1">
      <c r="A30" s="70">
        <v>23</v>
      </c>
      <c r="B30" s="209" t="s">
        <v>394</v>
      </c>
      <c r="C30" s="225"/>
      <c r="D30" s="226"/>
      <c r="E30" s="221" t="s">
        <v>327</v>
      </c>
      <c r="F30" s="221" t="s">
        <v>289</v>
      </c>
      <c r="G30" s="272"/>
      <c r="H30" s="625" t="s">
        <v>242</v>
      </c>
      <c r="I30" s="625" t="s">
        <v>242</v>
      </c>
      <c r="J30" s="631" t="s">
        <v>395</v>
      </c>
    </row>
    <row r="31" spans="1:18" ht="20.25" customHeight="1">
      <c r="A31" s="70">
        <v>24</v>
      </c>
      <c r="B31" s="227" t="s">
        <v>396</v>
      </c>
      <c r="C31" s="225"/>
      <c r="D31" s="226"/>
      <c r="E31" s="221" t="s">
        <v>327</v>
      </c>
      <c r="F31" s="221" t="s">
        <v>289</v>
      </c>
      <c r="G31" s="272"/>
      <c r="H31" s="625" t="s">
        <v>242</v>
      </c>
      <c r="I31" s="625" t="s">
        <v>242</v>
      </c>
      <c r="J31" s="625" t="s">
        <v>397</v>
      </c>
      <c r="L31" s="432"/>
    </row>
    <row r="32" spans="1:18" ht="13.5" customHeight="1">
      <c r="A32" s="70">
        <v>25</v>
      </c>
      <c r="B32" s="209" t="s">
        <v>398</v>
      </c>
      <c r="C32" s="225"/>
      <c r="D32" s="221" t="s">
        <v>286</v>
      </c>
      <c r="E32" s="221" t="s">
        <v>331</v>
      </c>
      <c r="F32" s="221" t="s">
        <v>289</v>
      </c>
      <c r="G32" s="272"/>
      <c r="H32" s="625" t="s">
        <v>242</v>
      </c>
      <c r="I32" s="625" t="s">
        <v>242</v>
      </c>
      <c r="J32" s="621" t="s">
        <v>399</v>
      </c>
      <c r="L32" s="433"/>
    </row>
    <row r="33" spans="1:26" ht="13.5" customHeight="1">
      <c r="A33" s="70">
        <v>26</v>
      </c>
      <c r="B33" s="209" t="s">
        <v>400</v>
      </c>
      <c r="C33" s="225"/>
      <c r="D33" s="221" t="s">
        <v>286</v>
      </c>
      <c r="E33" s="221" t="s">
        <v>327</v>
      </c>
      <c r="F33" s="221" t="s">
        <v>289</v>
      </c>
      <c r="G33" s="272"/>
      <c r="H33" s="625" t="s">
        <v>242</v>
      </c>
      <c r="I33" s="625" t="s">
        <v>242</v>
      </c>
      <c r="J33" s="621" t="s">
        <v>242</v>
      </c>
      <c r="L33" s="273"/>
      <c r="N33" s="273"/>
    </row>
    <row r="34" spans="1:26" ht="13.5" customHeight="1">
      <c r="A34" s="70">
        <v>27</v>
      </c>
      <c r="B34" s="209" t="s">
        <v>401</v>
      </c>
      <c r="C34" s="225"/>
      <c r="D34" s="228" t="s">
        <v>286</v>
      </c>
      <c r="E34" s="221" t="s">
        <v>331</v>
      </c>
      <c r="F34" s="221" t="s">
        <v>289</v>
      </c>
      <c r="G34" s="272"/>
      <c r="H34" s="625" t="s">
        <v>242</v>
      </c>
      <c r="I34" s="625" t="s">
        <v>242</v>
      </c>
      <c r="J34" s="621" t="s">
        <v>242</v>
      </c>
      <c r="L34" s="274"/>
      <c r="N34" s="274"/>
    </row>
    <row r="35" spans="1:26" ht="13.15">
      <c r="B35" s="77"/>
      <c r="C35" s="77"/>
      <c r="D35" s="77"/>
      <c r="E35" s="77"/>
      <c r="F35" s="77"/>
      <c r="G35" s="77"/>
      <c r="H35" s="377"/>
      <c r="I35" s="377"/>
      <c r="J35" s="77"/>
      <c r="S35" s="78"/>
    </row>
    <row r="36" spans="1:26" ht="17.45">
      <c r="B36" s="79"/>
      <c r="S36" s="78"/>
    </row>
    <row r="37" spans="1:26" ht="13.15">
      <c r="K37"/>
      <c r="S37" s="78"/>
    </row>
    <row r="38" spans="1:26" ht="13.15">
      <c r="C38"/>
      <c r="D38"/>
      <c r="E38"/>
      <c r="F38"/>
      <c r="G38"/>
      <c r="H38" s="379"/>
      <c r="I38" s="379"/>
      <c r="J38"/>
      <c r="K38"/>
      <c r="L38"/>
      <c r="M38"/>
      <c r="N38"/>
      <c r="O38"/>
      <c r="P38"/>
      <c r="Q38"/>
      <c r="R38"/>
      <c r="S38"/>
      <c r="T38"/>
      <c r="U38"/>
      <c r="V38"/>
      <c r="W38"/>
      <c r="X38"/>
      <c r="Y38"/>
      <c r="Z38"/>
    </row>
    <row r="39" spans="1:26" ht="13.15">
      <c r="C39"/>
      <c r="D39"/>
      <c r="E39"/>
      <c r="F39"/>
      <c r="G39"/>
      <c r="H39" s="379"/>
      <c r="I39" s="379"/>
      <c r="J39"/>
      <c r="M39"/>
      <c r="N39"/>
      <c r="O39"/>
      <c r="P39"/>
      <c r="Q39"/>
      <c r="R39"/>
      <c r="S39"/>
      <c r="T39"/>
      <c r="U39"/>
      <c r="V39"/>
      <c r="W39"/>
      <c r="X39"/>
      <c r="Y39"/>
      <c r="Z39"/>
    </row>
    <row r="54" spans="14:18" ht="13.15">
      <c r="N54" s="1203"/>
      <c r="O54" s="1203"/>
      <c r="P54" s="1203"/>
      <c r="Q54" s="1203"/>
      <c r="R54" s="1203"/>
    </row>
    <row r="55" spans="14:18" ht="13.15">
      <c r="O55" s="380"/>
      <c r="P55" s="380"/>
      <c r="Q55" s="380"/>
      <c r="R55" s="380"/>
    </row>
    <row r="56" spans="14:18" ht="13.15">
      <c r="N56" s="381"/>
      <c r="O56" s="381"/>
      <c r="P56" s="381"/>
      <c r="Q56" s="381"/>
      <c r="R56" s="381"/>
    </row>
    <row r="57" spans="14:18" ht="13.15">
      <c r="N57" s="381"/>
      <c r="O57" s="381"/>
      <c r="P57" s="381"/>
      <c r="Q57" s="381"/>
      <c r="R57" s="381"/>
    </row>
    <row r="58" spans="14:18" ht="13.15">
      <c r="N58" s="381"/>
      <c r="O58" s="381"/>
      <c r="P58" s="381"/>
      <c r="Q58" s="381"/>
      <c r="R58" s="381"/>
    </row>
    <row r="59" spans="14:18" ht="13.15">
      <c r="N59" s="381"/>
      <c r="O59" s="381"/>
      <c r="P59" s="381"/>
      <c r="Q59" s="381"/>
      <c r="R59" s="381"/>
    </row>
    <row r="60" spans="14:18" ht="13.15">
      <c r="N60" s="381"/>
      <c r="O60" s="381"/>
      <c r="P60" s="381"/>
      <c r="Q60" s="381"/>
      <c r="R60" s="381"/>
    </row>
    <row r="61" spans="14:18" ht="13.15">
      <c r="N61" s="381"/>
      <c r="O61" s="381"/>
      <c r="P61" s="381"/>
      <c r="Q61" s="381"/>
      <c r="R61" s="381"/>
    </row>
    <row r="62" spans="14:18" ht="13.15">
      <c r="N62" s="381"/>
      <c r="O62" s="381"/>
      <c r="P62" s="381"/>
      <c r="Q62" s="381"/>
      <c r="R62" s="381"/>
    </row>
    <row r="63" spans="14:18" ht="13.15">
      <c r="N63" s="381"/>
      <c r="O63" s="381"/>
      <c r="P63" s="381"/>
      <c r="Q63" s="381"/>
      <c r="R63" s="381"/>
    </row>
    <row r="64" spans="14:18" ht="13.15">
      <c r="N64" s="381"/>
      <c r="O64" s="381"/>
      <c r="P64" s="381"/>
      <c r="Q64" s="381"/>
      <c r="R64" s="381"/>
    </row>
    <row r="65" spans="14:18" ht="13.15">
      <c r="N65" s="381"/>
      <c r="O65" s="381"/>
      <c r="P65" s="381"/>
      <c r="Q65" s="381"/>
      <c r="R65" s="381"/>
    </row>
    <row r="66" spans="14:18" ht="13.15">
      <c r="N66" s="1200"/>
      <c r="O66" s="1200"/>
      <c r="P66" s="1200"/>
      <c r="Q66" s="1200"/>
      <c r="R66" s="1200"/>
    </row>
    <row r="67" spans="14:18" ht="13.15">
      <c r="N67" s="381"/>
      <c r="O67" s="381"/>
      <c r="P67" s="381"/>
      <c r="Q67" s="381"/>
      <c r="R67" s="381"/>
    </row>
    <row r="68" spans="14:18" ht="13.15">
      <c r="N68" s="381"/>
      <c r="O68" s="381"/>
      <c r="P68" s="381"/>
      <c r="Q68" s="381"/>
      <c r="R68" s="381"/>
    </row>
    <row r="69" spans="14:18" ht="13.15">
      <c r="N69" s="381"/>
      <c r="O69" s="381"/>
      <c r="P69" s="381"/>
      <c r="Q69" s="381"/>
      <c r="R69" s="381"/>
    </row>
    <row r="70" spans="14:18" ht="13.15">
      <c r="N70" s="381"/>
      <c r="O70" s="381"/>
      <c r="P70" s="381"/>
      <c r="Q70" s="381"/>
      <c r="R70" s="381"/>
    </row>
    <row r="71" spans="14:18" ht="13.15">
      <c r="N71" s="381"/>
      <c r="O71" s="381"/>
      <c r="P71" s="381"/>
      <c r="Q71" s="381"/>
      <c r="R71" s="381"/>
    </row>
    <row r="72" spans="14:18" ht="13.15">
      <c r="N72" s="381"/>
      <c r="O72" s="381"/>
      <c r="P72" s="381"/>
      <c r="Q72" s="381"/>
      <c r="R72" s="381"/>
    </row>
    <row r="73" spans="14:18" ht="13.15">
      <c r="N73" s="381"/>
      <c r="O73" s="381"/>
      <c r="P73" s="381"/>
      <c r="Q73" s="381"/>
      <c r="R73" s="381"/>
    </row>
    <row r="74" spans="14:18" ht="13.15">
      <c r="N74" s="382"/>
      <c r="O74" s="381"/>
      <c r="P74" s="381"/>
      <c r="Q74" s="381"/>
      <c r="R74" s="381"/>
    </row>
    <row r="75" spans="14:18" ht="13.15">
      <c r="N75" s="382"/>
      <c r="O75" s="381"/>
      <c r="P75" s="381"/>
      <c r="Q75" s="381"/>
      <c r="R75" s="381"/>
    </row>
    <row r="76" spans="14:18" ht="13.15">
      <c r="N76" s="382"/>
      <c r="O76" s="381"/>
      <c r="P76" s="381"/>
      <c r="Q76" s="381"/>
      <c r="R76" s="381"/>
    </row>
    <row r="77" spans="14:18" ht="13.15">
      <c r="N77" s="381"/>
      <c r="O77" s="381"/>
      <c r="P77" s="381"/>
      <c r="Q77" s="381"/>
      <c r="R77" s="381"/>
    </row>
    <row r="78" spans="14:18" ht="13.15">
      <c r="N78" s="1200"/>
      <c r="O78" s="1200"/>
      <c r="P78" s="1200"/>
      <c r="Q78" s="1200"/>
      <c r="R78" s="1200"/>
    </row>
    <row r="79" spans="14:18" ht="13.15">
      <c r="N79" s="381"/>
      <c r="O79" s="381"/>
      <c r="P79" s="381"/>
      <c r="Q79" s="381"/>
      <c r="R79" s="381"/>
    </row>
    <row r="80" spans="14:18" ht="13.15">
      <c r="N80" s="381"/>
      <c r="O80" s="381"/>
      <c r="P80" s="381"/>
      <c r="Q80" s="381"/>
      <c r="R80" s="381"/>
    </row>
    <row r="81" spans="14:18" ht="13.15">
      <c r="N81" s="381"/>
      <c r="O81" s="381"/>
      <c r="P81" s="381"/>
      <c r="Q81" s="381"/>
      <c r="R81" s="381"/>
    </row>
    <row r="82" spans="14:18" ht="13.15">
      <c r="N82" s="381"/>
      <c r="O82" s="381"/>
      <c r="P82" s="381"/>
      <c r="Q82" s="381"/>
      <c r="R82" s="381"/>
    </row>
    <row r="83" spans="14:18" ht="13.15">
      <c r="N83" s="381"/>
      <c r="O83" s="381"/>
      <c r="P83" s="381"/>
      <c r="Q83" s="381"/>
      <c r="R83" s="381"/>
    </row>
    <row r="84" spans="14:18" ht="13.15">
      <c r="N84" s="381"/>
      <c r="O84" s="381"/>
      <c r="P84" s="381"/>
      <c r="Q84" s="381"/>
      <c r="R84" s="381"/>
    </row>
    <row r="85" spans="14:18" ht="13.15">
      <c r="N85" s="381"/>
      <c r="O85" s="381"/>
      <c r="P85" s="381"/>
      <c r="Q85" s="381"/>
      <c r="R85" s="381"/>
    </row>
    <row r="86" spans="14:18" ht="13.15">
      <c r="N86" s="382"/>
      <c r="O86" s="381"/>
      <c r="P86" s="381"/>
      <c r="Q86" s="381"/>
      <c r="R86" s="381"/>
    </row>
    <row r="87" spans="14:18" ht="13.15">
      <c r="N87" s="382"/>
      <c r="O87" s="381"/>
      <c r="P87" s="381"/>
      <c r="Q87" s="381"/>
      <c r="R87" s="381"/>
    </row>
    <row r="88" spans="14:18" ht="13.15">
      <c r="N88" s="382"/>
      <c r="O88" s="381"/>
      <c r="P88" s="381"/>
      <c r="Q88" s="381"/>
      <c r="R88" s="381"/>
    </row>
    <row r="89" spans="14:18" ht="13.15">
      <c r="N89" s="381"/>
      <c r="O89" s="381"/>
      <c r="P89" s="381"/>
      <c r="Q89" s="381"/>
      <c r="R89" s="381"/>
    </row>
    <row r="90" spans="14:18" ht="13.15">
      <c r="N90" s="1200"/>
      <c r="O90" s="1200"/>
      <c r="P90" s="1200"/>
      <c r="Q90" s="1200"/>
      <c r="R90" s="1200"/>
    </row>
    <row r="91" spans="14:18" ht="13.15">
      <c r="N91" s="381"/>
      <c r="O91" s="381"/>
      <c r="P91" s="381"/>
      <c r="Q91" s="381"/>
      <c r="R91" s="381"/>
    </row>
    <row r="92" spans="14:18" ht="13.15">
      <c r="N92" s="382"/>
      <c r="O92" s="381"/>
      <c r="P92" s="381"/>
      <c r="Q92" s="381"/>
      <c r="R92" s="381"/>
    </row>
    <row r="93" spans="14:18" ht="13.15">
      <c r="N93" s="382"/>
      <c r="O93" s="381"/>
      <c r="P93" s="381"/>
      <c r="Q93" s="381"/>
      <c r="R93" s="381"/>
    </row>
    <row r="94" spans="14:18" ht="13.15">
      <c r="N94" s="382"/>
      <c r="O94" s="381"/>
      <c r="P94" s="381"/>
      <c r="Q94" s="381"/>
      <c r="R94" s="381"/>
    </row>
    <row r="95" spans="14:18" ht="13.15">
      <c r="N95" s="382"/>
      <c r="O95" s="381"/>
      <c r="P95" s="381"/>
      <c r="Q95" s="381"/>
      <c r="R95" s="381"/>
    </row>
    <row r="96" spans="14:18" ht="13.15">
      <c r="N96" s="382"/>
      <c r="O96" s="381"/>
      <c r="P96" s="381"/>
      <c r="Q96" s="381"/>
      <c r="R96" s="381"/>
    </row>
    <row r="97" spans="14:18" ht="13.15">
      <c r="N97" s="382"/>
      <c r="O97" s="381"/>
      <c r="P97" s="381"/>
      <c r="Q97" s="381"/>
      <c r="R97" s="381"/>
    </row>
    <row r="98" spans="14:18" ht="13.15">
      <c r="N98" s="382"/>
      <c r="O98" s="381"/>
      <c r="P98" s="381"/>
      <c r="Q98" s="381"/>
      <c r="R98" s="381"/>
    </row>
    <row r="99" spans="14:18" ht="13.15">
      <c r="N99" s="382"/>
      <c r="O99" s="381"/>
      <c r="P99" s="381"/>
      <c r="Q99" s="381"/>
      <c r="R99" s="381"/>
    </row>
    <row r="100" spans="14:18" ht="13.15">
      <c r="N100" s="382"/>
      <c r="O100" s="381"/>
      <c r="P100" s="381"/>
      <c r="Q100" s="381"/>
      <c r="R100" s="381"/>
    </row>
  </sheetData>
  <mergeCells count="8">
    <mergeCell ref="N90:R90"/>
    <mergeCell ref="B3:J3"/>
    <mergeCell ref="K3:P3"/>
    <mergeCell ref="N54:R54"/>
    <mergeCell ref="N66:R66"/>
    <mergeCell ref="N78:R78"/>
    <mergeCell ref="K23:M23"/>
    <mergeCell ref="M25:M28"/>
  </mergeCells>
  <conditionalFormatting sqref="C10:D10 F10:G10">
    <cfRule type="expression" dxfId="29" priority="34">
      <formula>$C$10="Low"</formula>
    </cfRule>
  </conditionalFormatting>
  <conditionalFormatting sqref="D7">
    <cfRule type="expression" dxfId="28" priority="50">
      <formula>$C$7="Low"</formula>
    </cfRule>
  </conditionalFormatting>
  <conditionalFormatting sqref="D9 F9:G9 J9">
    <cfRule type="expression" dxfId="27" priority="48">
      <formula>$C$9="Low"</formula>
    </cfRule>
  </conditionalFormatting>
  <conditionalFormatting sqref="D6:F6 H6 J6">
    <cfRule type="expression" dxfId="26" priority="51">
      <formula>$C$6="Low"</formula>
    </cfRule>
  </conditionalFormatting>
  <conditionalFormatting sqref="D13:F13">
    <cfRule type="expression" dxfId="25" priority="45">
      <formula>$C$13="Low"</formula>
    </cfRule>
  </conditionalFormatting>
  <conditionalFormatting sqref="D14:F14">
    <cfRule type="expression" dxfId="24" priority="44">
      <formula>$C$14="Low"</formula>
    </cfRule>
  </conditionalFormatting>
  <conditionalFormatting sqref="D15:F15">
    <cfRule type="expression" dxfId="23" priority="43">
      <formula>$C$15="Low"</formula>
    </cfRule>
  </conditionalFormatting>
  <conditionalFormatting sqref="D16:F16 J16">
    <cfRule type="expression" dxfId="22" priority="42">
      <formula>$C$16="Low"</formula>
    </cfRule>
  </conditionalFormatting>
  <conditionalFormatting sqref="D18:F18">
    <cfRule type="expression" dxfId="21" priority="40">
      <formula>$C$18="Low"</formula>
    </cfRule>
  </conditionalFormatting>
  <conditionalFormatting sqref="D19:F19">
    <cfRule type="expression" dxfId="20" priority="39">
      <formula>$C$19="Low"</formula>
    </cfRule>
  </conditionalFormatting>
  <conditionalFormatting sqref="D20:F20">
    <cfRule type="expression" dxfId="19" priority="38">
      <formula>$C$20="Low"</formula>
    </cfRule>
  </conditionalFormatting>
  <conditionalFormatting sqref="D21:F21 J21">
    <cfRule type="expression" dxfId="18" priority="37">
      <formula>$C$21="Low"</formula>
    </cfRule>
  </conditionalFormatting>
  <conditionalFormatting sqref="D22:F22 J22">
    <cfRule type="expression" dxfId="17" priority="36">
      <formula>$C$22="Low"</formula>
    </cfRule>
  </conditionalFormatting>
  <conditionalFormatting sqref="D8:G8 J8">
    <cfRule type="expression" dxfId="16" priority="49">
      <formula>$C$8="Low"</formula>
    </cfRule>
  </conditionalFormatting>
  <conditionalFormatting sqref="D12:G12">
    <cfRule type="expression" dxfId="15" priority="46">
      <formula>$C$12="Low"</formula>
    </cfRule>
  </conditionalFormatting>
  <conditionalFormatting sqref="D17:G17">
    <cfRule type="expression" dxfId="14" priority="41">
      <formula>$C$17="Low"</formula>
    </cfRule>
  </conditionalFormatting>
  <conditionalFormatting sqref="E9:E10">
    <cfRule type="expression" dxfId="13" priority="15">
      <formula>$C$12="Low"</formula>
    </cfRule>
  </conditionalFormatting>
  <conditionalFormatting sqref="G6">
    <cfRule type="expression" dxfId="12" priority="32">
      <formula>$C$7="Low"</formula>
    </cfRule>
  </conditionalFormatting>
  <conditionalFormatting sqref="G13:G15">
    <cfRule type="expression" dxfId="11" priority="10">
      <formula>$C$10="Low"</formula>
    </cfRule>
  </conditionalFormatting>
  <conditionalFormatting sqref="G16">
    <cfRule type="expression" dxfId="10" priority="2">
      <formula>$C$17="Low"</formula>
    </cfRule>
  </conditionalFormatting>
  <conditionalFormatting sqref="G18:G20">
    <cfRule type="expression" dxfId="9" priority="5">
      <formula>$C$17="Low"</formula>
    </cfRule>
  </conditionalFormatting>
  <conditionalFormatting sqref="G21">
    <cfRule type="expression" dxfId="8" priority="3">
      <formula>$C$8="Low"</formula>
    </cfRule>
  </conditionalFormatting>
  <conditionalFormatting sqref="G22">
    <cfRule type="expression" dxfId="7" priority="1">
      <formula>$C$17="Low"</formula>
    </cfRule>
  </conditionalFormatting>
  <conditionalFormatting sqref="H15:H22">
    <cfRule type="expression" dxfId="6" priority="6">
      <formula>$C$6="Low"</formula>
    </cfRule>
  </conditionalFormatting>
  <conditionalFormatting sqref="H9:I10">
    <cfRule type="expression" dxfId="5" priority="29">
      <formula>$C$6="Low"</formula>
    </cfRule>
  </conditionalFormatting>
  <conditionalFormatting sqref="H12:I14 J14:J15">
    <cfRule type="expression" dxfId="4" priority="13">
      <formula>$C$6="Low"</formula>
    </cfRule>
  </conditionalFormatting>
  <conditionalFormatting sqref="H24:I34 J31">
    <cfRule type="expression" dxfId="3" priority="18">
      <formula>$C$6="Low"</formula>
    </cfRule>
  </conditionalFormatting>
  <conditionalFormatting sqref="I16:I22 J17">
    <cfRule type="expression" dxfId="2" priority="7">
      <formula>$C$6="Low"</formula>
    </cfRule>
  </conditionalFormatting>
  <dataValidations count="3">
    <dataValidation type="list" allowBlank="1" showInputMessage="1" showErrorMessage="1" sqref="D6:D22 E7:J7 F8:F10 F6 C11 F12:F22 F24:F34 D32:D34" xr:uid="{3F3EAFB5-AA53-4ACB-815F-B2974A5D886C}">
      <formula1>$S$1:$S$2</formula1>
    </dataValidation>
    <dataValidation type="list" showInputMessage="1" showErrorMessage="1" sqref="B2" xr:uid="{A02853CE-D21D-44BD-9939-055BC887EFBD}">
      <formula1>Sectors</formula1>
    </dataValidation>
    <dataValidation type="list" allowBlank="1" showInputMessage="1" showErrorMessage="1" sqref="E12:E22 E24:E34 E6 E8:E10" xr:uid="{21B53BAA-5CFE-4F77-8669-06D93A31F2C2}">
      <formula1>$L$25:$L$28</formula1>
    </dataValidation>
  </dataValidations>
  <pageMargins left="0.7" right="0.7" top="0.75" bottom="0.75" header="0.3" footer="0.3"/>
  <pageSetup paperSize="9" orientation="portrait" horizontalDpi="4294967293"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87"/>
  <sheetViews>
    <sheetView showGridLines="0" tabSelected="1" topLeftCell="A61" zoomScale="124" zoomScaleNormal="115" workbookViewId="0">
      <selection activeCell="D71" sqref="D71"/>
    </sheetView>
  </sheetViews>
  <sheetFormatPr defaultColWidth="11.42578125" defaultRowHeight="13.15" outlineLevelCol="1"/>
  <cols>
    <col min="1" max="1" width="24.42578125" bestFit="1" customWidth="1"/>
    <col min="2" max="2" width="11.42578125" customWidth="1" outlineLevel="1"/>
    <col min="3" max="3" width="32.140625" customWidth="1" outlineLevel="1"/>
    <col min="4" max="4" width="20" customWidth="1" outlineLevel="1"/>
    <col min="5" max="5" width="24" customWidth="1"/>
    <col min="6" max="6" width="27.28515625" customWidth="1"/>
    <col min="7" max="7" width="14.140625" style="2" customWidth="1"/>
    <col min="8" max="8" width="12.42578125" style="2" customWidth="1"/>
    <col min="9" max="10" width="11" style="2" customWidth="1"/>
    <col min="11" max="11" width="15.7109375" style="2" customWidth="1"/>
    <col min="12" max="32" width="11" style="2" customWidth="1"/>
    <col min="33" max="33" width="14.42578125" customWidth="1"/>
  </cols>
  <sheetData>
    <row r="1" spans="1:40" ht="21" customHeight="1">
      <c r="A1" s="1216" t="s">
        <v>402</v>
      </c>
      <c r="B1" s="1216"/>
      <c r="C1" s="1216"/>
      <c r="D1" s="1216"/>
      <c r="E1" s="1216"/>
      <c r="F1" s="1216"/>
      <c r="G1" s="1216"/>
      <c r="H1" s="1216"/>
      <c r="I1" s="1216"/>
      <c r="J1" s="1216"/>
      <c r="K1" s="1216"/>
      <c r="L1" s="1216"/>
      <c r="M1" s="1216"/>
      <c r="N1" s="1216"/>
      <c r="O1" s="1216"/>
      <c r="P1" s="1216"/>
      <c r="Q1" s="1216"/>
      <c r="R1" s="1216"/>
      <c r="S1" s="1216"/>
      <c r="T1" s="1216"/>
      <c r="U1" s="1216"/>
      <c r="V1" s="1216"/>
      <c r="W1" s="1216"/>
      <c r="X1" s="1216"/>
      <c r="Y1" s="1216"/>
      <c r="Z1" s="1216"/>
      <c r="AA1" s="1216"/>
      <c r="AB1" s="1216"/>
      <c r="AC1" s="1216"/>
      <c r="AD1" s="1216"/>
      <c r="AE1" s="1216"/>
      <c r="AF1" s="1216"/>
      <c r="AG1" s="10"/>
      <c r="AH1" s="10"/>
      <c r="AI1" s="10"/>
      <c r="AJ1" s="10"/>
      <c r="AK1" s="10"/>
      <c r="AL1" s="10"/>
      <c r="AM1" s="10"/>
      <c r="AN1" s="10"/>
    </row>
    <row r="2" spans="1:40" ht="3.75" customHeight="1" thickBot="1">
      <c r="A2" s="1217"/>
      <c r="B2" s="1217"/>
      <c r="C2" s="1217"/>
      <c r="D2" s="1217"/>
      <c r="E2" s="1217"/>
      <c r="F2" s="1217"/>
      <c r="G2" s="1217"/>
      <c r="H2" s="1217"/>
      <c r="I2" s="1217"/>
      <c r="J2" s="1217"/>
      <c r="K2" s="1217"/>
      <c r="L2" s="1217"/>
      <c r="M2" s="1217"/>
      <c r="N2" s="1217"/>
      <c r="O2" s="1217"/>
      <c r="P2" s="1217"/>
      <c r="Q2" s="1217"/>
      <c r="R2" s="1217"/>
      <c r="S2" s="1217"/>
      <c r="T2" s="1217"/>
      <c r="U2" s="1217"/>
      <c r="V2" s="1217"/>
      <c r="W2" s="1217"/>
      <c r="X2" s="1217"/>
      <c r="Y2" s="1217"/>
      <c r="Z2" s="1217"/>
      <c r="AA2" s="1217"/>
      <c r="AB2" s="1217"/>
      <c r="AC2" s="1217"/>
      <c r="AD2" s="1217"/>
      <c r="AE2" s="1217"/>
      <c r="AF2" s="1217"/>
      <c r="AG2" s="383"/>
      <c r="AH2" s="10"/>
      <c r="AI2" s="10"/>
      <c r="AJ2" s="10"/>
      <c r="AK2" s="10"/>
      <c r="AL2" s="10"/>
      <c r="AM2" s="10"/>
      <c r="AN2" s="10"/>
    </row>
    <row r="3" spans="1:40" ht="18">
      <c r="A3" s="231"/>
      <c r="B3" s="231"/>
      <c r="C3" s="231"/>
      <c r="D3" s="231"/>
      <c r="E3" s="231"/>
      <c r="F3" s="231"/>
      <c r="G3" s="1224" t="s">
        <v>403</v>
      </c>
      <c r="H3" s="1225"/>
      <c r="I3" s="1225"/>
      <c r="J3" s="1225"/>
      <c r="K3" s="1226" t="s">
        <v>404</v>
      </c>
      <c r="L3" s="1227"/>
      <c r="M3" s="1227"/>
      <c r="N3" s="1227"/>
      <c r="O3" s="1227"/>
      <c r="P3" s="1227"/>
      <c r="Q3" s="1227"/>
      <c r="R3" s="1227"/>
      <c r="S3" s="1227"/>
      <c r="T3" s="1227"/>
      <c r="U3" s="1227"/>
      <c r="V3" s="1227"/>
      <c r="W3" s="1227"/>
      <c r="X3" s="1227"/>
      <c r="Y3" s="1227"/>
      <c r="Z3" s="1227"/>
      <c r="AA3" s="1227"/>
      <c r="AB3" s="1227"/>
      <c r="AC3" s="1227"/>
      <c r="AD3" s="1227"/>
      <c r="AE3" s="1227"/>
      <c r="AF3" s="1228"/>
      <c r="AG3" s="383"/>
      <c r="AH3" s="10"/>
      <c r="AI3" s="10"/>
      <c r="AJ3" s="10"/>
      <c r="AK3" s="10"/>
      <c r="AL3" s="10"/>
      <c r="AM3" s="10"/>
      <c r="AN3" s="10"/>
    </row>
    <row r="4" spans="1:40" ht="14.45">
      <c r="A4" s="243" t="s">
        <v>405</v>
      </c>
      <c r="B4" s="550" t="s">
        <v>406</v>
      </c>
      <c r="C4" s="551" t="s">
        <v>407</v>
      </c>
      <c r="D4" s="249" t="s">
        <v>408</v>
      </c>
      <c r="E4" s="249" t="s">
        <v>409</v>
      </c>
      <c r="F4" s="250" t="s">
        <v>410</v>
      </c>
      <c r="G4" s="249">
        <v>2024</v>
      </c>
      <c r="H4" s="249">
        <f>G4+1</f>
        <v>2025</v>
      </c>
      <c r="I4" s="249">
        <f t="shared" ref="I4:AF4" si="0">H4+1</f>
        <v>2026</v>
      </c>
      <c r="J4" s="250">
        <f t="shared" si="0"/>
        <v>2027</v>
      </c>
      <c r="K4" s="251">
        <f t="shared" si="0"/>
        <v>2028</v>
      </c>
      <c r="L4" s="251">
        <f t="shared" si="0"/>
        <v>2029</v>
      </c>
      <c r="M4" s="251">
        <f t="shared" si="0"/>
        <v>2030</v>
      </c>
      <c r="N4" s="251">
        <f t="shared" si="0"/>
        <v>2031</v>
      </c>
      <c r="O4" s="251">
        <f t="shared" si="0"/>
        <v>2032</v>
      </c>
      <c r="P4" s="251">
        <f t="shared" si="0"/>
        <v>2033</v>
      </c>
      <c r="Q4" s="251">
        <f t="shared" si="0"/>
        <v>2034</v>
      </c>
      <c r="R4" s="251">
        <f t="shared" si="0"/>
        <v>2035</v>
      </c>
      <c r="S4" s="251">
        <f t="shared" si="0"/>
        <v>2036</v>
      </c>
      <c r="T4" s="251">
        <f t="shared" si="0"/>
        <v>2037</v>
      </c>
      <c r="U4" s="251">
        <f t="shared" si="0"/>
        <v>2038</v>
      </c>
      <c r="V4" s="251">
        <f t="shared" si="0"/>
        <v>2039</v>
      </c>
      <c r="W4" s="251">
        <f t="shared" si="0"/>
        <v>2040</v>
      </c>
      <c r="X4" s="251">
        <f t="shared" si="0"/>
        <v>2041</v>
      </c>
      <c r="Y4" s="251">
        <f t="shared" si="0"/>
        <v>2042</v>
      </c>
      <c r="Z4" s="251">
        <f t="shared" si="0"/>
        <v>2043</v>
      </c>
      <c r="AA4" s="251">
        <f t="shared" si="0"/>
        <v>2044</v>
      </c>
      <c r="AB4" s="251">
        <f t="shared" si="0"/>
        <v>2045</v>
      </c>
      <c r="AC4" s="251">
        <f t="shared" si="0"/>
        <v>2046</v>
      </c>
      <c r="AD4" s="251">
        <f t="shared" si="0"/>
        <v>2047</v>
      </c>
      <c r="AE4" s="251">
        <f t="shared" si="0"/>
        <v>2048</v>
      </c>
      <c r="AF4" s="252">
        <f t="shared" si="0"/>
        <v>2049</v>
      </c>
      <c r="AG4" s="383"/>
      <c r="AH4" s="10"/>
      <c r="AI4" s="10"/>
      <c r="AJ4" s="10"/>
      <c r="AK4" s="10"/>
      <c r="AL4" s="10"/>
      <c r="AM4" s="10"/>
      <c r="AN4" s="10"/>
    </row>
    <row r="5" spans="1:40">
      <c r="A5" s="1046" t="s">
        <v>411</v>
      </c>
      <c r="B5" s="535">
        <v>1</v>
      </c>
      <c r="C5" s="552" t="s">
        <v>412</v>
      </c>
      <c r="D5" s="801">
        <f>'Fin. Data'!D6</f>
        <v>0.14958406201257257</v>
      </c>
      <c r="E5" s="800">
        <f t="shared" ref="E5:F5" si="1">+E6/D6-1</f>
        <v>3.1360819020012975E-2</v>
      </c>
      <c r="F5" s="799">
        <f t="shared" si="1"/>
        <v>-9.3484023998883781E-2</v>
      </c>
      <c r="G5" s="797">
        <f t="shared" ref="G5:AF5" si="2">+G6/F6-1</f>
        <v>1.5611600958684857E-3</v>
      </c>
      <c r="H5" s="798">
        <f>+H6/G6-1</f>
        <v>9.7694840834248176E-2</v>
      </c>
      <c r="I5" s="798">
        <f t="shared" si="2"/>
        <v>0.10000000000000009</v>
      </c>
      <c r="J5" s="893">
        <f t="shared" si="2"/>
        <v>5.0000000000000044E-2</v>
      </c>
      <c r="K5" s="900">
        <f t="shared" si="2"/>
        <v>5.0000000000000044E-2</v>
      </c>
      <c r="L5" s="901">
        <f t="shared" si="2"/>
        <v>5.0000000000000044E-2</v>
      </c>
      <c r="M5" s="901">
        <f t="shared" si="2"/>
        <v>5.0000000000000044E-2</v>
      </c>
      <c r="N5" s="901">
        <f t="shared" si="2"/>
        <v>5.0000000000000044E-2</v>
      </c>
      <c r="O5" s="901">
        <f t="shared" si="2"/>
        <v>3.499999999999992E-2</v>
      </c>
      <c r="P5" s="901">
        <f t="shared" si="2"/>
        <v>3.499999999999992E-2</v>
      </c>
      <c r="Q5" s="901">
        <f t="shared" si="2"/>
        <v>3.499999999999992E-2</v>
      </c>
      <c r="R5" s="901">
        <f t="shared" si="2"/>
        <v>3.499999999999992E-2</v>
      </c>
      <c r="S5" s="901">
        <f t="shared" si="2"/>
        <v>3.499999999999992E-2</v>
      </c>
      <c r="T5" s="901">
        <f t="shared" si="2"/>
        <v>3.499999999999992E-2</v>
      </c>
      <c r="U5" s="901">
        <f t="shared" si="2"/>
        <v>3.499999999999992E-2</v>
      </c>
      <c r="V5" s="901">
        <f t="shared" si="2"/>
        <v>2.0000000000000018E-2</v>
      </c>
      <c r="W5" s="901">
        <f t="shared" si="2"/>
        <v>2.0000000000000018E-2</v>
      </c>
      <c r="X5" s="901">
        <f t="shared" si="2"/>
        <v>2.0000000000000018E-2</v>
      </c>
      <c r="Y5" s="901">
        <f t="shared" si="2"/>
        <v>2.0000000000000018E-2</v>
      </c>
      <c r="Z5" s="901">
        <f t="shared" si="2"/>
        <v>2.0000000000000018E-2</v>
      </c>
      <c r="AA5" s="901">
        <f t="shared" si="2"/>
        <v>2.0000000000000018E-2</v>
      </c>
      <c r="AB5" s="901">
        <f t="shared" si="2"/>
        <v>2.0000000000000018E-2</v>
      </c>
      <c r="AC5" s="901">
        <f t="shared" si="2"/>
        <v>2.0000000000000018E-2</v>
      </c>
      <c r="AD5" s="901">
        <f t="shared" si="2"/>
        <v>2.0000000000000018E-2</v>
      </c>
      <c r="AE5" s="901">
        <f t="shared" si="2"/>
        <v>2.0000000000000018E-2</v>
      </c>
      <c r="AF5" s="902">
        <f t="shared" si="2"/>
        <v>2.0000000000000018E-2</v>
      </c>
      <c r="AG5" s="328"/>
      <c r="AH5" s="10"/>
      <c r="AI5" s="10"/>
      <c r="AJ5" s="10"/>
      <c r="AK5" s="10"/>
      <c r="AL5" s="10"/>
      <c r="AM5" s="10"/>
      <c r="AN5" s="10"/>
    </row>
    <row r="6" spans="1:40" ht="14.45">
      <c r="A6" s="1046"/>
      <c r="B6" s="535">
        <v>2</v>
      </c>
      <c r="C6" s="536" t="s">
        <v>413</v>
      </c>
      <c r="D6" s="541">
        <f>Inputs!D6</f>
        <v>97287</v>
      </c>
      <c r="E6" s="500">
        <f>Inputs!C6</f>
        <v>100338</v>
      </c>
      <c r="F6" s="288">
        <f>Inputs!B6</f>
        <v>90958</v>
      </c>
      <c r="G6" s="687">
        <f>Assumptions!E43</f>
        <v>91100</v>
      </c>
      <c r="H6" s="687">
        <f>Assumptions!F43</f>
        <v>100000</v>
      </c>
      <c r="I6" s="687">
        <f>Assumptions!G43</f>
        <v>110000</v>
      </c>
      <c r="J6" s="894">
        <f>Assumptions!H43</f>
        <v>115500</v>
      </c>
      <c r="K6" s="903">
        <f>Assumptions!I43</f>
        <v>121275</v>
      </c>
      <c r="L6" s="886">
        <f>Assumptions!J43</f>
        <v>127338.75</v>
      </c>
      <c r="M6" s="886">
        <f>Assumptions!K43</f>
        <v>133705.6875</v>
      </c>
      <c r="N6" s="886">
        <f>Assumptions!L43</f>
        <v>140390.97187500002</v>
      </c>
      <c r="O6" s="886">
        <f>Assumptions!M43</f>
        <v>145304.655890625</v>
      </c>
      <c r="P6" s="886">
        <f>Assumptions!N43</f>
        <v>150390.31884679687</v>
      </c>
      <c r="Q6" s="886">
        <f>Assumptions!O43</f>
        <v>155653.98000643475</v>
      </c>
      <c r="R6" s="886">
        <f>Assumptions!P43</f>
        <v>161101.86930665997</v>
      </c>
      <c r="S6" s="886">
        <f>Assumptions!Q43</f>
        <v>166740.43473239304</v>
      </c>
      <c r="T6" s="886">
        <f>Assumptions!R43</f>
        <v>172576.34994802679</v>
      </c>
      <c r="U6" s="886">
        <f>Assumptions!S43</f>
        <v>178616.52219620772</v>
      </c>
      <c r="V6" s="886">
        <f>Assumptions!T43</f>
        <v>182188.85264013187</v>
      </c>
      <c r="W6" s="886">
        <f>Assumptions!U43</f>
        <v>185832.62969293451</v>
      </c>
      <c r="X6" s="886">
        <f>Assumptions!V43</f>
        <v>189549.2822867932</v>
      </c>
      <c r="Y6" s="886">
        <f>Assumptions!W43</f>
        <v>193340.26793252907</v>
      </c>
      <c r="Z6" s="886">
        <f>Assumptions!X43</f>
        <v>197207.07329117964</v>
      </c>
      <c r="AA6" s="886">
        <f>Assumptions!Y43</f>
        <v>201151.21475700324</v>
      </c>
      <c r="AB6" s="886">
        <f>Assumptions!Z43</f>
        <v>205174.2390521433</v>
      </c>
      <c r="AC6" s="887">
        <f>Assumptions!AA43</f>
        <v>209277.72383318617</v>
      </c>
      <c r="AD6" s="887">
        <f>Assumptions!AB43</f>
        <v>213463.27830984991</v>
      </c>
      <c r="AE6" s="887">
        <f>Assumptions!AC43</f>
        <v>217732.5438760469</v>
      </c>
      <c r="AF6" s="904">
        <f>Assumptions!AD43</f>
        <v>222087.19475356783</v>
      </c>
      <c r="AG6" s="384"/>
      <c r="AH6" s="10"/>
      <c r="AI6" s="10"/>
      <c r="AJ6" s="10"/>
      <c r="AK6" s="10"/>
      <c r="AL6" s="10"/>
      <c r="AM6" s="10"/>
      <c r="AN6" s="10"/>
    </row>
    <row r="7" spans="1:40">
      <c r="A7" s="1046"/>
      <c r="B7" s="535">
        <v>3</v>
      </c>
      <c r="C7" s="537" t="s">
        <v>414</v>
      </c>
      <c r="D7" s="542">
        <f>D8/D6</f>
        <v>0.13167226864843196</v>
      </c>
      <c r="E7" s="285">
        <f t="shared" ref="E7:F7" si="3">E8/E6</f>
        <v>0.13049891367178934</v>
      </c>
      <c r="F7" s="289">
        <f t="shared" si="3"/>
        <v>0.10049693265023417</v>
      </c>
      <c r="G7" s="802">
        <v>9.6000000000000002E-2</v>
      </c>
      <c r="H7" s="802">
        <f>Assumptions!F44</f>
        <v>0.11</v>
      </c>
      <c r="I7" s="802">
        <f>Assumptions!G44</f>
        <v>0.13</v>
      </c>
      <c r="J7" s="895">
        <v>0.11</v>
      </c>
      <c r="K7" s="905">
        <f>Assumptions!I44</f>
        <v>0.11</v>
      </c>
      <c r="L7" s="888">
        <f>Assumptions!J44</f>
        <v>0.11</v>
      </c>
      <c r="M7" s="888">
        <f>Assumptions!K44</f>
        <v>0.11</v>
      </c>
      <c r="N7" s="888">
        <f>Assumptions!L44</f>
        <v>0.11</v>
      </c>
      <c r="O7" s="888">
        <f>Assumptions!M44</f>
        <v>0.11</v>
      </c>
      <c r="P7" s="888">
        <f>Assumptions!N44</f>
        <v>0.11</v>
      </c>
      <c r="Q7" s="888">
        <f>Assumptions!O44</f>
        <v>0.11</v>
      </c>
      <c r="R7" s="888">
        <f>Assumptions!P44</f>
        <v>0.11</v>
      </c>
      <c r="S7" s="888">
        <f>Assumptions!Q44</f>
        <v>0.11</v>
      </c>
      <c r="T7" s="888">
        <f>Assumptions!R44</f>
        <v>0.11</v>
      </c>
      <c r="U7" s="888">
        <f>Assumptions!S44</f>
        <v>0.11</v>
      </c>
      <c r="V7" s="888">
        <f>Assumptions!T44</f>
        <v>0.11</v>
      </c>
      <c r="W7" s="888">
        <f>Assumptions!U44</f>
        <v>0.11</v>
      </c>
      <c r="X7" s="888">
        <f>Assumptions!V44</f>
        <v>0.11</v>
      </c>
      <c r="Y7" s="888">
        <f>Assumptions!W44</f>
        <v>0.11</v>
      </c>
      <c r="Z7" s="888">
        <f>Assumptions!X44</f>
        <v>0.11</v>
      </c>
      <c r="AA7" s="888">
        <f>Assumptions!Y44</f>
        <v>0.11</v>
      </c>
      <c r="AB7" s="888">
        <f>Assumptions!Z44</f>
        <v>0.11</v>
      </c>
      <c r="AC7" s="888">
        <f>Assumptions!AA44</f>
        <v>0.11</v>
      </c>
      <c r="AD7" s="888">
        <f>Assumptions!AB44</f>
        <v>0.11</v>
      </c>
      <c r="AE7" s="888">
        <f>Assumptions!AC44</f>
        <v>0.11</v>
      </c>
      <c r="AF7" s="906">
        <f>Assumptions!AD44</f>
        <v>0.11</v>
      </c>
      <c r="AG7" s="328"/>
      <c r="AH7" s="10"/>
      <c r="AI7" s="10"/>
      <c r="AJ7" s="10"/>
      <c r="AK7" s="10"/>
      <c r="AL7" s="10"/>
      <c r="AM7" s="10"/>
      <c r="AN7" s="10"/>
    </row>
    <row r="8" spans="1:40" ht="14.45">
      <c r="A8" s="1046"/>
      <c r="B8" s="535">
        <v>4</v>
      </c>
      <c r="C8" s="538" t="s">
        <v>61</v>
      </c>
      <c r="D8" s="543">
        <f>'Fin. Data'!D11</f>
        <v>12810</v>
      </c>
      <c r="E8" s="286">
        <f>'Fin. Data'!C11</f>
        <v>13094</v>
      </c>
      <c r="F8" s="290">
        <f>'Fin. Data'!B11</f>
        <v>9141</v>
      </c>
      <c r="G8" s="687">
        <f>G7*G6</f>
        <v>8745.6</v>
      </c>
      <c r="H8" s="688">
        <f t="shared" ref="H8:AF8" si="4">H7*H6</f>
        <v>11000</v>
      </c>
      <c r="I8" s="688">
        <f t="shared" si="4"/>
        <v>14300</v>
      </c>
      <c r="J8" s="896">
        <f t="shared" si="4"/>
        <v>12705</v>
      </c>
      <c r="K8" s="903">
        <f t="shared" si="4"/>
        <v>13340.25</v>
      </c>
      <c r="L8" s="886">
        <f t="shared" si="4"/>
        <v>14007.262500000001</v>
      </c>
      <c r="M8" s="886">
        <f t="shared" si="4"/>
        <v>14707.625625000001</v>
      </c>
      <c r="N8" s="886">
        <f t="shared" si="4"/>
        <v>15443.006906250002</v>
      </c>
      <c r="O8" s="886">
        <f t="shared" si="4"/>
        <v>15983.51214796875</v>
      </c>
      <c r="P8" s="886">
        <f t="shared" si="4"/>
        <v>16542.935073147655</v>
      </c>
      <c r="Q8" s="886">
        <f t="shared" si="4"/>
        <v>17121.937800707823</v>
      </c>
      <c r="R8" s="886">
        <f t="shared" si="4"/>
        <v>17721.205623732596</v>
      </c>
      <c r="S8" s="886">
        <f t="shared" si="4"/>
        <v>18341.447820563233</v>
      </c>
      <c r="T8" s="886">
        <f t="shared" si="4"/>
        <v>18983.398494282948</v>
      </c>
      <c r="U8" s="886">
        <f t="shared" si="4"/>
        <v>19647.817441582851</v>
      </c>
      <c r="V8" s="886">
        <f t="shared" si="4"/>
        <v>20040.773790414507</v>
      </c>
      <c r="W8" s="886">
        <f t="shared" si="4"/>
        <v>20441.589266222796</v>
      </c>
      <c r="X8" s="886">
        <f t="shared" si="4"/>
        <v>20850.421051547251</v>
      </c>
      <c r="Y8" s="886">
        <f t="shared" si="4"/>
        <v>21267.429472578198</v>
      </c>
      <c r="Z8" s="886">
        <f t="shared" si="4"/>
        <v>21692.77806202976</v>
      </c>
      <c r="AA8" s="886">
        <f t="shared" si="4"/>
        <v>22126.633623270358</v>
      </c>
      <c r="AB8" s="886">
        <f t="shared" si="4"/>
        <v>22569.166295735762</v>
      </c>
      <c r="AC8" s="886">
        <f t="shared" si="4"/>
        <v>23020.54962165048</v>
      </c>
      <c r="AD8" s="886">
        <f t="shared" si="4"/>
        <v>23480.960614083491</v>
      </c>
      <c r="AE8" s="886">
        <f t="shared" si="4"/>
        <v>23950.57982636516</v>
      </c>
      <c r="AF8" s="907">
        <f t="shared" si="4"/>
        <v>24429.591422892463</v>
      </c>
      <c r="AG8" s="372"/>
      <c r="AH8" s="7"/>
      <c r="AI8" s="7"/>
      <c r="AJ8" s="7"/>
      <c r="AK8" s="10"/>
      <c r="AL8" s="10"/>
      <c r="AM8" s="10"/>
      <c r="AN8" s="10"/>
    </row>
    <row r="9" spans="1:40" ht="14.45">
      <c r="A9" s="1046"/>
      <c r="B9" s="535" t="s">
        <v>415</v>
      </c>
      <c r="C9" s="536" t="s">
        <v>416</v>
      </c>
      <c r="D9" s="600">
        <v>-3366</v>
      </c>
      <c r="E9" s="600">
        <v>-3188</v>
      </c>
      <c r="F9" s="600">
        <v>-2953</v>
      </c>
      <c r="G9" s="361">
        <f>$D$53*DCF!F40</f>
        <v>-3217.7339999999999</v>
      </c>
      <c r="H9" s="339">
        <f>$D$53*DCF!G40</f>
        <v>-3612.1059</v>
      </c>
      <c r="I9" s="339">
        <f>$D$53*DCF!H40</f>
        <v>-4045.0059000000001</v>
      </c>
      <c r="J9" s="897">
        <f>$D$53*DCF!I40</f>
        <v>-4521.1959000000006</v>
      </c>
      <c r="K9" s="908">
        <f>$E$53*DCF!J40</f>
        <v>-5021.1954000000005</v>
      </c>
      <c r="L9" s="889">
        <f>$E$53*DCF!K40</f>
        <v>-5546.1948750000001</v>
      </c>
      <c r="M9" s="889">
        <f>$E$53*DCF!L40</f>
        <v>-6097.44432375</v>
      </c>
      <c r="N9" s="889">
        <f>$E$53*DCF!M40</f>
        <v>-6676.2562449375</v>
      </c>
      <c r="O9" s="889">
        <f>$E$53*DCF!N40</f>
        <v>-7284.008762184375</v>
      </c>
      <c r="P9" s="889">
        <f>$E$53*DCF!O40</f>
        <v>-7913.0326175348901</v>
      </c>
      <c r="Q9" s="889">
        <f>$E$53*DCF!P40</f>
        <v>-8564.0723078226747</v>
      </c>
      <c r="R9" s="889">
        <f>$E$53*DCF!Q40</f>
        <v>-9237.8983872705303</v>
      </c>
      <c r="S9" s="889">
        <f>$E$53*DCF!R40</f>
        <v>-9935.3083794990616</v>
      </c>
      <c r="T9" s="889">
        <f>$E$53*DCF!S40</f>
        <v>-10657.12772145559</v>
      </c>
      <c r="U9" s="889">
        <f>$E$53*DCF!T40</f>
        <v>-11404.210740380599</v>
      </c>
      <c r="V9" s="889">
        <f>$E$53*DCF!U40</f>
        <v>-12177.441664967982</v>
      </c>
      <c r="W9" s="889">
        <f>$E$53*DCF!V40</f>
        <v>-12966.137208047116</v>
      </c>
      <c r="X9" s="889">
        <f>$E$53*DCF!W40</f>
        <v>-13770.606661987829</v>
      </c>
      <c r="Y9" s="889">
        <f>$E$53*DCF!X40</f>
        <v>-14591.165505007359</v>
      </c>
      <c r="Z9" s="889">
        <f>$E$53*DCF!Y40</f>
        <v>-15428.135524887277</v>
      </c>
      <c r="AA9" s="889">
        <f>$E$53*DCF!Z40</f>
        <v>-16281.844945164792</v>
      </c>
      <c r="AB9" s="889">
        <f>$E$53*DCF!AA40</f>
        <v>-17152.628553847859</v>
      </c>
      <c r="AC9" s="889">
        <f>$E$53*DCF!AB40</f>
        <v>-18040.827834704589</v>
      </c>
      <c r="AD9" s="889">
        <f>$E$53*DCF!AC40</f>
        <v>-18946.791101178453</v>
      </c>
      <c r="AE9" s="889">
        <f>$E$53*DCF!AD40</f>
        <v>-19870.873632981791</v>
      </c>
      <c r="AF9" s="909">
        <f>$E$53*DCF!AE40</f>
        <v>-20813.437815421199</v>
      </c>
      <c r="AG9" s="373">
        <f>SUM(D9:AF9)</f>
        <v>-293279.68190803152</v>
      </c>
      <c r="AH9" s="7"/>
      <c r="AI9" s="7"/>
      <c r="AJ9" s="7"/>
      <c r="AK9" s="10"/>
      <c r="AL9" s="10"/>
      <c r="AM9" s="10"/>
      <c r="AN9" s="10"/>
    </row>
    <row r="10" spans="1:40" ht="14.45">
      <c r="A10" s="1046"/>
      <c r="B10" s="535" t="s">
        <v>417</v>
      </c>
      <c r="C10" s="536" t="s">
        <v>418</v>
      </c>
      <c r="D10" s="544">
        <f>-Assumptions!AB23</f>
        <v>-294</v>
      </c>
      <c r="E10" s="544">
        <f>-Assumptions!AA23</f>
        <v>-292</v>
      </c>
      <c r="F10" s="544">
        <f>-Assumptions!Z23</f>
        <v>-500</v>
      </c>
      <c r="G10" s="361">
        <f t="shared" ref="G10:J10" si="5">F38*$D$54</f>
        <v>-312.45000000000005</v>
      </c>
      <c r="H10" s="691">
        <f t="shared" si="5"/>
        <v>-328.07249999999999</v>
      </c>
      <c r="I10" s="691">
        <f t="shared" si="5"/>
        <v>-344.47612500000002</v>
      </c>
      <c r="J10" s="898">
        <f t="shared" si="5"/>
        <v>-361.69993125000002</v>
      </c>
      <c r="K10" s="908">
        <f t="shared" ref="K10:AF10" si="6">J38*$E$54</f>
        <v>-379.78492781250003</v>
      </c>
      <c r="L10" s="889">
        <f t="shared" si="6"/>
        <v>-398.77417420312509</v>
      </c>
      <c r="M10" s="889">
        <f t="shared" si="6"/>
        <v>-418.71288291328131</v>
      </c>
      <c r="N10" s="889">
        <f t="shared" si="6"/>
        <v>-439.64852705894538</v>
      </c>
      <c r="O10" s="889">
        <f t="shared" si="6"/>
        <v>-461.63095341189268</v>
      </c>
      <c r="P10" s="889">
        <f t="shared" si="6"/>
        <v>-484.71250108248728</v>
      </c>
      <c r="Q10" s="889">
        <f t="shared" si="6"/>
        <v>-508.94812613661162</v>
      </c>
      <c r="R10" s="889">
        <f t="shared" si="6"/>
        <v>-534.39553244344222</v>
      </c>
      <c r="S10" s="889">
        <f t="shared" si="6"/>
        <v>-561.11530906561427</v>
      </c>
      <c r="T10" s="889">
        <f t="shared" si="6"/>
        <v>-589.17107451889501</v>
      </c>
      <c r="U10" s="889">
        <f t="shared" si="6"/>
        <v>-618.62962824483975</v>
      </c>
      <c r="V10" s="889">
        <f t="shared" si="6"/>
        <v>-649.56110965708183</v>
      </c>
      <c r="W10" s="889">
        <f t="shared" si="6"/>
        <v>-682.0391651399359</v>
      </c>
      <c r="X10" s="889">
        <f t="shared" si="6"/>
        <v>-716.14112339693258</v>
      </c>
      <c r="Y10" s="889">
        <f t="shared" si="6"/>
        <v>-751.94817956677923</v>
      </c>
      <c r="Z10" s="889">
        <f t="shared" si="6"/>
        <v>-789.54558854511822</v>
      </c>
      <c r="AA10" s="889">
        <f t="shared" si="6"/>
        <v>-829.02286797237412</v>
      </c>
      <c r="AB10" s="889">
        <f t="shared" si="6"/>
        <v>-870.4740113709928</v>
      </c>
      <c r="AC10" s="889">
        <f t="shared" si="6"/>
        <v>-913.99771193954246</v>
      </c>
      <c r="AD10" s="889">
        <f t="shared" si="6"/>
        <v>-959.69759753651942</v>
      </c>
      <c r="AE10" s="889">
        <f t="shared" si="6"/>
        <v>-1007.6824774133455</v>
      </c>
      <c r="AF10" s="909">
        <f t="shared" si="6"/>
        <v>-1058.0666012840127</v>
      </c>
      <c r="AG10" s="372"/>
      <c r="AH10" s="7"/>
      <c r="AI10" s="7"/>
      <c r="AJ10" s="7"/>
      <c r="AK10" s="10"/>
      <c r="AL10" s="10"/>
      <c r="AM10" s="10"/>
      <c r="AN10" s="10"/>
    </row>
    <row r="11" spans="1:40" ht="14.45">
      <c r="A11" s="1046"/>
      <c r="B11" s="535" t="s">
        <v>419</v>
      </c>
      <c r="C11" s="536" t="s">
        <v>420</v>
      </c>
      <c r="D11" s="544">
        <f>D20</f>
        <v>0</v>
      </c>
      <c r="E11" s="370">
        <f>E20</f>
        <v>0</v>
      </c>
      <c r="F11" s="371">
        <f>F20</f>
        <v>0</v>
      </c>
      <c r="G11" s="361">
        <f>G6*$D$55</f>
        <v>0</v>
      </c>
      <c r="H11" s="691">
        <f t="shared" ref="H11:AF11" si="7">H6*$D$55</f>
        <v>0</v>
      </c>
      <c r="I11" s="691">
        <f t="shared" si="7"/>
        <v>0</v>
      </c>
      <c r="J11" s="898">
        <f t="shared" si="7"/>
        <v>0</v>
      </c>
      <c r="K11" s="910">
        <f t="shared" si="7"/>
        <v>0</v>
      </c>
      <c r="L11" s="890">
        <f t="shared" si="7"/>
        <v>0</v>
      </c>
      <c r="M11" s="890">
        <f t="shared" si="7"/>
        <v>0</v>
      </c>
      <c r="N11" s="890">
        <f t="shared" si="7"/>
        <v>0</v>
      </c>
      <c r="O11" s="890">
        <f t="shared" si="7"/>
        <v>0</v>
      </c>
      <c r="P11" s="890">
        <f t="shared" si="7"/>
        <v>0</v>
      </c>
      <c r="Q11" s="890">
        <f t="shared" si="7"/>
        <v>0</v>
      </c>
      <c r="R11" s="890">
        <f t="shared" si="7"/>
        <v>0</v>
      </c>
      <c r="S11" s="890">
        <f t="shared" si="7"/>
        <v>0</v>
      </c>
      <c r="T11" s="890">
        <f t="shared" si="7"/>
        <v>0</v>
      </c>
      <c r="U11" s="890">
        <f t="shared" si="7"/>
        <v>0</v>
      </c>
      <c r="V11" s="890">
        <f t="shared" si="7"/>
        <v>0</v>
      </c>
      <c r="W11" s="890">
        <f t="shared" si="7"/>
        <v>0</v>
      </c>
      <c r="X11" s="890">
        <f t="shared" si="7"/>
        <v>0</v>
      </c>
      <c r="Y11" s="890">
        <f t="shared" si="7"/>
        <v>0</v>
      </c>
      <c r="Z11" s="890">
        <f t="shared" si="7"/>
        <v>0</v>
      </c>
      <c r="AA11" s="890">
        <f t="shared" si="7"/>
        <v>0</v>
      </c>
      <c r="AB11" s="890">
        <f t="shared" si="7"/>
        <v>0</v>
      </c>
      <c r="AC11" s="890">
        <f t="shared" si="7"/>
        <v>0</v>
      </c>
      <c r="AD11" s="890">
        <f t="shared" si="7"/>
        <v>0</v>
      </c>
      <c r="AE11" s="890">
        <f t="shared" si="7"/>
        <v>0</v>
      </c>
      <c r="AF11" s="911">
        <f t="shared" si="7"/>
        <v>0</v>
      </c>
      <c r="AG11" s="372"/>
      <c r="AH11" s="7"/>
      <c r="AI11" s="7"/>
      <c r="AJ11" s="7"/>
      <c r="AK11" s="10"/>
      <c r="AL11" s="10"/>
      <c r="AM11" s="10"/>
      <c r="AN11" s="10"/>
    </row>
    <row r="12" spans="1:40" ht="14.45">
      <c r="A12" s="1046"/>
      <c r="B12" s="535">
        <v>6</v>
      </c>
      <c r="C12" s="538" t="s">
        <v>53</v>
      </c>
      <c r="D12" s="543">
        <f>D8-D9-D10</f>
        <v>16470</v>
      </c>
      <c r="E12" s="262">
        <f t="shared" ref="E12:AF12" si="8">E8-E9-E10</f>
        <v>16574</v>
      </c>
      <c r="F12" s="291">
        <f t="shared" si="8"/>
        <v>12594</v>
      </c>
      <c r="G12" s="692">
        <f>G8-G9-G10</f>
        <v>12275.784000000001</v>
      </c>
      <c r="H12" s="286">
        <f t="shared" si="8"/>
        <v>14940.178400000001</v>
      </c>
      <c r="I12" s="286">
        <f t="shared" si="8"/>
        <v>18689.482025000001</v>
      </c>
      <c r="J12" s="290">
        <f t="shared" si="8"/>
        <v>17587.89583125</v>
      </c>
      <c r="K12" s="912">
        <f t="shared" si="8"/>
        <v>18741.2303278125</v>
      </c>
      <c r="L12" s="891">
        <f t="shared" si="8"/>
        <v>19952.231549203127</v>
      </c>
      <c r="M12" s="891">
        <f t="shared" si="8"/>
        <v>21223.782831663284</v>
      </c>
      <c r="N12" s="891">
        <f t="shared" si="8"/>
        <v>22558.911678246444</v>
      </c>
      <c r="O12" s="891">
        <f t="shared" si="8"/>
        <v>23729.151863565017</v>
      </c>
      <c r="P12" s="891">
        <f t="shared" si="8"/>
        <v>24940.68019176503</v>
      </c>
      <c r="Q12" s="891">
        <f t="shared" si="8"/>
        <v>26194.958234667112</v>
      </c>
      <c r="R12" s="891">
        <f t="shared" si="8"/>
        <v>27493.499543446567</v>
      </c>
      <c r="S12" s="891">
        <f t="shared" si="8"/>
        <v>28837.871509127908</v>
      </c>
      <c r="T12" s="891">
        <f t="shared" si="8"/>
        <v>30229.697290257431</v>
      </c>
      <c r="U12" s="891">
        <f t="shared" si="8"/>
        <v>31670.657810208286</v>
      </c>
      <c r="V12" s="891">
        <f t="shared" si="8"/>
        <v>32867.776565039567</v>
      </c>
      <c r="W12" s="891">
        <f t="shared" si="8"/>
        <v>34089.765639409845</v>
      </c>
      <c r="X12" s="891">
        <f t="shared" si="8"/>
        <v>35337.168836932011</v>
      </c>
      <c r="Y12" s="891">
        <f t="shared" si="8"/>
        <v>36610.543157152337</v>
      </c>
      <c r="Z12" s="891">
        <f t="shared" si="8"/>
        <v>37910.459175462151</v>
      </c>
      <c r="AA12" s="891">
        <f t="shared" si="8"/>
        <v>39237.501436407525</v>
      </c>
      <c r="AB12" s="891">
        <f t="shared" si="8"/>
        <v>40592.268860954609</v>
      </c>
      <c r="AC12" s="891">
        <f t="shared" si="8"/>
        <v>41975.375168294609</v>
      </c>
      <c r="AD12" s="891">
        <f t="shared" si="8"/>
        <v>43387.449312798461</v>
      </c>
      <c r="AE12" s="891">
        <f t="shared" si="8"/>
        <v>44829.135936760293</v>
      </c>
      <c r="AF12" s="913">
        <f t="shared" si="8"/>
        <v>46301.095839597678</v>
      </c>
      <c r="AG12" s="280"/>
      <c r="AH12" s="7"/>
      <c r="AI12" s="7"/>
      <c r="AJ12" s="7"/>
      <c r="AK12" s="10"/>
      <c r="AL12" s="10"/>
      <c r="AM12" s="10"/>
      <c r="AN12" s="10"/>
    </row>
    <row r="13" spans="1:40" ht="14.45">
      <c r="A13" s="1046"/>
      <c r="B13" s="535">
        <v>7</v>
      </c>
      <c r="C13" s="536" t="s">
        <v>421</v>
      </c>
      <c r="D13" s="545">
        <f>'Fin. Data'!D14</f>
        <v>-694</v>
      </c>
      <c r="E13" s="368">
        <f>'Fin. Data'!C14</f>
        <v>-704</v>
      </c>
      <c r="F13" s="369">
        <f>'Fin. Data'!B14</f>
        <v>-568</v>
      </c>
      <c r="G13" s="689">
        <f t="shared" ref="G13:J13" si="9">F43*$D$58-F44*$D$57</f>
        <v>-649.94950000000006</v>
      </c>
      <c r="H13" s="690">
        <f t="shared" si="9"/>
        <v>-678.53226778281135</v>
      </c>
      <c r="I13" s="690">
        <f t="shared" si="9"/>
        <v>-724.68801078515958</v>
      </c>
      <c r="J13" s="899">
        <f t="shared" si="9"/>
        <v>-725.48048377154157</v>
      </c>
      <c r="K13" s="908">
        <f>J43*$E$58-J44*$E$57</f>
        <v>-703.3083795039264</v>
      </c>
      <c r="L13" s="889">
        <f t="shared" ref="L13:AF13" si="10">K43*$E$58-K44*$E$57</f>
        <v>-734.95833122672582</v>
      </c>
      <c r="M13" s="889">
        <f t="shared" si="10"/>
        <v>-762.57745172891873</v>
      </c>
      <c r="N13" s="889">
        <f t="shared" si="10"/>
        <v>-785.26243316409955</v>
      </c>
      <c r="O13" s="889">
        <f t="shared" si="10"/>
        <v>-803.42029412234979</v>
      </c>
      <c r="P13" s="889">
        <f t="shared" si="10"/>
        <v>-810.73871142174175</v>
      </c>
      <c r="Q13" s="889">
        <f t="shared" si="10"/>
        <v>-809.04804001996604</v>
      </c>
      <c r="R13" s="889">
        <f t="shared" si="10"/>
        <v>-797.9353667848535</v>
      </c>
      <c r="S13" s="889">
        <f t="shared" si="10"/>
        <v>-776.73633158876191</v>
      </c>
      <c r="T13" s="889">
        <f t="shared" si="10"/>
        <v>-745.00613129098906</v>
      </c>
      <c r="U13" s="889">
        <f t="shared" si="10"/>
        <v>-702.19450985785534</v>
      </c>
      <c r="V13" s="889">
        <f t="shared" si="10"/>
        <v>-647.70290227148803</v>
      </c>
      <c r="W13" s="889">
        <f t="shared" si="10"/>
        <v>-574.85654250774974</v>
      </c>
      <c r="X13" s="889">
        <f t="shared" si="10"/>
        <v>-485.37171951416394</v>
      </c>
      <c r="Y13" s="889">
        <f t="shared" si="10"/>
        <v>-378.65902703426241</v>
      </c>
      <c r="Z13" s="889">
        <f t="shared" si="10"/>
        <v>-254.13474427603865</v>
      </c>
      <c r="AA13" s="889">
        <f t="shared" si="10"/>
        <v>-111.07945162328247</v>
      </c>
      <c r="AB13" s="889">
        <f t="shared" si="10"/>
        <v>51.176993792799976</v>
      </c>
      <c r="AC13" s="889">
        <f t="shared" si="10"/>
        <v>233.33295601141322</v>
      </c>
      <c r="AD13" s="889">
        <f t="shared" si="10"/>
        <v>436.1265733031446</v>
      </c>
      <c r="AE13" s="889">
        <f t="shared" si="10"/>
        <v>660.3031695344107</v>
      </c>
      <c r="AF13" s="909">
        <f t="shared" si="10"/>
        <v>906.63447804988891</v>
      </c>
      <c r="AG13" s="372"/>
      <c r="AH13" s="7"/>
      <c r="AI13" s="7"/>
      <c r="AJ13" s="7"/>
      <c r="AK13" s="10"/>
      <c r="AL13" s="10"/>
      <c r="AM13" s="10"/>
      <c r="AN13" s="10"/>
    </row>
    <row r="14" spans="1:40" ht="14.45">
      <c r="A14" s="1046"/>
      <c r="B14" s="535">
        <v>8</v>
      </c>
      <c r="C14" s="536" t="s">
        <v>422</v>
      </c>
      <c r="D14" s="546">
        <f>'Fin. Data'!D15</f>
        <v>4479</v>
      </c>
      <c r="E14" s="287">
        <f>'Fin. Data'!C15</f>
        <v>2435</v>
      </c>
      <c r="F14" s="292">
        <f>'Fin. Data'!B15</f>
        <v>0</v>
      </c>
      <c r="G14" s="687">
        <f>AVERAGE(D14:F14)*(1+G5)</f>
        <v>2308.2646203009449</v>
      </c>
      <c r="H14" s="688">
        <f t="shared" ref="H14:AF14" si="11">AVERAGE(E14:G14)*(1+H5)</f>
        <v>1735.5523674719886</v>
      </c>
      <c r="I14" s="688">
        <f t="shared" si="11"/>
        <v>1482.7328955167422</v>
      </c>
      <c r="J14" s="896">
        <f t="shared" si="11"/>
        <v>1934.2924591513865</v>
      </c>
      <c r="K14" s="903">
        <f t="shared" si="11"/>
        <v>1803.4022027490412</v>
      </c>
      <c r="L14" s="886">
        <f t="shared" si="11"/>
        <v>1827.1496450960094</v>
      </c>
      <c r="M14" s="886">
        <f t="shared" si="11"/>
        <v>1947.695507448753</v>
      </c>
      <c r="N14" s="886">
        <f t="shared" si="11"/>
        <v>1952.3865743528313</v>
      </c>
      <c r="O14" s="886">
        <f t="shared" si="11"/>
        <v>1975.8949457796696</v>
      </c>
      <c r="P14" s="886">
        <f t="shared" si="11"/>
        <v>2027.2120745155325</v>
      </c>
      <c r="Q14" s="886">
        <f t="shared" si="11"/>
        <v>2054.6452901535713</v>
      </c>
      <c r="R14" s="886">
        <f t="shared" si="11"/>
        <v>2089.9245471048266</v>
      </c>
      <c r="S14" s="886">
        <f t="shared" si="11"/>
        <v>2129.264759562006</v>
      </c>
      <c r="T14" s="886">
        <f t="shared" si="11"/>
        <v>2164.4729359030389</v>
      </c>
      <c r="U14" s="886">
        <f t="shared" si="11"/>
        <v>2202.3634736866056</v>
      </c>
      <c r="V14" s="886">
        <f t="shared" si="11"/>
        <v>2208.6743975115614</v>
      </c>
      <c r="W14" s="886">
        <f t="shared" si="11"/>
        <v>2235.67367441441</v>
      </c>
      <c r="X14" s="886">
        <f t="shared" si="11"/>
        <v>2259.8819255082763</v>
      </c>
      <c r="Y14" s="886">
        <f t="shared" si="11"/>
        <v>2279.4381991276446</v>
      </c>
      <c r="Z14" s="886">
        <f t="shared" si="11"/>
        <v>2303.4978916771129</v>
      </c>
      <c r="AA14" s="886">
        <f t="shared" si="11"/>
        <v>2326.5581255464313</v>
      </c>
      <c r="AB14" s="886">
        <f t="shared" si="11"/>
        <v>2349.2280335594041</v>
      </c>
      <c r="AC14" s="886">
        <f t="shared" si="11"/>
        <v>2372.9565772662027</v>
      </c>
      <c r="AD14" s="886">
        <f t="shared" si="11"/>
        <v>2396.5725303664931</v>
      </c>
      <c r="AE14" s="886">
        <f t="shared" si="11"/>
        <v>2420.377428005314</v>
      </c>
      <c r="AF14" s="907">
        <f t="shared" si="11"/>
        <v>2444.5682221169236</v>
      </c>
      <c r="AG14" s="372"/>
      <c r="AH14" s="7"/>
      <c r="AI14" s="7"/>
      <c r="AJ14" s="7"/>
      <c r="AK14" s="10"/>
      <c r="AL14" s="10"/>
      <c r="AM14" s="10"/>
      <c r="AN14" s="10"/>
    </row>
    <row r="15" spans="1:40" ht="14.45">
      <c r="A15" s="1046"/>
      <c r="B15" s="535">
        <v>9</v>
      </c>
      <c r="C15" s="538" t="s">
        <v>423</v>
      </c>
      <c r="D15" s="547">
        <f t="shared" ref="D15:AF15" si="12">D8+D13+D14</f>
        <v>16595</v>
      </c>
      <c r="E15" s="262">
        <f t="shared" si="12"/>
        <v>14825</v>
      </c>
      <c r="F15" s="291">
        <f t="shared" si="12"/>
        <v>8573</v>
      </c>
      <c r="G15" s="692">
        <f t="shared" si="12"/>
        <v>10403.915120300946</v>
      </c>
      <c r="H15" s="286">
        <f t="shared" si="12"/>
        <v>12057.020099689176</v>
      </c>
      <c r="I15" s="286">
        <f t="shared" si="12"/>
        <v>15058.044884731582</v>
      </c>
      <c r="J15" s="290">
        <f t="shared" si="12"/>
        <v>13913.811975379846</v>
      </c>
      <c r="K15" s="912">
        <f t="shared" si="12"/>
        <v>14440.343823245115</v>
      </c>
      <c r="L15" s="891">
        <f t="shared" si="12"/>
        <v>15099.453813869284</v>
      </c>
      <c r="M15" s="891">
        <f t="shared" si="12"/>
        <v>15892.743680719834</v>
      </c>
      <c r="N15" s="891">
        <f t="shared" si="12"/>
        <v>16610.131047438736</v>
      </c>
      <c r="O15" s="891">
        <f t="shared" si="12"/>
        <v>17155.986799626069</v>
      </c>
      <c r="P15" s="891">
        <f t="shared" si="12"/>
        <v>17759.408436241447</v>
      </c>
      <c r="Q15" s="891">
        <f t="shared" si="12"/>
        <v>18367.535050841427</v>
      </c>
      <c r="R15" s="891">
        <f t="shared" si="12"/>
        <v>19013.194804052571</v>
      </c>
      <c r="S15" s="891">
        <f t="shared" si="12"/>
        <v>19693.976248536477</v>
      </c>
      <c r="T15" s="891">
        <f t="shared" si="12"/>
        <v>20402.865298894998</v>
      </c>
      <c r="U15" s="891">
        <f t="shared" si="12"/>
        <v>21147.986405411601</v>
      </c>
      <c r="V15" s="891">
        <f t="shared" si="12"/>
        <v>21601.745285654579</v>
      </c>
      <c r="W15" s="891">
        <f t="shared" si="12"/>
        <v>22102.406398129457</v>
      </c>
      <c r="X15" s="891">
        <f t="shared" si="12"/>
        <v>22624.931257541364</v>
      </c>
      <c r="Y15" s="891">
        <f t="shared" si="12"/>
        <v>23168.20864467158</v>
      </c>
      <c r="Z15" s="891">
        <f t="shared" si="12"/>
        <v>23742.141209430836</v>
      </c>
      <c r="AA15" s="891">
        <f t="shared" si="12"/>
        <v>24342.112297193507</v>
      </c>
      <c r="AB15" s="891">
        <f t="shared" si="12"/>
        <v>24969.571323087966</v>
      </c>
      <c r="AC15" s="891">
        <f t="shared" si="12"/>
        <v>25626.839154928097</v>
      </c>
      <c r="AD15" s="891">
        <f t="shared" si="12"/>
        <v>26313.659717753129</v>
      </c>
      <c r="AE15" s="891">
        <f t="shared" si="12"/>
        <v>27031.260423904885</v>
      </c>
      <c r="AF15" s="913">
        <f t="shared" si="12"/>
        <v>27780.794123059273</v>
      </c>
      <c r="AG15" s="372"/>
      <c r="AH15" s="7"/>
      <c r="AI15" s="7"/>
      <c r="AJ15" s="7"/>
      <c r="AK15" s="10"/>
      <c r="AL15" s="10"/>
      <c r="AM15" s="10"/>
      <c r="AN15" s="10"/>
    </row>
    <row r="16" spans="1:40" ht="14.45">
      <c r="A16" s="1046"/>
      <c r="B16" s="535">
        <v>10</v>
      </c>
      <c r="C16" s="536" t="s">
        <v>424</v>
      </c>
      <c r="D16" s="548">
        <f>'Fin. Data'!D21</f>
        <v>-3705</v>
      </c>
      <c r="E16" s="366">
        <f>'Fin. Data'!C21</f>
        <v>-3277</v>
      </c>
      <c r="F16" s="367">
        <f>'Fin. Data'!B21</f>
        <v>-1865</v>
      </c>
      <c r="G16" s="361">
        <f>-$D$56*G15</f>
        <v>-2288.8613264662081</v>
      </c>
      <c r="H16" s="339">
        <f>-$D$56*H15</f>
        <v>-2652.5444219316187</v>
      </c>
      <c r="I16" s="339">
        <f t="shared" ref="I16:J16" si="13">-$D$56*I15</f>
        <v>-3312.7698746409483</v>
      </c>
      <c r="J16" s="897">
        <f t="shared" si="13"/>
        <v>-3061.0386345835659</v>
      </c>
      <c r="K16" s="914">
        <f>-$E$56*K15</f>
        <v>-3754.48939404373</v>
      </c>
      <c r="L16" s="892">
        <f>-$E$56*L15</f>
        <v>-3925.8579916060139</v>
      </c>
      <c r="M16" s="892">
        <f t="shared" ref="M16:AE16" si="14">-$E$56*M15</f>
        <v>-4132.1133569871572</v>
      </c>
      <c r="N16" s="892">
        <f t="shared" si="14"/>
        <v>-4318.6340723340718</v>
      </c>
      <c r="O16" s="892">
        <f t="shared" si="14"/>
        <v>-4460.5565679027777</v>
      </c>
      <c r="P16" s="892">
        <f t="shared" si="14"/>
        <v>-4617.4461934227766</v>
      </c>
      <c r="Q16" s="892">
        <f t="shared" si="14"/>
        <v>-4775.559113218771</v>
      </c>
      <c r="R16" s="892">
        <f t="shared" si="14"/>
        <v>-4943.4306490536683</v>
      </c>
      <c r="S16" s="892">
        <f t="shared" si="14"/>
        <v>-5120.4338246194839</v>
      </c>
      <c r="T16" s="892">
        <f t="shared" si="14"/>
        <v>-5304.7449777126994</v>
      </c>
      <c r="U16" s="892">
        <f t="shared" si="14"/>
        <v>-5498.4764654070159</v>
      </c>
      <c r="V16" s="892">
        <f t="shared" si="14"/>
        <v>-5616.4537742701905</v>
      </c>
      <c r="W16" s="892">
        <f t="shared" si="14"/>
        <v>-5746.6256635136588</v>
      </c>
      <c r="X16" s="892">
        <f t="shared" si="14"/>
        <v>-5882.4821269607546</v>
      </c>
      <c r="Y16" s="892">
        <f t="shared" si="14"/>
        <v>-6023.7342476146114</v>
      </c>
      <c r="Z16" s="892">
        <f t="shared" si="14"/>
        <v>-6172.9567144520179</v>
      </c>
      <c r="AA16" s="892">
        <f t="shared" si="14"/>
        <v>-6328.9491972703117</v>
      </c>
      <c r="AB16" s="892">
        <f t="shared" si="14"/>
        <v>-6492.0885440028715</v>
      </c>
      <c r="AC16" s="892">
        <f t="shared" si="14"/>
        <v>-6662.978180281305</v>
      </c>
      <c r="AD16" s="892">
        <f t="shared" si="14"/>
        <v>-6841.5515266158136</v>
      </c>
      <c r="AE16" s="892">
        <f t="shared" si="14"/>
        <v>-7028.1277102152708</v>
      </c>
      <c r="AF16" s="915">
        <f>-$E$56*AF15</f>
        <v>-7223.0064719954116</v>
      </c>
      <c r="AG16" s="372"/>
      <c r="AH16" s="7"/>
      <c r="AI16" s="7"/>
      <c r="AJ16" s="7"/>
      <c r="AK16" s="10"/>
      <c r="AL16" s="10"/>
      <c r="AM16" s="10"/>
      <c r="AN16" s="10"/>
    </row>
    <row r="17" spans="1:40" ht="14.45">
      <c r="A17" s="1046"/>
      <c r="B17" s="539">
        <v>11</v>
      </c>
      <c r="C17" s="540" t="s">
        <v>425</v>
      </c>
      <c r="D17" s="549">
        <f>'Fin. Data'!D23</f>
        <v>12890</v>
      </c>
      <c r="E17" s="499">
        <f>'Fin. Data'!C23</f>
        <v>11548</v>
      </c>
      <c r="F17" s="293">
        <f>'Fin. Data'!B23</f>
        <v>6708</v>
      </c>
      <c r="G17" s="693">
        <f t="shared" ref="G17:AF17" si="15">G16+G15</f>
        <v>8115.0537938347379</v>
      </c>
      <c r="H17" s="694">
        <f t="shared" si="15"/>
        <v>9404.4756777575567</v>
      </c>
      <c r="I17" s="694">
        <f t="shared" si="15"/>
        <v>11745.275010090634</v>
      </c>
      <c r="J17" s="499">
        <f t="shared" si="15"/>
        <v>10852.773340796281</v>
      </c>
      <c r="K17" s="916">
        <f t="shared" si="15"/>
        <v>10685.854429201385</v>
      </c>
      <c r="L17" s="917">
        <f t="shared" si="15"/>
        <v>11173.595822263271</v>
      </c>
      <c r="M17" s="917">
        <f t="shared" si="15"/>
        <v>11760.630323732676</v>
      </c>
      <c r="N17" s="917">
        <f t="shared" si="15"/>
        <v>12291.496975104663</v>
      </c>
      <c r="O17" s="917">
        <f t="shared" si="15"/>
        <v>12695.43023172329</v>
      </c>
      <c r="P17" s="917">
        <f t="shared" si="15"/>
        <v>13141.96224281867</v>
      </c>
      <c r="Q17" s="917">
        <f t="shared" si="15"/>
        <v>13591.975937622656</v>
      </c>
      <c r="R17" s="917">
        <f t="shared" si="15"/>
        <v>14069.764154998902</v>
      </c>
      <c r="S17" s="917">
        <f t="shared" si="15"/>
        <v>14573.542423916993</v>
      </c>
      <c r="T17" s="917">
        <f t="shared" si="15"/>
        <v>15098.120321182298</v>
      </c>
      <c r="U17" s="917">
        <f t="shared" si="15"/>
        <v>15649.509940004584</v>
      </c>
      <c r="V17" s="917">
        <f t="shared" si="15"/>
        <v>15985.291511384388</v>
      </c>
      <c r="W17" s="917">
        <f t="shared" si="15"/>
        <v>16355.780734615797</v>
      </c>
      <c r="X17" s="917">
        <f t="shared" si="15"/>
        <v>16742.449130580608</v>
      </c>
      <c r="Y17" s="917">
        <f t="shared" si="15"/>
        <v>17144.474397056969</v>
      </c>
      <c r="Z17" s="917">
        <f t="shared" si="15"/>
        <v>17569.184494978817</v>
      </c>
      <c r="AA17" s="917">
        <f t="shared" si="15"/>
        <v>18013.163099923197</v>
      </c>
      <c r="AB17" s="917">
        <f t="shared" si="15"/>
        <v>18477.482779085094</v>
      </c>
      <c r="AC17" s="917">
        <f t="shared" si="15"/>
        <v>18963.860974646792</v>
      </c>
      <c r="AD17" s="917">
        <f t="shared" si="15"/>
        <v>19472.108191137315</v>
      </c>
      <c r="AE17" s="917">
        <f t="shared" si="15"/>
        <v>20003.132713689614</v>
      </c>
      <c r="AF17" s="918">
        <f t="shared" si="15"/>
        <v>20557.78765106386</v>
      </c>
      <c r="AG17" s="372"/>
      <c r="AH17" s="7"/>
      <c r="AI17" s="7"/>
      <c r="AJ17" s="7"/>
      <c r="AK17" s="10"/>
      <c r="AL17" s="10"/>
      <c r="AM17" s="10"/>
      <c r="AN17" s="10"/>
    </row>
    <row r="18" spans="1:40" ht="14.45">
      <c r="A18" s="236"/>
      <c r="B18" s="244"/>
      <c r="C18" s="245" t="s">
        <v>426</v>
      </c>
      <c r="D18" s="248" t="s">
        <v>426</v>
      </c>
      <c r="E18" s="248" t="s">
        <v>426</v>
      </c>
      <c r="F18" s="248" t="s">
        <v>426</v>
      </c>
      <c r="G18" s="695" t="s">
        <v>426</v>
      </c>
      <c r="H18" s="695" t="s">
        <v>426</v>
      </c>
      <c r="I18" s="695" t="s">
        <v>426</v>
      </c>
      <c r="J18" s="695" t="s">
        <v>426</v>
      </c>
      <c r="K18" s="695" t="s">
        <v>426</v>
      </c>
      <c r="L18" s="695" t="s">
        <v>426</v>
      </c>
      <c r="M18" s="695" t="s">
        <v>426</v>
      </c>
      <c r="N18" s="695" t="s">
        <v>426</v>
      </c>
      <c r="O18" s="695" t="s">
        <v>426</v>
      </c>
      <c r="P18" s="695" t="s">
        <v>426</v>
      </c>
      <c r="Q18" s="695" t="s">
        <v>426</v>
      </c>
      <c r="R18" s="695" t="s">
        <v>426</v>
      </c>
      <c r="S18" s="695" t="s">
        <v>426</v>
      </c>
      <c r="T18" s="695" t="s">
        <v>426</v>
      </c>
      <c r="U18" s="695" t="s">
        <v>426</v>
      </c>
      <c r="V18" s="695" t="s">
        <v>426</v>
      </c>
      <c r="W18" s="695" t="s">
        <v>426</v>
      </c>
      <c r="X18" s="695" t="s">
        <v>426</v>
      </c>
      <c r="Y18" s="695" t="s">
        <v>426</v>
      </c>
      <c r="Z18" s="695" t="s">
        <v>426</v>
      </c>
      <c r="AA18" s="695" t="s">
        <v>426</v>
      </c>
      <c r="AB18" s="695" t="s">
        <v>426</v>
      </c>
      <c r="AC18" s="695" t="s">
        <v>426</v>
      </c>
      <c r="AD18" s="695" t="s">
        <v>426</v>
      </c>
      <c r="AE18" s="695" t="s">
        <v>426</v>
      </c>
      <c r="AF18" s="717" t="s">
        <v>426</v>
      </c>
      <c r="AG18" s="372"/>
      <c r="AH18" s="7"/>
      <c r="AI18" s="7"/>
      <c r="AJ18" s="7"/>
      <c r="AK18" s="10"/>
      <c r="AL18" s="10"/>
      <c r="AM18" s="10"/>
      <c r="AN18" s="10"/>
    </row>
    <row r="19" spans="1:40" ht="14.45">
      <c r="A19" s="1221" t="s">
        <v>427</v>
      </c>
      <c r="B19" s="233">
        <v>12</v>
      </c>
      <c r="C19" s="345" t="s">
        <v>428</v>
      </c>
      <c r="D19" s="338">
        <f>Inputs!D59-D20-D21</f>
        <v>15649</v>
      </c>
      <c r="E19" s="338">
        <f>Inputs!C59-E20-E21</f>
        <v>14467</v>
      </c>
      <c r="F19" s="338">
        <f>Inputs!B59-F20-F21</f>
        <v>10752</v>
      </c>
      <c r="G19" s="696">
        <f>G17-G10-G9-G11</f>
        <v>11645.237793834738</v>
      </c>
      <c r="H19" s="697">
        <f t="shared" ref="H19:AF19" si="16">H17-H10-H9-H11</f>
        <v>13344.654077757557</v>
      </c>
      <c r="I19" s="697">
        <f t="shared" si="16"/>
        <v>16134.757035090634</v>
      </c>
      <c r="J19" s="698">
        <f t="shared" si="16"/>
        <v>15735.66917204628</v>
      </c>
      <c r="K19" s="699">
        <f t="shared" si="16"/>
        <v>16086.834757013885</v>
      </c>
      <c r="L19" s="697">
        <f t="shared" si="16"/>
        <v>17118.564871466395</v>
      </c>
      <c r="M19" s="697">
        <f t="shared" si="16"/>
        <v>18276.787530395959</v>
      </c>
      <c r="N19" s="697">
        <f t="shared" si="16"/>
        <v>19407.40174710111</v>
      </c>
      <c r="O19" s="697">
        <f t="shared" si="16"/>
        <v>20441.069947319556</v>
      </c>
      <c r="P19" s="697">
        <f t="shared" si="16"/>
        <v>21539.707361436049</v>
      </c>
      <c r="Q19" s="697">
        <f t="shared" si="16"/>
        <v>22664.996371581939</v>
      </c>
      <c r="R19" s="697">
        <f t="shared" si="16"/>
        <v>23842.058074712877</v>
      </c>
      <c r="S19" s="697">
        <f t="shared" si="16"/>
        <v>25069.96611248167</v>
      </c>
      <c r="T19" s="697">
        <f t="shared" si="16"/>
        <v>26344.419117156784</v>
      </c>
      <c r="U19" s="697">
        <f t="shared" si="16"/>
        <v>27672.350308630022</v>
      </c>
      <c r="V19" s="697">
        <f t="shared" si="16"/>
        <v>28812.294286009455</v>
      </c>
      <c r="W19" s="697">
        <f t="shared" si="16"/>
        <v>30003.957107802849</v>
      </c>
      <c r="X19" s="697">
        <f t="shared" si="16"/>
        <v>31229.196915965371</v>
      </c>
      <c r="Y19" s="697">
        <f t="shared" si="16"/>
        <v>32487.588081631104</v>
      </c>
      <c r="Z19" s="697">
        <f t="shared" si="16"/>
        <v>33786.865608411215</v>
      </c>
      <c r="AA19" s="697">
        <f t="shared" si="16"/>
        <v>35124.030913060364</v>
      </c>
      <c r="AB19" s="697">
        <f t="shared" si="16"/>
        <v>36500.585344303945</v>
      </c>
      <c r="AC19" s="697">
        <f t="shared" si="16"/>
        <v>37918.686521290918</v>
      </c>
      <c r="AD19" s="697">
        <f t="shared" si="16"/>
        <v>39378.596889852284</v>
      </c>
      <c r="AE19" s="697">
        <f t="shared" si="16"/>
        <v>40881.688824084747</v>
      </c>
      <c r="AF19" s="718">
        <f t="shared" si="16"/>
        <v>42429.292067769071</v>
      </c>
      <c r="AG19" s="372"/>
      <c r="AH19" s="7"/>
      <c r="AI19" s="7"/>
      <c r="AJ19" s="7"/>
      <c r="AK19" s="10"/>
      <c r="AL19" s="10"/>
      <c r="AM19" s="10"/>
      <c r="AN19" s="10"/>
    </row>
    <row r="20" spans="1:40" ht="14.45">
      <c r="A20" s="1222"/>
      <c r="B20" s="233">
        <v>13</v>
      </c>
      <c r="C20" s="242" t="s">
        <v>429</v>
      </c>
      <c r="D20" s="256"/>
      <c r="E20" s="257">
        <v>0</v>
      </c>
      <c r="F20" s="529">
        <v>0</v>
      </c>
      <c r="G20" s="700">
        <f>G11</f>
        <v>0</v>
      </c>
      <c r="H20" s="701">
        <f t="shared" ref="H20:AF20" si="17">H11</f>
        <v>0</v>
      </c>
      <c r="I20" s="701">
        <f t="shared" si="17"/>
        <v>0</v>
      </c>
      <c r="J20" s="702">
        <f t="shared" si="17"/>
        <v>0</v>
      </c>
      <c r="K20" s="703">
        <f t="shared" si="17"/>
        <v>0</v>
      </c>
      <c r="L20" s="701">
        <f t="shared" si="17"/>
        <v>0</v>
      </c>
      <c r="M20" s="701">
        <f t="shared" si="17"/>
        <v>0</v>
      </c>
      <c r="N20" s="701">
        <f t="shared" si="17"/>
        <v>0</v>
      </c>
      <c r="O20" s="701">
        <f t="shared" si="17"/>
        <v>0</v>
      </c>
      <c r="P20" s="701">
        <f t="shared" si="17"/>
        <v>0</v>
      </c>
      <c r="Q20" s="701">
        <f t="shared" si="17"/>
        <v>0</v>
      </c>
      <c r="R20" s="701">
        <f t="shared" si="17"/>
        <v>0</v>
      </c>
      <c r="S20" s="701">
        <f t="shared" si="17"/>
        <v>0</v>
      </c>
      <c r="T20" s="701">
        <f t="shared" si="17"/>
        <v>0</v>
      </c>
      <c r="U20" s="701">
        <f t="shared" si="17"/>
        <v>0</v>
      </c>
      <c r="V20" s="701">
        <f t="shared" si="17"/>
        <v>0</v>
      </c>
      <c r="W20" s="701">
        <f t="shared" si="17"/>
        <v>0</v>
      </c>
      <c r="X20" s="701">
        <f t="shared" si="17"/>
        <v>0</v>
      </c>
      <c r="Y20" s="701">
        <f t="shared" si="17"/>
        <v>0</v>
      </c>
      <c r="Z20" s="701">
        <f t="shared" si="17"/>
        <v>0</v>
      </c>
      <c r="AA20" s="701">
        <f t="shared" si="17"/>
        <v>0</v>
      </c>
      <c r="AB20" s="701">
        <f t="shared" si="17"/>
        <v>0</v>
      </c>
      <c r="AC20" s="701">
        <f t="shared" si="17"/>
        <v>0</v>
      </c>
      <c r="AD20" s="701">
        <f t="shared" si="17"/>
        <v>0</v>
      </c>
      <c r="AE20" s="701">
        <f t="shared" si="17"/>
        <v>0</v>
      </c>
      <c r="AF20" s="719">
        <f t="shared" si="17"/>
        <v>0</v>
      </c>
      <c r="AG20" s="372"/>
      <c r="AH20" s="7"/>
      <c r="AI20" s="7"/>
      <c r="AJ20" s="7"/>
      <c r="AK20" s="10"/>
      <c r="AL20" s="10"/>
      <c r="AM20" s="10"/>
      <c r="AN20" s="10"/>
    </row>
    <row r="21" spans="1:40" ht="14.45">
      <c r="A21" s="1222"/>
      <c r="B21" s="233">
        <v>14</v>
      </c>
      <c r="C21" s="242" t="s">
        <v>430</v>
      </c>
      <c r="D21" s="261">
        <f>Inputs!D62</f>
        <v>-642</v>
      </c>
      <c r="E21" s="260">
        <f>Inputs!C62</f>
        <v>-363</v>
      </c>
      <c r="F21" s="530">
        <f>Inputs!B62</f>
        <v>-514</v>
      </c>
      <c r="G21" s="523">
        <f t="shared" ref="G21:J21" si="18">$D$60*(G6-F6)</f>
        <v>-5.3959999999999999</v>
      </c>
      <c r="H21" s="358">
        <f t="shared" si="18"/>
        <v>-338.2</v>
      </c>
      <c r="I21" s="358">
        <f t="shared" si="18"/>
        <v>-380</v>
      </c>
      <c r="J21" s="359">
        <f t="shared" si="18"/>
        <v>-209</v>
      </c>
      <c r="K21" s="296">
        <f t="shared" ref="K21:AF21" si="19">$E$60*(K6-J6)</f>
        <v>-173.25</v>
      </c>
      <c r="L21" s="295">
        <f t="shared" si="19"/>
        <v>-181.91249999999999</v>
      </c>
      <c r="M21" s="295">
        <f t="shared" si="19"/>
        <v>-191.00812500000001</v>
      </c>
      <c r="N21" s="295">
        <f t="shared" si="19"/>
        <v>-200.55853125000053</v>
      </c>
      <c r="O21" s="295">
        <f t="shared" si="19"/>
        <v>-147.41052046874944</v>
      </c>
      <c r="P21" s="295">
        <f t="shared" si="19"/>
        <v>-152.56988868515617</v>
      </c>
      <c r="Q21" s="295">
        <f t="shared" si="19"/>
        <v>-157.90983478913637</v>
      </c>
      <c r="R21" s="295">
        <f t="shared" si="19"/>
        <v>-163.43667900675646</v>
      </c>
      <c r="S21" s="295">
        <f t="shared" si="19"/>
        <v>-169.15696277199226</v>
      </c>
      <c r="T21" s="295">
        <f t="shared" si="19"/>
        <v>-175.07745646901253</v>
      </c>
      <c r="U21" s="295">
        <f t="shared" si="19"/>
        <v>-181.20516744542778</v>
      </c>
      <c r="V21" s="295">
        <f t="shared" si="19"/>
        <v>-107.16991331772442</v>
      </c>
      <c r="W21" s="295">
        <f t="shared" si="19"/>
        <v>-109.31331158407934</v>
      </c>
      <c r="X21" s="295">
        <f t="shared" si="19"/>
        <v>-111.49957781576056</v>
      </c>
      <c r="Y21" s="295">
        <f t="shared" si="19"/>
        <v>-113.72956937207607</v>
      </c>
      <c r="Z21" s="295">
        <f t="shared" si="19"/>
        <v>-116.00416075951711</v>
      </c>
      <c r="AA21" s="295">
        <f t="shared" si="19"/>
        <v>-118.32424397470807</v>
      </c>
      <c r="AB21" s="295">
        <f t="shared" si="19"/>
        <v>-120.69072885420172</v>
      </c>
      <c r="AC21" s="295">
        <f t="shared" si="19"/>
        <v>-123.10454343128629</v>
      </c>
      <c r="AD21" s="295">
        <f t="shared" si="19"/>
        <v>-125.56663429991197</v>
      </c>
      <c r="AE21" s="295">
        <f t="shared" si="19"/>
        <v>-128.07796698590974</v>
      </c>
      <c r="AF21" s="720">
        <f t="shared" si="19"/>
        <v>-130.63952632562811</v>
      </c>
      <c r="AG21" s="372"/>
      <c r="AH21" s="7"/>
      <c r="AI21" s="7"/>
      <c r="AJ21" s="7"/>
      <c r="AK21" s="10"/>
      <c r="AL21" s="10"/>
      <c r="AM21" s="10"/>
      <c r="AN21" s="10"/>
    </row>
    <row r="22" spans="1:40" ht="14.45">
      <c r="A22" s="1222"/>
      <c r="B22" s="233">
        <v>15</v>
      </c>
      <c r="C22" s="246" t="s">
        <v>431</v>
      </c>
      <c r="D22" s="673">
        <f>D19+D20+D21</f>
        <v>15007</v>
      </c>
      <c r="E22" s="259">
        <f t="shared" ref="E22:AF22" si="20">E19+E20+E21</f>
        <v>14104</v>
      </c>
      <c r="F22" s="672">
        <f>F19+F20+F21</f>
        <v>10238</v>
      </c>
      <c r="G22" s="704">
        <f>G19+G20+G21</f>
        <v>11639.841793834737</v>
      </c>
      <c r="H22" s="705">
        <f t="shared" si="20"/>
        <v>13006.454077757557</v>
      </c>
      <c r="I22" s="705">
        <f t="shared" si="20"/>
        <v>15754.757035090634</v>
      </c>
      <c r="J22" s="706">
        <f t="shared" si="20"/>
        <v>15526.66917204628</v>
      </c>
      <c r="K22" s="707">
        <f t="shared" si="20"/>
        <v>15913.584757013885</v>
      </c>
      <c r="L22" s="705">
        <f t="shared" si="20"/>
        <v>16936.652371466396</v>
      </c>
      <c r="M22" s="705">
        <f t="shared" si="20"/>
        <v>18085.779405395959</v>
      </c>
      <c r="N22" s="705">
        <f t="shared" si="20"/>
        <v>19206.84321585111</v>
      </c>
      <c r="O22" s="705">
        <f t="shared" si="20"/>
        <v>20293.659426850805</v>
      </c>
      <c r="P22" s="705">
        <f t="shared" si="20"/>
        <v>21387.137472750892</v>
      </c>
      <c r="Q22" s="705">
        <f t="shared" si="20"/>
        <v>22507.086536792802</v>
      </c>
      <c r="R22" s="705">
        <f t="shared" si="20"/>
        <v>23678.621395706119</v>
      </c>
      <c r="S22" s="705">
        <f t="shared" si="20"/>
        <v>24900.809149709679</v>
      </c>
      <c r="T22" s="705">
        <f t="shared" si="20"/>
        <v>26169.341660687773</v>
      </c>
      <c r="U22" s="705">
        <f t="shared" si="20"/>
        <v>27491.145141184596</v>
      </c>
      <c r="V22" s="705">
        <f t="shared" si="20"/>
        <v>28705.124372691731</v>
      </c>
      <c r="W22" s="705">
        <f t="shared" si="20"/>
        <v>29894.64379621877</v>
      </c>
      <c r="X22" s="705">
        <f t="shared" si="20"/>
        <v>31117.69733814961</v>
      </c>
      <c r="Y22" s="705">
        <f t="shared" si="20"/>
        <v>32373.858512259027</v>
      </c>
      <c r="Z22" s="705">
        <f t="shared" si="20"/>
        <v>33670.861447651696</v>
      </c>
      <c r="AA22" s="705">
        <f t="shared" si="20"/>
        <v>35005.706669085659</v>
      </c>
      <c r="AB22" s="705">
        <f t="shared" si="20"/>
        <v>36379.894615449746</v>
      </c>
      <c r="AC22" s="705">
        <f t="shared" si="20"/>
        <v>37795.581977859634</v>
      </c>
      <c r="AD22" s="705">
        <f t="shared" si="20"/>
        <v>39253.030255552374</v>
      </c>
      <c r="AE22" s="705">
        <f t="shared" si="20"/>
        <v>40753.610857098836</v>
      </c>
      <c r="AF22" s="721">
        <f t="shared" si="20"/>
        <v>42298.652541443444</v>
      </c>
      <c r="AG22" s="372"/>
      <c r="AH22" s="7"/>
      <c r="AI22" s="7"/>
      <c r="AJ22" s="7"/>
      <c r="AK22" s="10"/>
      <c r="AL22" s="10"/>
      <c r="AM22" s="10"/>
      <c r="AN22" s="10"/>
    </row>
    <row r="23" spans="1:40" ht="14.45">
      <c r="A23" s="1222"/>
      <c r="B23" s="233">
        <v>16</v>
      </c>
      <c r="C23" s="242" t="s">
        <v>432</v>
      </c>
      <c r="D23" s="279">
        <f>'Fin. Data'!D32</f>
        <v>-4194</v>
      </c>
      <c r="E23" s="278">
        <f>'Fin. Data'!C32</f>
        <v>-4769</v>
      </c>
      <c r="F23" s="532">
        <f>'Fin. Data'!B32</f>
        <v>-5158</v>
      </c>
      <c r="G23" s="708">
        <f>G6*$D$62</f>
        <v>-5056.05</v>
      </c>
      <c r="H23" s="295">
        <f t="shared" ref="H23:J23" si="21">H6*$D$62</f>
        <v>-5550</v>
      </c>
      <c r="I23" s="295">
        <f t="shared" si="21"/>
        <v>-6105</v>
      </c>
      <c r="J23" s="533">
        <f t="shared" si="21"/>
        <v>-6410.25</v>
      </c>
      <c r="K23" s="296">
        <f t="shared" ref="K23:AF23" si="22">K6*$E$62</f>
        <v>-6730.7624999999998</v>
      </c>
      <c r="L23" s="295">
        <f t="shared" si="22"/>
        <v>-7067.3006249999999</v>
      </c>
      <c r="M23" s="295">
        <f t="shared" si="22"/>
        <v>-7420.6656562500002</v>
      </c>
      <c r="N23" s="295">
        <f t="shared" si="22"/>
        <v>-7791.6989390625013</v>
      </c>
      <c r="O23" s="295">
        <f t="shared" si="22"/>
        <v>-8064.4084019296879</v>
      </c>
      <c r="P23" s="295">
        <f t="shared" si="22"/>
        <v>-8346.6626959972273</v>
      </c>
      <c r="Q23" s="295">
        <f t="shared" si="22"/>
        <v>-8638.7958903571289</v>
      </c>
      <c r="R23" s="295">
        <f t="shared" si="22"/>
        <v>-8941.1537465196288</v>
      </c>
      <c r="S23" s="295">
        <f t="shared" si="22"/>
        <v>-9254.0941276478134</v>
      </c>
      <c r="T23" s="295">
        <f t="shared" si="22"/>
        <v>-9577.9874221154878</v>
      </c>
      <c r="U23" s="295">
        <f t="shared" si="22"/>
        <v>-9913.2169818895291</v>
      </c>
      <c r="V23" s="295">
        <f t="shared" si="22"/>
        <v>-10111.481321527319</v>
      </c>
      <c r="W23" s="295">
        <f t="shared" si="22"/>
        <v>-10313.710947957865</v>
      </c>
      <c r="X23" s="295">
        <f t="shared" si="22"/>
        <v>-10519.985166917022</v>
      </c>
      <c r="Y23" s="295">
        <f t="shared" si="22"/>
        <v>-10730.384870255364</v>
      </c>
      <c r="Z23" s="295">
        <f t="shared" si="22"/>
        <v>-10944.992567660471</v>
      </c>
      <c r="AA23" s="295">
        <f t="shared" si="22"/>
        <v>-11163.89241901368</v>
      </c>
      <c r="AB23" s="295">
        <f t="shared" si="22"/>
        <v>-11387.170267393953</v>
      </c>
      <c r="AC23" s="295">
        <f t="shared" si="22"/>
        <v>-11614.913672741834</v>
      </c>
      <c r="AD23" s="295">
        <f t="shared" si="22"/>
        <v>-11847.21194619667</v>
      </c>
      <c r="AE23" s="295">
        <f t="shared" si="22"/>
        <v>-12084.156185120602</v>
      </c>
      <c r="AF23" s="720">
        <f t="shared" si="22"/>
        <v>-12325.839308823015</v>
      </c>
      <c r="AG23" s="373">
        <f>SUM(D23:AF23)</f>
        <v>-252032.78566037686</v>
      </c>
      <c r="AH23" s="7"/>
      <c r="AI23" s="7"/>
      <c r="AJ23" s="7"/>
      <c r="AK23" s="10"/>
      <c r="AL23" s="10"/>
      <c r="AM23" s="10"/>
      <c r="AN23" s="10"/>
    </row>
    <row r="24" spans="1:40" ht="14.45">
      <c r="A24" s="1222"/>
      <c r="B24" s="233">
        <v>17</v>
      </c>
      <c r="C24" s="242" t="s">
        <v>433</v>
      </c>
      <c r="D24" s="261">
        <f>Inputs!D66</f>
        <v>-602</v>
      </c>
      <c r="E24" s="260">
        <f>'Fin. Data'!C33</f>
        <v>-755</v>
      </c>
      <c r="F24" s="530">
        <f>'Fin. Data'!B33</f>
        <v>-1329</v>
      </c>
      <c r="G24" s="708">
        <f>G6*$D$63</f>
        <v>-1366.5</v>
      </c>
      <c r="H24" s="295">
        <f t="shared" ref="H24:J24" si="23">H6*$D$63</f>
        <v>-1500</v>
      </c>
      <c r="I24" s="295">
        <f t="shared" si="23"/>
        <v>-1650</v>
      </c>
      <c r="J24" s="533">
        <f t="shared" si="23"/>
        <v>-1732.5</v>
      </c>
      <c r="K24" s="296">
        <f t="shared" ref="K24:AF24" si="24">K6*$E$63</f>
        <v>-1819.125</v>
      </c>
      <c r="L24" s="295">
        <f t="shared" si="24"/>
        <v>-1910.08125</v>
      </c>
      <c r="M24" s="295">
        <f t="shared" si="24"/>
        <v>-2005.5853124999999</v>
      </c>
      <c r="N24" s="295">
        <f t="shared" si="24"/>
        <v>-2105.8645781250002</v>
      </c>
      <c r="O24" s="295">
        <f t="shared" si="24"/>
        <v>-2179.5698383593749</v>
      </c>
      <c r="P24" s="295">
        <f t="shared" si="24"/>
        <v>-2255.8547827019529</v>
      </c>
      <c r="Q24" s="295">
        <f t="shared" si="24"/>
        <v>-2334.8097000965213</v>
      </c>
      <c r="R24" s="295">
        <f t="shared" si="24"/>
        <v>-2416.5280395998993</v>
      </c>
      <c r="S24" s="295">
        <f t="shared" si="24"/>
        <v>-2501.1065209858957</v>
      </c>
      <c r="T24" s="295">
        <f t="shared" si="24"/>
        <v>-2588.6452492204016</v>
      </c>
      <c r="U24" s="295">
        <f t="shared" si="24"/>
        <v>-2679.2478329431156</v>
      </c>
      <c r="V24" s="295">
        <f t="shared" si="24"/>
        <v>-2732.8327896019778</v>
      </c>
      <c r="W24" s="295">
        <f t="shared" si="24"/>
        <v>-2787.4894453940174</v>
      </c>
      <c r="X24" s="295">
        <f t="shared" si="24"/>
        <v>-2843.2392343018978</v>
      </c>
      <c r="Y24" s="295">
        <f t="shared" si="24"/>
        <v>-2900.1040189879359</v>
      </c>
      <c r="Z24" s="295">
        <f t="shared" si="24"/>
        <v>-2958.1060993676942</v>
      </c>
      <c r="AA24" s="295">
        <f t="shared" si="24"/>
        <v>-3017.2682213550484</v>
      </c>
      <c r="AB24" s="295">
        <f t="shared" si="24"/>
        <v>-3077.6135857821491</v>
      </c>
      <c r="AC24" s="295">
        <f t="shared" si="24"/>
        <v>-3139.1658574977923</v>
      </c>
      <c r="AD24" s="295">
        <f t="shared" si="24"/>
        <v>-3201.9491746477484</v>
      </c>
      <c r="AE24" s="295">
        <f t="shared" si="24"/>
        <v>-3265.9881581407035</v>
      </c>
      <c r="AF24" s="720">
        <f t="shared" si="24"/>
        <v>-3331.3079213035176</v>
      </c>
      <c r="AG24" s="372"/>
      <c r="AH24" s="374">
        <f>AG9-AG23</f>
        <v>-41246.896247654659</v>
      </c>
      <c r="AI24" s="7"/>
      <c r="AJ24" s="7"/>
      <c r="AK24" s="10"/>
      <c r="AL24" s="10"/>
      <c r="AM24" s="10"/>
      <c r="AN24" s="10"/>
    </row>
    <row r="25" spans="1:40" ht="14.45">
      <c r="A25" s="1222"/>
      <c r="B25" s="233">
        <v>18</v>
      </c>
      <c r="C25" s="242" t="s">
        <v>434</v>
      </c>
      <c r="D25" s="261">
        <f>Inputs!D67</f>
        <v>978</v>
      </c>
      <c r="E25" s="260">
        <f>Inputs!C67</f>
        <v>-1948</v>
      </c>
      <c r="F25" s="530">
        <f>Inputs!B67</f>
        <v>-646</v>
      </c>
      <c r="G25" s="708">
        <f>(1+G5)*AVERAGE(D25:F25)</f>
        <v>-539.50761157164106</v>
      </c>
      <c r="H25" s="295">
        <f t="shared" ref="H25:AF25" si="25">(1+H5)*AVERAGE(E25:G25)</f>
        <v>-1146.5450463123459</v>
      </c>
      <c r="I25" s="295">
        <f t="shared" si="25"/>
        <v>-855.08597455746201</v>
      </c>
      <c r="J25" s="533">
        <f t="shared" si="25"/>
        <v>-889.39852135450712</v>
      </c>
      <c r="K25" s="296">
        <f t="shared" si="25"/>
        <v>-1011.8603397785103</v>
      </c>
      <c r="L25" s="295">
        <f t="shared" si="25"/>
        <v>-964.72069249166771</v>
      </c>
      <c r="M25" s="295">
        <f t="shared" si="25"/>
        <v>-1003.0928437686399</v>
      </c>
      <c r="N25" s="295">
        <f t="shared" si="25"/>
        <v>-1042.8858566135864</v>
      </c>
      <c r="O25" s="295">
        <f t="shared" si="25"/>
        <v>-1038.6912905414933</v>
      </c>
      <c r="P25" s="295">
        <f t="shared" si="25"/>
        <v>-1064.211146868683</v>
      </c>
      <c r="Q25" s="295">
        <f t="shared" si="25"/>
        <v>-1085.2969614381982</v>
      </c>
      <c r="R25" s="295">
        <f t="shared" si="25"/>
        <v>-1099.9287926026891</v>
      </c>
      <c r="S25" s="295">
        <f t="shared" si="25"/>
        <v>-1121.0557308138016</v>
      </c>
      <c r="T25" s="295">
        <f t="shared" si="25"/>
        <v>-1140.6671122748676</v>
      </c>
      <c r="U25" s="295">
        <f t="shared" si="25"/>
        <v>-1159.7698143135183</v>
      </c>
      <c r="V25" s="295">
        <f t="shared" si="25"/>
        <v>-1163.3075035167437</v>
      </c>
      <c r="W25" s="295">
        <f t="shared" si="25"/>
        <v>-1177.6731062357442</v>
      </c>
      <c r="X25" s="295">
        <f t="shared" si="25"/>
        <v>-1190.2551441824423</v>
      </c>
      <c r="Y25" s="295">
        <f t="shared" si="25"/>
        <v>-1200.6201563378766</v>
      </c>
      <c r="Z25" s="295">
        <f t="shared" si="25"/>
        <v>-1213.3064582970615</v>
      </c>
      <c r="AA25" s="295">
        <f t="shared" si="25"/>
        <v>-1225.4217979979092</v>
      </c>
      <c r="AB25" s="295">
        <f t="shared" si="25"/>
        <v>-1237.3784602951682</v>
      </c>
      <c r="AC25" s="295">
        <f t="shared" si="25"/>
        <v>-1249.8762836406472</v>
      </c>
      <c r="AD25" s="295">
        <f t="shared" si="25"/>
        <v>-1262.3100242574665</v>
      </c>
      <c r="AE25" s="295">
        <f t="shared" si="25"/>
        <v>-1274.8520211857158</v>
      </c>
      <c r="AF25" s="720">
        <f t="shared" si="25"/>
        <v>-1287.5930318885021</v>
      </c>
      <c r="AG25" s="280"/>
      <c r="AH25" s="7"/>
      <c r="AI25" s="7"/>
      <c r="AJ25" s="7"/>
      <c r="AK25" s="10"/>
      <c r="AL25" s="10"/>
      <c r="AM25" s="10"/>
      <c r="AN25" s="10"/>
    </row>
    <row r="26" spans="1:40" ht="14.45">
      <c r="A26" s="1222"/>
      <c r="B26" s="233">
        <v>19</v>
      </c>
      <c r="C26" s="246" t="s">
        <v>435</v>
      </c>
      <c r="D26" s="258">
        <f t="shared" ref="D26:AF26" si="26">D23+D24+D25</f>
        <v>-3818</v>
      </c>
      <c r="E26" s="259">
        <f t="shared" si="26"/>
        <v>-7472</v>
      </c>
      <c r="F26" s="531">
        <f t="shared" si="26"/>
        <v>-7133</v>
      </c>
      <c r="G26" s="709">
        <f>G23+G24+G25</f>
        <v>-6962.0576115716412</v>
      </c>
      <c r="H26" s="710">
        <f t="shared" si="26"/>
        <v>-8196.5450463123452</v>
      </c>
      <c r="I26" s="710">
        <f t="shared" si="26"/>
        <v>-8610.0859745574617</v>
      </c>
      <c r="J26" s="672">
        <f t="shared" si="26"/>
        <v>-9032.1485213545075</v>
      </c>
      <c r="K26" s="673">
        <f t="shared" si="26"/>
        <v>-9561.7478397785108</v>
      </c>
      <c r="L26" s="710">
        <f t="shared" si="26"/>
        <v>-9942.1025674916673</v>
      </c>
      <c r="M26" s="710">
        <f t="shared" si="26"/>
        <v>-10429.34381251864</v>
      </c>
      <c r="N26" s="710">
        <f t="shared" si="26"/>
        <v>-10940.449373801088</v>
      </c>
      <c r="O26" s="710">
        <f t="shared" si="26"/>
        <v>-11282.669530830557</v>
      </c>
      <c r="P26" s="710">
        <f t="shared" si="26"/>
        <v>-11666.728625567865</v>
      </c>
      <c r="Q26" s="710">
        <f t="shared" si="26"/>
        <v>-12058.902551891848</v>
      </c>
      <c r="R26" s="710">
        <f t="shared" si="26"/>
        <v>-12457.610578722219</v>
      </c>
      <c r="S26" s="710">
        <f t="shared" si="26"/>
        <v>-12876.25637944751</v>
      </c>
      <c r="T26" s="710">
        <f t="shared" si="26"/>
        <v>-13307.299783610757</v>
      </c>
      <c r="U26" s="710">
        <f t="shared" si="26"/>
        <v>-13752.234629146164</v>
      </c>
      <c r="V26" s="710">
        <f t="shared" si="26"/>
        <v>-14007.621614646041</v>
      </c>
      <c r="W26" s="710">
        <f t="shared" si="26"/>
        <v>-14278.873499587628</v>
      </c>
      <c r="X26" s="710">
        <f t="shared" si="26"/>
        <v>-14553.479545401362</v>
      </c>
      <c r="Y26" s="710">
        <f t="shared" si="26"/>
        <v>-14831.109045581177</v>
      </c>
      <c r="Z26" s="710">
        <f t="shared" si="26"/>
        <v>-15116.405125325227</v>
      </c>
      <c r="AA26" s="710">
        <f t="shared" si="26"/>
        <v>-15406.582438366639</v>
      </c>
      <c r="AB26" s="710">
        <f t="shared" si="26"/>
        <v>-15702.162313471268</v>
      </c>
      <c r="AC26" s="710">
        <f t="shared" si="26"/>
        <v>-16003.955813880273</v>
      </c>
      <c r="AD26" s="710">
        <f t="shared" si="26"/>
        <v>-16311.471145101885</v>
      </c>
      <c r="AE26" s="710">
        <f t="shared" si="26"/>
        <v>-16624.996364447019</v>
      </c>
      <c r="AF26" s="722">
        <f t="shared" si="26"/>
        <v>-16944.740262015035</v>
      </c>
      <c r="AG26" s="372"/>
      <c r="AH26" s="7"/>
      <c r="AI26" s="7"/>
      <c r="AJ26" s="7"/>
      <c r="AK26" s="10"/>
      <c r="AL26" s="10"/>
      <c r="AM26" s="10"/>
      <c r="AN26" s="10"/>
    </row>
    <row r="27" spans="1:40" ht="14.45">
      <c r="A27" s="1222"/>
      <c r="B27" s="233">
        <v>20</v>
      </c>
      <c r="C27" s="242" t="s">
        <v>436</v>
      </c>
      <c r="D27" s="261">
        <f>Inputs!D71+Inputs!D72</f>
        <v>0</v>
      </c>
      <c r="E27" s="260">
        <f>Inputs!C71+Inputs!C72</f>
        <v>0</v>
      </c>
      <c r="F27" s="532">
        <f>Inputs!B71+Inputs!B72</f>
        <v>0</v>
      </c>
      <c r="G27" s="711">
        <f>G6*$D$66</f>
        <v>0</v>
      </c>
      <c r="H27" s="712">
        <f t="shared" ref="H27:J27" si="27">H6*$D$66</f>
        <v>0</v>
      </c>
      <c r="I27" s="712">
        <f t="shared" si="27"/>
        <v>0</v>
      </c>
      <c r="J27" s="713">
        <f t="shared" si="27"/>
        <v>0</v>
      </c>
      <c r="K27" s="714">
        <f>$E$66*K6</f>
        <v>0</v>
      </c>
      <c r="L27" s="712">
        <f>$E$66*L6</f>
        <v>0</v>
      </c>
      <c r="M27" s="712">
        <f t="shared" ref="M27:AE27" si="28">$E$66*M6</f>
        <v>0</v>
      </c>
      <c r="N27" s="712">
        <f t="shared" si="28"/>
        <v>0</v>
      </c>
      <c r="O27" s="712">
        <f t="shared" si="28"/>
        <v>0</v>
      </c>
      <c r="P27" s="712">
        <f t="shared" si="28"/>
        <v>0</v>
      </c>
      <c r="Q27" s="712">
        <f t="shared" si="28"/>
        <v>0</v>
      </c>
      <c r="R27" s="712">
        <f t="shared" si="28"/>
        <v>0</v>
      </c>
      <c r="S27" s="712">
        <f t="shared" si="28"/>
        <v>0</v>
      </c>
      <c r="T27" s="712">
        <f t="shared" si="28"/>
        <v>0</v>
      </c>
      <c r="U27" s="712">
        <f t="shared" si="28"/>
        <v>0</v>
      </c>
      <c r="V27" s="712">
        <f t="shared" si="28"/>
        <v>0</v>
      </c>
      <c r="W27" s="712">
        <f t="shared" si="28"/>
        <v>0</v>
      </c>
      <c r="X27" s="712">
        <f t="shared" si="28"/>
        <v>0</v>
      </c>
      <c r="Y27" s="712">
        <f t="shared" si="28"/>
        <v>0</v>
      </c>
      <c r="Z27" s="712">
        <f t="shared" si="28"/>
        <v>0</v>
      </c>
      <c r="AA27" s="712">
        <f t="shared" si="28"/>
        <v>0</v>
      </c>
      <c r="AB27" s="712">
        <f t="shared" si="28"/>
        <v>0</v>
      </c>
      <c r="AC27" s="712">
        <f t="shared" si="28"/>
        <v>0</v>
      </c>
      <c r="AD27" s="712">
        <f t="shared" si="28"/>
        <v>0</v>
      </c>
      <c r="AE27" s="712">
        <f t="shared" si="28"/>
        <v>0</v>
      </c>
      <c r="AF27" s="723">
        <f>$E$66*AF6</f>
        <v>0</v>
      </c>
      <c r="AG27" s="372"/>
      <c r="AH27" s="7"/>
      <c r="AI27" s="7"/>
      <c r="AJ27" s="7"/>
      <c r="AK27" s="10"/>
      <c r="AL27" s="10"/>
      <c r="AM27" s="10"/>
      <c r="AN27" s="10"/>
    </row>
    <row r="28" spans="1:40" ht="14.45">
      <c r="A28" s="1222"/>
      <c r="B28" s="233">
        <v>21</v>
      </c>
      <c r="C28" s="242" t="s">
        <v>437</v>
      </c>
      <c r="D28" s="279">
        <f>+SUM(Inputs!D69:D70)</f>
        <v>-2773</v>
      </c>
      <c r="E28" s="260">
        <f>+SUM(Inputs!C69:C70)</f>
        <v>-2304</v>
      </c>
      <c r="F28" s="530">
        <f>+SUM(Inputs!B69:B70)</f>
        <v>1000</v>
      </c>
      <c r="G28" s="708">
        <f>G44-F44</f>
        <v>-1563.6427999999978</v>
      </c>
      <c r="H28" s="295">
        <f t="shared" ref="H28:AF28" si="29">H44-G44</f>
        <v>4714.9995999999992</v>
      </c>
      <c r="I28" s="295">
        <f t="shared" si="29"/>
        <v>7498.6072500000009</v>
      </c>
      <c r="J28" s="533">
        <f t="shared" si="29"/>
        <v>-2203.1723875000025</v>
      </c>
      <c r="K28" s="296">
        <f t="shared" si="29"/>
        <v>432.54596034374845</v>
      </c>
      <c r="L28" s="295">
        <f t="shared" si="29"/>
        <v>2300.9023206421916</v>
      </c>
      <c r="M28" s="295">
        <f t="shared" si="29"/>
        <v>2415.9474366742943</v>
      </c>
      <c r="N28" s="295">
        <f t="shared" si="29"/>
        <v>2536.7448085080105</v>
      </c>
      <c r="O28" s="295">
        <f t="shared" si="29"/>
        <v>2223.4563521052842</v>
      </c>
      <c r="P28" s="295">
        <f t="shared" si="29"/>
        <v>2301.9038235800253</v>
      </c>
      <c r="Q28" s="295">
        <f t="shared" si="29"/>
        <v>2383.1282815139566</v>
      </c>
      <c r="R28" s="295">
        <f t="shared" si="29"/>
        <v>2467.2284866809641</v>
      </c>
      <c r="S28" s="295">
        <f t="shared" si="29"/>
        <v>2554.3067347945471</v>
      </c>
      <c r="T28" s="295">
        <f t="shared" si="29"/>
        <v>2644.4689841460931</v>
      </c>
      <c r="U28" s="295">
        <f t="shared" si="29"/>
        <v>2737.8249879066279</v>
      </c>
      <c r="V28" s="295">
        <f t="shared" si="29"/>
        <v>2274.5256341794302</v>
      </c>
      <c r="W28" s="295">
        <f t="shared" si="29"/>
        <v>2321.7792413035277</v>
      </c>
      <c r="X28" s="295">
        <f t="shared" si="29"/>
        <v>2370.0660752921103</v>
      </c>
      <c r="Y28" s="295">
        <f t="shared" si="29"/>
        <v>2419.4112084186199</v>
      </c>
      <c r="Z28" s="295">
        <f t="shared" si="29"/>
        <v>2469.8404347886535</v>
      </c>
      <c r="AA28" s="295">
        <f t="shared" si="29"/>
        <v>2521.3802957962034</v>
      </c>
      <c r="AB28" s="295">
        <f t="shared" si="29"/>
        <v>2574.0581066394661</v>
      </c>
      <c r="AC28" s="295">
        <f t="shared" si="29"/>
        <v>2627.9019839459943</v>
      </c>
      <c r="AD28" s="295">
        <f t="shared" si="29"/>
        <v>2682.9408745573164</v>
      </c>
      <c r="AE28" s="295">
        <f t="shared" si="29"/>
        <v>2739.2045855274919</v>
      </c>
      <c r="AF28" s="720">
        <f t="shared" si="29"/>
        <v>2796.7238153910293</v>
      </c>
      <c r="AG28" s="372"/>
      <c r="AH28" s="7"/>
      <c r="AI28" s="7"/>
      <c r="AJ28" s="7"/>
      <c r="AK28" s="10"/>
      <c r="AL28" s="10"/>
      <c r="AM28" s="10"/>
      <c r="AN28" s="10"/>
    </row>
    <row r="29" spans="1:40" ht="14.45">
      <c r="A29" s="1222"/>
      <c r="B29" s="233">
        <v>22</v>
      </c>
      <c r="C29" s="242" t="s">
        <v>438</v>
      </c>
      <c r="D29" s="279">
        <f>'Fin. Data'!D28</f>
        <v>-500</v>
      </c>
      <c r="E29" s="260">
        <f>'Fin. Data'!C28</f>
        <v>-3500</v>
      </c>
      <c r="F29" s="532">
        <f>'Fin. Data'!B28</f>
        <v>-2250</v>
      </c>
      <c r="G29" s="708">
        <f t="shared" ref="G29:AF29" si="30">G6*$D$65</f>
        <v>-1548.7</v>
      </c>
      <c r="H29" s="708">
        <f t="shared" si="30"/>
        <v>-1700.0000000000002</v>
      </c>
      <c r="I29" s="708">
        <f t="shared" si="30"/>
        <v>-1870.0000000000002</v>
      </c>
      <c r="J29" s="708">
        <f t="shared" si="30"/>
        <v>-1963.5000000000002</v>
      </c>
      <c r="K29" s="708">
        <f t="shared" si="30"/>
        <v>-2061.6750000000002</v>
      </c>
      <c r="L29" s="708">
        <f t="shared" si="30"/>
        <v>-2164.75875</v>
      </c>
      <c r="M29" s="708">
        <f t="shared" si="30"/>
        <v>-2272.9966875</v>
      </c>
      <c r="N29" s="708">
        <f t="shared" si="30"/>
        <v>-2386.6465218750004</v>
      </c>
      <c r="O29" s="708">
        <f t="shared" si="30"/>
        <v>-2470.1791501406251</v>
      </c>
      <c r="P29" s="708">
        <f t="shared" si="30"/>
        <v>-2556.635420395547</v>
      </c>
      <c r="Q29" s="708">
        <f t="shared" si="30"/>
        <v>-2646.1176601093912</v>
      </c>
      <c r="R29" s="708">
        <f t="shared" si="30"/>
        <v>-2738.7317782132195</v>
      </c>
      <c r="S29" s="708">
        <f t="shared" si="30"/>
        <v>-2834.5873904506821</v>
      </c>
      <c r="T29" s="708">
        <f t="shared" si="30"/>
        <v>-2933.7979491164556</v>
      </c>
      <c r="U29" s="708">
        <f t="shared" si="30"/>
        <v>-3036.4808773355317</v>
      </c>
      <c r="V29" s="708">
        <f t="shared" si="30"/>
        <v>-3097.2104948822421</v>
      </c>
      <c r="W29" s="708">
        <f t="shared" si="30"/>
        <v>-3159.1547047798867</v>
      </c>
      <c r="X29" s="708">
        <f t="shared" si="30"/>
        <v>-3222.3377988754846</v>
      </c>
      <c r="Y29" s="708">
        <f t="shared" si="30"/>
        <v>-3286.7845548529945</v>
      </c>
      <c r="Z29" s="708">
        <f t="shared" si="30"/>
        <v>-3352.5202459500542</v>
      </c>
      <c r="AA29" s="708">
        <f t="shared" si="30"/>
        <v>-3419.5706508690555</v>
      </c>
      <c r="AB29" s="708">
        <f t="shared" si="30"/>
        <v>-3487.9620638864362</v>
      </c>
      <c r="AC29" s="708">
        <f t="shared" si="30"/>
        <v>-3557.7213051641652</v>
      </c>
      <c r="AD29" s="708">
        <f t="shared" si="30"/>
        <v>-3628.8757312674488</v>
      </c>
      <c r="AE29" s="708">
        <f t="shared" si="30"/>
        <v>-3701.4532458927974</v>
      </c>
      <c r="AF29" s="708">
        <f t="shared" si="30"/>
        <v>-3775.4823108106534</v>
      </c>
      <c r="AG29" s="372"/>
      <c r="AH29" s="7"/>
      <c r="AI29" s="7"/>
      <c r="AJ29" s="7"/>
      <c r="AK29" s="10"/>
      <c r="AL29" s="10"/>
      <c r="AM29" s="10"/>
      <c r="AN29" s="10"/>
    </row>
    <row r="30" spans="1:40" s="7" customFormat="1" ht="14.45">
      <c r="A30" s="1222"/>
      <c r="B30" s="233">
        <v>23</v>
      </c>
      <c r="C30" s="242" t="s">
        <v>439</v>
      </c>
      <c r="D30" s="261">
        <f>'Fin. Data'!D27</f>
        <v>-3437</v>
      </c>
      <c r="E30" s="260">
        <f>'Fin. Data'!C27</f>
        <v>-5114</v>
      </c>
      <c r="F30" s="530">
        <f>'Fin. Data'!B27</f>
        <v>-5372</v>
      </c>
      <c r="G30" s="708">
        <f t="shared" ref="G30:AF30" si="31">$D$64*G6</f>
        <v>-4555</v>
      </c>
      <c r="H30" s="708">
        <f t="shared" si="31"/>
        <v>-5000</v>
      </c>
      <c r="I30" s="708">
        <f t="shared" si="31"/>
        <v>-5500</v>
      </c>
      <c r="J30" s="708">
        <f t="shared" si="31"/>
        <v>-5775</v>
      </c>
      <c r="K30" s="708">
        <f t="shared" si="31"/>
        <v>-6063.75</v>
      </c>
      <c r="L30" s="708">
        <f t="shared" si="31"/>
        <v>-6366.9375</v>
      </c>
      <c r="M30" s="708">
        <f t="shared" si="31"/>
        <v>-6685.2843750000002</v>
      </c>
      <c r="N30" s="708">
        <f t="shared" si="31"/>
        <v>-7019.5485937500016</v>
      </c>
      <c r="O30" s="708">
        <f t="shared" si="31"/>
        <v>-7265.23279453125</v>
      </c>
      <c r="P30" s="708">
        <f t="shared" si="31"/>
        <v>-7519.5159423398436</v>
      </c>
      <c r="Q30" s="708">
        <f t="shared" si="31"/>
        <v>-7782.6990003217379</v>
      </c>
      <c r="R30" s="708">
        <f t="shared" si="31"/>
        <v>-8055.0934653329987</v>
      </c>
      <c r="S30" s="708">
        <f t="shared" si="31"/>
        <v>-8337.0217366196521</v>
      </c>
      <c r="T30" s="708">
        <f t="shared" si="31"/>
        <v>-8628.81749740134</v>
      </c>
      <c r="U30" s="708">
        <f t="shared" si="31"/>
        <v>-8930.8261098103867</v>
      </c>
      <c r="V30" s="708">
        <f t="shared" si="31"/>
        <v>-9109.4426320065941</v>
      </c>
      <c r="W30" s="708">
        <f t="shared" si="31"/>
        <v>-9291.6314846467267</v>
      </c>
      <c r="X30" s="708">
        <f t="shared" si="31"/>
        <v>-9477.4641143396602</v>
      </c>
      <c r="Y30" s="708">
        <f t="shared" si="31"/>
        <v>-9667.013396626453</v>
      </c>
      <c r="Z30" s="708">
        <f t="shared" si="31"/>
        <v>-9860.3536645589829</v>
      </c>
      <c r="AA30" s="708">
        <f t="shared" si="31"/>
        <v>-10057.560737850163</v>
      </c>
      <c r="AB30" s="708">
        <f t="shared" si="31"/>
        <v>-10258.711952607166</v>
      </c>
      <c r="AC30" s="708">
        <f t="shared" si="31"/>
        <v>-10463.886191659309</v>
      </c>
      <c r="AD30" s="708">
        <f t="shared" si="31"/>
        <v>-10673.163915492496</v>
      </c>
      <c r="AE30" s="708">
        <f t="shared" si="31"/>
        <v>-10886.627193802346</v>
      </c>
      <c r="AF30" s="708">
        <f t="shared" si="31"/>
        <v>-11104.359737678393</v>
      </c>
      <c r="AG30" s="372"/>
      <c r="AK30" s="10"/>
      <c r="AL30" s="10"/>
      <c r="AM30" s="10"/>
      <c r="AN30" s="10"/>
    </row>
    <row r="31" spans="1:40" s="3" customFormat="1" ht="14.45">
      <c r="A31" s="1222"/>
      <c r="B31" s="233">
        <v>24</v>
      </c>
      <c r="C31" s="242" t="s">
        <v>440</v>
      </c>
      <c r="D31" s="296">
        <f>Inputs!D75</f>
        <v>-113</v>
      </c>
      <c r="E31" s="295">
        <f>Inputs!C75</f>
        <v>-267</v>
      </c>
      <c r="F31" s="533">
        <f>Inputs!B75</f>
        <v>1088</v>
      </c>
      <c r="G31" s="708">
        <f>(1+G5)*AVERAGE(D31:F31)</f>
        <v>236.36843378262498</v>
      </c>
      <c r="H31" s="708">
        <f>(1+H5)*AVERAGE(E31:G31)</f>
        <v>386.88929154139231</v>
      </c>
      <c r="I31" s="295">
        <f t="shared" ref="I31:AF31" si="32">(1+I5)*AVERAGE(F31:H31)</f>
        <v>627.46116595213982</v>
      </c>
      <c r="J31" s="533">
        <f t="shared" si="32"/>
        <v>437.75161194665503</v>
      </c>
      <c r="K31" s="715">
        <f t="shared" si="32"/>
        <v>508.23572430406546</v>
      </c>
      <c r="L31" s="716">
        <f t="shared" si="32"/>
        <v>550.70697577100111</v>
      </c>
      <c r="M31" s="716">
        <f t="shared" si="32"/>
        <v>523.84300920760256</v>
      </c>
      <c r="N31" s="716">
        <f t="shared" si="32"/>
        <v>553.9749982489343</v>
      </c>
      <c r="O31" s="716">
        <f t="shared" si="32"/>
        <v>561.84111921350052</v>
      </c>
      <c r="P31" s="716">
        <f t="shared" si="32"/>
        <v>565.68239870116292</v>
      </c>
      <c r="Q31" s="716">
        <f t="shared" si="32"/>
        <v>580.1169880764412</v>
      </c>
      <c r="R31" s="716">
        <f t="shared" si="32"/>
        <v>589.13597456693105</v>
      </c>
      <c r="S31" s="716">
        <f t="shared" si="32"/>
        <v>598.55269966386459</v>
      </c>
      <c r="T31" s="716">
        <f t="shared" si="32"/>
        <v>609.89295349599661</v>
      </c>
      <c r="U31" s="716">
        <f t="shared" si="32"/>
        <v>620.16566156574322</v>
      </c>
      <c r="V31" s="716">
        <f t="shared" si="32"/>
        <v>621.72784700670559</v>
      </c>
      <c r="W31" s="716">
        <f t="shared" si="32"/>
        <v>629.60739710327141</v>
      </c>
      <c r="X31" s="716">
        <f t="shared" si="32"/>
        <v>636.31030792974491</v>
      </c>
      <c r="Y31" s="716">
        <f t="shared" si="32"/>
        <v>641.7994876935054</v>
      </c>
      <c r="Z31" s="716">
        <f t="shared" si="32"/>
        <v>648.62384552701747</v>
      </c>
      <c r="AA31" s="716">
        <f t="shared" si="32"/>
        <v>655.08943799109102</v>
      </c>
      <c r="AB31" s="716">
        <f t="shared" si="32"/>
        <v>661.47434221194874</v>
      </c>
      <c r="AC31" s="716">
        <f t="shared" si="32"/>
        <v>668.16379274821952</v>
      </c>
      <c r="AD31" s="716">
        <f t="shared" si="32"/>
        <v>674.80737480342816</v>
      </c>
      <c r="AE31" s="716">
        <f t="shared" si="32"/>
        <v>681.51147331962272</v>
      </c>
      <c r="AF31" s="724">
        <f t="shared" si="32"/>
        <v>688.32409789623205</v>
      </c>
      <c r="AG31" s="372"/>
      <c r="AH31" s="387"/>
      <c r="AI31" s="387"/>
      <c r="AJ31" s="387"/>
      <c r="AK31" s="385"/>
      <c r="AL31" s="385"/>
      <c r="AM31" s="385"/>
      <c r="AN31" s="385"/>
    </row>
    <row r="32" spans="1:40" s="7" customFormat="1" ht="16.5" customHeight="1">
      <c r="A32" s="1222"/>
      <c r="B32" s="234">
        <v>25</v>
      </c>
      <c r="C32" s="247" t="s">
        <v>441</v>
      </c>
      <c r="D32" s="340">
        <f t="shared" ref="D32:AF32" si="33">D27+D28+D29+D30+D31</f>
        <v>-6823</v>
      </c>
      <c r="E32" s="341">
        <f t="shared" si="33"/>
        <v>-11185</v>
      </c>
      <c r="F32" s="342">
        <f t="shared" si="33"/>
        <v>-5534</v>
      </c>
      <c r="G32" s="524">
        <f>G27+G28+G29+G30+G31</f>
        <v>-7430.9743662173723</v>
      </c>
      <c r="H32" s="525">
        <f t="shared" si="33"/>
        <v>-1598.1111084586084</v>
      </c>
      <c r="I32" s="525">
        <f t="shared" si="33"/>
        <v>756.06841595214075</v>
      </c>
      <c r="J32" s="526">
        <f t="shared" si="33"/>
        <v>-9503.920775553348</v>
      </c>
      <c r="K32" s="527">
        <f t="shared" si="33"/>
        <v>-7184.6433153521866</v>
      </c>
      <c r="L32" s="525">
        <f t="shared" si="33"/>
        <v>-5680.0869535868069</v>
      </c>
      <c r="M32" s="525">
        <f t="shared" si="33"/>
        <v>-6018.4906166181036</v>
      </c>
      <c r="N32" s="525">
        <f t="shared" si="33"/>
        <v>-6315.4753088680573</v>
      </c>
      <c r="O32" s="525">
        <f t="shared" si="33"/>
        <v>-6950.11447335309</v>
      </c>
      <c r="P32" s="525">
        <f t="shared" si="33"/>
        <v>-7208.5651404542023</v>
      </c>
      <c r="Q32" s="525">
        <f t="shared" si="33"/>
        <v>-7465.5713908407315</v>
      </c>
      <c r="R32" s="525">
        <f t="shared" si="33"/>
        <v>-7737.4607822983235</v>
      </c>
      <c r="S32" s="525">
        <f t="shared" si="33"/>
        <v>-8018.7496926119229</v>
      </c>
      <c r="T32" s="525">
        <f t="shared" si="33"/>
        <v>-8308.2535088757049</v>
      </c>
      <c r="U32" s="525">
        <f t="shared" si="33"/>
        <v>-8609.3163376735483</v>
      </c>
      <c r="V32" s="525">
        <f t="shared" si="33"/>
        <v>-9310.3996457027006</v>
      </c>
      <c r="W32" s="525">
        <f t="shared" si="33"/>
        <v>-9499.3995510198147</v>
      </c>
      <c r="X32" s="525">
        <f t="shared" si="33"/>
        <v>-9693.4255299932902</v>
      </c>
      <c r="Y32" s="525">
        <f t="shared" si="33"/>
        <v>-9892.5872553673216</v>
      </c>
      <c r="Z32" s="525">
        <f t="shared" si="33"/>
        <v>-10094.409630193366</v>
      </c>
      <c r="AA32" s="525">
        <f t="shared" si="33"/>
        <v>-10300.661654931924</v>
      </c>
      <c r="AB32" s="525">
        <f t="shared" si="33"/>
        <v>-10511.141567642188</v>
      </c>
      <c r="AC32" s="525">
        <f t="shared" si="33"/>
        <v>-10725.54172012926</v>
      </c>
      <c r="AD32" s="525">
        <f t="shared" si="33"/>
        <v>-10944.291397399202</v>
      </c>
      <c r="AE32" s="525">
        <f t="shared" si="33"/>
        <v>-11167.364380848028</v>
      </c>
      <c r="AF32" s="528">
        <f t="shared" si="33"/>
        <v>-11394.794135201786</v>
      </c>
      <c r="AG32" s="372"/>
      <c r="AK32" s="10"/>
      <c r="AL32" s="10"/>
      <c r="AM32" s="10"/>
      <c r="AN32" s="10"/>
    </row>
    <row r="33" spans="1:40">
      <c r="A33" s="1210"/>
      <c r="B33" s="1211"/>
      <c r="C33" s="1211"/>
      <c r="D33" s="1211"/>
      <c r="E33" s="1211"/>
      <c r="F33" s="1211"/>
      <c r="G33" s="1212"/>
      <c r="H33" s="1212"/>
      <c r="I33" s="1212"/>
      <c r="J33" s="1212"/>
      <c r="K33" s="1212"/>
      <c r="L33" s="1212"/>
      <c r="M33" s="1212"/>
      <c r="N33" s="1212"/>
      <c r="O33" s="1212"/>
      <c r="P33" s="1212"/>
      <c r="Q33" s="1212"/>
      <c r="R33" s="1212"/>
      <c r="S33" s="1212"/>
      <c r="T33" s="1212"/>
      <c r="U33" s="1212"/>
      <c r="V33" s="1212"/>
      <c r="W33" s="1212"/>
      <c r="X33" s="1212"/>
      <c r="Y33" s="1212"/>
      <c r="Z33" s="1212"/>
      <c r="AA33" s="1212"/>
      <c r="AB33" s="1212"/>
      <c r="AC33" s="1212"/>
      <c r="AD33" s="1212"/>
      <c r="AE33" s="1212"/>
      <c r="AF33" s="1213"/>
      <c r="AG33" s="7"/>
      <c r="AH33" s="7"/>
      <c r="AI33" s="7"/>
      <c r="AJ33" s="7"/>
      <c r="AK33" s="10"/>
      <c r="AL33" s="10"/>
      <c r="AM33" s="10"/>
      <c r="AN33" s="10"/>
    </row>
    <row r="34" spans="1:40" ht="14.45">
      <c r="A34" s="1235" t="s">
        <v>442</v>
      </c>
      <c r="B34" s="725">
        <v>26</v>
      </c>
      <c r="C34" s="726" t="s">
        <v>443</v>
      </c>
      <c r="D34" s="727">
        <f>D22+D26+D27+D28+D31</f>
        <v>8303</v>
      </c>
      <c r="E34" s="728">
        <f t="shared" ref="E34:AF34" si="34">E22+E26+E27+E28+E31</f>
        <v>4061</v>
      </c>
      <c r="F34" s="729">
        <f t="shared" si="34"/>
        <v>5193</v>
      </c>
      <c r="G34" s="730">
        <f t="shared" si="34"/>
        <v>3350.5098160457233</v>
      </c>
      <c r="H34" s="731">
        <f>H22+H26+H27+H28+H31</f>
        <v>9911.7979229866032</v>
      </c>
      <c r="I34" s="731">
        <f t="shared" si="34"/>
        <v>15270.739476485312</v>
      </c>
      <c r="J34" s="732">
        <f t="shared" si="34"/>
        <v>4729.0998751384259</v>
      </c>
      <c r="K34" s="733">
        <f t="shared" si="34"/>
        <v>7292.6186018831877</v>
      </c>
      <c r="L34" s="731">
        <f t="shared" si="34"/>
        <v>9846.1591003879221</v>
      </c>
      <c r="M34" s="731">
        <f t="shared" si="34"/>
        <v>10596.226038759216</v>
      </c>
      <c r="N34" s="731">
        <f t="shared" si="34"/>
        <v>11357.113648806966</v>
      </c>
      <c r="O34" s="731">
        <f t="shared" si="34"/>
        <v>11796.287367339033</v>
      </c>
      <c r="P34" s="731">
        <f t="shared" si="34"/>
        <v>12587.995069464216</v>
      </c>
      <c r="Q34" s="731">
        <f t="shared" si="34"/>
        <v>13411.429254491351</v>
      </c>
      <c r="R34" s="731">
        <f t="shared" si="34"/>
        <v>14277.375278231795</v>
      </c>
      <c r="S34" s="731">
        <f t="shared" si="34"/>
        <v>15177.412204720582</v>
      </c>
      <c r="T34" s="731">
        <f t="shared" si="34"/>
        <v>16116.403814719106</v>
      </c>
      <c r="U34" s="731">
        <f t="shared" si="34"/>
        <v>17096.901161510807</v>
      </c>
      <c r="V34" s="731">
        <f t="shared" si="34"/>
        <v>17593.756239231825</v>
      </c>
      <c r="W34" s="731">
        <f t="shared" si="34"/>
        <v>18567.15693503794</v>
      </c>
      <c r="X34" s="731">
        <f t="shared" si="34"/>
        <v>19570.594175970102</v>
      </c>
      <c r="Y34" s="731">
        <f t="shared" si="34"/>
        <v>20603.960162789976</v>
      </c>
      <c r="Z34" s="731">
        <f t="shared" si="34"/>
        <v>21672.920602642142</v>
      </c>
      <c r="AA34" s="731">
        <f t="shared" si="34"/>
        <v>22775.593964506312</v>
      </c>
      <c r="AB34" s="731">
        <f t="shared" si="34"/>
        <v>23913.264750829894</v>
      </c>
      <c r="AC34" s="731">
        <f t="shared" si="34"/>
        <v>25087.691940673572</v>
      </c>
      <c r="AD34" s="731">
        <f t="shared" si="34"/>
        <v>26299.307359811235</v>
      </c>
      <c r="AE34" s="731">
        <f t="shared" si="34"/>
        <v>27549.330551498933</v>
      </c>
      <c r="AF34" s="732">
        <f t="shared" si="34"/>
        <v>28838.960192715669</v>
      </c>
      <c r="AG34" s="372"/>
      <c r="AH34" s="7"/>
      <c r="AI34" s="7"/>
      <c r="AJ34" s="7"/>
      <c r="AK34" s="10"/>
      <c r="AL34" s="10"/>
      <c r="AM34" s="10"/>
      <c r="AN34" s="10"/>
    </row>
    <row r="35" spans="1:40" s="3" customFormat="1" ht="14.45">
      <c r="A35" s="1235"/>
      <c r="B35" s="725">
        <v>27</v>
      </c>
      <c r="C35" s="726" t="s">
        <v>444</v>
      </c>
      <c r="D35" s="734">
        <f>-1*(D29+D30)</f>
        <v>3937</v>
      </c>
      <c r="E35" s="735">
        <f t="shared" ref="E35:AF35" si="35">-1*(E29+E30)</f>
        <v>8614</v>
      </c>
      <c r="F35" s="736">
        <f t="shared" si="35"/>
        <v>7622</v>
      </c>
      <c r="G35" s="727">
        <f t="shared" si="35"/>
        <v>6103.7</v>
      </c>
      <c r="H35" s="737">
        <f t="shared" si="35"/>
        <v>6700</v>
      </c>
      <c r="I35" s="737">
        <f t="shared" si="35"/>
        <v>7370</v>
      </c>
      <c r="J35" s="738">
        <f t="shared" si="35"/>
        <v>7738.5</v>
      </c>
      <c r="K35" s="737">
        <f t="shared" si="35"/>
        <v>8125.4250000000002</v>
      </c>
      <c r="L35" s="737">
        <f t="shared" si="35"/>
        <v>8531.6962500000009</v>
      </c>
      <c r="M35" s="737">
        <f t="shared" si="35"/>
        <v>8958.2810625000002</v>
      </c>
      <c r="N35" s="737">
        <f t="shared" si="35"/>
        <v>9406.1951156250016</v>
      </c>
      <c r="O35" s="737">
        <f t="shared" si="35"/>
        <v>9735.411944671876</v>
      </c>
      <c r="P35" s="737">
        <f t="shared" si="35"/>
        <v>10076.151362735391</v>
      </c>
      <c r="Q35" s="737">
        <f t="shared" si="35"/>
        <v>10428.81666043113</v>
      </c>
      <c r="R35" s="737">
        <f t="shared" si="35"/>
        <v>10793.825243546218</v>
      </c>
      <c r="S35" s="737">
        <f t="shared" si="35"/>
        <v>11171.609127070335</v>
      </c>
      <c r="T35" s="737">
        <f t="shared" si="35"/>
        <v>11562.615446517795</v>
      </c>
      <c r="U35" s="737">
        <f t="shared" si="35"/>
        <v>11967.306987145919</v>
      </c>
      <c r="V35" s="737">
        <f t="shared" si="35"/>
        <v>12206.653126888836</v>
      </c>
      <c r="W35" s="737">
        <f t="shared" si="35"/>
        <v>12450.786189426613</v>
      </c>
      <c r="X35" s="737">
        <f t="shared" si="35"/>
        <v>12699.801913215146</v>
      </c>
      <c r="Y35" s="737">
        <f t="shared" si="35"/>
        <v>12953.797951479448</v>
      </c>
      <c r="Z35" s="737">
        <f t="shared" si="35"/>
        <v>13212.873910509037</v>
      </c>
      <c r="AA35" s="737">
        <f t="shared" si="35"/>
        <v>13477.131388719219</v>
      </c>
      <c r="AB35" s="737">
        <f t="shared" si="35"/>
        <v>13746.674016493602</v>
      </c>
      <c r="AC35" s="737">
        <f t="shared" si="35"/>
        <v>14021.607496823473</v>
      </c>
      <c r="AD35" s="737">
        <f t="shared" si="35"/>
        <v>14302.039646759946</v>
      </c>
      <c r="AE35" s="737">
        <f t="shared" si="35"/>
        <v>14588.080439695143</v>
      </c>
      <c r="AF35" s="738">
        <f t="shared" si="35"/>
        <v>14879.842048489047</v>
      </c>
      <c r="AG35" s="372"/>
      <c r="AH35" s="387"/>
      <c r="AI35" s="387"/>
      <c r="AJ35" s="387"/>
      <c r="AK35" s="385"/>
      <c r="AL35" s="385"/>
      <c r="AM35" s="385"/>
      <c r="AN35" s="385"/>
    </row>
    <row r="36" spans="1:40" s="7" customFormat="1" ht="15" thickBot="1">
      <c r="A36" s="1235"/>
      <c r="B36" s="739">
        <v>28</v>
      </c>
      <c r="C36" s="740" t="s">
        <v>445</v>
      </c>
      <c r="D36" s="741">
        <f>D34-D35</f>
        <v>4366</v>
      </c>
      <c r="E36" s="742">
        <f>E34-E35</f>
        <v>-4553</v>
      </c>
      <c r="F36" s="743">
        <f>F34-F35</f>
        <v>-2429</v>
      </c>
      <c r="G36" s="744">
        <f>G34-G35</f>
        <v>-2753.1901839542766</v>
      </c>
      <c r="H36" s="745">
        <f t="shared" ref="H36:AF36" si="36">H34-H35</f>
        <v>3211.7979229866032</v>
      </c>
      <c r="I36" s="745">
        <f t="shared" si="36"/>
        <v>7900.7394764853125</v>
      </c>
      <c r="J36" s="746">
        <f t="shared" si="36"/>
        <v>-3009.4001248615741</v>
      </c>
      <c r="K36" s="745">
        <f t="shared" si="36"/>
        <v>-832.80639811681249</v>
      </c>
      <c r="L36" s="745">
        <f t="shared" si="36"/>
        <v>1314.4628503879212</v>
      </c>
      <c r="M36" s="745">
        <f t="shared" si="36"/>
        <v>1637.9449762592158</v>
      </c>
      <c r="N36" s="745">
        <f t="shared" si="36"/>
        <v>1950.9185331819644</v>
      </c>
      <c r="O36" s="745">
        <f t="shared" si="36"/>
        <v>2060.8754226671572</v>
      </c>
      <c r="P36" s="745">
        <f t="shared" si="36"/>
        <v>2511.8437067288251</v>
      </c>
      <c r="Q36" s="745">
        <f t="shared" si="36"/>
        <v>2982.6125940602215</v>
      </c>
      <c r="R36" s="745">
        <f t="shared" si="36"/>
        <v>3483.550034685577</v>
      </c>
      <c r="S36" s="745">
        <f t="shared" si="36"/>
        <v>4005.8030776502474</v>
      </c>
      <c r="T36" s="745">
        <f t="shared" si="36"/>
        <v>4553.7883682013107</v>
      </c>
      <c r="U36" s="745">
        <f t="shared" si="36"/>
        <v>5129.5941743648873</v>
      </c>
      <c r="V36" s="745">
        <f t="shared" si="36"/>
        <v>5387.1031123429893</v>
      </c>
      <c r="W36" s="745">
        <f t="shared" si="36"/>
        <v>6116.3707456113261</v>
      </c>
      <c r="X36" s="745">
        <f t="shared" si="36"/>
        <v>6870.792262754956</v>
      </c>
      <c r="Y36" s="745">
        <f t="shared" si="36"/>
        <v>7650.1622113105277</v>
      </c>
      <c r="Z36" s="745">
        <f t="shared" si="36"/>
        <v>8460.0466921331044</v>
      </c>
      <c r="AA36" s="745">
        <f t="shared" si="36"/>
        <v>9298.4625757870926</v>
      </c>
      <c r="AB36" s="745">
        <f t="shared" si="36"/>
        <v>10166.590734336292</v>
      </c>
      <c r="AC36" s="745">
        <f t="shared" si="36"/>
        <v>11066.084443850099</v>
      </c>
      <c r="AD36" s="745">
        <f t="shared" si="36"/>
        <v>11997.267713051289</v>
      </c>
      <c r="AE36" s="745">
        <f t="shared" si="36"/>
        <v>12961.250111803791</v>
      </c>
      <c r="AF36" s="746">
        <f t="shared" si="36"/>
        <v>13959.118144226622</v>
      </c>
      <c r="AG36" s="372"/>
      <c r="AK36" s="10"/>
      <c r="AL36" s="10"/>
      <c r="AM36" s="10"/>
      <c r="AN36" s="10"/>
    </row>
    <row r="37" spans="1:40" ht="14.45">
      <c r="A37" s="747"/>
      <c r="B37" s="748"/>
      <c r="C37" s="749"/>
      <c r="D37" s="343"/>
      <c r="E37" s="343"/>
      <c r="F37" s="343"/>
      <c r="G37" s="343"/>
      <c r="H37" s="343"/>
      <c r="I37" s="343"/>
      <c r="J37" s="343"/>
      <c r="K37" s="343"/>
      <c r="L37" s="343"/>
      <c r="M37" s="343"/>
      <c r="N37" s="343"/>
      <c r="O37" s="343"/>
      <c r="P37" s="343"/>
      <c r="Q37" s="343"/>
      <c r="R37" s="343"/>
      <c r="S37" s="343"/>
      <c r="T37" s="343"/>
      <c r="U37" s="343"/>
      <c r="V37" s="343"/>
      <c r="W37" s="343"/>
      <c r="X37" s="343"/>
      <c r="Y37" s="343"/>
      <c r="Z37" s="343"/>
      <c r="AA37" s="343"/>
      <c r="AB37" s="343"/>
      <c r="AC37" s="343"/>
      <c r="AD37" s="343"/>
      <c r="AE37" s="343"/>
      <c r="AF37" s="344"/>
      <c r="AG37" s="372"/>
      <c r="AH37" s="7"/>
      <c r="AI37" s="7"/>
      <c r="AJ37" s="7"/>
      <c r="AK37" s="10"/>
      <c r="AL37" s="10"/>
      <c r="AM37" s="10"/>
      <c r="AN37" s="10"/>
    </row>
    <row r="38" spans="1:40" ht="14.45">
      <c r="A38" s="1236" t="s">
        <v>446</v>
      </c>
      <c r="B38" s="750">
        <v>29</v>
      </c>
      <c r="C38" s="726" t="s">
        <v>447</v>
      </c>
      <c r="D38" s="751">
        <v>7860</v>
      </c>
      <c r="E38" s="752">
        <v>6851</v>
      </c>
      <c r="F38" s="753">
        <v>6249</v>
      </c>
      <c r="G38" s="754">
        <f>+F38+(-G10)</f>
        <v>6561.45</v>
      </c>
      <c r="H38" s="755">
        <f t="shared" ref="H38:AF38" si="37">+G38+(-H10)</f>
        <v>6889.5225</v>
      </c>
      <c r="I38" s="755">
        <f t="shared" si="37"/>
        <v>7233.9986250000002</v>
      </c>
      <c r="J38" s="756">
        <f t="shared" si="37"/>
        <v>7595.6985562500004</v>
      </c>
      <c r="K38" s="757">
        <f t="shared" si="37"/>
        <v>7975.4834840625008</v>
      </c>
      <c r="L38" s="755">
        <f t="shared" si="37"/>
        <v>8374.2576582656257</v>
      </c>
      <c r="M38" s="755">
        <f t="shared" si="37"/>
        <v>8792.9705411789073</v>
      </c>
      <c r="N38" s="755">
        <f t="shared" si="37"/>
        <v>9232.6190682378528</v>
      </c>
      <c r="O38" s="755">
        <f t="shared" si="37"/>
        <v>9694.2500216497447</v>
      </c>
      <c r="P38" s="755">
        <f t="shared" si="37"/>
        <v>10178.962522732232</v>
      </c>
      <c r="Q38" s="755">
        <f t="shared" si="37"/>
        <v>10687.910648868843</v>
      </c>
      <c r="R38" s="755">
        <f t="shared" si="37"/>
        <v>11222.306181312286</v>
      </c>
      <c r="S38" s="755">
        <f t="shared" si="37"/>
        <v>11783.421490377899</v>
      </c>
      <c r="T38" s="755">
        <f t="shared" si="37"/>
        <v>12372.592564896795</v>
      </c>
      <c r="U38" s="755">
        <f t="shared" si="37"/>
        <v>12991.222193141635</v>
      </c>
      <c r="V38" s="755">
        <f t="shared" si="37"/>
        <v>13640.783302798716</v>
      </c>
      <c r="W38" s="755">
        <f t="shared" si="37"/>
        <v>14322.822467938651</v>
      </c>
      <c r="X38" s="755">
        <f t="shared" si="37"/>
        <v>15038.963591335583</v>
      </c>
      <c r="Y38" s="755">
        <f t="shared" si="37"/>
        <v>15790.911770902363</v>
      </c>
      <c r="Z38" s="755">
        <f t="shared" si="37"/>
        <v>16580.457359447482</v>
      </c>
      <c r="AA38" s="755">
        <f t="shared" si="37"/>
        <v>17409.480227419856</v>
      </c>
      <c r="AB38" s="755">
        <f t="shared" si="37"/>
        <v>18279.954238790848</v>
      </c>
      <c r="AC38" s="755">
        <f t="shared" si="37"/>
        <v>19193.951950730388</v>
      </c>
      <c r="AD38" s="755">
        <f t="shared" si="37"/>
        <v>20153.649548266909</v>
      </c>
      <c r="AE38" s="755">
        <f t="shared" si="37"/>
        <v>21161.332025680254</v>
      </c>
      <c r="AF38" s="756">
        <f t="shared" si="37"/>
        <v>22219.398626964266</v>
      </c>
      <c r="AG38" s="373">
        <f>SUM(G38:AF38)</f>
        <v>335378.37116624956</v>
      </c>
      <c r="AH38" s="7"/>
      <c r="AI38" s="7"/>
      <c r="AJ38" s="7"/>
      <c r="AK38" s="10"/>
      <c r="AL38" s="10"/>
      <c r="AM38" s="10"/>
      <c r="AN38" s="10"/>
    </row>
    <row r="39" spans="1:40" ht="14.45">
      <c r="A39" s="1235"/>
      <c r="B39" s="750">
        <v>30</v>
      </c>
      <c r="C39" s="726" t="s">
        <v>448</v>
      </c>
      <c r="D39" s="734">
        <f>Assumptions!C101</f>
        <v>0</v>
      </c>
      <c r="E39" s="734" t="str">
        <f>Assumptions!Y18</f>
        <v>PPE</v>
      </c>
      <c r="F39" s="734">
        <f>Assumptions!Z18</f>
        <v>36945</v>
      </c>
      <c r="G39" s="758">
        <f>F39-G10</f>
        <v>37257.449999999997</v>
      </c>
      <c r="H39" s="358">
        <f t="shared" ref="H39:AF39" si="38">G39-H10</f>
        <v>37585.522499999999</v>
      </c>
      <c r="I39" s="358">
        <f t="shared" si="38"/>
        <v>37929.998625</v>
      </c>
      <c r="J39" s="359">
        <f t="shared" si="38"/>
        <v>38291.698556249998</v>
      </c>
      <c r="K39" s="759">
        <f t="shared" si="38"/>
        <v>38671.483484062497</v>
      </c>
      <c r="L39" s="358">
        <f t="shared" si="38"/>
        <v>39070.257658265626</v>
      </c>
      <c r="M39" s="358">
        <f t="shared" si="38"/>
        <v>39488.970541178904</v>
      </c>
      <c r="N39" s="358">
        <f t="shared" si="38"/>
        <v>39928.619068237851</v>
      </c>
      <c r="O39" s="358">
        <f t="shared" si="38"/>
        <v>40390.250021649743</v>
      </c>
      <c r="P39" s="358">
        <f t="shared" si="38"/>
        <v>40874.962522732232</v>
      </c>
      <c r="Q39" s="358">
        <f t="shared" si="38"/>
        <v>41383.910648868841</v>
      </c>
      <c r="R39" s="358">
        <f t="shared" si="38"/>
        <v>41918.306181312284</v>
      </c>
      <c r="S39" s="358">
        <f t="shared" si="38"/>
        <v>42479.421490377899</v>
      </c>
      <c r="T39" s="358">
        <f t="shared" si="38"/>
        <v>43068.592564896797</v>
      </c>
      <c r="U39" s="358">
        <f t="shared" si="38"/>
        <v>43687.222193141635</v>
      </c>
      <c r="V39" s="358">
        <f t="shared" si="38"/>
        <v>44336.783302798714</v>
      </c>
      <c r="W39" s="358">
        <f t="shared" si="38"/>
        <v>45018.822467938648</v>
      </c>
      <c r="X39" s="358">
        <f t="shared" si="38"/>
        <v>45734.963591335581</v>
      </c>
      <c r="Y39" s="358">
        <f t="shared" si="38"/>
        <v>46486.911770902363</v>
      </c>
      <c r="Z39" s="358">
        <f t="shared" si="38"/>
        <v>47276.457359447479</v>
      </c>
      <c r="AA39" s="358">
        <f t="shared" si="38"/>
        <v>48105.480227419852</v>
      </c>
      <c r="AB39" s="358">
        <f t="shared" si="38"/>
        <v>48975.954238790844</v>
      </c>
      <c r="AC39" s="358">
        <f t="shared" si="38"/>
        <v>49889.951950730385</v>
      </c>
      <c r="AD39" s="358">
        <f t="shared" si="38"/>
        <v>50849.649548266905</v>
      </c>
      <c r="AE39" s="358">
        <f t="shared" si="38"/>
        <v>51857.332025680247</v>
      </c>
      <c r="AF39" s="359">
        <f t="shared" si="38"/>
        <v>52915.398626964263</v>
      </c>
      <c r="AG39" s="373">
        <f>SUM(G39:AF39)</f>
        <v>1133474.3711662495</v>
      </c>
      <c r="AH39" s="7"/>
      <c r="AI39" s="7"/>
      <c r="AJ39" s="7"/>
      <c r="AK39" s="10"/>
      <c r="AL39" s="10"/>
      <c r="AM39" s="10"/>
      <c r="AN39" s="10"/>
    </row>
    <row r="40" spans="1:40" ht="14.45">
      <c r="A40" s="1235"/>
      <c r="B40" s="750">
        <v>31</v>
      </c>
      <c r="C40" s="726" t="s">
        <v>449</v>
      </c>
      <c r="D40" s="734">
        <v>37037</v>
      </c>
      <c r="E40" s="735">
        <v>38474</v>
      </c>
      <c r="F40" s="736">
        <v>41253</v>
      </c>
      <c r="G40" s="758">
        <f>F40+(-G23)</f>
        <v>46309.05</v>
      </c>
      <c r="H40" s="358">
        <f t="shared" ref="H40:AF40" si="39">G40+(-H23)</f>
        <v>51859.05</v>
      </c>
      <c r="I40" s="358">
        <f t="shared" si="39"/>
        <v>57964.05</v>
      </c>
      <c r="J40" s="359">
        <f t="shared" si="39"/>
        <v>64374.3</v>
      </c>
      <c r="K40" s="759">
        <f t="shared" si="39"/>
        <v>71105.0625</v>
      </c>
      <c r="L40" s="358">
        <f t="shared" si="39"/>
        <v>78172.363125000003</v>
      </c>
      <c r="M40" s="358">
        <f t="shared" si="39"/>
        <v>85593.028781250003</v>
      </c>
      <c r="N40" s="358">
        <f t="shared" si="39"/>
        <v>93384.727720312498</v>
      </c>
      <c r="O40" s="358">
        <f t="shared" si="39"/>
        <v>101449.13612224218</v>
      </c>
      <c r="P40" s="358">
        <f t="shared" si="39"/>
        <v>109795.79881823942</v>
      </c>
      <c r="Q40" s="358">
        <f t="shared" si="39"/>
        <v>118434.59470859655</v>
      </c>
      <c r="R40" s="358">
        <f t="shared" si="39"/>
        <v>127375.74845511618</v>
      </c>
      <c r="S40" s="358">
        <f t="shared" si="39"/>
        <v>136629.84258276399</v>
      </c>
      <c r="T40" s="358">
        <f t="shared" si="39"/>
        <v>146207.83000487948</v>
      </c>
      <c r="U40" s="358">
        <f t="shared" si="39"/>
        <v>156121.04698676901</v>
      </c>
      <c r="V40" s="358">
        <f t="shared" si="39"/>
        <v>166232.52830829634</v>
      </c>
      <c r="W40" s="358">
        <f t="shared" si="39"/>
        <v>176546.23925625422</v>
      </c>
      <c r="X40" s="358">
        <f t="shared" si="39"/>
        <v>187066.22442317125</v>
      </c>
      <c r="Y40" s="358">
        <f t="shared" si="39"/>
        <v>197796.60929342662</v>
      </c>
      <c r="Z40" s="358">
        <f t="shared" si="39"/>
        <v>208741.60186108708</v>
      </c>
      <c r="AA40" s="358">
        <f t="shared" si="39"/>
        <v>219905.49428010077</v>
      </c>
      <c r="AB40" s="358">
        <f t="shared" si="39"/>
        <v>231292.66454749473</v>
      </c>
      <c r="AC40" s="358">
        <f t="shared" si="39"/>
        <v>242907.57822023655</v>
      </c>
      <c r="AD40" s="358">
        <f t="shared" si="39"/>
        <v>254754.79016643323</v>
      </c>
      <c r="AE40" s="358">
        <f t="shared" si="39"/>
        <v>266838.94635155384</v>
      </c>
      <c r="AF40" s="359">
        <f t="shared" si="39"/>
        <v>279164.78566037683</v>
      </c>
      <c r="AG40" s="373">
        <f>SUM(G40:AF40)</f>
        <v>3876023.0921736006</v>
      </c>
      <c r="AH40" s="7"/>
      <c r="AI40" s="7"/>
      <c r="AJ40" s="7"/>
      <c r="AK40" s="10"/>
      <c r="AL40" s="10"/>
      <c r="AM40" s="10"/>
      <c r="AN40" s="10"/>
    </row>
    <row r="41" spans="1:40" ht="15" thickBot="1">
      <c r="A41" s="1235"/>
      <c r="B41" s="760">
        <v>32</v>
      </c>
      <c r="C41" s="740" t="s">
        <v>450</v>
      </c>
      <c r="D41" s="761">
        <f>('[2]Income Statement'!$B$164-'[2]Income Statement'!$B$166)-D9</f>
        <v>5927.24</v>
      </c>
      <c r="E41" s="761">
        <f>D41-E9</f>
        <v>9115.24</v>
      </c>
      <c r="F41" s="761">
        <f>E41-F9</f>
        <v>12068.24</v>
      </c>
      <c r="G41" s="762">
        <f>F41-G9</f>
        <v>15285.974</v>
      </c>
      <c r="H41" s="763">
        <f t="shared" ref="H41:AF41" si="40">G41-H9</f>
        <v>18898.079900000001</v>
      </c>
      <c r="I41" s="763">
        <f t="shared" si="40"/>
        <v>22943.085800000001</v>
      </c>
      <c r="J41" s="764">
        <f t="shared" si="40"/>
        <v>27464.2817</v>
      </c>
      <c r="K41" s="765">
        <f t="shared" si="40"/>
        <v>32485.4771</v>
      </c>
      <c r="L41" s="763">
        <f t="shared" si="40"/>
        <v>38031.671974999997</v>
      </c>
      <c r="M41" s="763">
        <f t="shared" si="40"/>
        <v>44129.116298749999</v>
      </c>
      <c r="N41" s="763">
        <f t="shared" si="40"/>
        <v>50805.372543687496</v>
      </c>
      <c r="O41" s="763">
        <f t="shared" si="40"/>
        <v>58089.381305871873</v>
      </c>
      <c r="P41" s="763">
        <f t="shared" si="40"/>
        <v>66002.41392340677</v>
      </c>
      <c r="Q41" s="763">
        <f t="shared" si="40"/>
        <v>74566.486231229443</v>
      </c>
      <c r="R41" s="763">
        <f t="shared" si="40"/>
        <v>83804.384618499971</v>
      </c>
      <c r="S41" s="763">
        <f t="shared" si="40"/>
        <v>93739.692997999038</v>
      </c>
      <c r="T41" s="763">
        <f t="shared" si="40"/>
        <v>104396.82071945463</v>
      </c>
      <c r="U41" s="763">
        <f t="shared" si="40"/>
        <v>115801.03145983523</v>
      </c>
      <c r="V41" s="763">
        <f t="shared" si="40"/>
        <v>127978.4731248032</v>
      </c>
      <c r="W41" s="763">
        <f t="shared" si="40"/>
        <v>140944.61033285031</v>
      </c>
      <c r="X41" s="763">
        <f t="shared" si="40"/>
        <v>154715.21699483815</v>
      </c>
      <c r="Y41" s="763">
        <f t="shared" si="40"/>
        <v>169306.38249984549</v>
      </c>
      <c r="Z41" s="763">
        <f t="shared" si="40"/>
        <v>184734.51802473277</v>
      </c>
      <c r="AA41" s="763">
        <f t="shared" si="40"/>
        <v>201016.36296989757</v>
      </c>
      <c r="AB41" s="763">
        <f t="shared" si="40"/>
        <v>218168.99152374544</v>
      </c>
      <c r="AC41" s="763">
        <f t="shared" si="40"/>
        <v>236209.81935845004</v>
      </c>
      <c r="AD41" s="763">
        <f t="shared" si="40"/>
        <v>255156.61045962849</v>
      </c>
      <c r="AE41" s="763">
        <f t="shared" si="40"/>
        <v>275027.48409261031</v>
      </c>
      <c r="AF41" s="764">
        <f t="shared" si="40"/>
        <v>295840.92190803151</v>
      </c>
      <c r="AG41" s="373">
        <f>SUM(G41:AF41)</f>
        <v>3105542.6618631678</v>
      </c>
      <c r="AH41" s="7"/>
      <c r="AI41" s="7"/>
      <c r="AJ41" s="7"/>
      <c r="AK41" s="10"/>
      <c r="AL41" s="10"/>
      <c r="AM41" s="10"/>
      <c r="AN41" s="10"/>
    </row>
    <row r="42" spans="1:40" s="7" customFormat="1" ht="15" thickBot="1">
      <c r="A42" s="1229"/>
      <c r="B42" s="1230"/>
      <c r="C42" s="1230"/>
      <c r="D42" s="1230"/>
      <c r="E42" s="1230"/>
      <c r="F42" s="1230"/>
      <c r="G42" s="1230"/>
      <c r="H42" s="1230"/>
      <c r="I42" s="1230"/>
      <c r="J42" s="1230"/>
      <c r="K42" s="1230"/>
      <c r="L42" s="1230"/>
      <c r="M42" s="1230"/>
      <c r="N42" s="1230"/>
      <c r="O42" s="1230"/>
      <c r="P42" s="1230"/>
      <c r="Q42" s="1230"/>
      <c r="R42" s="1230"/>
      <c r="S42" s="1230"/>
      <c r="T42" s="1230"/>
      <c r="U42" s="1230"/>
      <c r="V42" s="1230"/>
      <c r="W42" s="1230"/>
      <c r="X42" s="1230"/>
      <c r="Y42" s="1230"/>
      <c r="Z42" s="1230"/>
      <c r="AA42" s="1230"/>
      <c r="AB42" s="1230"/>
      <c r="AC42" s="1230"/>
      <c r="AD42" s="1230"/>
      <c r="AE42" s="1230"/>
      <c r="AF42" s="1231"/>
      <c r="AG42" s="372"/>
      <c r="AK42" s="10"/>
      <c r="AL42" s="10"/>
      <c r="AM42" s="10"/>
      <c r="AN42" s="10"/>
    </row>
    <row r="43" spans="1:40" ht="15" customHeight="1">
      <c r="A43" s="1223" t="s">
        <v>451</v>
      </c>
      <c r="B43" s="725">
        <v>33</v>
      </c>
      <c r="C43" s="726" t="s">
        <v>452</v>
      </c>
      <c r="D43" s="430">
        <f>'Fin. Data'!D39</f>
        <v>10255</v>
      </c>
      <c r="E43" s="284">
        <f>E36+D43</f>
        <v>5702</v>
      </c>
      <c r="F43" s="766">
        <f>F36+E43</f>
        <v>3273</v>
      </c>
      <c r="G43" s="430">
        <f>G36+F43</f>
        <v>519.80981604572344</v>
      </c>
      <c r="H43" s="767">
        <f t="shared" ref="H43:AF43" si="41">H36+G43</f>
        <v>3731.6077390323267</v>
      </c>
      <c r="I43" s="767">
        <f t="shared" si="41"/>
        <v>11632.347215517639</v>
      </c>
      <c r="J43" s="768">
        <f t="shared" si="41"/>
        <v>8622.9470906560637</v>
      </c>
      <c r="K43" s="769">
        <f t="shared" si="41"/>
        <v>7790.1406925392512</v>
      </c>
      <c r="L43" s="770">
        <f t="shared" si="41"/>
        <v>9104.6035429271724</v>
      </c>
      <c r="M43" s="770">
        <f t="shared" si="41"/>
        <v>10742.548519186388</v>
      </c>
      <c r="N43" s="770">
        <f t="shared" si="41"/>
        <v>12693.467052368353</v>
      </c>
      <c r="O43" s="770">
        <f t="shared" si="41"/>
        <v>14754.34247503551</v>
      </c>
      <c r="P43" s="770">
        <f t="shared" si="41"/>
        <v>17266.186181764337</v>
      </c>
      <c r="Q43" s="770">
        <f t="shared" si="41"/>
        <v>20248.798775824558</v>
      </c>
      <c r="R43" s="770">
        <f t="shared" si="41"/>
        <v>23732.348810510135</v>
      </c>
      <c r="S43" s="770">
        <f t="shared" si="41"/>
        <v>27738.151888160384</v>
      </c>
      <c r="T43" s="770">
        <f t="shared" si="41"/>
        <v>32291.940256361697</v>
      </c>
      <c r="U43" s="770">
        <f t="shared" si="41"/>
        <v>37421.534430726584</v>
      </c>
      <c r="V43" s="770">
        <f t="shared" si="41"/>
        <v>42808.637543069577</v>
      </c>
      <c r="W43" s="770">
        <f t="shared" si="41"/>
        <v>48925.008288680903</v>
      </c>
      <c r="X43" s="770">
        <f t="shared" si="41"/>
        <v>55795.800551435859</v>
      </c>
      <c r="Y43" s="770">
        <f t="shared" si="41"/>
        <v>63445.962762746385</v>
      </c>
      <c r="Z43" s="770">
        <f t="shared" si="41"/>
        <v>71906.009454879488</v>
      </c>
      <c r="AA43" s="770">
        <f t="shared" si="41"/>
        <v>81204.472030666584</v>
      </c>
      <c r="AB43" s="770">
        <f t="shared" si="41"/>
        <v>91371.062765002876</v>
      </c>
      <c r="AC43" s="770">
        <f t="shared" si="41"/>
        <v>102437.14720885297</v>
      </c>
      <c r="AD43" s="770">
        <f t="shared" si="41"/>
        <v>114434.41492190426</v>
      </c>
      <c r="AE43" s="770">
        <f t="shared" si="41"/>
        <v>127395.66503370805</v>
      </c>
      <c r="AF43" s="771">
        <f t="shared" si="41"/>
        <v>141354.78317793467</v>
      </c>
      <c r="AG43" s="372"/>
      <c r="AH43" s="7"/>
      <c r="AI43" s="7"/>
      <c r="AJ43" s="7"/>
      <c r="AK43" s="10"/>
      <c r="AL43" s="10"/>
      <c r="AM43" s="10"/>
      <c r="AN43" s="10"/>
    </row>
    <row r="44" spans="1:40" ht="14.45">
      <c r="A44" s="1223"/>
      <c r="B44" s="725">
        <v>34</v>
      </c>
      <c r="C44" s="726" t="s">
        <v>281</v>
      </c>
      <c r="D44" s="430">
        <f>'Fin. Data'!D58</f>
        <v>25528</v>
      </c>
      <c r="E44" s="284">
        <f>'Fin. Data'!C58</f>
        <v>23421</v>
      </c>
      <c r="F44" s="431">
        <f>'Fin. Data'!B58</f>
        <v>26729</v>
      </c>
      <c r="G44" s="508">
        <f>G12*($D$67+5%)</f>
        <v>25165.357200000002</v>
      </c>
      <c r="H44" s="509">
        <f>H12*$D$67</f>
        <v>29880.356800000001</v>
      </c>
      <c r="I44" s="509">
        <f>I12*$D$67</f>
        <v>37378.964050000002</v>
      </c>
      <c r="J44" s="510">
        <f>J12*$D$67</f>
        <v>35175.7916625</v>
      </c>
      <c r="K44" s="508">
        <f t="shared" ref="K44:AF44" si="42">K12*$E$67</f>
        <v>35608.337622843748</v>
      </c>
      <c r="L44" s="509">
        <f t="shared" si="42"/>
        <v>37909.23994348594</v>
      </c>
      <c r="M44" s="509">
        <f t="shared" si="42"/>
        <v>40325.187380160234</v>
      </c>
      <c r="N44" s="509">
        <f t="shared" si="42"/>
        <v>42861.932188668245</v>
      </c>
      <c r="O44" s="509">
        <f t="shared" si="42"/>
        <v>45085.388540773529</v>
      </c>
      <c r="P44" s="509">
        <f t="shared" si="42"/>
        <v>47387.292364353554</v>
      </c>
      <c r="Q44" s="509">
        <f t="shared" si="42"/>
        <v>49770.420645867511</v>
      </c>
      <c r="R44" s="509">
        <f t="shared" si="42"/>
        <v>52237.649132548475</v>
      </c>
      <c r="S44" s="509">
        <f t="shared" si="42"/>
        <v>54791.955867343022</v>
      </c>
      <c r="T44" s="509">
        <f t="shared" si="42"/>
        <v>57436.424851489115</v>
      </c>
      <c r="U44" s="509">
        <f t="shared" si="42"/>
        <v>60174.249839395743</v>
      </c>
      <c r="V44" s="509">
        <f t="shared" si="42"/>
        <v>62448.775473575173</v>
      </c>
      <c r="W44" s="509">
        <f t="shared" si="42"/>
        <v>64770.554714878701</v>
      </c>
      <c r="X44" s="509">
        <f t="shared" si="42"/>
        <v>67140.620790170811</v>
      </c>
      <c r="Y44" s="509">
        <f t="shared" si="42"/>
        <v>69560.031998589431</v>
      </c>
      <c r="Z44" s="509">
        <f t="shared" si="42"/>
        <v>72029.872433378085</v>
      </c>
      <c r="AA44" s="509">
        <f t="shared" si="42"/>
        <v>74551.252729174288</v>
      </c>
      <c r="AB44" s="509">
        <f t="shared" si="42"/>
        <v>77125.310835813754</v>
      </c>
      <c r="AC44" s="509">
        <f t="shared" si="42"/>
        <v>79753.212819759749</v>
      </c>
      <c r="AD44" s="509">
        <f t="shared" si="42"/>
        <v>82436.153694317065</v>
      </c>
      <c r="AE44" s="509">
        <f t="shared" si="42"/>
        <v>85175.358279844557</v>
      </c>
      <c r="AF44" s="510">
        <f t="shared" si="42"/>
        <v>87972.082095235586</v>
      </c>
      <c r="AG44" s="384"/>
      <c r="AH44" s="10"/>
      <c r="AI44" s="10"/>
      <c r="AJ44" s="10"/>
      <c r="AK44" s="10"/>
      <c r="AL44" s="10"/>
      <c r="AM44" s="10"/>
      <c r="AN44" s="10"/>
    </row>
    <row r="45" spans="1:40" ht="14.45">
      <c r="A45" s="1223"/>
      <c r="B45" s="725">
        <v>35</v>
      </c>
      <c r="C45" s="726" t="s">
        <v>453</v>
      </c>
      <c r="D45" s="772"/>
      <c r="E45" s="773"/>
      <c r="F45" s="774">
        <f>1/((1+$F$50)^G50)</f>
        <v>1</v>
      </c>
      <c r="G45" s="508">
        <f t="shared" ref="G45:AF45" si="43">1/((1+$F$50)^G49)</f>
        <v>0.92165898617511521</v>
      </c>
      <c r="H45" s="509">
        <f t="shared" si="43"/>
        <v>0.84945528679734128</v>
      </c>
      <c r="I45" s="509">
        <f t="shared" si="43"/>
        <v>0.78290809843072917</v>
      </c>
      <c r="J45" s="510">
        <f t="shared" si="43"/>
        <v>0.72157428426795334</v>
      </c>
      <c r="K45" s="508">
        <f t="shared" si="43"/>
        <v>0.66504542328843619</v>
      </c>
      <c r="L45" s="509">
        <f t="shared" si="43"/>
        <v>0.6129450905884205</v>
      </c>
      <c r="M45" s="509">
        <f t="shared" si="43"/>
        <v>0.56492635077273778</v>
      </c>
      <c r="N45" s="509">
        <f t="shared" si="43"/>
        <v>0.52066944771680901</v>
      </c>
      <c r="O45" s="509">
        <f t="shared" si="43"/>
        <v>0.4798796753150314</v>
      </c>
      <c r="P45" s="509">
        <f t="shared" si="43"/>
        <v>0.44228541503689528</v>
      </c>
      <c r="Q45" s="509">
        <f t="shared" si="43"/>
        <v>0.40763632722294496</v>
      </c>
      <c r="R45" s="509">
        <f t="shared" si="43"/>
        <v>0.37570168407644705</v>
      </c>
      <c r="S45" s="509">
        <f t="shared" si="43"/>
        <v>0.3462688332501816</v>
      </c>
      <c r="T45" s="509">
        <f t="shared" si="43"/>
        <v>0.31914178179740244</v>
      </c>
      <c r="U45" s="509">
        <f t="shared" si="43"/>
        <v>0.2941398910575137</v>
      </c>
      <c r="V45" s="509">
        <f t="shared" si="43"/>
        <v>0.27109667378572694</v>
      </c>
      <c r="W45" s="509">
        <f t="shared" si="43"/>
        <v>0.24985868551679907</v>
      </c>
      <c r="X45" s="509">
        <f t="shared" si="43"/>
        <v>0.23028450278045995</v>
      </c>
      <c r="Y45" s="509">
        <f t="shared" si="43"/>
        <v>0.21224378136447922</v>
      </c>
      <c r="Z45" s="509">
        <f t="shared" si="43"/>
        <v>0.19561638835435877</v>
      </c>
      <c r="AA45" s="509">
        <f t="shared" si="43"/>
        <v>0.18029160216991591</v>
      </c>
      <c r="AB45" s="509">
        <f t="shared" si="43"/>
        <v>0.16616737527181191</v>
      </c>
      <c r="AC45" s="509">
        <f t="shared" si="43"/>
        <v>0.15314965462839805</v>
      </c>
      <c r="AD45" s="509">
        <f t="shared" si="43"/>
        <v>0.14115175541787842</v>
      </c>
      <c r="AE45" s="509">
        <f t="shared" si="43"/>
        <v>0.13009378379527964</v>
      </c>
      <c r="AF45" s="775">
        <f t="shared" si="43"/>
        <v>0.11990210488044206</v>
      </c>
      <c r="AG45" s="384"/>
      <c r="AH45" s="10"/>
      <c r="AI45" s="10"/>
      <c r="AJ45" s="10"/>
      <c r="AK45" s="10"/>
      <c r="AL45" s="10"/>
      <c r="AM45" s="10"/>
      <c r="AN45" s="10"/>
    </row>
    <row r="46" spans="1:40" ht="14.45">
      <c r="A46" s="1223"/>
      <c r="B46" s="725">
        <v>36</v>
      </c>
      <c r="C46" s="726" t="s">
        <v>454</v>
      </c>
      <c r="D46" s="776"/>
      <c r="E46" s="777" t="s">
        <v>455</v>
      </c>
      <c r="F46" s="510">
        <f>1/((1+$F$50+0.001)^G50)</f>
        <v>1</v>
      </c>
      <c r="G46" s="508">
        <f>1/((1+$F$50+0.001)^G49)</f>
        <v>0.92081031307550654</v>
      </c>
      <c r="H46" s="509">
        <f t="shared" ref="H46:AF46" si="44">1/((1+$F$50+0.001)^H49)</f>
        <v>0.84789163266621248</v>
      </c>
      <c r="I46" s="509">
        <f t="shared" si="44"/>
        <v>0.78074735972947751</v>
      </c>
      <c r="J46" s="510">
        <f t="shared" si="44"/>
        <v>0.71892022074537532</v>
      </c>
      <c r="K46" s="508">
        <f t="shared" si="44"/>
        <v>0.66198915354086141</v>
      </c>
      <c r="L46" s="509">
        <f t="shared" si="44"/>
        <v>0.60956643972455005</v>
      </c>
      <c r="M46" s="509">
        <f t="shared" si="44"/>
        <v>0.56129506420308495</v>
      </c>
      <c r="N46" s="509">
        <f t="shared" si="44"/>
        <v>0.51684628379657915</v>
      </c>
      <c r="O46" s="509">
        <f t="shared" si="44"/>
        <v>0.47591738839464021</v>
      </c>
      <c r="P46" s="509">
        <f t="shared" si="44"/>
        <v>0.43822963940574611</v>
      </c>
      <c r="Q46" s="509">
        <f t="shared" si="44"/>
        <v>0.4035263714601714</v>
      </c>
      <c r="R46" s="509">
        <f t="shared" si="44"/>
        <v>0.37157124443846357</v>
      </c>
      <c r="S46" s="509">
        <f t="shared" si="44"/>
        <v>0.34214663392123723</v>
      </c>
      <c r="T46" s="509">
        <f t="shared" si="44"/>
        <v>0.31505214909874518</v>
      </c>
      <c r="U46" s="509">
        <f t="shared" si="44"/>
        <v>0.2901032680467267</v>
      </c>
      <c r="V46" s="509">
        <f t="shared" si="44"/>
        <v>0.26713008107433406</v>
      </c>
      <c r="W46" s="509">
        <f t="shared" si="44"/>
        <v>0.24597613358594295</v>
      </c>
      <c r="X46" s="509">
        <f t="shared" si="44"/>
        <v>0.22649736057637476</v>
      </c>
      <c r="Y46" s="509">
        <f t="shared" si="44"/>
        <v>0.20856110550310758</v>
      </c>
      <c r="Z46" s="509">
        <f t="shared" si="44"/>
        <v>0.19204521685369022</v>
      </c>
      <c r="AA46" s="509">
        <f t="shared" si="44"/>
        <v>0.17683721625570006</v>
      </c>
      <c r="AB46" s="509">
        <f t="shared" si="44"/>
        <v>0.16283353246381221</v>
      </c>
      <c r="AC46" s="509">
        <f t="shared" si="44"/>
        <v>0.14993879600719359</v>
      </c>
      <c r="AD46" s="509">
        <f t="shared" si="44"/>
        <v>0.13806518969354845</v>
      </c>
      <c r="AE46" s="509">
        <f t="shared" si="44"/>
        <v>0.12713185054654555</v>
      </c>
      <c r="AF46" s="510">
        <f t="shared" si="44"/>
        <v>0.11706431910363313</v>
      </c>
      <c r="AG46" s="384"/>
      <c r="AH46" s="10"/>
      <c r="AI46" s="10"/>
      <c r="AJ46" s="10"/>
      <c r="AK46" s="10"/>
      <c r="AL46" s="10"/>
      <c r="AM46" s="10"/>
      <c r="AN46" s="10"/>
    </row>
    <row r="47" spans="1:40" ht="15" thickBot="1">
      <c r="A47" s="1223"/>
      <c r="B47" s="739">
        <v>37</v>
      </c>
      <c r="C47" s="740" t="s">
        <v>456</v>
      </c>
      <c r="D47" s="776"/>
      <c r="E47" s="777" t="s">
        <v>457</v>
      </c>
      <c r="F47" s="778">
        <f>1/((1+$F$50+0.005)^G50)</f>
        <v>1</v>
      </c>
      <c r="G47" s="779">
        <f t="shared" ref="G47:AF47" si="45">1/((1+$F$50+0.005)^G49)</f>
        <v>0.91743119266055062</v>
      </c>
      <c r="H47" s="780">
        <f t="shared" si="45"/>
        <v>0.84167999326656029</v>
      </c>
      <c r="I47" s="780">
        <f t="shared" si="45"/>
        <v>0.77218348006106452</v>
      </c>
      <c r="J47" s="778">
        <f t="shared" si="45"/>
        <v>0.70842521106519685</v>
      </c>
      <c r="K47" s="781">
        <f t="shared" si="45"/>
        <v>0.64993138629834579</v>
      </c>
      <c r="L47" s="782">
        <f t="shared" si="45"/>
        <v>0.59626732687921646</v>
      </c>
      <c r="M47" s="782">
        <f t="shared" si="45"/>
        <v>0.54703424484331786</v>
      </c>
      <c r="N47" s="782">
        <f t="shared" si="45"/>
        <v>0.50186627967276876</v>
      </c>
      <c r="O47" s="782">
        <f t="shared" si="45"/>
        <v>0.46042777951630176</v>
      </c>
      <c r="P47" s="782">
        <f t="shared" si="45"/>
        <v>0.42241080689568972</v>
      </c>
      <c r="Q47" s="782">
        <f t="shared" si="45"/>
        <v>0.3875328503630181</v>
      </c>
      <c r="R47" s="782">
        <f t="shared" si="45"/>
        <v>0.35553472510368633</v>
      </c>
      <c r="S47" s="782">
        <f t="shared" si="45"/>
        <v>0.32617864688411596</v>
      </c>
      <c r="T47" s="782">
        <f t="shared" si="45"/>
        <v>0.29924646503129909</v>
      </c>
      <c r="U47" s="782">
        <f t="shared" si="45"/>
        <v>0.27453804131311843</v>
      </c>
      <c r="V47" s="782">
        <f t="shared" si="45"/>
        <v>0.25186976267258576</v>
      </c>
      <c r="W47" s="782">
        <f t="shared" si="45"/>
        <v>0.2310731767638402</v>
      </c>
      <c r="X47" s="782">
        <f t="shared" si="45"/>
        <v>0.21199374015031211</v>
      </c>
      <c r="Y47" s="782">
        <f t="shared" si="45"/>
        <v>0.19448966986267169</v>
      </c>
      <c r="Z47" s="782">
        <f t="shared" si="45"/>
        <v>0.17843088978226762</v>
      </c>
      <c r="AA47" s="782">
        <f t="shared" si="45"/>
        <v>0.16369806402042905</v>
      </c>
      <c r="AB47" s="782">
        <f t="shared" si="45"/>
        <v>0.15018171011048537</v>
      </c>
      <c r="AC47" s="782">
        <f t="shared" si="45"/>
        <v>0.13778138542246365</v>
      </c>
      <c r="AD47" s="782">
        <f t="shared" si="45"/>
        <v>0.12640494075455383</v>
      </c>
      <c r="AE47" s="782">
        <f t="shared" si="45"/>
        <v>0.11596783555463655</v>
      </c>
      <c r="AF47" s="783">
        <f t="shared" si="45"/>
        <v>0.10639250968315282</v>
      </c>
      <c r="AG47" s="384"/>
      <c r="AH47" s="10"/>
      <c r="AI47" s="10"/>
      <c r="AJ47" s="10"/>
      <c r="AK47" s="10"/>
      <c r="AL47" s="10"/>
      <c r="AM47" s="10"/>
      <c r="AN47" s="10"/>
    </row>
    <row r="48" spans="1:40" ht="15" thickBot="1">
      <c r="A48" s="1232" t="s">
        <v>426</v>
      </c>
      <c r="B48" s="1233"/>
      <c r="C48" s="1233"/>
      <c r="D48" s="1233"/>
      <c r="E48" s="1233"/>
      <c r="F48" s="1233"/>
      <c r="G48" s="1233"/>
      <c r="H48" s="1233"/>
      <c r="I48" s="1233"/>
      <c r="J48" s="1233"/>
      <c r="K48" s="1233"/>
      <c r="L48" s="1233"/>
      <c r="M48" s="1233"/>
      <c r="N48" s="1233"/>
      <c r="O48" s="1233"/>
      <c r="P48" s="1233"/>
      <c r="Q48" s="1233"/>
      <c r="R48" s="1233"/>
      <c r="S48" s="1233"/>
      <c r="T48" s="1233"/>
      <c r="U48" s="1233"/>
      <c r="V48" s="1233"/>
      <c r="W48" s="1233"/>
      <c r="X48" s="1233"/>
      <c r="Y48" s="1233"/>
      <c r="Z48" s="1233"/>
      <c r="AA48" s="1233"/>
      <c r="AB48" s="1233"/>
      <c r="AC48" s="1233"/>
      <c r="AD48" s="1233"/>
      <c r="AE48" s="1233"/>
      <c r="AF48" s="1234"/>
      <c r="AG48" s="384"/>
      <c r="AH48" s="10"/>
      <c r="AI48" s="10"/>
      <c r="AJ48" s="386"/>
      <c r="AK48" s="10"/>
      <c r="AL48" s="10"/>
      <c r="AM48" s="10"/>
      <c r="AN48" s="10"/>
    </row>
    <row r="49" spans="1:40" ht="14.45">
      <c r="A49" s="1237" t="s">
        <v>458</v>
      </c>
      <c r="C49" s="237" t="s">
        <v>459</v>
      </c>
      <c r="D49" s="235" t="s">
        <v>460</v>
      </c>
      <c r="E49" s="803" t="s">
        <v>461</v>
      </c>
      <c r="F49" s="238" t="s">
        <v>462</v>
      </c>
      <c r="G49" s="280">
        <v>1</v>
      </c>
      <c r="H49" s="281">
        <v>2</v>
      </c>
      <c r="I49" s="281">
        <v>3</v>
      </c>
      <c r="J49" s="280">
        <v>4</v>
      </c>
      <c r="K49" s="281">
        <v>5</v>
      </c>
      <c r="L49" s="281">
        <v>6</v>
      </c>
      <c r="M49" s="280">
        <v>7</v>
      </c>
      <c r="N49" s="281">
        <v>8</v>
      </c>
      <c r="O49" s="281">
        <v>9</v>
      </c>
      <c r="P49" s="280">
        <v>10</v>
      </c>
      <c r="Q49" s="281">
        <v>11</v>
      </c>
      <c r="R49" s="281">
        <v>12</v>
      </c>
      <c r="S49" s="280">
        <v>13</v>
      </c>
      <c r="T49" s="281">
        <v>14</v>
      </c>
      <c r="U49" s="281">
        <v>15</v>
      </c>
      <c r="V49" s="280">
        <v>16</v>
      </c>
      <c r="W49" s="281">
        <v>17</v>
      </c>
      <c r="X49" s="281">
        <v>18</v>
      </c>
      <c r="Y49" s="280">
        <v>19</v>
      </c>
      <c r="Z49" s="281">
        <v>20</v>
      </c>
      <c r="AA49" s="281">
        <v>21</v>
      </c>
      <c r="AB49" s="280">
        <v>22</v>
      </c>
      <c r="AC49" s="281">
        <v>23</v>
      </c>
      <c r="AD49" s="281">
        <v>24</v>
      </c>
      <c r="AE49" s="280">
        <v>25</v>
      </c>
      <c r="AF49" s="281">
        <v>26</v>
      </c>
      <c r="AG49" s="384"/>
      <c r="AH49" s="10"/>
      <c r="AI49" s="10"/>
      <c r="AJ49" s="10"/>
      <c r="AK49" s="10"/>
      <c r="AL49" s="10"/>
      <c r="AM49" s="10"/>
      <c r="AN49" s="10"/>
    </row>
    <row r="50" spans="1:40" ht="15" thickBot="1">
      <c r="A50" s="1238"/>
      <c r="C50" s="570">
        <v>0.04</v>
      </c>
      <c r="D50" s="571">
        <v>0.04</v>
      </c>
      <c r="E50" s="880">
        <v>5.0000000000000001E-3</v>
      </c>
      <c r="F50" s="836">
        <f>E50+D50+C50</f>
        <v>8.4999999999999992E-2</v>
      </c>
      <c r="G50" s="280">
        <v>0</v>
      </c>
      <c r="S50" s="231"/>
      <c r="T50" s="231"/>
      <c r="U50" s="231"/>
      <c r="V50" s="231"/>
      <c r="W50" s="231"/>
      <c r="X50" s="231"/>
      <c r="Y50" s="231"/>
      <c r="Z50" s="231"/>
      <c r="AA50" s="231"/>
      <c r="AB50" s="231"/>
      <c r="AC50" s="231"/>
      <c r="AD50" s="231"/>
      <c r="AE50" s="231"/>
      <c r="AF50" s="231"/>
      <c r="AG50" s="383"/>
      <c r="AH50" s="10"/>
      <c r="AI50" s="10"/>
      <c r="AJ50" s="10"/>
      <c r="AK50" s="10"/>
      <c r="AL50" s="10"/>
      <c r="AM50" s="10"/>
      <c r="AN50" s="10"/>
    </row>
    <row r="51" spans="1:40" ht="14.45">
      <c r="A51" s="231"/>
      <c r="C51" s="231"/>
      <c r="D51" s="231"/>
      <c r="G51"/>
      <c r="H51" s="231"/>
      <c r="I51" s="231"/>
      <c r="J51" s="231"/>
      <c r="K51" s="231"/>
      <c r="S51" s="231"/>
      <c r="T51" s="231"/>
      <c r="U51" s="231"/>
      <c r="V51" s="231"/>
      <c r="W51" s="231"/>
      <c r="X51" s="231"/>
      <c r="Y51" s="231"/>
      <c r="Z51" s="231"/>
      <c r="AA51" s="231"/>
      <c r="AB51" s="231"/>
      <c r="AC51" s="231"/>
      <c r="AD51" s="231"/>
      <c r="AE51" s="231"/>
      <c r="AF51" s="231"/>
      <c r="AG51" s="383"/>
      <c r="AH51" s="10"/>
      <c r="AI51" s="10"/>
      <c r="AJ51" s="10"/>
      <c r="AK51" s="10"/>
      <c r="AL51" s="10"/>
      <c r="AM51" s="10"/>
      <c r="AN51" s="10"/>
    </row>
    <row r="52" spans="1:40" ht="15" customHeight="1">
      <c r="A52" s="1239" t="s">
        <v>463</v>
      </c>
      <c r="C52" s="349" t="s">
        <v>426</v>
      </c>
      <c r="D52" s="350" t="s">
        <v>403</v>
      </c>
      <c r="E52" s="351" t="s">
        <v>404</v>
      </c>
      <c r="F52" s="350" t="s">
        <v>464</v>
      </c>
      <c r="G52" s="231"/>
      <c r="I52" s="364"/>
      <c r="J52" s="364"/>
      <c r="K52" s="231"/>
      <c r="S52" s="231"/>
      <c r="T52" s="231"/>
      <c r="U52" s="231"/>
      <c r="V52" s="231"/>
      <c r="W52" s="231"/>
      <c r="X52" s="231"/>
      <c r="Y52" s="231"/>
      <c r="Z52" s="231"/>
      <c r="AA52" s="231"/>
      <c r="AB52" s="231"/>
      <c r="AC52" s="231"/>
      <c r="AD52" s="231"/>
      <c r="AE52" s="231"/>
      <c r="AF52" s="231"/>
      <c r="AG52" s="383"/>
      <c r="AH52" s="10"/>
      <c r="AI52" s="10"/>
      <c r="AJ52" s="10"/>
      <c r="AK52" s="10"/>
      <c r="AL52" s="10"/>
      <c r="AM52" s="10"/>
      <c r="AN52" s="10"/>
    </row>
    <row r="53" spans="1:40" ht="15" customHeight="1">
      <c r="A53" s="1239"/>
      <c r="C53" s="352" t="s">
        <v>465</v>
      </c>
      <c r="D53" s="329">
        <f>Assumptions!S17</f>
        <v>-7.8E-2</v>
      </c>
      <c r="E53" s="330">
        <v>-7.8E-2</v>
      </c>
      <c r="F53" s="353" t="str">
        <f>Assumptions!V17</f>
        <v>% PPE</v>
      </c>
      <c r="G53" s="365"/>
      <c r="I53" s="231"/>
      <c r="J53" s="231"/>
      <c r="K53" s="231"/>
      <c r="S53" s="231"/>
      <c r="T53" s="231"/>
      <c r="U53" s="231"/>
      <c r="V53" s="231"/>
      <c r="W53" s="231"/>
      <c r="X53" s="231"/>
      <c r="Y53" s="231"/>
      <c r="Z53" s="231"/>
      <c r="AA53" s="231"/>
      <c r="AB53" s="231"/>
      <c r="AC53" s="231"/>
      <c r="AD53" s="231"/>
      <c r="AE53" s="231"/>
      <c r="AF53" s="231"/>
      <c r="AG53" s="383"/>
      <c r="AH53" s="10"/>
      <c r="AI53" s="10"/>
      <c r="AJ53" s="10"/>
      <c r="AK53" s="10"/>
      <c r="AL53" s="10"/>
      <c r="AM53" s="10"/>
      <c r="AN53" s="10"/>
    </row>
    <row r="54" spans="1:40" ht="15" customHeight="1">
      <c r="A54" s="1239"/>
      <c r="C54" s="354" t="s">
        <v>466</v>
      </c>
      <c r="D54" s="329">
        <f>Assumptions!S18</f>
        <v>-0.05</v>
      </c>
      <c r="E54" s="330">
        <v>-0.05</v>
      </c>
      <c r="F54" s="353" t="str">
        <f>Assumptions!V18</f>
        <v>% IA</v>
      </c>
      <c r="G54" s="231"/>
      <c r="I54" s="231"/>
      <c r="J54" s="231"/>
      <c r="K54" s="231"/>
      <c r="S54" s="231"/>
      <c r="T54" s="231"/>
      <c r="U54" s="231"/>
      <c r="V54" s="231"/>
      <c r="W54" s="231"/>
      <c r="X54" s="231"/>
      <c r="Y54" s="231"/>
      <c r="Z54" s="231"/>
      <c r="AA54" s="231"/>
      <c r="AB54" s="231"/>
      <c r="AC54" s="231"/>
      <c r="AD54" s="231"/>
      <c r="AE54" s="231"/>
      <c r="AF54" s="231"/>
      <c r="AG54" s="383"/>
      <c r="AH54" s="10"/>
      <c r="AI54" s="10"/>
      <c r="AJ54" s="10"/>
      <c r="AK54" s="10"/>
      <c r="AL54" s="10"/>
      <c r="AM54" s="10"/>
      <c r="AN54" s="10"/>
    </row>
    <row r="55" spans="1:40" ht="15" customHeight="1">
      <c r="A55" s="1239"/>
      <c r="C55" s="337" t="s">
        <v>467</v>
      </c>
      <c r="D55" s="329">
        <f>Assumptions!S19</f>
        <v>0</v>
      </c>
      <c r="E55" s="330">
        <f>Assumptions!T19</f>
        <v>0.03</v>
      </c>
      <c r="F55" s="353" t="str">
        <f>Assumptions!V19</f>
        <v>% Revenue</v>
      </c>
      <c r="G55" s="882"/>
      <c r="H55" s="882"/>
      <c r="I55" s="882"/>
      <c r="J55" s="882"/>
      <c r="K55" s="882"/>
      <c r="L55" s="882"/>
      <c r="M55" s="882"/>
      <c r="N55" s="882"/>
      <c r="O55" s="882"/>
      <c r="P55" s="882"/>
      <c r="Q55" s="882"/>
      <c r="R55" s="882"/>
      <c r="S55" s="882"/>
      <c r="T55" s="882"/>
      <c r="U55" s="882"/>
      <c r="V55" s="882"/>
      <c r="W55" s="882"/>
      <c r="X55" s="882"/>
      <c r="Y55" s="882"/>
      <c r="Z55" s="882"/>
      <c r="AA55" s="882"/>
      <c r="AB55" s="882"/>
      <c r="AC55" s="882"/>
      <c r="AD55" s="882"/>
      <c r="AE55" s="882"/>
      <c r="AF55" s="882"/>
      <c r="AG55" s="383"/>
      <c r="AH55" s="10"/>
      <c r="AI55" s="10"/>
      <c r="AJ55" s="10"/>
      <c r="AK55" s="10"/>
      <c r="AL55" s="10"/>
      <c r="AM55" s="10"/>
      <c r="AN55" s="10"/>
    </row>
    <row r="56" spans="1:40" ht="15" customHeight="1">
      <c r="A56" s="1239"/>
      <c r="C56" s="354" t="s">
        <v>468</v>
      </c>
      <c r="D56" s="329">
        <f>Assumptions!S20</f>
        <v>0.22</v>
      </c>
      <c r="E56" s="330">
        <f>Assumptions!T20</f>
        <v>0.26</v>
      </c>
      <c r="F56" s="353" t="str">
        <f>Assumptions!V20</f>
        <v>% EBT</v>
      </c>
      <c r="G56" s="231"/>
      <c r="I56" s="231"/>
      <c r="J56" s="231"/>
      <c r="K56" s="231"/>
      <c r="L56" s="231"/>
      <c r="M56" s="231"/>
      <c r="N56" s="231"/>
      <c r="O56" s="231"/>
      <c r="P56" s="231"/>
      <c r="Q56" s="231"/>
      <c r="R56" s="231"/>
      <c r="S56" s="231"/>
      <c r="T56" s="231"/>
      <c r="U56" s="231"/>
      <c r="V56" s="231"/>
      <c r="W56" s="231"/>
      <c r="X56" s="231"/>
      <c r="Y56" s="231"/>
      <c r="Z56" s="231"/>
      <c r="AA56" s="231"/>
      <c r="AB56" s="231"/>
      <c r="AC56" s="231"/>
      <c r="AD56" s="231"/>
      <c r="AE56" s="231"/>
      <c r="AF56" s="231"/>
      <c r="AG56" s="383"/>
      <c r="AH56" s="10"/>
      <c r="AI56" s="10"/>
      <c r="AJ56" s="10"/>
      <c r="AK56" s="10"/>
      <c r="AL56" s="10"/>
      <c r="AM56" s="10"/>
      <c r="AN56" s="10"/>
    </row>
    <row r="57" spans="1:40" ht="15" customHeight="1">
      <c r="A57" s="1239"/>
      <c r="C57" s="337" t="s">
        <v>469</v>
      </c>
      <c r="D57" s="329">
        <f>Assumptions!S21</f>
        <v>2.75E-2</v>
      </c>
      <c r="E57" s="330">
        <f>Assumptions!T21</f>
        <v>2.5999999999999999E-2</v>
      </c>
      <c r="F57" s="353" t="str">
        <f>Assumptions!V21</f>
        <v>% Debt</v>
      </c>
      <c r="G57" s="231"/>
      <c r="I57" s="231"/>
      <c r="J57" s="231"/>
      <c r="K57" s="231"/>
      <c r="L57" s="231"/>
      <c r="M57" s="231"/>
      <c r="N57" s="231"/>
      <c r="O57" s="231"/>
      <c r="P57" s="231"/>
      <c r="Q57" s="231"/>
      <c r="R57" s="231"/>
      <c r="S57" s="231"/>
      <c r="T57" s="231"/>
      <c r="U57" s="231"/>
      <c r="V57" s="231"/>
      <c r="W57" s="231"/>
      <c r="X57" s="231"/>
      <c r="Y57" s="231"/>
      <c r="Z57" s="231"/>
      <c r="AA57" s="231"/>
      <c r="AB57" s="231"/>
      <c r="AC57" s="231"/>
      <c r="AD57" s="231"/>
      <c r="AE57" s="231"/>
      <c r="AF57" s="231"/>
      <c r="AG57" s="383"/>
      <c r="AH57" s="10"/>
      <c r="AI57" s="10"/>
      <c r="AJ57" s="10"/>
      <c r="AK57" s="10"/>
      <c r="AL57" s="10"/>
      <c r="AM57" s="10"/>
      <c r="AN57" s="10"/>
    </row>
    <row r="58" spans="1:40" ht="15" customHeight="1">
      <c r="A58" s="1239"/>
      <c r="C58" s="354" t="s">
        <v>470</v>
      </c>
      <c r="D58" s="329">
        <v>2.5999999999999999E-2</v>
      </c>
      <c r="E58" s="330">
        <v>2.4500000000000001E-2</v>
      </c>
      <c r="F58" s="353" t="str">
        <f>Assumptions!V22</f>
        <v xml:space="preserve">% Cash </v>
      </c>
      <c r="G58" s="231"/>
      <c r="H58" s="231"/>
      <c r="I58" s="232"/>
      <c r="J58" s="240"/>
      <c r="K58" s="240"/>
      <c r="L58" s="240"/>
      <c r="M58" s="240"/>
      <c r="N58" s="240"/>
      <c r="O58" s="231"/>
      <c r="P58" s="231"/>
      <c r="Q58" s="231"/>
      <c r="R58" s="231"/>
      <c r="S58" s="231"/>
      <c r="T58" s="231"/>
      <c r="U58" s="231"/>
      <c r="V58" s="231"/>
      <c r="W58" s="231"/>
      <c r="X58" s="231"/>
      <c r="Y58" s="231"/>
      <c r="Z58" s="231"/>
      <c r="AA58" s="231"/>
      <c r="AB58" s="231"/>
      <c r="AC58" s="231"/>
      <c r="AD58" s="231"/>
      <c r="AE58" s="231"/>
      <c r="AF58" s="231"/>
      <c r="AG58" s="383"/>
      <c r="AH58" s="10"/>
      <c r="AI58" s="10"/>
      <c r="AJ58" s="10"/>
      <c r="AK58" s="10"/>
      <c r="AL58" s="10"/>
      <c r="AM58" s="10"/>
      <c r="AN58" s="10"/>
    </row>
    <row r="59" spans="1:40" ht="15" customHeight="1">
      <c r="A59" s="1239"/>
      <c r="C59" s="337" t="s">
        <v>471</v>
      </c>
      <c r="D59" s="329" t="str">
        <f>Assumptions!S23</f>
        <v>- -</v>
      </c>
      <c r="E59" s="330" t="str">
        <f>Assumptions!T23</f>
        <v>- -</v>
      </c>
      <c r="F59" s="353" t="str">
        <f>Assumptions!V23</f>
        <v>Growing with CAPEX</v>
      </c>
      <c r="G59" s="231"/>
      <c r="H59" s="231"/>
      <c r="I59" s="231"/>
      <c r="J59" s="241"/>
      <c r="K59" s="241"/>
      <c r="L59" s="241"/>
      <c r="M59" s="241"/>
      <c r="N59" s="240"/>
      <c r="O59" s="231"/>
      <c r="P59" s="231"/>
      <c r="Q59" s="231"/>
      <c r="R59" s="231"/>
      <c r="S59" s="231"/>
      <c r="T59" s="231"/>
      <c r="U59" s="231"/>
      <c r="V59" s="231"/>
      <c r="W59" s="231"/>
      <c r="X59" s="231"/>
      <c r="Y59" s="231"/>
      <c r="Z59" s="231"/>
      <c r="AA59" s="231"/>
      <c r="AB59" s="231"/>
      <c r="AC59" s="231"/>
      <c r="AD59" s="231"/>
      <c r="AE59" s="231"/>
      <c r="AF59" s="231"/>
      <c r="AG59" s="383"/>
      <c r="AH59" s="10"/>
      <c r="AI59" s="10"/>
      <c r="AJ59" s="10"/>
      <c r="AK59" s="10"/>
      <c r="AL59" s="10"/>
      <c r="AM59" s="10"/>
      <c r="AN59" s="10"/>
    </row>
    <row r="60" spans="1:40" ht="15" customHeight="1">
      <c r="A60" s="1239"/>
      <c r="C60" s="349" t="s">
        <v>472</v>
      </c>
      <c r="D60" s="329">
        <f>Assumptions!S24</f>
        <v>-3.7999999999999999E-2</v>
      </c>
      <c r="E60" s="330">
        <f>Assumptions!T24</f>
        <v>-0.03</v>
      </c>
      <c r="F60" s="353" t="str">
        <f>Assumptions!V24</f>
        <v xml:space="preserve">% Change in Revenues </v>
      </c>
      <c r="G60" s="231"/>
      <c r="H60" s="231"/>
      <c r="I60" s="231"/>
      <c r="J60" s="240"/>
      <c r="K60" s="240"/>
      <c r="L60" s="240"/>
      <c r="M60" s="240"/>
      <c r="N60" s="240"/>
      <c r="O60" s="231"/>
      <c r="P60" s="231"/>
      <c r="Q60" s="231"/>
      <c r="R60" s="231"/>
      <c r="S60" s="231"/>
      <c r="T60" s="231"/>
      <c r="U60" s="231"/>
      <c r="V60" s="231"/>
      <c r="W60" s="231"/>
      <c r="X60" s="231"/>
      <c r="Y60" s="231"/>
      <c r="Z60" s="231"/>
      <c r="AA60" s="231"/>
      <c r="AB60" s="231"/>
      <c r="AC60" s="231"/>
      <c r="AD60" s="231"/>
      <c r="AE60" s="231"/>
      <c r="AF60" s="231"/>
      <c r="AG60" s="383"/>
      <c r="AH60" s="10"/>
      <c r="AI60" s="10"/>
      <c r="AJ60" s="10"/>
      <c r="AK60" s="10"/>
      <c r="AL60" s="10"/>
      <c r="AM60" s="10"/>
      <c r="AN60" s="10"/>
    </row>
    <row r="61" spans="1:40" ht="15" customHeight="1">
      <c r="A61" s="1239"/>
      <c r="C61" s="356" t="s">
        <v>473</v>
      </c>
      <c r="D61" s="329" t="str">
        <f>Assumptions!S25</f>
        <v>- -</v>
      </c>
      <c r="E61" s="330" t="str">
        <f>Assumptions!T25</f>
        <v>- -</v>
      </c>
      <c r="F61" s="353" t="str">
        <f>Assumptions!V25</f>
        <v>Growing with Amortization</v>
      </c>
      <c r="G61" s="231"/>
      <c r="H61" s="231"/>
      <c r="I61" s="231"/>
      <c r="J61" s="231"/>
      <c r="K61" s="231"/>
      <c r="L61" s="231"/>
      <c r="M61" s="231"/>
      <c r="N61" s="231"/>
      <c r="O61" s="231"/>
      <c r="P61" s="231"/>
      <c r="Q61" s="231"/>
      <c r="R61" s="231"/>
      <c r="S61" s="231"/>
      <c r="T61" s="231"/>
      <c r="U61" s="231"/>
      <c r="V61" s="231"/>
      <c r="W61" s="231"/>
      <c r="X61" s="231"/>
      <c r="Y61" s="231"/>
      <c r="Z61" s="231"/>
      <c r="AA61" s="231"/>
      <c r="AB61" s="231"/>
      <c r="AC61" s="231"/>
      <c r="AD61" s="231"/>
      <c r="AE61" s="231"/>
      <c r="AF61" s="231"/>
      <c r="AG61" s="383"/>
      <c r="AH61" s="10"/>
      <c r="AI61" s="10"/>
      <c r="AJ61" s="10"/>
      <c r="AK61" s="10"/>
      <c r="AL61" s="10"/>
      <c r="AM61" s="10"/>
      <c r="AN61" s="10"/>
    </row>
    <row r="62" spans="1:40" ht="15" customHeight="1">
      <c r="A62" s="1239"/>
      <c r="C62" s="356" t="s">
        <v>474</v>
      </c>
      <c r="D62" s="329">
        <f>Assumptions!S26</f>
        <v>-5.5500000000000001E-2</v>
      </c>
      <c r="E62" s="330">
        <v>-5.5500000000000001E-2</v>
      </c>
      <c r="F62" s="353" t="str">
        <f>Assumptions!V26</f>
        <v>% Revenue</v>
      </c>
      <c r="G62" s="231"/>
      <c r="H62" s="231"/>
      <c r="I62" s="231"/>
      <c r="J62" s="231"/>
      <c r="K62" s="231"/>
      <c r="L62" s="231"/>
      <c r="M62" s="231"/>
      <c r="N62" s="231"/>
      <c r="O62" s="231"/>
      <c r="P62" s="231"/>
      <c r="Q62" s="231"/>
      <c r="R62" s="231"/>
      <c r="S62" s="231"/>
      <c r="T62" s="231"/>
      <c r="U62" s="231"/>
      <c r="V62" s="231"/>
      <c r="W62" s="231"/>
      <c r="X62" s="231"/>
      <c r="Y62" s="231"/>
      <c r="Z62" s="231"/>
      <c r="AA62" s="231"/>
      <c r="AB62" s="231"/>
      <c r="AC62" s="231"/>
      <c r="AD62" s="231"/>
      <c r="AE62" s="231"/>
      <c r="AF62" s="231"/>
      <c r="AG62" s="383"/>
      <c r="AH62" s="10"/>
      <c r="AI62" s="10"/>
      <c r="AJ62" s="10"/>
      <c r="AK62" s="10"/>
      <c r="AL62" s="10"/>
      <c r="AM62" s="10"/>
      <c r="AN62" s="10"/>
    </row>
    <row r="63" spans="1:40" ht="15" customHeight="1">
      <c r="A63" s="1239"/>
      <c r="C63" s="356" t="s">
        <v>475</v>
      </c>
      <c r="D63" s="329">
        <f>Assumptions!S27</f>
        <v>-1.4999999999999999E-2</v>
      </c>
      <c r="E63" s="330">
        <v>-1.4999999999999999E-2</v>
      </c>
      <c r="F63" s="353" t="str">
        <f>Assumptions!V27</f>
        <v>% Revenue</v>
      </c>
      <c r="G63" s="231"/>
      <c r="H63" s="231"/>
      <c r="I63" s="231"/>
      <c r="J63" s="231"/>
      <c r="K63" s="231"/>
      <c r="L63" s="231"/>
      <c r="M63" s="231"/>
      <c r="N63" s="231"/>
      <c r="O63" s="231"/>
      <c r="P63" s="231"/>
      <c r="Q63" s="231"/>
      <c r="R63" s="231"/>
      <c r="S63" s="231"/>
      <c r="T63" s="231"/>
      <c r="U63" s="231"/>
      <c r="V63" s="231"/>
      <c r="W63" s="231"/>
      <c r="X63" s="231"/>
      <c r="Y63" s="231"/>
      <c r="Z63" s="231"/>
      <c r="AA63" s="231"/>
      <c r="AB63" s="231"/>
      <c r="AC63" s="231"/>
      <c r="AD63" s="231"/>
      <c r="AE63" s="231"/>
      <c r="AF63" s="231"/>
      <c r="AG63" s="383"/>
      <c r="AH63" s="10"/>
      <c r="AI63" s="10"/>
      <c r="AJ63" s="10"/>
      <c r="AK63" s="10"/>
      <c r="AL63" s="10"/>
      <c r="AM63" s="10"/>
      <c r="AN63" s="10"/>
    </row>
    <row r="64" spans="1:40" ht="15" customHeight="1">
      <c r="A64" s="1239"/>
      <c r="C64" s="356" t="s">
        <v>133</v>
      </c>
      <c r="D64" s="329">
        <f>Assumptions!S28</f>
        <v>-0.05</v>
      </c>
      <c r="E64" s="330">
        <f>Assumptions!T28</f>
        <v>-7.0000000000000007E-2</v>
      </c>
      <c r="F64" s="353" t="str">
        <f>Assumptions!V28</f>
        <v>% Revenue</v>
      </c>
      <c r="G64" s="231"/>
      <c r="I64" s="231"/>
      <c r="J64" s="231"/>
      <c r="K64" s="231"/>
      <c r="L64" s="231"/>
      <c r="M64" s="231"/>
      <c r="N64" s="231"/>
      <c r="O64" s="231"/>
      <c r="P64" s="231"/>
      <c r="Q64" s="231"/>
      <c r="R64" s="231"/>
      <c r="S64" s="231"/>
      <c r="T64" s="231"/>
      <c r="U64" s="231"/>
      <c r="V64" s="231"/>
      <c r="W64" s="231"/>
      <c r="X64" s="231"/>
      <c r="Y64" s="231"/>
      <c r="Z64" s="231"/>
      <c r="AA64" s="231"/>
      <c r="AB64" s="231"/>
      <c r="AC64" s="231"/>
      <c r="AD64" s="231"/>
      <c r="AE64" s="231"/>
      <c r="AF64" s="231"/>
      <c r="AG64" s="231"/>
    </row>
    <row r="65" spans="1:33" ht="15" customHeight="1">
      <c r="A65" s="1239"/>
      <c r="C65" s="356" t="s">
        <v>476</v>
      </c>
      <c r="D65" s="329">
        <f>Assumptions!S29</f>
        <v>-1.7000000000000001E-2</v>
      </c>
      <c r="E65" s="330">
        <f>Assumptions!T29</f>
        <v>-2.5000000000000001E-2</v>
      </c>
      <c r="F65" s="353" t="str">
        <f>Assumptions!V29</f>
        <v>% Revenue</v>
      </c>
      <c r="G65" s="231"/>
      <c r="I65" s="231"/>
      <c r="J65" s="231"/>
      <c r="K65" s="231"/>
      <c r="L65" s="231"/>
      <c r="M65" s="231"/>
      <c r="N65" s="231"/>
      <c r="O65" s="231"/>
      <c r="P65" s="231"/>
      <c r="Q65" s="231"/>
      <c r="R65" s="231"/>
      <c r="S65" s="231"/>
      <c r="T65" s="231"/>
      <c r="U65" s="231"/>
      <c r="V65" s="231"/>
      <c r="W65" s="231"/>
      <c r="X65" s="231"/>
      <c r="Y65" s="231"/>
      <c r="Z65" s="231"/>
      <c r="AA65" s="231"/>
      <c r="AB65" s="231"/>
      <c r="AC65" s="231"/>
      <c r="AD65" s="231"/>
      <c r="AE65" s="231"/>
      <c r="AF65" s="231"/>
      <c r="AG65" s="231"/>
    </row>
    <row r="66" spans="1:33" ht="15" customHeight="1">
      <c r="A66" s="1239"/>
      <c r="C66" s="356" t="s">
        <v>477</v>
      </c>
      <c r="D66" s="329">
        <f>Assumptions!S30</f>
        <v>0</v>
      </c>
      <c r="E66" s="330">
        <f>Assumptions!T30</f>
        <v>0</v>
      </c>
      <c r="F66" s="353" t="str">
        <f>Assumptions!V30</f>
        <v>% Revenue</v>
      </c>
      <c r="G66" s="231"/>
      <c r="I66" s="231"/>
      <c r="J66" s="231"/>
      <c r="K66" s="231"/>
      <c r="L66" s="231"/>
      <c r="M66" s="231"/>
      <c r="N66" s="231"/>
      <c r="O66" s="231"/>
      <c r="P66" s="231"/>
      <c r="Q66" s="231"/>
      <c r="R66" s="231"/>
      <c r="S66" s="231"/>
      <c r="T66" s="231"/>
      <c r="U66" s="231"/>
      <c r="V66" s="231"/>
      <c r="W66" s="231"/>
      <c r="X66" s="231"/>
      <c r="Y66" s="231"/>
      <c r="Z66" s="231"/>
      <c r="AA66" s="231"/>
      <c r="AB66" s="231"/>
      <c r="AC66" s="231"/>
      <c r="AD66" s="231"/>
      <c r="AE66" s="231"/>
      <c r="AF66" s="231"/>
      <c r="AG66" s="231"/>
    </row>
    <row r="67" spans="1:33" ht="15.75" customHeight="1">
      <c r="A67" s="1239"/>
      <c r="C67" s="354" t="s">
        <v>281</v>
      </c>
      <c r="D67" s="514">
        <f>Assumptions!S31</f>
        <v>2</v>
      </c>
      <c r="E67" s="514">
        <v>1.9</v>
      </c>
      <c r="F67" s="513" t="str">
        <f>Assumptions!V31</f>
        <v>% EBITDA</v>
      </c>
      <c r="G67" s="231"/>
      <c r="J67" s="231"/>
      <c r="K67" s="231"/>
      <c r="L67" s="231"/>
      <c r="M67" s="231"/>
      <c r="N67" s="231"/>
      <c r="O67" s="231"/>
      <c r="P67" s="231"/>
      <c r="Q67" s="231"/>
      <c r="R67" s="231"/>
      <c r="S67" s="231"/>
      <c r="T67" s="231"/>
      <c r="U67" s="231"/>
      <c r="V67" s="231"/>
      <c r="W67" s="231"/>
      <c r="X67" s="231"/>
      <c r="Y67" s="231"/>
      <c r="Z67" s="231"/>
      <c r="AA67" s="231"/>
      <c r="AB67" s="231"/>
      <c r="AC67" s="231"/>
      <c r="AD67" s="231"/>
      <c r="AE67" s="231"/>
      <c r="AF67" s="231"/>
      <c r="AG67" s="231"/>
    </row>
    <row r="68" spans="1:33" ht="14.45">
      <c r="A68" s="231"/>
      <c r="C68" s="231"/>
      <c r="D68" s="231"/>
      <c r="E68" s="231"/>
      <c r="F68" s="231"/>
      <c r="G68" s="231"/>
      <c r="H68" s="231"/>
      <c r="I68" s="231"/>
      <c r="J68" s="231"/>
      <c r="K68" s="231"/>
      <c r="L68" s="231"/>
      <c r="M68" s="231"/>
      <c r="N68" s="231"/>
      <c r="O68" s="231"/>
      <c r="P68" s="231"/>
      <c r="Q68" s="231"/>
      <c r="R68" s="231"/>
      <c r="S68" s="231"/>
      <c r="T68" s="231"/>
      <c r="U68" s="231"/>
      <c r="V68" s="231"/>
      <c r="W68" s="231"/>
      <c r="X68" s="231"/>
      <c r="Y68" s="231"/>
      <c r="Z68" s="231"/>
      <c r="AA68" s="231"/>
      <c r="AB68" s="231"/>
      <c r="AC68" s="231"/>
      <c r="AD68" s="231"/>
      <c r="AE68" s="231"/>
      <c r="AF68" s="231"/>
      <c r="AG68" s="231"/>
    </row>
    <row r="69" spans="1:33" ht="14.45">
      <c r="A69" s="1218" t="s">
        <v>110</v>
      </c>
      <c r="C69" s="282"/>
      <c r="D69" s="331" t="s">
        <v>478</v>
      </c>
      <c r="E69" s="2"/>
      <c r="G69" s="231"/>
      <c r="H69" s="231"/>
      <c r="I69" s="231"/>
      <c r="J69" s="231"/>
      <c r="K69" s="231"/>
      <c r="L69" s="231"/>
      <c r="M69" s="231"/>
      <c r="N69" s="231"/>
      <c r="O69" s="231"/>
      <c r="P69" s="231"/>
      <c r="Q69" s="231"/>
      <c r="R69" s="231"/>
      <c r="S69" s="231"/>
      <c r="T69" s="231"/>
      <c r="U69" s="231"/>
      <c r="V69" s="231"/>
      <c r="W69" s="231"/>
      <c r="X69" s="231"/>
      <c r="Y69" s="231"/>
      <c r="Z69" s="231"/>
      <c r="AA69" s="231"/>
      <c r="AB69" s="231"/>
      <c r="AC69" s="231"/>
      <c r="AD69" s="231"/>
      <c r="AE69" s="231"/>
      <c r="AF69" s="231"/>
      <c r="AG69" s="231"/>
    </row>
    <row r="70" spans="1:33" ht="14.45">
      <c r="A70" s="1219"/>
      <c r="C70" s="282" t="s">
        <v>479</v>
      </c>
      <c r="D70" s="332">
        <f>SUMPRODUCT(G35:AF35,G45:AF45)+((AF43-AF44)*AF45)</f>
        <v>105417.25254714806</v>
      </c>
      <c r="E70" s="294">
        <f>D70/D72</f>
        <v>0.66461096645518702</v>
      </c>
      <c r="G70" s="231"/>
      <c r="H70" s="231"/>
      <c r="I70" s="231"/>
      <c r="J70" s="231"/>
      <c r="K70" s="231"/>
      <c r="L70" s="231"/>
      <c r="M70" s="231"/>
      <c r="N70" s="231"/>
      <c r="O70" s="231"/>
      <c r="P70" s="231"/>
      <c r="Q70" s="231"/>
      <c r="R70" s="231"/>
      <c r="S70" s="231"/>
      <c r="T70" s="231"/>
      <c r="U70" s="231"/>
      <c r="V70" s="231"/>
      <c r="W70" s="231"/>
      <c r="X70" s="231"/>
      <c r="Y70" s="231"/>
      <c r="Z70" s="231"/>
      <c r="AA70" s="231"/>
      <c r="AB70" s="231"/>
      <c r="AC70" s="231"/>
      <c r="AD70" s="231"/>
      <c r="AE70" s="231"/>
      <c r="AF70" s="231"/>
      <c r="AG70" s="231"/>
    </row>
    <row r="71" spans="1:33" ht="14.45">
      <c r="A71" s="1219"/>
      <c r="C71" s="282" t="s">
        <v>480</v>
      </c>
      <c r="D71" s="332">
        <f>(AF34/(F50-AF5))*AF45</f>
        <v>53197.723533382908</v>
      </c>
      <c r="E71" s="294">
        <f>D71/D72</f>
        <v>0.33538903354481298</v>
      </c>
      <c r="G71" s="231"/>
      <c r="H71" s="231"/>
      <c r="I71" s="231"/>
      <c r="J71" s="231"/>
      <c r="K71" s="231"/>
      <c r="L71" s="231"/>
      <c r="M71" s="231"/>
      <c r="N71" s="231"/>
      <c r="O71" s="231"/>
      <c r="P71" s="231"/>
      <c r="Q71" s="231"/>
      <c r="R71" s="231"/>
      <c r="S71" s="231"/>
      <c r="T71" s="231"/>
      <c r="U71" s="231"/>
      <c r="V71" s="231"/>
      <c r="W71" s="231"/>
      <c r="X71" s="231"/>
      <c r="Y71" s="231"/>
      <c r="Z71" s="231"/>
      <c r="AA71" s="231"/>
      <c r="AB71" s="231"/>
      <c r="AC71" s="231"/>
      <c r="AD71" s="231"/>
      <c r="AE71" s="231"/>
      <c r="AF71" s="231"/>
      <c r="AG71" s="231"/>
    </row>
    <row r="72" spans="1:33" ht="14.45">
      <c r="A72" s="1219"/>
      <c r="C72" s="282" t="s">
        <v>481</v>
      </c>
      <c r="D72" s="332">
        <f>D70+D71</f>
        <v>158614.97608053096</v>
      </c>
      <c r="E72" s="2"/>
      <c r="G72" s="231"/>
      <c r="H72" s="231"/>
      <c r="I72" s="231"/>
      <c r="J72" s="231"/>
      <c r="K72" s="231"/>
      <c r="L72" s="231"/>
      <c r="M72" s="231"/>
      <c r="N72" s="231"/>
      <c r="O72" s="231"/>
      <c r="P72" s="231"/>
      <c r="Q72" s="231"/>
      <c r="R72" s="231"/>
      <c r="S72" s="231"/>
      <c r="T72" s="231"/>
      <c r="U72" s="231"/>
      <c r="V72" s="231"/>
      <c r="W72" s="231"/>
      <c r="X72" s="231"/>
      <c r="Y72" s="231"/>
      <c r="Z72" s="231"/>
      <c r="AA72" s="231"/>
      <c r="AB72" s="231"/>
      <c r="AC72" s="231"/>
      <c r="AD72" s="231"/>
      <c r="AE72" s="231"/>
      <c r="AF72" s="231"/>
      <c r="AG72" s="231"/>
    </row>
    <row r="73" spans="1:33" ht="14.45">
      <c r="A73" s="1219"/>
      <c r="C73" s="504" t="s">
        <v>482</v>
      </c>
      <c r="D73" s="505" t="e" vm="6">
        <f>OP!C20</f>
        <v>#VALUE!</v>
      </c>
      <c r="E73" s="283"/>
      <c r="G73" s="231"/>
      <c r="H73" s="231"/>
      <c r="I73" s="231"/>
      <c r="J73" s="231"/>
      <c r="K73" s="231"/>
      <c r="L73" s="231"/>
      <c r="M73" s="231"/>
      <c r="N73" s="231"/>
      <c r="O73" s="231"/>
      <c r="P73" s="231"/>
      <c r="Q73" s="231"/>
      <c r="R73" s="231"/>
      <c r="S73" s="231"/>
      <c r="T73" s="231"/>
      <c r="U73" s="231"/>
      <c r="V73" s="231"/>
      <c r="W73" s="231"/>
      <c r="X73" s="231"/>
      <c r="Y73" s="231"/>
      <c r="Z73" s="231"/>
      <c r="AA73" s="231"/>
      <c r="AB73" s="231"/>
      <c r="AC73" s="231"/>
      <c r="AD73" s="231"/>
      <c r="AE73" s="231"/>
      <c r="AF73" s="231"/>
      <c r="AG73" s="231"/>
    </row>
    <row r="74" spans="1:33" ht="14.45">
      <c r="A74" s="1219"/>
      <c r="C74" s="504" t="s">
        <v>483</v>
      </c>
      <c r="D74" s="333" t="e" vm="6">
        <f>D75/D73-1</f>
        <v>#VALUE!</v>
      </c>
      <c r="H74" s="231"/>
      <c r="I74" s="231"/>
      <c r="J74" s="231"/>
      <c r="K74" s="231"/>
      <c r="L74" s="231"/>
      <c r="M74" s="231"/>
      <c r="N74" s="231"/>
      <c r="O74" s="231"/>
      <c r="P74" s="231"/>
      <c r="Q74" s="231"/>
      <c r="R74" s="231"/>
      <c r="S74" s="231"/>
      <c r="T74" s="231"/>
      <c r="U74" s="231"/>
      <c r="V74" s="231"/>
      <c r="W74" s="231"/>
      <c r="X74" s="231"/>
      <c r="Y74" s="231"/>
      <c r="Z74" s="231"/>
      <c r="AA74" s="231"/>
      <c r="AB74" s="231"/>
      <c r="AC74" s="231"/>
      <c r="AD74" s="231"/>
      <c r="AE74" s="231"/>
      <c r="AF74" s="231"/>
      <c r="AG74" s="231"/>
    </row>
    <row r="75" spans="1:33" ht="14.45">
      <c r="A75" s="1220"/>
      <c r="C75" s="334" t="s">
        <v>484</v>
      </c>
      <c r="D75" s="335" t="e" vm="6">
        <f>D72*1000000/OP!C21</f>
        <v>#VALUE!</v>
      </c>
    </row>
    <row r="76" spans="1:33" ht="14.45">
      <c r="A76" s="319"/>
      <c r="C76" s="283"/>
      <c r="D76" s="506"/>
    </row>
    <row r="77" spans="1:33" ht="14.45">
      <c r="A77" s="1214" t="s">
        <v>485</v>
      </c>
      <c r="C77" s="348" t="s">
        <v>486</v>
      </c>
      <c r="D77" s="505" t="e" vm="6">
        <f>(SUMPRODUCT(G35:AF35,G45:AF45)+((AF43-AF44)*AF45)+(AF34/(F50+0.001-AF5))*AF45)*1000000/OP!C21</f>
        <v>#VALUE!</v>
      </c>
      <c r="E77" s="336" t="e" vm="6">
        <f>D77/D75-1</f>
        <v>#VALUE!</v>
      </c>
    </row>
    <row r="78" spans="1:33" ht="14.45">
      <c r="A78" s="1215"/>
      <c r="C78" s="348" t="s">
        <v>487</v>
      </c>
      <c r="D78" s="505" t="e" vm="6">
        <f>(SUMPRODUCT(G35:AF35,G45:AF45)+((AF43-AF44)*AF45)+(AF34/(F50+0.005-AF5))*AF45)*1000000/OP!C21</f>
        <v>#VALUE!</v>
      </c>
      <c r="E78" s="336" t="e" vm="6">
        <f>D78/D75-1</f>
        <v>#VALUE!</v>
      </c>
    </row>
    <row r="79" spans="1:33" ht="14.45">
      <c r="A79" s="346"/>
      <c r="C79" s="347"/>
      <c r="D79" s="506"/>
      <c r="E79" s="336"/>
    </row>
    <row r="80" spans="1:33" ht="14.45">
      <c r="A80" s="534" t="s">
        <v>488</v>
      </c>
      <c r="C80" s="515" t="s">
        <v>489</v>
      </c>
      <c r="D80" s="335" t="e" vm="6">
        <f>D75/1.15</f>
        <v>#VALUE!</v>
      </c>
      <c r="J80" s="5"/>
    </row>
    <row r="81" spans="7:12">
      <c r="G81" s="1"/>
      <c r="H81" s="1"/>
      <c r="I81" s="1"/>
      <c r="J81" s="4"/>
    </row>
    <row r="82" spans="7:12">
      <c r="G82" s="1"/>
      <c r="H82" s="1"/>
      <c r="I82" s="1"/>
      <c r="J82" s="4"/>
    </row>
    <row r="83" spans="7:12">
      <c r="G83" s="1"/>
      <c r="H83" s="1"/>
      <c r="I83" s="1"/>
      <c r="K83" s="4"/>
    </row>
    <row r="84" spans="7:12">
      <c r="L84" s="5"/>
    </row>
    <row r="85" spans="7:12">
      <c r="G85" s="1"/>
      <c r="H85" s="1"/>
      <c r="I85" s="1"/>
    </row>
    <row r="86" spans="7:12">
      <c r="G86" s="1"/>
      <c r="H86" s="1"/>
      <c r="I86" s="1"/>
    </row>
    <row r="87" spans="7:12">
      <c r="G87" s="1"/>
      <c r="H87" s="1"/>
      <c r="I87" s="1"/>
    </row>
  </sheetData>
  <mergeCells count="15">
    <mergeCell ref="A33:AF33"/>
    <mergeCell ref="A77:A78"/>
    <mergeCell ref="A1:AF2"/>
    <mergeCell ref="A69:A75"/>
    <mergeCell ref="A5:A17"/>
    <mergeCell ref="A19:A32"/>
    <mergeCell ref="A43:A47"/>
    <mergeCell ref="G3:J3"/>
    <mergeCell ref="K3:AF3"/>
    <mergeCell ref="A42:AF42"/>
    <mergeCell ref="A48:AF48"/>
    <mergeCell ref="A34:A36"/>
    <mergeCell ref="A38:A41"/>
    <mergeCell ref="A49:A50"/>
    <mergeCell ref="A52:A67"/>
  </mergeCells>
  <phoneticPr fontId="0" type="noConversion"/>
  <conditionalFormatting sqref="D74">
    <cfRule type="cellIs" dxfId="1" priority="1" operator="lessThan">
      <formula>0</formula>
    </cfRule>
    <cfRule type="cellIs" dxfId="0" priority="2" operator="greaterThan">
      <formula>0%</formula>
    </cfRule>
  </conditionalFormatting>
  <pageMargins left="0.75" right="0.75" top="1" bottom="1" header="0" footer="0"/>
  <pageSetup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A2:CB395"/>
  <sheetViews>
    <sheetView showGridLines="0" zoomScale="77" zoomScaleNormal="100" workbookViewId="0">
      <selection activeCell="L44" sqref="L44"/>
    </sheetView>
  </sheetViews>
  <sheetFormatPr defaultColWidth="9.28515625" defaultRowHeight="12.75" customHeight="1"/>
  <cols>
    <col min="1" max="1" width="8.7109375" style="476" customWidth="1"/>
    <col min="2" max="2" width="19.7109375" style="476" customWidth="1"/>
    <col min="3" max="3" width="15.85546875" style="476" customWidth="1"/>
    <col min="4" max="4" width="12.7109375" style="476" customWidth="1"/>
    <col min="5" max="5" width="16" style="476" customWidth="1"/>
    <col min="6" max="6" width="12.7109375" style="476" customWidth="1"/>
    <col min="7" max="13" width="14.140625" style="476" customWidth="1"/>
    <col min="14" max="16" width="11.28515625" style="476" bestFit="1" customWidth="1"/>
    <col min="17" max="17" width="11.5703125" style="476" bestFit="1" customWidth="1"/>
    <col min="18" max="18" width="11.28515625" style="476" bestFit="1" customWidth="1"/>
    <col min="19" max="19" width="18.42578125" style="476" bestFit="1" customWidth="1"/>
    <col min="20" max="20" width="18.140625" style="476" bestFit="1" customWidth="1"/>
    <col min="21" max="34" width="12.28515625" style="476" bestFit="1" customWidth="1"/>
    <col min="35" max="16384" width="9.28515625" style="476"/>
  </cols>
  <sheetData>
    <row r="2" spans="1:36" s="475" customFormat="1" ht="15" customHeight="1">
      <c r="A2" s="472"/>
      <c r="B2" s="473" t="s">
        <v>490</v>
      </c>
      <c r="C2" s="474"/>
      <c r="D2" s="472"/>
      <c r="E2" s="472"/>
      <c r="F2" s="472"/>
      <c r="G2" s="472"/>
      <c r="H2" s="472"/>
      <c r="I2" s="472"/>
      <c r="J2" s="472"/>
      <c r="K2" s="472"/>
      <c r="L2" s="472"/>
      <c r="M2" s="472"/>
      <c r="N2" s="472"/>
      <c r="O2" s="472"/>
      <c r="P2" s="472"/>
      <c r="Q2" s="472"/>
      <c r="R2" s="472"/>
      <c r="S2" s="472"/>
      <c r="T2" s="472"/>
      <c r="U2" s="472"/>
      <c r="V2" s="472"/>
      <c r="W2" s="472"/>
      <c r="X2" s="472"/>
      <c r="Y2" s="472"/>
      <c r="Z2" s="472"/>
      <c r="AA2" s="472"/>
      <c r="AB2" s="472"/>
      <c r="AC2" s="472"/>
      <c r="AD2" s="472"/>
      <c r="AE2" s="472"/>
      <c r="AF2" s="472"/>
      <c r="AG2" s="472"/>
      <c r="AH2" s="472"/>
    </row>
    <row r="3" spans="1:36" ht="12.4" customHeight="1">
      <c r="C3" s="477"/>
    </row>
    <row r="4" spans="1:36" ht="13.15">
      <c r="B4" s="476" t="s">
        <v>491</v>
      </c>
      <c r="F4" s="478"/>
      <c r="G4" s="479"/>
      <c r="H4" s="479"/>
      <c r="I4" s="479"/>
      <c r="J4" s="479"/>
      <c r="K4" s="479"/>
      <c r="L4" s="479"/>
      <c r="M4" s="479"/>
    </row>
    <row r="5" spans="1:36" ht="13.15">
      <c r="B5" s="480"/>
      <c r="G5" s="481"/>
      <c r="H5" s="481"/>
      <c r="I5" s="481"/>
      <c r="J5" s="481"/>
      <c r="K5" s="481"/>
      <c r="L5" s="481"/>
      <c r="M5" s="481"/>
    </row>
    <row r="6" spans="1:36" ht="13.15">
      <c r="B6" s="476" t="s">
        <v>492</v>
      </c>
    </row>
    <row r="8" spans="1:36" ht="13.15">
      <c r="B8" s="479"/>
      <c r="C8" s="495">
        <v>2023</v>
      </c>
      <c r="D8" s="495">
        <f>C8-1</f>
        <v>2022</v>
      </c>
      <c r="E8" s="495">
        <f t="shared" ref="E8:G8" si="0">D8-1</f>
        <v>2021</v>
      </c>
      <c r="F8" s="495">
        <f t="shared" si="0"/>
        <v>2020</v>
      </c>
      <c r="G8" s="495">
        <f t="shared" si="0"/>
        <v>2019</v>
      </c>
      <c r="H8" s="495">
        <f t="shared" ref="H8" si="1">G8-1</f>
        <v>2018</v>
      </c>
      <c r="I8" s="495">
        <f t="shared" ref="I8" si="2">H8-1</f>
        <v>2017</v>
      </c>
      <c r="J8" s="495">
        <f t="shared" ref="J8" si="3">I8-1</f>
        <v>2016</v>
      </c>
      <c r="K8" s="495">
        <f t="shared" ref="K8:M8" si="4">J8-1</f>
        <v>2015</v>
      </c>
      <c r="L8" s="495">
        <f t="shared" si="4"/>
        <v>2014</v>
      </c>
      <c r="M8" s="495">
        <f t="shared" si="4"/>
        <v>2013</v>
      </c>
      <c r="O8" s="495" t="s">
        <v>493</v>
      </c>
      <c r="P8" s="495" t="s">
        <v>494</v>
      </c>
      <c r="Q8" s="495" t="s">
        <v>495</v>
      </c>
      <c r="S8" s="491" t="s">
        <v>496</v>
      </c>
      <c r="T8" s="491" t="s">
        <v>497</v>
      </c>
    </row>
    <row r="9" spans="1:36" ht="13.15">
      <c r="B9" s="494" t="s">
        <v>498</v>
      </c>
      <c r="C9" s="271">
        <f>(Inputs!B6-Inputs!C6)/Inputs!C6</f>
        <v>-9.3484023998883767E-2</v>
      </c>
      <c r="D9" s="271">
        <f>(Inputs!C6-Inputs!D6)/Inputs!D6</f>
        <v>3.1360819020012955E-2</v>
      </c>
      <c r="E9" s="271">
        <f>(Inputs!D6-Inputs!E6)/Inputs!E6</f>
        <v>0.14958406201257268</v>
      </c>
      <c r="F9" s="271">
        <f>(Inputs!E6-Inputs!F6)/Inputs!F6</f>
        <v>0.14217075606661808</v>
      </c>
      <c r="G9" s="271">
        <f>(Inputs!F6-Inputs!G6)/Inputs!G6</f>
        <v>3.1073878738119426E-2</v>
      </c>
      <c r="H9" s="271">
        <f>(Inputs!G6-Inputs!H6)/Inputs!H6</f>
        <v>9.0918751518095697E-2</v>
      </c>
      <c r="I9" s="271">
        <f>(Inputs!H6-Inputs!I6)/Inputs!I6</f>
        <v>8.1535480905001151E-2</v>
      </c>
      <c r="J9" s="271">
        <f>(Inputs!I6-Inputs!J6)/Inputs!J6</f>
        <v>4.3572126175830575E-2</v>
      </c>
      <c r="K9" s="271">
        <f>(Inputs!J6-Inputs!K6)/Inputs!K6</f>
        <v>2.2496222008517655E-3</v>
      </c>
      <c r="L9" s="271">
        <f>(Inputs!K6-Inputs!L6)/Inputs!L6</f>
        <v>5.0398643529708867E-2</v>
      </c>
      <c r="M9" s="271">
        <f>(Inputs!L6-Inputs!M6)/Inputs!M6</f>
        <v>2.4220814011491492E-2</v>
      </c>
      <c r="O9" s="481">
        <f>AVERAGE(C9:M9)</f>
        <v>5.0327357289038081E-2</v>
      </c>
      <c r="P9" s="484">
        <f>AVERAGE(C9:G9)</f>
        <v>5.2141098367687877E-2</v>
      </c>
      <c r="Q9" s="484">
        <f>AVERAGE(C9:E9)</f>
        <v>2.915361901123396E-2</v>
      </c>
      <c r="S9" s="597">
        <v>3.5000000000000003E-2</v>
      </c>
      <c r="T9" s="597">
        <v>0.05</v>
      </c>
    </row>
    <row r="10" spans="1:36" ht="12.75" customHeight="1">
      <c r="B10" s="494" t="s">
        <v>123</v>
      </c>
      <c r="C10" s="271">
        <f>Inputs!B8/Inputs!B6</f>
        <v>0.10049693265023417</v>
      </c>
      <c r="D10" s="271">
        <f>Inputs!C8/Inputs!C6</f>
        <v>0.13049891367178934</v>
      </c>
      <c r="E10" s="271">
        <f>Inputs!D8/Inputs!D6</f>
        <v>0.13167226864843196</v>
      </c>
      <c r="F10" s="271">
        <f>Inputs!E8/Inputs!E6</f>
        <v>9.0797372028170342E-2</v>
      </c>
      <c r="G10" s="271">
        <f>Inputs!F8/Inputs!F6</f>
        <v>0.10524468917861095</v>
      </c>
      <c r="H10" s="271">
        <f>Inputs!G8/Inputs!G6</f>
        <v>9.7744256272526128E-2</v>
      </c>
      <c r="I10" s="271">
        <f>Inputs!H8/Inputs!H6</f>
        <v>0.11429742530969152</v>
      </c>
      <c r="J10" s="271">
        <f>Inputs!I8/Inputs!I6</f>
        <v>8.97612714675073E-2</v>
      </c>
      <c r="K10" s="271">
        <f>Inputs!J8/Inputs!J6</f>
        <v>0.13138461011257133</v>
      </c>
      <c r="L10" s="271">
        <f>Inputs!K8/Inputs!K6</f>
        <v>8.5313916746805885E-2</v>
      </c>
      <c r="M10" s="271">
        <f>Inputs!L8/Inputs!L6</f>
        <v>0.1268804790937624</v>
      </c>
      <c r="O10" s="481">
        <f>AVERAGE(C10:M10)</f>
        <v>0.10946292138000921</v>
      </c>
      <c r="P10" s="484">
        <f>AVERAGE(C10:G10)</f>
        <v>0.11174203523544735</v>
      </c>
      <c r="Q10" s="484">
        <f>AVERAGE(C10:E10)</f>
        <v>0.1208893716568185</v>
      </c>
      <c r="S10" s="597">
        <v>0.11600000000000001</v>
      </c>
      <c r="T10" s="597">
        <v>0.108</v>
      </c>
    </row>
    <row r="13" spans="1:36" s="475" customFormat="1" ht="13.9">
      <c r="A13" s="472"/>
      <c r="B13" s="474" t="s">
        <v>499</v>
      </c>
      <c r="C13" s="474"/>
      <c r="D13" s="472"/>
      <c r="E13" s="472"/>
      <c r="F13" s="472"/>
      <c r="G13" s="472"/>
      <c r="H13" s="472"/>
      <c r="I13" s="472"/>
      <c r="J13" s="472"/>
      <c r="K13" s="472"/>
      <c r="L13" s="472"/>
      <c r="M13" s="472"/>
      <c r="N13" s="472"/>
      <c r="O13" s="472"/>
      <c r="P13" s="472"/>
      <c r="Q13" s="472"/>
      <c r="R13" s="472"/>
      <c r="S13" s="472"/>
      <c r="T13" s="472"/>
      <c r="U13" s="472"/>
      <c r="V13" s="472"/>
      <c r="W13" s="472"/>
      <c r="X13" s="472"/>
      <c r="Y13" s="472"/>
      <c r="Z13" s="472"/>
      <c r="AA13" s="472"/>
      <c r="AB13" s="472"/>
      <c r="AC13" s="472"/>
      <c r="AD13" s="472"/>
      <c r="AE13" s="472"/>
      <c r="AF13" s="472"/>
      <c r="AG13" s="472"/>
      <c r="AH13" s="472"/>
    </row>
    <row r="14" spans="1:36" ht="13.9">
      <c r="A14" s="492"/>
      <c r="B14" s="493"/>
      <c r="C14" s="493"/>
      <c r="D14" s="492"/>
      <c r="E14" s="492"/>
      <c r="F14" s="492"/>
      <c r="G14" s="492"/>
      <c r="H14" s="492"/>
      <c r="I14" s="492"/>
      <c r="J14" s="492"/>
      <c r="K14" s="492"/>
      <c r="L14" s="492"/>
      <c r="M14" s="492"/>
      <c r="N14" s="492"/>
      <c r="O14" s="492"/>
      <c r="P14" s="492"/>
      <c r="Q14" s="492"/>
      <c r="R14" s="492"/>
      <c r="S14" s="492"/>
      <c r="T14" s="492"/>
      <c r="U14" s="492"/>
      <c r="V14" s="492"/>
      <c r="W14" s="492"/>
      <c r="X14" s="492"/>
      <c r="Y14" s="492"/>
      <c r="Z14" s="492"/>
      <c r="AA14" s="492"/>
      <c r="AB14" s="492"/>
      <c r="AC14" s="492"/>
      <c r="AD14" s="492"/>
      <c r="AE14" s="492"/>
      <c r="AF14" s="492"/>
      <c r="AG14" s="492"/>
      <c r="AH14" s="492"/>
    </row>
    <row r="15" spans="1:36" ht="14.45">
      <c r="C15" s="1275" t="s">
        <v>500</v>
      </c>
      <c r="D15" s="1275"/>
      <c r="E15" s="1275"/>
      <c r="F15" s="1275"/>
      <c r="G15" s="1275"/>
      <c r="H15" s="1275"/>
      <c r="I15" s="1275"/>
      <c r="J15" s="1275"/>
      <c r="K15" s="1275"/>
      <c r="L15" s="1275"/>
      <c r="M15" s="1275"/>
    </row>
    <row r="16" spans="1:36" ht="14.45">
      <c r="B16" s="482"/>
      <c r="C16" s="490">
        <f>C8</f>
        <v>2023</v>
      </c>
      <c r="D16" s="490">
        <f>D8</f>
        <v>2022</v>
      </c>
      <c r="E16" s="490">
        <f>E8</f>
        <v>2021</v>
      </c>
      <c r="F16" s="490">
        <f>F8</f>
        <v>2020</v>
      </c>
      <c r="G16" s="490">
        <f>G8</f>
        <v>2019</v>
      </c>
      <c r="H16" s="490">
        <f t="shared" ref="H16:Q16" si="5">H8</f>
        <v>2018</v>
      </c>
      <c r="I16" s="490">
        <f t="shared" si="5"/>
        <v>2017</v>
      </c>
      <c r="J16" s="490">
        <f t="shared" si="5"/>
        <v>2016</v>
      </c>
      <c r="K16" s="490">
        <f t="shared" si="5"/>
        <v>2015</v>
      </c>
      <c r="L16" s="490">
        <f t="shared" si="5"/>
        <v>2014</v>
      </c>
      <c r="M16" s="490">
        <f t="shared" si="5"/>
        <v>2013</v>
      </c>
      <c r="N16" s="490"/>
      <c r="O16" s="490" t="str">
        <f t="shared" si="5"/>
        <v xml:space="preserve">10Y Average </v>
      </c>
      <c r="P16" s="490" t="str">
        <f t="shared" si="5"/>
        <v xml:space="preserve">5Y Average </v>
      </c>
      <c r="Q16" s="490" t="str">
        <f t="shared" si="5"/>
        <v xml:space="preserve">3Y Average </v>
      </c>
      <c r="S16" s="491" t="s">
        <v>496</v>
      </c>
      <c r="T16" s="491" t="s">
        <v>497</v>
      </c>
      <c r="V16" s="512" t="s">
        <v>501</v>
      </c>
      <c r="Y16" s="835"/>
      <c r="Z16" s="835"/>
      <c r="AA16" s="835"/>
      <c r="AB16" s="835"/>
      <c r="AC16" s="835"/>
      <c r="AD16" s="835"/>
      <c r="AE16" s="835"/>
      <c r="AF16" s="835"/>
      <c r="AG16" s="835"/>
      <c r="AH16" s="835"/>
      <c r="AI16" s="835"/>
      <c r="AJ16" s="835"/>
    </row>
    <row r="17" spans="2:38" ht="14.45">
      <c r="B17" s="494" t="s">
        <v>465</v>
      </c>
      <c r="C17" s="660">
        <f>DCF!F9/DCF!F40</f>
        <v>-7.1582672775313314E-2</v>
      </c>
      <c r="D17" s="660">
        <f>DCF!E9/DCF!E40</f>
        <v>-8.2861152986432401E-2</v>
      </c>
      <c r="E17" s="660">
        <f>DCF!D9/DCF!D40</f>
        <v>-9.0882090882090885E-2</v>
      </c>
      <c r="F17" s="660">
        <f>-('[2]Income Statement'!$B$164-'[2]Income Statement'!$B$166)/'Fin. Data'!B42</f>
        <v>-6.9325754499932321E-2</v>
      </c>
      <c r="G17" s="660">
        <f>-('[2]Income Statement'!$B$164-'[2]Income Statement'!$B$166)/'Fin. Data'!C42</f>
        <v>-7.3770557907773829E-2</v>
      </c>
      <c r="H17" s="660">
        <f>-('[2]Income Statement'!$B$164-'[2]Income Statement'!$B$166)/'Fin. Data'!D42</f>
        <v>-7.6512023898431661E-2</v>
      </c>
      <c r="I17" s="660">
        <f>-('[2]Income Statement'!$B$164-'[2]Income Statement'!$B$166)/'Fin. Data'!E42</f>
        <v>-7.940844546412848E-2</v>
      </c>
      <c r="J17" s="660">
        <f>-('[2]Income Statement'!$B$164-'[2]Income Statement'!$B$166)/'Fin. Data'!F42</f>
        <v>-8.4024670297224588E-2</v>
      </c>
      <c r="K17" s="660">
        <f>-('[2]Income Statement'!$B$164-'[2]Income Statement'!$B$166)/'Fin. Data'!G42</f>
        <v>-9.6374172185430457E-2</v>
      </c>
      <c r="L17" s="660">
        <f>-('[2]Income Statement'!$B$164-'[2]Income Statement'!$B$166)/'Fin. Data'!H42</f>
        <v>-0.11579889682611447</v>
      </c>
      <c r="M17" s="660">
        <f>-('[2]Income Statement'!$B$164-'[2]Income Statement'!$B$166)/'Fin. Data'!I42</f>
        <v>-0.13623617021276593</v>
      </c>
      <c r="O17" s="483">
        <f>AVERAGE(C17:M17)</f>
        <v>-8.8797873448694387E-2</v>
      </c>
      <c r="P17" s="484">
        <f>AVERAGE(C17:G17)</f>
        <v>-7.7684445810308547E-2</v>
      </c>
      <c r="Q17" s="484">
        <f>AVERAGE(C17:E17)</f>
        <v>-8.1775305547945529E-2</v>
      </c>
      <c r="S17" s="597">
        <v>-7.8E-2</v>
      </c>
      <c r="T17" s="597">
        <v>-8.5000000000000006E-2</v>
      </c>
      <c r="V17" s="511" t="s">
        <v>502</v>
      </c>
      <c r="Y17" s="805"/>
      <c r="Z17" s="806">
        <v>2023</v>
      </c>
      <c r="AA17" s="806">
        <v>2022</v>
      </c>
      <c r="AB17" s="806">
        <v>2021</v>
      </c>
      <c r="AC17" s="806">
        <v>2020</v>
      </c>
      <c r="AD17" s="806">
        <v>2019</v>
      </c>
      <c r="AE17" s="806">
        <v>2018</v>
      </c>
      <c r="AF17" s="807">
        <v>2017</v>
      </c>
      <c r="AG17" s="1294">
        <v>2016</v>
      </c>
      <c r="AH17" s="1295"/>
      <c r="AI17" s="806">
        <v>2015</v>
      </c>
      <c r="AJ17" s="806">
        <v>2014</v>
      </c>
      <c r="AK17" s="806">
        <v>2013</v>
      </c>
      <c r="AL17" s="806">
        <v>2012</v>
      </c>
    </row>
    <row r="18" spans="2:38" ht="14.45">
      <c r="B18" s="494" t="s">
        <v>466</v>
      </c>
      <c r="C18" s="662">
        <f t="shared" ref="C18:J18" si="6">-Z23/Z21</f>
        <v>-6.3613231552162849E-2</v>
      </c>
      <c r="D18" s="662">
        <f t="shared" si="6"/>
        <v>-4.2621515107283611E-2</v>
      </c>
      <c r="E18" s="662">
        <f t="shared" si="6"/>
        <v>-4.704752760441671E-2</v>
      </c>
      <c r="F18" s="662">
        <f t="shared" si="6"/>
        <v>-5.0322131290266414E-2</v>
      </c>
      <c r="G18" s="662">
        <f t="shared" si="6"/>
        <v>-5.8537497662240506E-2</v>
      </c>
      <c r="H18" s="662">
        <f t="shared" si="6"/>
        <v>-5.1183491806595184E-2</v>
      </c>
      <c r="I18" s="662">
        <f t="shared" si="6"/>
        <v>-4.1284403669724773E-2</v>
      </c>
      <c r="J18" s="662">
        <f t="shared" si="6"/>
        <v>-3.5620368156825247E-2</v>
      </c>
      <c r="K18" s="662" t="s">
        <v>19</v>
      </c>
      <c r="L18" s="662">
        <f>-AJ23/AJ21</f>
        <v>-4.6340683924576541E-2</v>
      </c>
      <c r="M18" s="662">
        <f>-AK23/AK21</f>
        <v>-4.5329670329670328E-2</v>
      </c>
      <c r="O18" s="483">
        <f>AVERAGE(C18:M18)</f>
        <v>-4.8190052110376212E-2</v>
      </c>
      <c r="P18" s="484">
        <f t="shared" ref="P18:P31" si="7">AVERAGE(C18:G18)</f>
        <v>-5.2428380643274021E-2</v>
      </c>
      <c r="Q18" s="484">
        <f t="shared" ref="Q18:Q31" si="8">AVERAGE(C18:E18)</f>
        <v>-5.1094091421287728E-2</v>
      </c>
      <c r="S18" s="597">
        <v>-0.05</v>
      </c>
      <c r="T18" s="597">
        <v>-4.7E-2</v>
      </c>
      <c r="V18" s="511" t="s">
        <v>503</v>
      </c>
      <c r="Y18" s="808" t="s">
        <v>504</v>
      </c>
      <c r="Z18" s="809">
        <v>36945</v>
      </c>
      <c r="AA18" s="809">
        <v>34719</v>
      </c>
      <c r="AB18" s="809">
        <v>33475</v>
      </c>
      <c r="AC18" s="809">
        <v>32245</v>
      </c>
      <c r="AD18" s="809">
        <v>30842</v>
      </c>
      <c r="AE18" s="809">
        <v>26576</v>
      </c>
      <c r="AF18" s="810">
        <v>22118</v>
      </c>
      <c r="AG18" s="1290">
        <v>18800</v>
      </c>
      <c r="AH18" s="1291"/>
      <c r="AI18" s="809">
        <v>18352</v>
      </c>
      <c r="AJ18" s="809">
        <v>18281</v>
      </c>
      <c r="AK18" s="809">
        <v>17961</v>
      </c>
      <c r="AL18" s="809"/>
    </row>
    <row r="19" spans="2:38" ht="14.45">
      <c r="B19" s="494" t="s">
        <v>467</v>
      </c>
      <c r="C19" s="663">
        <f>DCF!F11/DCF!F6</f>
        <v>0</v>
      </c>
      <c r="D19" s="663">
        <f>DCF!E11/DCF!E6</f>
        <v>0</v>
      </c>
      <c r="E19" s="663">
        <f>DCF!D11/DCF!D6</f>
        <v>0</v>
      </c>
      <c r="F19" s="663">
        <v>0</v>
      </c>
      <c r="G19" s="663">
        <v>0</v>
      </c>
      <c r="H19" s="663">
        <v>0</v>
      </c>
      <c r="I19" s="663">
        <v>0</v>
      </c>
      <c r="J19" s="663">
        <v>0</v>
      </c>
      <c r="K19" s="663">
        <v>0</v>
      </c>
      <c r="L19" s="663">
        <v>0</v>
      </c>
      <c r="M19" s="663">
        <v>0</v>
      </c>
      <c r="O19" s="483">
        <f t="shared" ref="O19:O31" si="9">AVERAGE(C19:M19)</f>
        <v>0</v>
      </c>
      <c r="P19" s="484">
        <f t="shared" si="7"/>
        <v>0</v>
      </c>
      <c r="Q19" s="484">
        <f t="shared" si="8"/>
        <v>0</v>
      </c>
      <c r="S19" s="597">
        <v>0</v>
      </c>
      <c r="T19" s="597">
        <v>0.03</v>
      </c>
      <c r="V19" s="511" t="s">
        <v>505</v>
      </c>
      <c r="Y19" s="811" t="s">
        <v>74</v>
      </c>
      <c r="Z19" s="812">
        <v>4308</v>
      </c>
      <c r="AA19" s="809">
        <v>3755</v>
      </c>
      <c r="AB19" s="809">
        <v>3562</v>
      </c>
      <c r="AC19" s="809">
        <v>3073</v>
      </c>
      <c r="AD19" s="809">
        <v>3073</v>
      </c>
      <c r="AE19" s="809">
        <v>3073</v>
      </c>
      <c r="AF19" s="809">
        <v>3073</v>
      </c>
      <c r="AG19" s="1293" t="s">
        <v>19</v>
      </c>
      <c r="AH19" s="1291"/>
      <c r="AI19" s="812" t="s">
        <v>19</v>
      </c>
      <c r="AJ19" s="809" t="s">
        <v>19</v>
      </c>
      <c r="AK19" s="809" t="s">
        <v>19</v>
      </c>
      <c r="AL19" s="809" t="s">
        <v>19</v>
      </c>
    </row>
    <row r="20" spans="2:38" ht="12.4" customHeight="1">
      <c r="B20" s="494" t="s">
        <v>468</v>
      </c>
      <c r="C20" s="664">
        <v>0.218</v>
      </c>
      <c r="D20" s="664">
        <v>0.221</v>
      </c>
      <c r="E20" s="664">
        <v>0.223</v>
      </c>
      <c r="F20" s="664">
        <v>0.27200000000000002</v>
      </c>
      <c r="G20" s="664">
        <v>0.214</v>
      </c>
      <c r="H20" s="664">
        <v>0.20399999999999999</v>
      </c>
      <c r="I20" s="664">
        <v>0.313</v>
      </c>
      <c r="J20" s="664">
        <v>0.33200000000000002</v>
      </c>
      <c r="K20" s="664">
        <v>0.34</v>
      </c>
      <c r="L20" s="664">
        <v>0.34599999999999997</v>
      </c>
      <c r="M20" s="664">
        <v>0.34499999999999997</v>
      </c>
      <c r="O20" s="483">
        <f t="shared" si="9"/>
        <v>0.27527272727272734</v>
      </c>
      <c r="P20" s="484">
        <f t="shared" si="7"/>
        <v>0.22960000000000003</v>
      </c>
      <c r="Q20" s="484">
        <f t="shared" si="8"/>
        <v>0.22066666666666668</v>
      </c>
      <c r="S20" s="597">
        <v>0.22</v>
      </c>
      <c r="T20" s="597">
        <v>0.26</v>
      </c>
      <c r="V20" s="511" t="s">
        <v>506</v>
      </c>
      <c r="Y20" s="813" t="s">
        <v>507</v>
      </c>
      <c r="Z20" s="814">
        <f>Z24-Z23</f>
        <v>-500</v>
      </c>
      <c r="AA20" s="814"/>
      <c r="AB20" s="814"/>
      <c r="AC20" s="814"/>
      <c r="AD20" s="814"/>
      <c r="AE20" s="814"/>
      <c r="AF20" s="814"/>
      <c r="AG20" s="1288"/>
      <c r="AH20" s="1292"/>
      <c r="AI20" s="816"/>
      <c r="AJ20" s="817"/>
      <c r="AK20" s="815"/>
      <c r="AL20" s="818"/>
    </row>
    <row r="21" spans="2:38" ht="14.45">
      <c r="B21" s="494" t="s">
        <v>469</v>
      </c>
      <c r="C21" s="665">
        <f>785/'Fin. Data'!B58</f>
        <v>2.9368850312394779E-2</v>
      </c>
      <c r="D21" s="665">
        <f>704/'Fin. Data'!C58</f>
        <v>3.0058494513470816E-2</v>
      </c>
      <c r="E21" s="665">
        <f>694/'Fin. Data'!D58</f>
        <v>2.7185835161391413E-2</v>
      </c>
      <c r="F21" s="665">
        <f>701/'Fin. Data'!E58</f>
        <v>2.525762052316783E-2</v>
      </c>
      <c r="G21" s="665">
        <f>653/'Fin. Data'!F58</f>
        <v>2.3183157595768097E-2</v>
      </c>
      <c r="H21" s="665">
        <f>605/'Fin. Data'!G58</f>
        <v>2.6609781843771992E-2</v>
      </c>
      <c r="I21" s="665">
        <f>453/'Fin. Data'!H58</f>
        <v>1.8650417884639139E-2</v>
      </c>
      <c r="J21" s="665">
        <f>381/'Fin. Data'!I58</f>
        <v>2.370139968895801E-2</v>
      </c>
      <c r="K21" s="665">
        <f>341/'Fin. Data'!J58</f>
        <v>2.3789591181805497E-2</v>
      </c>
      <c r="L21" s="665">
        <f>353/'Fin. Data'!K58</f>
        <v>3.2724575878372117E-2</v>
      </c>
      <c r="M21" s="665">
        <f>380/'Fin. Data'!L58</f>
        <v>3.4952170713760118E-2</v>
      </c>
      <c r="O21" s="483">
        <f t="shared" si="9"/>
        <v>2.6861990481590891E-2</v>
      </c>
      <c r="P21" s="484">
        <f t="shared" si="7"/>
        <v>2.7010791621238584E-2</v>
      </c>
      <c r="Q21" s="484">
        <f t="shared" si="8"/>
        <v>2.8871059995752336E-2</v>
      </c>
      <c r="S21" s="597">
        <v>2.75E-2</v>
      </c>
      <c r="T21" s="597">
        <v>2.5999999999999999E-2</v>
      </c>
      <c r="V21" s="511" t="s">
        <v>508</v>
      </c>
      <c r="Y21" s="811" t="s">
        <v>509</v>
      </c>
      <c r="Z21" s="812">
        <v>7860</v>
      </c>
      <c r="AA21" s="812">
        <v>6851</v>
      </c>
      <c r="AB21" s="812">
        <v>6249</v>
      </c>
      <c r="AC21" s="819">
        <v>5743</v>
      </c>
      <c r="AD21" s="812">
        <v>5347</v>
      </c>
      <c r="AE21" s="812">
        <v>4943</v>
      </c>
      <c r="AF21" s="820">
        <v>4578</v>
      </c>
      <c r="AG21" s="1290">
        <v>4183</v>
      </c>
      <c r="AH21" s="1291"/>
      <c r="AI21" s="812">
        <v>3825</v>
      </c>
      <c r="AJ21" s="812">
        <v>3129</v>
      </c>
      <c r="AK21" s="820">
        <v>2912</v>
      </c>
      <c r="AL21" s="821">
        <v>2608</v>
      </c>
    </row>
    <row r="22" spans="2:38" ht="14.45">
      <c r="B22" s="494" t="s">
        <v>470</v>
      </c>
      <c r="C22" s="674">
        <v>0</v>
      </c>
      <c r="D22" s="674">
        <v>0</v>
      </c>
      <c r="E22" s="674">
        <v>0</v>
      </c>
      <c r="F22" s="674">
        <v>0</v>
      </c>
      <c r="G22" s="674">
        <v>0</v>
      </c>
      <c r="H22" s="674">
        <v>0</v>
      </c>
      <c r="I22" s="674">
        <v>0</v>
      </c>
      <c r="J22" s="674">
        <v>0</v>
      </c>
      <c r="K22" s="674">
        <v>0</v>
      </c>
      <c r="L22" s="674">
        <v>0</v>
      </c>
      <c r="M22" s="674">
        <v>0</v>
      </c>
      <c r="O22" s="483">
        <f t="shared" si="9"/>
        <v>0</v>
      </c>
      <c r="P22" s="484">
        <f t="shared" si="7"/>
        <v>0</v>
      </c>
      <c r="Q22" s="484">
        <f t="shared" si="8"/>
        <v>0</v>
      </c>
      <c r="S22" s="597">
        <v>0</v>
      </c>
      <c r="T22" s="597">
        <v>0</v>
      </c>
      <c r="V22" s="511" t="s">
        <v>510</v>
      </c>
      <c r="Y22" s="822" t="s">
        <v>511</v>
      </c>
      <c r="Z22" s="823">
        <v>4555</v>
      </c>
      <c r="AA22" s="823">
        <v>4055</v>
      </c>
      <c r="AB22" s="823">
        <v>3763</v>
      </c>
      <c r="AC22" s="814">
        <v>3469</v>
      </c>
      <c r="AD22" s="814">
        <v>3180</v>
      </c>
      <c r="AE22" s="814">
        <v>2867</v>
      </c>
      <c r="AF22" s="814">
        <v>2614</v>
      </c>
      <c r="AG22" s="1288">
        <v>2425</v>
      </c>
      <c r="AH22" s="1289"/>
      <c r="AI22" s="814">
        <v>2276</v>
      </c>
      <c r="AJ22" s="814">
        <v>2282</v>
      </c>
      <c r="AK22" s="814">
        <v>2137</v>
      </c>
      <c r="AL22" s="824">
        <v>2005</v>
      </c>
    </row>
    <row r="23" spans="2:38" ht="14.45">
      <c r="B23" s="494" t="s">
        <v>471</v>
      </c>
      <c r="C23" s="665">
        <f>Inputs!B33/Inputs!C33-1</f>
        <v>6.4114749848785957E-2</v>
      </c>
      <c r="D23" s="665">
        <f>Inputs!C33/Inputs!D33-1</f>
        <v>3.7162061239731203E-2</v>
      </c>
      <c r="E23" s="665">
        <f>Inputs!D33/Inputs!E33-1</f>
        <v>3.785576982699812E-2</v>
      </c>
      <c r="F23" s="665">
        <f>Inputs!E33/Inputs!F33-1</f>
        <v>5.8132668460074699E-2</v>
      </c>
      <c r="G23" s="665">
        <f>Inputs!F33/Inputs!G33-1</f>
        <v>0.14697471402769424</v>
      </c>
      <c r="H23" s="665">
        <f>Inputs!G33/Inputs!H33-1</f>
        <v>0.20155529433040953</v>
      </c>
      <c r="I23" s="665">
        <f>Inputs!H33/Inputs!I33-1</f>
        <v>0.1764893617021277</v>
      </c>
      <c r="J23" s="665">
        <f>Inputs!I33/Inputs!J33-1</f>
        <v>2.4411508282476069E-2</v>
      </c>
      <c r="K23" s="665">
        <f>Inputs!J33/Inputs!K33-1</f>
        <v>3.8838137957442065E-3</v>
      </c>
      <c r="L23" s="665">
        <f>Inputs!K33/Inputs!L33-1</f>
        <v>1.7816379934302073E-2</v>
      </c>
      <c r="M23" s="665">
        <f>Inputs!L33/Inputs!M33-1</f>
        <v>3.7442718229574457E-3</v>
      </c>
      <c r="O23" s="483">
        <f t="shared" si="9"/>
        <v>7.0194599388300111E-2</v>
      </c>
      <c r="P23" s="484">
        <f t="shared" si="7"/>
        <v>6.8847992680656847E-2</v>
      </c>
      <c r="Q23" s="484">
        <f t="shared" si="8"/>
        <v>4.6377526971838424E-2</v>
      </c>
      <c r="S23" s="597" t="s">
        <v>512</v>
      </c>
      <c r="T23" s="597" t="s">
        <v>512</v>
      </c>
      <c r="V23" s="511" t="s">
        <v>513</v>
      </c>
      <c r="Y23" s="822" t="s">
        <v>514</v>
      </c>
      <c r="Z23" s="814">
        <f t="shared" ref="Z23:AE23" si="10">Z22-AA22</f>
        <v>500</v>
      </c>
      <c r="AA23" s="814">
        <f t="shared" si="10"/>
        <v>292</v>
      </c>
      <c r="AB23" s="814">
        <f t="shared" si="10"/>
        <v>294</v>
      </c>
      <c r="AC23" s="814">
        <f t="shared" si="10"/>
        <v>289</v>
      </c>
      <c r="AD23" s="814">
        <f t="shared" si="10"/>
        <v>313</v>
      </c>
      <c r="AE23" s="814">
        <f t="shared" si="10"/>
        <v>253</v>
      </c>
      <c r="AF23" s="814">
        <f>2614-2425</f>
        <v>189</v>
      </c>
      <c r="AG23" s="1288">
        <f>2425-2276</f>
        <v>149</v>
      </c>
      <c r="AH23" s="1289"/>
      <c r="AI23" s="814">
        <f>AI22-AJ22</f>
        <v>-6</v>
      </c>
      <c r="AJ23" s="814">
        <f>AJ22-AK22</f>
        <v>145</v>
      </c>
      <c r="AK23" s="814">
        <f>AK22-AL22</f>
        <v>132</v>
      </c>
      <c r="AL23" s="814"/>
    </row>
    <row r="24" spans="2:38" ht="14.45">
      <c r="B24" s="494" t="s">
        <v>472</v>
      </c>
      <c r="C24" s="664">
        <f>Inputs!B62/(Inputs!B6-Inputs!C6)</f>
        <v>5.4797441364605542E-2</v>
      </c>
      <c r="D24" s="664">
        <f>Inputs!C62/(Inputs!C6-Inputs!D6)</f>
        <v>-0.11897738446411013</v>
      </c>
      <c r="E24" s="664">
        <f>Inputs!D62/(Inputs!D6-Inputs!E6)</f>
        <v>-5.071490639071017E-2</v>
      </c>
      <c r="F24" s="664">
        <f>Inputs!E62/(Inputs!E6-Inputs!F6)</f>
        <v>0.10062654262388457</v>
      </c>
      <c r="G24" s="664">
        <f>Inputs!F62/(Inputs!F6-Inputs!G6)</f>
        <v>6.9861173309449173E-2</v>
      </c>
      <c r="H24" s="664">
        <f>Inputs!G62/(Inputs!G6-Inputs!H6)</f>
        <v>0.34362998831190517</v>
      </c>
      <c r="I24" s="664">
        <f>Inputs!H62/(Inputs!H6-Inputs!I6)</f>
        <v>-0.28453483689085785</v>
      </c>
      <c r="J24" s="664">
        <f>Inputs!I62/(Inputs!I6-Inputs!J6)</f>
        <v>-0.2886354699174204</v>
      </c>
      <c r="K24" s="664">
        <f>Inputs!J62/(Inputs!J6-Inputs!K6)</f>
        <v>-2.3435114503816794</v>
      </c>
      <c r="L24" s="664">
        <f>Inputs!K62/(Inputs!K6-Inputs!L6)</f>
        <v>0.1152469577666428</v>
      </c>
      <c r="M24" s="664">
        <f>Inputs!L62/(Inputs!L6-Inputs!M6)</f>
        <v>-0.13272311212814644</v>
      </c>
      <c r="O24" s="483">
        <f>AVERAGE(C24:M24)</f>
        <v>-0.2304486415269488</v>
      </c>
      <c r="P24" s="484">
        <f t="shared" si="7"/>
        <v>1.1118573288623798E-2</v>
      </c>
      <c r="Q24" s="484">
        <f t="shared" si="8"/>
        <v>-3.8298283163404917E-2</v>
      </c>
      <c r="S24" s="597">
        <v>-3.7999999999999999E-2</v>
      </c>
      <c r="T24" s="597">
        <v>-0.03</v>
      </c>
      <c r="V24" s="511" t="s">
        <v>515</v>
      </c>
      <c r="Y24" s="822" t="s">
        <v>516</v>
      </c>
      <c r="Z24" s="814"/>
      <c r="AA24" s="814"/>
      <c r="AB24" s="814"/>
      <c r="AC24" s="814"/>
      <c r="AD24" s="814"/>
      <c r="AE24" s="814"/>
      <c r="AF24" s="814"/>
      <c r="AG24" s="1288"/>
      <c r="AH24" s="1289"/>
      <c r="AI24" s="814"/>
      <c r="AJ24" s="814"/>
      <c r="AK24" s="814"/>
      <c r="AL24" s="814"/>
    </row>
    <row r="25" spans="2:38" ht="14.45">
      <c r="B25" s="494" t="s">
        <v>473</v>
      </c>
      <c r="C25" s="660">
        <f>DCF!F38/DCF!E38-1</f>
        <v>-8.7870383885564118E-2</v>
      </c>
      <c r="D25" s="660">
        <f>DCF!E38/DCF!D38-1</f>
        <v>-0.1283715012722646</v>
      </c>
      <c r="E25" s="660">
        <f>AB21/AC21-1</f>
        <v>8.8107261013407712E-2</v>
      </c>
      <c r="F25" s="660">
        <f>AC21/AD21-1</f>
        <v>7.4060220684496025E-2</v>
      </c>
      <c r="G25" s="660">
        <f>AD21/AE21-1</f>
        <v>8.1731741857171691E-2</v>
      </c>
      <c r="H25" s="660">
        <f>AE21/AF21-1</f>
        <v>7.9729139362166856E-2</v>
      </c>
      <c r="I25" s="660">
        <f>AF21/AG21-1</f>
        <v>9.4429835046617283E-2</v>
      </c>
      <c r="J25" s="660">
        <f>AG21/AI21-1</f>
        <v>9.3594771241830133E-2</v>
      </c>
      <c r="K25" s="660">
        <f>AI21/AJ21-1</f>
        <v>0.22243528283796743</v>
      </c>
      <c r="L25" s="660">
        <f>AJ21/AK21-1</f>
        <v>7.4519230769230838E-2</v>
      </c>
      <c r="M25" s="660">
        <f>AK21/AL21-1</f>
        <v>0.1165644171779141</v>
      </c>
      <c r="O25" s="483">
        <f t="shared" si="9"/>
        <v>6.4448183166633935E-2</v>
      </c>
      <c r="P25" s="484">
        <f t="shared" si="7"/>
        <v>5.5314676794493423E-3</v>
      </c>
      <c r="Q25" s="484">
        <f t="shared" si="8"/>
        <v>-4.2711541381473671E-2</v>
      </c>
      <c r="S25" s="597" t="s">
        <v>512</v>
      </c>
      <c r="T25" s="597" t="s">
        <v>512</v>
      </c>
      <c r="V25" s="511" t="s">
        <v>517</v>
      </c>
    </row>
    <row r="26" spans="2:38" ht="12.4" customHeight="1">
      <c r="B26" s="494" t="s">
        <v>518</v>
      </c>
      <c r="C26" s="664">
        <f>Inputs!B65/Inputs!B6</f>
        <v>-5.6707491369643134E-2</v>
      </c>
      <c r="D26" s="664">
        <f>Inputs!C65/Inputs!C6</f>
        <v>-4.7529350794315216E-2</v>
      </c>
      <c r="E26" s="664">
        <f>Inputs!D65/Inputs!D6</f>
        <v>-4.3109562428690372E-2</v>
      </c>
      <c r="F26" s="664">
        <f>Inputs!E65/Inputs!E6</f>
        <v>-6.3950465566951831E-2</v>
      </c>
      <c r="G26" s="664">
        <f>Inputs!F65/Inputs!F6</f>
        <v>-8.610683726077685E-2</v>
      </c>
      <c r="H26" s="664">
        <f>Inputs!G65/Inputs!G6</f>
        <v>-8.6806473608772486E-2</v>
      </c>
      <c r="I26" s="664">
        <f>Inputs!H65/Inputs!H6</f>
        <v>-7.9350862278358025E-2</v>
      </c>
      <c r="J26" s="664">
        <f>Inputs!I65/Inputs!I6</f>
        <v>-4.8681574885889735E-2</v>
      </c>
      <c r="K26" s="664">
        <f>Inputs!J65/Inputs!J6</f>
        <v>-4.076212668985487E-2</v>
      </c>
      <c r="L26" s="664">
        <f>Inputs!K65/Inputs!K6</f>
        <v>-3.9978018958648165E-2</v>
      </c>
      <c r="M26" s="664">
        <f>Inputs!L65/Inputs!L6</f>
        <v>-3.7248818499945886E-2</v>
      </c>
      <c r="O26" s="483">
        <f t="shared" si="9"/>
        <v>-5.7293780212895148E-2</v>
      </c>
      <c r="P26" s="484">
        <f t="shared" si="7"/>
        <v>-5.9480741484075485E-2</v>
      </c>
      <c r="Q26" s="484">
        <f t="shared" si="8"/>
        <v>-4.9115468197549576E-2</v>
      </c>
      <c r="S26" s="597">
        <v>-5.5500000000000001E-2</v>
      </c>
      <c r="T26" s="597">
        <v>-7.0000000000000007E-2</v>
      </c>
      <c r="V26" s="511" t="s">
        <v>505</v>
      </c>
    </row>
    <row r="27" spans="2:38" ht="14.45">
      <c r="B27" s="494" t="s">
        <v>475</v>
      </c>
      <c r="C27" s="660">
        <f>Inputs!B66/Inputs!B6</f>
        <v>-1.4611139207106577E-2</v>
      </c>
      <c r="D27" s="660">
        <f>Inputs!C66/Inputs!C6</f>
        <v>-7.5245669636628196E-3</v>
      </c>
      <c r="E27" s="660">
        <f>Inputs!D66/Inputs!D6</f>
        <v>-6.1878771058825948E-3</v>
      </c>
      <c r="F27" s="660">
        <f>Inputs!E66/Inputs!E6</f>
        <v>-2.3632840194734604E-4</v>
      </c>
      <c r="G27" s="660">
        <f>Inputs!F66/Inputs!F6</f>
        <v>-8.0978216859664757E-5</v>
      </c>
      <c r="H27" s="660">
        <f>Inputs!G66/Inputs!G6</f>
        <v>-2.7831508050263702E-5</v>
      </c>
      <c r="I27" s="660">
        <f>Inputs!H66/Inputs!H6</f>
        <v>-2.0342482390089873E-3</v>
      </c>
      <c r="J27" s="660">
        <f>Inputs!I66/Inputs!I6</f>
        <v>-8.981052769842051E-3</v>
      </c>
      <c r="K27" s="660">
        <f>Inputs!J66/Inputs!J6</f>
        <v>-5.1402429621506774E-4</v>
      </c>
      <c r="L27" s="660">
        <f>Inputs!K66/Inputs!K6</f>
        <v>-1.0818793790355818E-3</v>
      </c>
      <c r="M27" s="660">
        <f>Inputs!L66/Inputs!L6</f>
        <v>-3.228832208954147E-3</v>
      </c>
      <c r="O27" s="483">
        <f t="shared" si="9"/>
        <v>-4.046250754233191E-3</v>
      </c>
      <c r="P27" s="484">
        <f t="shared" si="7"/>
        <v>-5.7281779790917999E-3</v>
      </c>
      <c r="Q27" s="484">
        <f t="shared" si="8"/>
        <v>-9.4411944255506641E-3</v>
      </c>
      <c r="S27" s="597">
        <v>-1.4999999999999999E-2</v>
      </c>
      <c r="T27" s="597">
        <v>-0.03</v>
      </c>
      <c r="V27" s="511" t="s">
        <v>505</v>
      </c>
    </row>
    <row r="28" spans="2:38" ht="14.45">
      <c r="B28" s="494" t="s">
        <v>133</v>
      </c>
      <c r="C28" s="664">
        <f>Inputs!B73/Inputs!B6</f>
        <v>-5.906022559862794E-2</v>
      </c>
      <c r="D28" s="664">
        <f>Inputs!C73/Inputs!C6</f>
        <v>-5.0967729075724055E-2</v>
      </c>
      <c r="E28" s="664">
        <f>Inputs!D73/Inputs!D6</f>
        <v>-3.532846115102737E-2</v>
      </c>
      <c r="F28" s="664">
        <f>Inputs!E73/Inputs!E6</f>
        <v>-3.9868601408517279E-2</v>
      </c>
      <c r="G28" s="664">
        <f>Inputs!F73/Inputs!F6</f>
        <v>-4.3107404108294868E-2</v>
      </c>
      <c r="H28" s="664">
        <f>Inputs!G73/Inputs!G6</f>
        <v>-4.1900335369672005E-2</v>
      </c>
      <c r="I28" s="664">
        <f>Inputs!H73/Inputs!H6</f>
        <v>-4.2066431867864948E-2</v>
      </c>
      <c r="J28" s="664">
        <f>Inputs!I73/Inputs!I6</f>
        <v>-4.3394739434538469E-2</v>
      </c>
      <c r="K28" s="664">
        <f>Inputs!J73/Inputs!J6</f>
        <v>-4.3263711598101537E-2</v>
      </c>
      <c r="L28" s="664">
        <f>Inputs!K73/Inputs!K6</f>
        <v>-4.0630581123780742E-2</v>
      </c>
      <c r="M28" s="664">
        <f>Inputs!L73/Inputs!L6</f>
        <v>-4.0766261409141746E-2</v>
      </c>
      <c r="O28" s="483">
        <f t="shared" si="9"/>
        <v>-4.3668589285935547E-2</v>
      </c>
      <c r="P28" s="484">
        <f t="shared" si="7"/>
        <v>-4.56664842684383E-2</v>
      </c>
      <c r="Q28" s="484">
        <f t="shared" si="8"/>
        <v>-4.8452138608459788E-2</v>
      </c>
      <c r="S28" s="597">
        <v>-0.05</v>
      </c>
      <c r="T28" s="597">
        <v>-7.0000000000000007E-2</v>
      </c>
      <c r="V28" s="511" t="s">
        <v>505</v>
      </c>
    </row>
    <row r="29" spans="2:38" ht="14.45">
      <c r="B29" s="494" t="s">
        <v>476</v>
      </c>
      <c r="C29" s="660">
        <f>Inputs!B74/Inputs!B6</f>
        <v>-2.473669165988698E-2</v>
      </c>
      <c r="D29" s="660">
        <f>Inputs!C74/Inputs!C6</f>
        <v>-3.4882098507046183E-2</v>
      </c>
      <c r="E29" s="660">
        <f>Inputs!D74/Inputs!D6</f>
        <v>-5.1394328121948463E-3</v>
      </c>
      <c r="F29" s="660">
        <f>Inputs!E74/Inputs!E6</f>
        <v>-2.6468781018102756E-3</v>
      </c>
      <c r="G29" s="660">
        <f>Inputs!F74/Inputs!F6</f>
        <v>-1.3550354954517235E-2</v>
      </c>
      <c r="H29" s="660">
        <f>Inputs!G74/Inputs!G6</f>
        <v>-1.4068827319408303E-2</v>
      </c>
      <c r="I29" s="660">
        <f>Inputs!H74/Inputs!H6</f>
        <v>-2.7523075054651444E-2</v>
      </c>
      <c r="J29" s="660">
        <f>Inputs!I74/Inputs!I6</f>
        <v>-4.3969395461859261E-2</v>
      </c>
      <c r="K29" s="660">
        <f>Inputs!J74/Inputs!J6</f>
        <v>-4.6296454945770435E-2</v>
      </c>
      <c r="L29" s="660">
        <f>Inputs!K74/Inputs!K6</f>
        <v>-4.6280395658744332E-2</v>
      </c>
      <c r="M29" s="660">
        <f>Inputs!L74/Inputs!L6</f>
        <v>-6.9230491720480541E-2</v>
      </c>
      <c r="O29" s="483">
        <f t="shared" si="9"/>
        <v>-2.9847645108760892E-2</v>
      </c>
      <c r="P29" s="484">
        <f t="shared" si="7"/>
        <v>-1.6191091207091106E-2</v>
      </c>
      <c r="Q29" s="484">
        <f t="shared" si="8"/>
        <v>-2.1586074326376006E-2</v>
      </c>
      <c r="S29" s="597">
        <v>-1.7000000000000001E-2</v>
      </c>
      <c r="T29" s="597">
        <v>-2.5000000000000001E-2</v>
      </c>
      <c r="V29" s="511" t="s">
        <v>505</v>
      </c>
    </row>
    <row r="30" spans="2:38" ht="14.45">
      <c r="B30" s="494" t="s">
        <v>477</v>
      </c>
      <c r="C30" s="664">
        <f>Inputs!B72/Inputs!B6</f>
        <v>0</v>
      </c>
      <c r="D30" s="664">
        <f>Inputs!C72/Inputs!C6</f>
        <v>0</v>
      </c>
      <c r="E30" s="664">
        <f>Inputs!D72/Inputs!D6</f>
        <v>0</v>
      </c>
      <c r="F30" s="664">
        <f>Inputs!E72/Inputs!E6</f>
        <v>0</v>
      </c>
      <c r="G30" s="664">
        <f>Inputs!F72/Inputs!F6</f>
        <v>0</v>
      </c>
      <c r="H30" s="664">
        <f>Inputs!G72/Inputs!G6</f>
        <v>0</v>
      </c>
      <c r="I30" s="664">
        <f>Inputs!H72/Inputs!H6</f>
        <v>0</v>
      </c>
      <c r="J30" s="664">
        <f>Inputs!I72/Inputs!I6</f>
        <v>0</v>
      </c>
      <c r="K30" s="664">
        <f>Inputs!J72/Inputs!J6</f>
        <v>0</v>
      </c>
      <c r="L30" s="664">
        <f>Inputs!K72/Inputs!K6</f>
        <v>0</v>
      </c>
      <c r="M30" s="664">
        <f>Inputs!L72/Inputs!L6</f>
        <v>0</v>
      </c>
      <c r="O30" s="483">
        <f t="shared" si="9"/>
        <v>0</v>
      </c>
      <c r="P30" s="484">
        <f t="shared" si="7"/>
        <v>0</v>
      </c>
      <c r="Q30" s="484">
        <f t="shared" si="8"/>
        <v>0</v>
      </c>
      <c r="S30" s="597">
        <v>0</v>
      </c>
      <c r="T30" s="597">
        <v>0</v>
      </c>
      <c r="V30" s="511" t="s">
        <v>505</v>
      </c>
    </row>
    <row r="31" spans="2:38" ht="14.45">
      <c r="B31" s="494" t="s">
        <v>281</v>
      </c>
      <c r="C31" s="667">
        <f>'Fin. Data'!B58/'Fin. Data'!B19</f>
        <v>2.137123211001839</v>
      </c>
      <c r="D31" s="667">
        <f>'Fin. Data'!C58/'Fin. Data'!C19</f>
        <v>1.6914133025204015</v>
      </c>
      <c r="E31" s="667">
        <f>'Fin. Data'!D58/'Fin. Data'!D19</f>
        <v>2.262318326834456</v>
      </c>
      <c r="F31" s="667">
        <f>'Fin. Data'!E58/'Fin. Data'!E19</f>
        <v>1.7881579795116294</v>
      </c>
      <c r="G31" s="667">
        <f>'Fin. Data'!F58/'Fin. Data'!F19</f>
        <v>2.4175607244013388</v>
      </c>
      <c r="H31" s="667">
        <f>'Fin. Data'!G58/'Fin. Data'!G19</f>
        <v>2.3607102066244421</v>
      </c>
      <c r="I31" s="667">
        <f>'Fin. Data'!H58/'Fin. Data'!H19</f>
        <v>2.4939932231235238</v>
      </c>
      <c r="J31" s="667">
        <f>'Fin. Data'!I58/'Fin. Data'!I19</f>
        <v>2.1037822274571392</v>
      </c>
      <c r="K31" s="667">
        <f>'Fin. Data'!J58/'Fin. Data'!J19</f>
        <v>1.4721166683783506</v>
      </c>
      <c r="L31" s="667">
        <f>'Fin. Data'!K58/'Fin. Data'!K19</f>
        <v>1.5703887028679575</v>
      </c>
      <c r="M31" s="667">
        <f>'Fin. Data'!L58/'Fin. Data'!L19</f>
        <v>1.2241864654881207</v>
      </c>
      <c r="O31" s="483">
        <f t="shared" si="9"/>
        <v>1.9565228216553818</v>
      </c>
      <c r="P31" s="484">
        <f t="shared" si="7"/>
        <v>2.059314708853933</v>
      </c>
      <c r="Q31" s="484">
        <f t="shared" si="8"/>
        <v>2.0302849467855655</v>
      </c>
      <c r="S31" s="668">
        <v>2</v>
      </c>
      <c r="T31" s="668">
        <v>1.95</v>
      </c>
      <c r="V31" s="511" t="s">
        <v>519</v>
      </c>
    </row>
    <row r="32" spans="2:38" ht="12.75" customHeight="1">
      <c r="C32" s="484"/>
      <c r="D32" s="484"/>
      <c r="E32" s="484"/>
      <c r="F32" s="484"/>
      <c r="G32" s="484"/>
      <c r="H32" s="484"/>
      <c r="I32" s="484"/>
      <c r="J32" s="484"/>
      <c r="K32" s="484"/>
      <c r="L32" s="484"/>
      <c r="M32" s="484"/>
    </row>
    <row r="34" spans="2:30" s="475" customFormat="1" ht="13.9">
      <c r="B34" s="485" t="s">
        <v>520</v>
      </c>
    </row>
    <row r="36" spans="2:30" ht="13.5" hidden="1" customHeight="1"/>
    <row r="37" spans="2:30" ht="12.4" hidden="1" customHeight="1"/>
    <row r="38" spans="2:30" ht="12.75" hidden="1" customHeight="1"/>
    <row r="39" spans="2:30" ht="12.4" hidden="1" customHeight="1"/>
    <row r="40" spans="2:30" ht="12.75" customHeight="1" thickBot="1"/>
    <row r="41" spans="2:30" ht="12.75" customHeight="1">
      <c r="B41" s="1261" t="s">
        <v>521</v>
      </c>
      <c r="C41" s="1280" t="s">
        <v>522</v>
      </c>
      <c r="D41" s="1281"/>
      <c r="E41" s="598">
        <v>2024</v>
      </c>
      <c r="F41" s="573">
        <f t="shared" ref="F41:K41" si="11">E41+1</f>
        <v>2025</v>
      </c>
      <c r="G41" s="574">
        <f t="shared" si="11"/>
        <v>2026</v>
      </c>
      <c r="H41" s="676">
        <f t="shared" si="11"/>
        <v>2027</v>
      </c>
      <c r="I41" s="676">
        <f t="shared" si="11"/>
        <v>2028</v>
      </c>
      <c r="J41" s="677">
        <f t="shared" si="11"/>
        <v>2029</v>
      </c>
      <c r="K41" s="676">
        <f t="shared" si="11"/>
        <v>2030</v>
      </c>
      <c r="L41" s="678">
        <f>K41+1</f>
        <v>2031</v>
      </c>
      <c r="M41" s="676">
        <f t="shared" ref="M41:AD41" si="12">L41+1</f>
        <v>2032</v>
      </c>
      <c r="N41" s="676">
        <f t="shared" si="12"/>
        <v>2033</v>
      </c>
      <c r="O41" s="676">
        <f t="shared" si="12"/>
        <v>2034</v>
      </c>
      <c r="P41" s="676">
        <f t="shared" si="12"/>
        <v>2035</v>
      </c>
      <c r="Q41" s="676">
        <f t="shared" si="12"/>
        <v>2036</v>
      </c>
      <c r="R41" s="676">
        <f t="shared" si="12"/>
        <v>2037</v>
      </c>
      <c r="S41" s="676">
        <f t="shared" si="12"/>
        <v>2038</v>
      </c>
      <c r="T41" s="676">
        <f t="shared" si="12"/>
        <v>2039</v>
      </c>
      <c r="U41" s="676">
        <f t="shared" si="12"/>
        <v>2040</v>
      </c>
      <c r="V41" s="676">
        <f t="shared" si="12"/>
        <v>2041</v>
      </c>
      <c r="W41" s="676">
        <f t="shared" si="12"/>
        <v>2042</v>
      </c>
      <c r="X41" s="676">
        <f t="shared" si="12"/>
        <v>2043</v>
      </c>
      <c r="Y41" s="676">
        <f t="shared" si="12"/>
        <v>2044</v>
      </c>
      <c r="Z41" s="676">
        <f>Y41+1</f>
        <v>2045</v>
      </c>
      <c r="AA41" s="676">
        <f t="shared" si="12"/>
        <v>2046</v>
      </c>
      <c r="AB41" s="676">
        <f t="shared" si="12"/>
        <v>2047</v>
      </c>
      <c r="AC41" s="676">
        <f t="shared" si="12"/>
        <v>2048</v>
      </c>
      <c r="AD41" s="679">
        <f t="shared" si="12"/>
        <v>2049</v>
      </c>
    </row>
    <row r="42" spans="2:30" ht="12.75" customHeight="1">
      <c r="B42" s="1262"/>
      <c r="C42" s="1282" t="s">
        <v>523</v>
      </c>
      <c r="D42" s="1283"/>
      <c r="E42" s="578">
        <f>E43/DCF!F6-1</f>
        <v>1.5611600958684857E-3</v>
      </c>
      <c r="F42" s="578">
        <f>F43/E43-1</f>
        <v>9.7694840834248176E-2</v>
      </c>
      <c r="G42" s="579">
        <f>G43/F43-1</f>
        <v>0.10000000000000009</v>
      </c>
      <c r="H42" s="680">
        <v>0.05</v>
      </c>
      <c r="I42" s="681">
        <v>0.05</v>
      </c>
      <c r="J42" s="680">
        <v>0.05</v>
      </c>
      <c r="K42" s="680">
        <v>0.05</v>
      </c>
      <c r="L42" s="681">
        <v>0.05</v>
      </c>
      <c r="M42" s="681">
        <v>3.5000000000000003E-2</v>
      </c>
      <c r="N42" s="681">
        <v>3.5000000000000003E-2</v>
      </c>
      <c r="O42" s="681">
        <v>3.5000000000000003E-2</v>
      </c>
      <c r="P42" s="681">
        <v>3.5000000000000003E-2</v>
      </c>
      <c r="Q42" s="681">
        <v>3.5000000000000003E-2</v>
      </c>
      <c r="R42" s="681">
        <v>3.5000000000000003E-2</v>
      </c>
      <c r="S42" s="681">
        <v>3.5000000000000003E-2</v>
      </c>
      <c r="T42" s="681">
        <v>0.02</v>
      </c>
      <c r="U42" s="681">
        <v>0.02</v>
      </c>
      <c r="V42" s="681">
        <v>0.02</v>
      </c>
      <c r="W42" s="681">
        <v>0.02</v>
      </c>
      <c r="X42" s="681">
        <v>0.02</v>
      </c>
      <c r="Y42" s="681">
        <v>0.02</v>
      </c>
      <c r="Z42" s="681">
        <v>0.02</v>
      </c>
      <c r="AA42" s="681">
        <v>0.02</v>
      </c>
      <c r="AB42" s="681">
        <v>0.02</v>
      </c>
      <c r="AC42" s="681">
        <v>0.02</v>
      </c>
      <c r="AD42" s="680">
        <v>0.02</v>
      </c>
    </row>
    <row r="43" spans="2:30" ht="12.75" customHeight="1">
      <c r="B43" s="1262"/>
      <c r="C43" s="1282" t="s">
        <v>524</v>
      </c>
      <c r="D43" s="1283"/>
      <c r="E43" s="671">
        <v>91100</v>
      </c>
      <c r="F43" s="669">
        <v>100000</v>
      </c>
      <c r="G43" s="675">
        <v>110000</v>
      </c>
      <c r="H43" s="682">
        <f t="shared" ref="H43:AD43" si="13">G43*(1+H42)</f>
        <v>115500</v>
      </c>
      <c r="I43" s="683">
        <f t="shared" si="13"/>
        <v>121275</v>
      </c>
      <c r="J43" s="683">
        <f t="shared" si="13"/>
        <v>127338.75</v>
      </c>
      <c r="K43" s="683">
        <f t="shared" si="13"/>
        <v>133705.6875</v>
      </c>
      <c r="L43" s="683">
        <f t="shared" si="13"/>
        <v>140390.97187500002</v>
      </c>
      <c r="M43" s="683">
        <f t="shared" si="13"/>
        <v>145304.655890625</v>
      </c>
      <c r="N43" s="683">
        <f t="shared" si="13"/>
        <v>150390.31884679687</v>
      </c>
      <c r="O43" s="683">
        <f t="shared" si="13"/>
        <v>155653.98000643475</v>
      </c>
      <c r="P43" s="683">
        <f t="shared" si="13"/>
        <v>161101.86930665997</v>
      </c>
      <c r="Q43" s="683">
        <f t="shared" si="13"/>
        <v>166740.43473239304</v>
      </c>
      <c r="R43" s="683">
        <f t="shared" si="13"/>
        <v>172576.34994802679</v>
      </c>
      <c r="S43" s="683">
        <f t="shared" si="13"/>
        <v>178616.52219620772</v>
      </c>
      <c r="T43" s="683">
        <f t="shared" si="13"/>
        <v>182188.85264013187</v>
      </c>
      <c r="U43" s="683">
        <f t="shared" si="13"/>
        <v>185832.62969293451</v>
      </c>
      <c r="V43" s="683">
        <f t="shared" si="13"/>
        <v>189549.2822867932</v>
      </c>
      <c r="W43" s="683">
        <f t="shared" si="13"/>
        <v>193340.26793252907</v>
      </c>
      <c r="X43" s="683">
        <f t="shared" si="13"/>
        <v>197207.07329117964</v>
      </c>
      <c r="Y43" s="683">
        <f t="shared" si="13"/>
        <v>201151.21475700324</v>
      </c>
      <c r="Z43" s="683">
        <f t="shared" si="13"/>
        <v>205174.2390521433</v>
      </c>
      <c r="AA43" s="683">
        <f t="shared" si="13"/>
        <v>209277.72383318617</v>
      </c>
      <c r="AB43" s="683">
        <f t="shared" si="13"/>
        <v>213463.27830984991</v>
      </c>
      <c r="AC43" s="683">
        <f t="shared" si="13"/>
        <v>217732.5438760469</v>
      </c>
      <c r="AD43" s="683">
        <f t="shared" si="13"/>
        <v>222087.19475356783</v>
      </c>
    </row>
    <row r="44" spans="2:30" ht="12.4" customHeight="1" thickBot="1">
      <c r="B44" s="1263"/>
      <c r="C44" s="1284" t="s">
        <v>525</v>
      </c>
      <c r="D44" s="1285"/>
      <c r="E44" s="582">
        <v>9.6000000000000002E-2</v>
      </c>
      <c r="F44" s="580">
        <v>0.11</v>
      </c>
      <c r="G44" s="581">
        <v>0.13</v>
      </c>
      <c r="H44" s="681">
        <v>0.11</v>
      </c>
      <c r="I44" s="681">
        <v>0.11</v>
      </c>
      <c r="J44" s="680">
        <v>0.11</v>
      </c>
      <c r="K44" s="680">
        <v>0.11</v>
      </c>
      <c r="L44" s="680">
        <v>0.11</v>
      </c>
      <c r="M44" s="680">
        <v>0.11</v>
      </c>
      <c r="N44" s="680">
        <v>0.11</v>
      </c>
      <c r="O44" s="680">
        <v>0.11</v>
      </c>
      <c r="P44" s="680">
        <v>0.11</v>
      </c>
      <c r="Q44" s="680">
        <v>0.11</v>
      </c>
      <c r="R44" s="680">
        <v>0.11</v>
      </c>
      <c r="S44" s="680">
        <v>0.11</v>
      </c>
      <c r="T44" s="680">
        <v>0.11</v>
      </c>
      <c r="U44" s="680">
        <v>0.11</v>
      </c>
      <c r="V44" s="680">
        <v>0.11</v>
      </c>
      <c r="W44" s="680">
        <v>0.11</v>
      </c>
      <c r="X44" s="680">
        <v>0.11</v>
      </c>
      <c r="Y44" s="680">
        <v>0.11</v>
      </c>
      <c r="Z44" s="680">
        <v>0.11</v>
      </c>
      <c r="AA44" s="680">
        <v>0.11</v>
      </c>
      <c r="AB44" s="680">
        <v>0.11</v>
      </c>
      <c r="AC44" s="680">
        <v>0.11</v>
      </c>
      <c r="AD44" s="680">
        <v>0.11</v>
      </c>
    </row>
    <row r="45" spans="2:30" ht="12.75" customHeight="1" thickBot="1">
      <c r="B45" s="328"/>
      <c r="C45" s="10"/>
      <c r="E45" s="328"/>
      <c r="F45" s="328"/>
      <c r="G45" s="328"/>
      <c r="H45" s="328"/>
      <c r="I45" s="328"/>
      <c r="J45" s="328"/>
      <c r="K45" s="328"/>
      <c r="L45" s="328"/>
      <c r="M45" s="328"/>
      <c r="N45" s="328"/>
      <c r="O45" s="328"/>
      <c r="P45" s="328"/>
      <c r="Q45" s="328"/>
      <c r="R45" s="328"/>
      <c r="S45" s="328"/>
      <c r="T45" s="328"/>
      <c r="U45" s="328"/>
      <c r="V45" s="328"/>
      <c r="W45" s="328"/>
      <c r="X45" s="328"/>
      <c r="Y45" s="328"/>
      <c r="Z45" s="328"/>
      <c r="AA45" s="328"/>
      <c r="AB45" s="328"/>
      <c r="AC45" s="328"/>
      <c r="AD45" s="328"/>
    </row>
    <row r="46" spans="2:30" ht="12.75" customHeight="1">
      <c r="B46" s="1264" t="s">
        <v>526</v>
      </c>
      <c r="C46" s="1280" t="s">
        <v>522</v>
      </c>
      <c r="D46" s="1281"/>
      <c r="E46" s="599">
        <v>2024</v>
      </c>
      <c r="F46" s="573">
        <f t="shared" ref="F46:AD46" si="14">E46+1</f>
        <v>2025</v>
      </c>
      <c r="G46" s="574">
        <f t="shared" si="14"/>
        <v>2026</v>
      </c>
      <c r="H46" s="574">
        <f t="shared" si="14"/>
        <v>2027</v>
      </c>
      <c r="I46" s="574">
        <f t="shared" si="14"/>
        <v>2028</v>
      </c>
      <c r="J46" s="575">
        <f t="shared" si="14"/>
        <v>2029</v>
      </c>
      <c r="K46" s="574">
        <f t="shared" si="14"/>
        <v>2030</v>
      </c>
      <c r="L46" s="576">
        <f t="shared" si="14"/>
        <v>2031</v>
      </c>
      <c r="M46" s="574">
        <f t="shared" si="14"/>
        <v>2032</v>
      </c>
      <c r="N46" s="574">
        <f t="shared" si="14"/>
        <v>2033</v>
      </c>
      <c r="O46" s="574">
        <f t="shared" si="14"/>
        <v>2034</v>
      </c>
      <c r="P46" s="574">
        <f t="shared" si="14"/>
        <v>2035</v>
      </c>
      <c r="Q46" s="574">
        <f t="shared" si="14"/>
        <v>2036</v>
      </c>
      <c r="R46" s="574">
        <f t="shared" si="14"/>
        <v>2037</v>
      </c>
      <c r="S46" s="574">
        <f t="shared" si="14"/>
        <v>2038</v>
      </c>
      <c r="T46" s="574">
        <f t="shared" si="14"/>
        <v>2039</v>
      </c>
      <c r="U46" s="574">
        <f t="shared" si="14"/>
        <v>2040</v>
      </c>
      <c r="V46" s="574">
        <f t="shared" si="14"/>
        <v>2041</v>
      </c>
      <c r="W46" s="574">
        <f t="shared" si="14"/>
        <v>2042</v>
      </c>
      <c r="X46" s="574">
        <f t="shared" si="14"/>
        <v>2043</v>
      </c>
      <c r="Y46" s="574">
        <f t="shared" si="14"/>
        <v>2044</v>
      </c>
      <c r="Z46" s="574">
        <f t="shared" si="14"/>
        <v>2045</v>
      </c>
      <c r="AA46" s="574">
        <f t="shared" si="14"/>
        <v>2046</v>
      </c>
      <c r="AB46" s="574">
        <f t="shared" si="14"/>
        <v>2047</v>
      </c>
      <c r="AC46" s="574">
        <f t="shared" si="14"/>
        <v>2048</v>
      </c>
      <c r="AD46" s="577">
        <f t="shared" si="14"/>
        <v>2049</v>
      </c>
    </row>
    <row r="47" spans="2:30" ht="12.75" customHeight="1">
      <c r="B47" s="1265"/>
      <c r="C47" s="1282" t="s">
        <v>524</v>
      </c>
      <c r="D47" s="1283"/>
      <c r="E47" s="578">
        <v>0.03</v>
      </c>
      <c r="F47" s="670">
        <v>0.12</v>
      </c>
      <c r="G47" s="670">
        <v>0.125</v>
      </c>
      <c r="H47" s="670">
        <v>0.08</v>
      </c>
      <c r="I47" s="670">
        <v>0.08</v>
      </c>
      <c r="J47" s="670">
        <v>0.08</v>
      </c>
      <c r="K47" s="670">
        <v>0.08</v>
      </c>
      <c r="L47" s="670">
        <v>0.08</v>
      </c>
      <c r="M47" s="670">
        <v>0.05</v>
      </c>
      <c r="N47" s="670">
        <v>0.05</v>
      </c>
      <c r="O47" s="670">
        <v>0.05</v>
      </c>
      <c r="P47" s="670">
        <v>0.05</v>
      </c>
      <c r="Q47" s="670">
        <v>0.05</v>
      </c>
      <c r="R47" s="670">
        <v>0.05</v>
      </c>
      <c r="S47" s="670">
        <v>0.05</v>
      </c>
      <c r="T47" s="670">
        <v>0.03</v>
      </c>
      <c r="U47" s="670">
        <v>0.03</v>
      </c>
      <c r="V47" s="670">
        <v>0.03</v>
      </c>
      <c r="W47" s="670">
        <v>0.03</v>
      </c>
      <c r="X47" s="670">
        <v>0.03</v>
      </c>
      <c r="Y47" s="670">
        <v>0.03</v>
      </c>
      <c r="Z47" s="670">
        <v>0.03</v>
      </c>
      <c r="AA47" s="670">
        <v>0.03</v>
      </c>
      <c r="AB47" s="670">
        <v>0.03</v>
      </c>
      <c r="AC47" s="670">
        <v>0.03</v>
      </c>
      <c r="AD47" s="670">
        <v>0.03</v>
      </c>
    </row>
    <row r="48" spans="2:30" ht="12.75" customHeight="1">
      <c r="B48" s="1265"/>
      <c r="C48" s="1282" t="s">
        <v>523</v>
      </c>
      <c r="D48" s="1283"/>
      <c r="E48" s="685">
        <v>100000</v>
      </c>
      <c r="F48" s="671">
        <f t="shared" ref="F48:AD48" si="15">E48*(1+F47)</f>
        <v>112000.00000000001</v>
      </c>
      <c r="G48" s="671">
        <f t="shared" si="15"/>
        <v>126000.00000000001</v>
      </c>
      <c r="H48" s="671">
        <f t="shared" si="15"/>
        <v>136080.00000000003</v>
      </c>
      <c r="I48" s="671">
        <f t="shared" si="15"/>
        <v>146966.40000000005</v>
      </c>
      <c r="J48" s="671">
        <f t="shared" si="15"/>
        <v>158723.71200000006</v>
      </c>
      <c r="K48" s="671">
        <f t="shared" si="15"/>
        <v>171421.60896000007</v>
      </c>
      <c r="L48" s="671">
        <f t="shared" si="15"/>
        <v>185135.33767680009</v>
      </c>
      <c r="M48" s="671">
        <f t="shared" si="15"/>
        <v>194392.10456064009</v>
      </c>
      <c r="N48" s="671">
        <f t="shared" si="15"/>
        <v>204111.7097886721</v>
      </c>
      <c r="O48" s="671">
        <f t="shared" si="15"/>
        <v>214317.29527810571</v>
      </c>
      <c r="P48" s="671">
        <f t="shared" si="15"/>
        <v>225033.160042011</v>
      </c>
      <c r="Q48" s="671">
        <f t="shared" si="15"/>
        <v>236284.81804411157</v>
      </c>
      <c r="R48" s="671">
        <f t="shared" si="15"/>
        <v>248099.05894631715</v>
      </c>
      <c r="S48" s="671">
        <f t="shared" si="15"/>
        <v>260504.01189363303</v>
      </c>
      <c r="T48" s="671">
        <f t="shared" si="15"/>
        <v>268319.13225044199</v>
      </c>
      <c r="U48" s="671">
        <f t="shared" si="15"/>
        <v>276368.70621795527</v>
      </c>
      <c r="V48" s="671">
        <f t="shared" si="15"/>
        <v>284659.76740449393</v>
      </c>
      <c r="W48" s="671">
        <f t="shared" si="15"/>
        <v>293199.56042662874</v>
      </c>
      <c r="X48" s="671">
        <f t="shared" si="15"/>
        <v>301995.54723942763</v>
      </c>
      <c r="Y48" s="671">
        <f t="shared" si="15"/>
        <v>311055.41365661047</v>
      </c>
      <c r="Z48" s="671">
        <f t="shared" si="15"/>
        <v>320387.07606630877</v>
      </c>
      <c r="AA48" s="671">
        <f t="shared" si="15"/>
        <v>329998.68834829802</v>
      </c>
      <c r="AB48" s="671">
        <f t="shared" si="15"/>
        <v>339898.648998747</v>
      </c>
      <c r="AC48" s="671">
        <f t="shared" si="15"/>
        <v>350095.6084687094</v>
      </c>
      <c r="AD48" s="671">
        <f t="shared" si="15"/>
        <v>360598.47672277066</v>
      </c>
    </row>
    <row r="49" spans="1:34" ht="12.75" customHeight="1" thickBot="1">
      <c r="B49" s="1266"/>
      <c r="C49" s="1284" t="s">
        <v>525</v>
      </c>
      <c r="D49" s="1285"/>
      <c r="E49" s="670">
        <v>0.11</v>
      </c>
      <c r="F49" s="670">
        <v>0.13</v>
      </c>
      <c r="G49" s="670">
        <v>0.15</v>
      </c>
      <c r="H49" s="670">
        <v>0.13</v>
      </c>
      <c r="I49" s="670">
        <v>0.13</v>
      </c>
      <c r="J49" s="670">
        <v>0.13</v>
      </c>
      <c r="K49" s="670">
        <v>0.13</v>
      </c>
      <c r="L49" s="670">
        <v>0.13</v>
      </c>
      <c r="M49" s="670">
        <v>0.13</v>
      </c>
      <c r="N49" s="670">
        <v>0.13</v>
      </c>
      <c r="O49" s="670">
        <v>0.13</v>
      </c>
      <c r="P49" s="670">
        <v>0.13</v>
      </c>
      <c r="Q49" s="670">
        <v>0.13</v>
      </c>
      <c r="R49" s="670">
        <v>0.13</v>
      </c>
      <c r="S49" s="670">
        <v>0.13</v>
      </c>
      <c r="T49" s="670">
        <v>0.13</v>
      </c>
      <c r="U49" s="670">
        <v>0.13</v>
      </c>
      <c r="V49" s="670">
        <v>0.13</v>
      </c>
      <c r="W49" s="670">
        <v>0.13</v>
      </c>
      <c r="X49" s="670">
        <v>0.13</v>
      </c>
      <c r="Y49" s="670">
        <v>0.13</v>
      </c>
      <c r="Z49" s="670">
        <v>0.13</v>
      </c>
      <c r="AA49" s="670">
        <v>0.13</v>
      </c>
      <c r="AB49" s="670">
        <v>0.13</v>
      </c>
      <c r="AC49" s="670">
        <v>0.13</v>
      </c>
      <c r="AD49" s="670">
        <v>0.13</v>
      </c>
    </row>
    <row r="50" spans="1:34" ht="12.75" customHeight="1" thickBot="1">
      <c r="B50" s="583"/>
      <c r="C50" s="10"/>
      <c r="E50" s="328"/>
      <c r="F50" s="328"/>
      <c r="G50" s="328"/>
      <c r="H50" s="328"/>
      <c r="I50" s="328"/>
      <c r="J50" s="328"/>
      <c r="K50" s="328"/>
      <c r="L50" s="328"/>
      <c r="M50" s="328"/>
      <c r="N50" s="328"/>
      <c r="O50" s="328"/>
      <c r="P50" s="328"/>
      <c r="Q50" s="328"/>
      <c r="R50" s="328"/>
      <c r="S50" s="328"/>
      <c r="T50" s="328"/>
      <c r="U50" s="328"/>
      <c r="V50" s="328"/>
      <c r="W50" s="328"/>
      <c r="X50" s="328"/>
      <c r="Y50" s="328"/>
      <c r="Z50" s="328"/>
      <c r="AA50" s="328"/>
      <c r="AB50" s="328"/>
      <c r="AC50" s="328"/>
      <c r="AD50" s="328"/>
    </row>
    <row r="51" spans="1:34" ht="12.75" customHeight="1">
      <c r="B51" s="1267" t="s">
        <v>527</v>
      </c>
      <c r="C51" s="1280" t="s">
        <v>522</v>
      </c>
      <c r="D51" s="1281"/>
      <c r="E51" s="599">
        <v>2024</v>
      </c>
      <c r="F51" s="573">
        <f t="shared" ref="F51:AD51" si="16">E51+1</f>
        <v>2025</v>
      </c>
      <c r="G51" s="574">
        <f t="shared" si="16"/>
        <v>2026</v>
      </c>
      <c r="H51" s="574">
        <f t="shared" si="16"/>
        <v>2027</v>
      </c>
      <c r="I51" s="574">
        <f t="shared" si="16"/>
        <v>2028</v>
      </c>
      <c r="J51" s="575">
        <f t="shared" si="16"/>
        <v>2029</v>
      </c>
      <c r="K51" s="574">
        <f t="shared" si="16"/>
        <v>2030</v>
      </c>
      <c r="L51" s="576">
        <f t="shared" si="16"/>
        <v>2031</v>
      </c>
      <c r="M51" s="574">
        <f t="shared" si="16"/>
        <v>2032</v>
      </c>
      <c r="N51" s="574">
        <f t="shared" si="16"/>
        <v>2033</v>
      </c>
      <c r="O51" s="574">
        <f t="shared" si="16"/>
        <v>2034</v>
      </c>
      <c r="P51" s="574">
        <f t="shared" si="16"/>
        <v>2035</v>
      </c>
      <c r="Q51" s="574">
        <f t="shared" si="16"/>
        <v>2036</v>
      </c>
      <c r="R51" s="574">
        <f t="shared" si="16"/>
        <v>2037</v>
      </c>
      <c r="S51" s="574">
        <f t="shared" si="16"/>
        <v>2038</v>
      </c>
      <c r="T51" s="574">
        <f t="shared" si="16"/>
        <v>2039</v>
      </c>
      <c r="U51" s="574">
        <f t="shared" si="16"/>
        <v>2040</v>
      </c>
      <c r="V51" s="574">
        <f t="shared" si="16"/>
        <v>2041</v>
      </c>
      <c r="W51" s="574">
        <f t="shared" si="16"/>
        <v>2042</v>
      </c>
      <c r="X51" s="574">
        <f t="shared" si="16"/>
        <v>2043</v>
      </c>
      <c r="Y51" s="574">
        <f t="shared" si="16"/>
        <v>2044</v>
      </c>
      <c r="Z51" s="574">
        <f t="shared" si="16"/>
        <v>2045</v>
      </c>
      <c r="AA51" s="574">
        <f t="shared" si="16"/>
        <v>2046</v>
      </c>
      <c r="AB51" s="574">
        <f t="shared" si="16"/>
        <v>2047</v>
      </c>
      <c r="AC51" s="574">
        <f t="shared" si="16"/>
        <v>2048</v>
      </c>
      <c r="AD51" s="577">
        <f t="shared" si="16"/>
        <v>2049</v>
      </c>
    </row>
    <row r="52" spans="1:34" ht="12.75" customHeight="1">
      <c r="B52" s="1268"/>
      <c r="C52" s="1282" t="s">
        <v>528</v>
      </c>
      <c r="D52" s="1283"/>
      <c r="E52" s="578">
        <v>0</v>
      </c>
      <c r="F52" s="578">
        <v>7.0000000000000007E-2</v>
      </c>
      <c r="G52" s="578">
        <v>0.06</v>
      </c>
      <c r="H52" s="578">
        <v>0.03</v>
      </c>
      <c r="I52" s="578">
        <v>0.03</v>
      </c>
      <c r="J52" s="670">
        <v>0.03</v>
      </c>
      <c r="K52" s="670">
        <v>0.03</v>
      </c>
      <c r="L52" s="670">
        <v>0.03</v>
      </c>
      <c r="M52" s="584">
        <v>0.02</v>
      </c>
      <c r="N52" s="584">
        <v>0.02</v>
      </c>
      <c r="O52" s="584">
        <v>0.02</v>
      </c>
      <c r="P52" s="584">
        <v>0.02</v>
      </c>
      <c r="Q52" s="584">
        <v>0.02</v>
      </c>
      <c r="R52" s="584">
        <v>0.02</v>
      </c>
      <c r="S52" s="584">
        <v>0.02</v>
      </c>
      <c r="T52" s="584">
        <v>0.01</v>
      </c>
      <c r="U52" s="584">
        <v>0.01</v>
      </c>
      <c r="V52" s="584">
        <v>0.01</v>
      </c>
      <c r="W52" s="584">
        <v>0.01</v>
      </c>
      <c r="X52" s="584">
        <v>0.01</v>
      </c>
      <c r="Y52" s="584">
        <v>0.01</v>
      </c>
      <c r="Z52" s="584">
        <v>0.01</v>
      </c>
      <c r="AA52" s="584">
        <v>0.01</v>
      </c>
      <c r="AB52" s="584">
        <v>5.0000000000000001E-3</v>
      </c>
      <c r="AC52" s="584">
        <v>5.0000000000000001E-3</v>
      </c>
      <c r="AD52" s="584">
        <v>5.0000000000000001E-3</v>
      </c>
    </row>
    <row r="53" spans="1:34" ht="12.75" customHeight="1">
      <c r="B53" s="1268"/>
      <c r="C53" s="1286" t="s">
        <v>523</v>
      </c>
      <c r="D53" s="1287"/>
      <c r="E53" s="686">
        <v>80000</v>
      </c>
      <c r="F53" s="669">
        <f t="shared" ref="F53:AD53" si="17">E53*(1+F52)</f>
        <v>85600</v>
      </c>
      <c r="G53" s="669">
        <f t="shared" si="17"/>
        <v>90736</v>
      </c>
      <c r="H53" s="671">
        <f t="shared" si="17"/>
        <v>93458.08</v>
      </c>
      <c r="I53" s="671">
        <f t="shared" si="17"/>
        <v>96261.822400000005</v>
      </c>
      <c r="J53" s="671">
        <f t="shared" si="17"/>
        <v>99149.677072000006</v>
      </c>
      <c r="K53" s="671">
        <f t="shared" si="17"/>
        <v>102124.16738416001</v>
      </c>
      <c r="L53" s="671">
        <f t="shared" si="17"/>
        <v>105187.89240568482</v>
      </c>
      <c r="M53" s="671">
        <f t="shared" si="17"/>
        <v>107291.65025379852</v>
      </c>
      <c r="N53" s="671">
        <f t="shared" si="17"/>
        <v>109437.48325887449</v>
      </c>
      <c r="O53" s="671">
        <f t="shared" si="17"/>
        <v>111626.23292405198</v>
      </c>
      <c r="P53" s="671">
        <f t="shared" si="17"/>
        <v>113858.75758253301</v>
      </c>
      <c r="Q53" s="671">
        <f t="shared" si="17"/>
        <v>116135.93273418368</v>
      </c>
      <c r="R53" s="671">
        <f t="shared" si="17"/>
        <v>118458.65138886735</v>
      </c>
      <c r="S53" s="671">
        <f t="shared" si="17"/>
        <v>120827.8244166447</v>
      </c>
      <c r="T53" s="671">
        <f t="shared" si="17"/>
        <v>122036.10266081114</v>
      </c>
      <c r="U53" s="671">
        <f t="shared" si="17"/>
        <v>123256.46368741925</v>
      </c>
      <c r="V53" s="671">
        <f t="shared" si="17"/>
        <v>124489.02832429344</v>
      </c>
      <c r="W53" s="671">
        <f t="shared" si="17"/>
        <v>125733.91860753637</v>
      </c>
      <c r="X53" s="671">
        <f t="shared" si="17"/>
        <v>126991.25779361173</v>
      </c>
      <c r="Y53" s="671">
        <f t="shared" si="17"/>
        <v>128261.17037154785</v>
      </c>
      <c r="Z53" s="671">
        <f t="shared" si="17"/>
        <v>129543.78207526333</v>
      </c>
      <c r="AA53" s="671">
        <f t="shared" si="17"/>
        <v>130839.21989601596</v>
      </c>
      <c r="AB53" s="671">
        <f t="shared" si="17"/>
        <v>131493.41599549603</v>
      </c>
      <c r="AC53" s="671">
        <f t="shared" si="17"/>
        <v>132150.88307547351</v>
      </c>
      <c r="AD53" s="671">
        <f t="shared" si="17"/>
        <v>132811.63749085087</v>
      </c>
    </row>
    <row r="54" spans="1:34" ht="12.75" customHeight="1" thickBot="1">
      <c r="B54" s="1269"/>
      <c r="C54" s="1284" t="s">
        <v>525</v>
      </c>
      <c r="D54" s="1285"/>
      <c r="E54" s="582">
        <v>0.08</v>
      </c>
      <c r="F54" s="580">
        <v>0.09</v>
      </c>
      <c r="G54" s="580">
        <v>0.1</v>
      </c>
      <c r="H54" s="580">
        <v>0.05</v>
      </c>
      <c r="I54" s="580">
        <v>0.05</v>
      </c>
      <c r="J54" s="585">
        <v>0.05</v>
      </c>
      <c r="K54" s="585">
        <v>0.05</v>
      </c>
      <c r="L54" s="585">
        <v>0.05</v>
      </c>
      <c r="M54" s="580">
        <v>0.05</v>
      </c>
      <c r="N54" s="580">
        <v>0.05</v>
      </c>
      <c r="O54" s="580">
        <v>0.05</v>
      </c>
      <c r="P54" s="580">
        <v>0.05</v>
      </c>
      <c r="Q54" s="580">
        <v>0.05</v>
      </c>
      <c r="R54" s="580">
        <v>0.05</v>
      </c>
      <c r="S54" s="580">
        <v>0.05</v>
      </c>
      <c r="T54" s="580">
        <v>0.05</v>
      </c>
      <c r="U54" s="580">
        <v>0.05</v>
      </c>
      <c r="V54" s="580">
        <v>0.05</v>
      </c>
      <c r="W54" s="580">
        <v>0.05</v>
      </c>
      <c r="X54" s="580">
        <v>0.05</v>
      </c>
      <c r="Y54" s="580">
        <v>0.05</v>
      </c>
      <c r="Z54" s="580">
        <v>0.05</v>
      </c>
      <c r="AA54" s="580">
        <v>0.05</v>
      </c>
      <c r="AB54" s="580">
        <v>0.05</v>
      </c>
      <c r="AC54" s="585">
        <v>0.05</v>
      </c>
      <c r="AD54" s="585">
        <v>0.05</v>
      </c>
    </row>
    <row r="56" spans="1:34" ht="12.75" hidden="1" customHeight="1">
      <c r="A56" s="10"/>
      <c r="B56" s="10"/>
      <c r="C56" s="10"/>
      <c r="D56" s="10"/>
      <c r="E56" s="10"/>
      <c r="F56" s="10"/>
      <c r="G56" s="10"/>
      <c r="H56" s="10"/>
      <c r="I56" s="10"/>
      <c r="J56" s="10"/>
      <c r="K56" s="10"/>
      <c r="L56" s="7"/>
      <c r="M56" s="10"/>
      <c r="N56" s="10"/>
      <c r="O56" s="10"/>
      <c r="P56" s="10"/>
      <c r="Q56" s="10"/>
      <c r="R56" s="10"/>
      <c r="S56" s="10"/>
      <c r="T56" s="10"/>
      <c r="U56" s="10"/>
      <c r="V56" s="10"/>
      <c r="W56" s="10"/>
      <c r="X56" s="10"/>
      <c r="Y56" s="10"/>
      <c r="Z56" s="10"/>
      <c r="AA56" s="10"/>
      <c r="AB56" s="10"/>
      <c r="AC56" s="10"/>
      <c r="AD56" s="10"/>
      <c r="AE56" s="10"/>
    </row>
    <row r="57" spans="1:34" ht="12.75" hidden="1" customHeight="1">
      <c r="A57" s="10"/>
      <c r="B57" s="586" t="s">
        <v>529</v>
      </c>
      <c r="C57" s="587">
        <v>2024</v>
      </c>
      <c r="D57" s="587">
        <v>2025</v>
      </c>
      <c r="E57" s="587">
        <v>2026</v>
      </c>
      <c r="F57" s="587">
        <v>2027</v>
      </c>
      <c r="G57" s="587">
        <v>2028</v>
      </c>
      <c r="H57" s="587">
        <v>2029</v>
      </c>
      <c r="I57" s="588">
        <v>2030</v>
      </c>
      <c r="J57" s="1276">
        <v>2031</v>
      </c>
      <c r="K57" s="1276"/>
      <c r="L57" s="587">
        <v>2032</v>
      </c>
      <c r="M57" s="587">
        <v>2033</v>
      </c>
      <c r="N57" s="587">
        <v>2034</v>
      </c>
      <c r="O57" s="587">
        <v>2035</v>
      </c>
      <c r="P57" s="587">
        <v>2036</v>
      </c>
      <c r="Q57" s="587">
        <v>2037</v>
      </c>
      <c r="R57" s="587">
        <v>2038</v>
      </c>
      <c r="S57" s="587">
        <v>2039</v>
      </c>
      <c r="T57" s="587">
        <v>2040</v>
      </c>
      <c r="U57" s="587">
        <v>2041</v>
      </c>
      <c r="V57" s="587">
        <v>2042</v>
      </c>
      <c r="W57" s="587">
        <v>2043</v>
      </c>
      <c r="X57" s="587">
        <v>2044</v>
      </c>
      <c r="Y57" s="587">
        <v>2045</v>
      </c>
      <c r="Z57" s="587">
        <v>2046</v>
      </c>
      <c r="AA57" s="587">
        <v>2047</v>
      </c>
      <c r="AB57" s="588">
        <v>2048</v>
      </c>
      <c r="AC57" s="595">
        <v>2049</v>
      </c>
      <c r="AD57" s="595">
        <v>2050</v>
      </c>
      <c r="AE57" s="595">
        <v>2051</v>
      </c>
      <c r="AF57" s="595">
        <v>2052</v>
      </c>
      <c r="AG57" s="595">
        <v>2053</v>
      </c>
      <c r="AH57" s="795">
        <v>2054</v>
      </c>
    </row>
    <row r="58" spans="1:34" ht="12.75" hidden="1" customHeight="1">
      <c r="A58" s="10"/>
      <c r="B58" s="589" t="s">
        <v>530</v>
      </c>
      <c r="C58" s="784">
        <f>SUM(E65:G66)+E89</f>
        <v>1467</v>
      </c>
      <c r="D58" s="784">
        <f>E67+E86</f>
        <v>1775</v>
      </c>
      <c r="E58" s="784">
        <f>E68</f>
        <v>500</v>
      </c>
      <c r="F58" s="784">
        <f>E69</f>
        <v>1000</v>
      </c>
      <c r="G58" s="784">
        <f>E87</f>
        <v>554</v>
      </c>
      <c r="H58" s="784">
        <f>E70+E71</f>
        <v>1150</v>
      </c>
      <c r="I58" s="785">
        <f>E72</f>
        <v>750</v>
      </c>
      <c r="J58" s="1277">
        <f>E84</f>
        <v>85</v>
      </c>
      <c r="K58" s="1277"/>
      <c r="L58" s="784">
        <f>E88</f>
        <v>554</v>
      </c>
      <c r="M58" s="784">
        <f>E73</f>
        <v>900</v>
      </c>
      <c r="N58" s="784">
        <v>0</v>
      </c>
      <c r="O58" s="784">
        <v>0</v>
      </c>
      <c r="P58" s="784">
        <v>0</v>
      </c>
      <c r="Q58" s="784">
        <v>0</v>
      </c>
      <c r="R58" s="784">
        <f>E74</f>
        <v>1500</v>
      </c>
      <c r="S58" s="784">
        <v>0</v>
      </c>
      <c r="T58" s="784">
        <f>SUM(E75:G76)</f>
        <v>1000</v>
      </c>
      <c r="U58" s="784">
        <v>0</v>
      </c>
      <c r="V58" s="784">
        <f>E77</f>
        <v>375</v>
      </c>
      <c r="W58" s="784">
        <v>0</v>
      </c>
      <c r="X58" s="784">
        <v>0</v>
      </c>
      <c r="Y58" s="784">
        <v>0</v>
      </c>
      <c r="Z58" s="784">
        <f>E78</f>
        <v>500</v>
      </c>
      <c r="AA58" s="784">
        <f>E79</f>
        <v>1150</v>
      </c>
      <c r="AB58" s="785">
        <v>0</v>
      </c>
      <c r="AC58" s="787">
        <f>SUM(E80:G81)</f>
        <v>1450</v>
      </c>
      <c r="AD58" s="787">
        <f>E82+E85</f>
        <v>1829</v>
      </c>
      <c r="AE58" s="787">
        <v>0</v>
      </c>
      <c r="AF58" s="787">
        <v>0</v>
      </c>
      <c r="AG58" s="787">
        <f>E83</f>
        <v>1100</v>
      </c>
      <c r="AH58" s="684">
        <v>0</v>
      </c>
    </row>
    <row r="59" spans="1:34" ht="12.75" hidden="1" customHeight="1">
      <c r="A59" s="10"/>
      <c r="B59" s="590" t="s">
        <v>531</v>
      </c>
      <c r="C59" s="788"/>
      <c r="D59" s="784"/>
      <c r="E59" s="784"/>
      <c r="F59" s="784"/>
      <c r="G59" s="784"/>
      <c r="H59" s="784"/>
      <c r="I59" s="785"/>
      <c r="J59" s="1277"/>
      <c r="K59" s="1277"/>
      <c r="L59" s="788"/>
      <c r="M59" s="784"/>
      <c r="N59" s="784"/>
      <c r="O59" s="784"/>
      <c r="P59" s="784"/>
      <c r="Q59" s="784"/>
      <c r="R59" s="784"/>
      <c r="S59" s="784"/>
      <c r="T59" s="784"/>
      <c r="U59" s="784"/>
      <c r="V59" s="784"/>
      <c r="W59" s="784"/>
      <c r="X59" s="784"/>
      <c r="Y59" s="784"/>
      <c r="Z59" s="784"/>
      <c r="AA59" s="784"/>
      <c r="AB59" s="785"/>
      <c r="AC59" s="787"/>
      <c r="AD59" s="787"/>
      <c r="AE59" s="787"/>
      <c r="AF59" s="787"/>
      <c r="AG59" s="787"/>
      <c r="AH59" s="684"/>
    </row>
    <row r="60" spans="1:34" ht="12.75" hidden="1" customHeight="1">
      <c r="A60" s="10"/>
      <c r="B60" s="591" t="s">
        <v>532</v>
      </c>
      <c r="C60" s="593"/>
      <c r="D60" s="593"/>
      <c r="E60" s="593"/>
      <c r="F60" s="593"/>
      <c r="G60" s="593"/>
      <c r="H60" s="593"/>
      <c r="I60" s="593"/>
      <c r="J60" s="1278"/>
      <c r="K60" s="1279"/>
      <c r="L60" s="790"/>
      <c r="M60" s="669"/>
      <c r="N60" s="593"/>
      <c r="O60" s="593"/>
      <c r="P60" s="593"/>
      <c r="Q60" s="593"/>
      <c r="R60" s="593"/>
      <c r="S60" s="593"/>
      <c r="T60" s="593"/>
      <c r="U60" s="593"/>
      <c r="V60" s="593"/>
      <c r="W60" s="593"/>
      <c r="X60" s="593"/>
      <c r="Y60" s="593"/>
      <c r="Z60" s="593"/>
      <c r="AA60" s="593"/>
      <c r="AB60" s="789"/>
      <c r="AC60" s="787"/>
      <c r="AD60" s="787"/>
      <c r="AE60" s="787"/>
      <c r="AF60" s="787"/>
      <c r="AG60" s="787"/>
      <c r="AH60" s="684"/>
    </row>
    <row r="61" spans="1:34" ht="12.75" hidden="1" customHeight="1">
      <c r="A61" s="10"/>
      <c r="B61" s="590" t="s">
        <v>533</v>
      </c>
      <c r="C61" s="788">
        <f>J90</f>
        <v>684.4224999999999</v>
      </c>
      <c r="D61" s="788">
        <f>C61-SUM(J65:K66)-J89</f>
        <v>649.5737499999999</v>
      </c>
      <c r="E61" s="834">
        <f>D61-J67-J86</f>
        <v>597.9799999999999</v>
      </c>
      <c r="F61" s="794">
        <f>E61-J68</f>
        <v>585.9799999999999</v>
      </c>
      <c r="G61" s="794">
        <f>F61-J69</f>
        <v>555.4799999999999</v>
      </c>
      <c r="H61" s="794">
        <f>G61-J87</f>
        <v>549.93999999999994</v>
      </c>
      <c r="I61" s="794">
        <f>H61-SUM(J70:K71)</f>
        <v>514.43999999999994</v>
      </c>
      <c r="J61" s="1310">
        <f>I61-J72</f>
        <v>481.10249999999996</v>
      </c>
      <c r="K61" s="1310"/>
      <c r="L61" s="791">
        <f>J61-J84</f>
        <v>476.42749999999995</v>
      </c>
      <c r="M61" s="791">
        <f>L61-J88</f>
        <v>468.11749999999995</v>
      </c>
      <c r="N61" s="791">
        <f>M61-J73</f>
        <v>424.24249999999995</v>
      </c>
      <c r="O61" s="791">
        <f>N61</f>
        <v>424.24249999999995</v>
      </c>
      <c r="P61" s="788">
        <f>O61</f>
        <v>424.24249999999995</v>
      </c>
      <c r="Q61" s="788">
        <f>P61</f>
        <v>424.24249999999995</v>
      </c>
      <c r="R61" s="788">
        <f>Q61</f>
        <v>424.24249999999995</v>
      </c>
      <c r="S61" s="788">
        <f>R61-J74</f>
        <v>331.24249999999995</v>
      </c>
      <c r="T61" s="788">
        <f>S61</f>
        <v>331.24249999999995</v>
      </c>
      <c r="U61" s="788">
        <f>T61-SUM(J75:K76)</f>
        <v>280.86749999999995</v>
      </c>
      <c r="V61" s="788">
        <f>U61</f>
        <v>280.86749999999995</v>
      </c>
      <c r="W61" s="788">
        <f>V61-J77</f>
        <v>267.27374999999995</v>
      </c>
      <c r="X61" s="788">
        <f>W61</f>
        <v>267.27374999999995</v>
      </c>
      <c r="Y61" s="788">
        <f>X61</f>
        <v>267.27374999999995</v>
      </c>
      <c r="Z61" s="788">
        <f>Y61</f>
        <v>267.27374999999995</v>
      </c>
      <c r="AA61" s="788">
        <f>Z61-J78</f>
        <v>250.27374999999995</v>
      </c>
      <c r="AB61" s="791">
        <f>AA61-J79</f>
        <v>207.14874999999995</v>
      </c>
      <c r="AC61" s="791">
        <f>AB61-L78</f>
        <v>207.14874999999995</v>
      </c>
      <c r="AD61" s="791">
        <f>AC61-J80-J81</f>
        <v>151.47374999999994</v>
      </c>
      <c r="AE61" s="791">
        <f>AD61-J82-J85</f>
        <v>55.54999999999994</v>
      </c>
      <c r="AF61" s="791">
        <f>AE61</f>
        <v>55.54999999999994</v>
      </c>
      <c r="AG61" s="791">
        <f>AF61</f>
        <v>55.54999999999994</v>
      </c>
      <c r="AH61" s="791">
        <f>AG61-J83</f>
        <v>-6.3948846218409017E-14</v>
      </c>
    </row>
    <row r="62" spans="1:34" ht="12.75" hidden="1" customHeight="1">
      <c r="A62" s="10"/>
      <c r="B62" s="592" t="s">
        <v>281</v>
      </c>
      <c r="C62" s="593">
        <f>E90</f>
        <v>17639</v>
      </c>
      <c r="D62" s="593">
        <f t="shared" ref="D62:J62" si="18">C62-D58</f>
        <v>15864</v>
      </c>
      <c r="E62" s="593">
        <f t="shared" si="18"/>
        <v>15364</v>
      </c>
      <c r="F62" s="593">
        <f t="shared" si="18"/>
        <v>14364</v>
      </c>
      <c r="G62" s="593">
        <f t="shared" si="18"/>
        <v>13810</v>
      </c>
      <c r="H62" s="593">
        <f t="shared" si="18"/>
        <v>12660</v>
      </c>
      <c r="I62" s="593">
        <f t="shared" si="18"/>
        <v>11910</v>
      </c>
      <c r="J62" s="1311">
        <f t="shared" si="18"/>
        <v>11825</v>
      </c>
      <c r="K62" s="1312"/>
      <c r="L62" s="786">
        <f>J62-L58</f>
        <v>11271</v>
      </c>
      <c r="M62" s="786">
        <f t="shared" ref="M62:AH62" si="19">L62-M58</f>
        <v>10371</v>
      </c>
      <c r="N62" s="786">
        <f t="shared" si="19"/>
        <v>10371</v>
      </c>
      <c r="O62" s="786">
        <f t="shared" si="19"/>
        <v>10371</v>
      </c>
      <c r="P62" s="593">
        <f t="shared" si="19"/>
        <v>10371</v>
      </c>
      <c r="Q62" s="593">
        <f t="shared" si="19"/>
        <v>10371</v>
      </c>
      <c r="R62" s="593">
        <f t="shared" si="19"/>
        <v>8871</v>
      </c>
      <c r="S62" s="593">
        <f t="shared" si="19"/>
        <v>8871</v>
      </c>
      <c r="T62" s="593">
        <f t="shared" si="19"/>
        <v>7871</v>
      </c>
      <c r="U62" s="593">
        <f t="shared" si="19"/>
        <v>7871</v>
      </c>
      <c r="V62" s="593">
        <f t="shared" si="19"/>
        <v>7496</v>
      </c>
      <c r="W62" s="593">
        <f t="shared" si="19"/>
        <v>7496</v>
      </c>
      <c r="X62" s="593">
        <f t="shared" si="19"/>
        <v>7496</v>
      </c>
      <c r="Y62" s="593">
        <f t="shared" si="19"/>
        <v>7496</v>
      </c>
      <c r="Z62" s="593">
        <f t="shared" si="19"/>
        <v>6996</v>
      </c>
      <c r="AA62" s="593">
        <f t="shared" si="19"/>
        <v>5846</v>
      </c>
      <c r="AB62" s="786">
        <f t="shared" si="19"/>
        <v>5846</v>
      </c>
      <c r="AC62" s="786">
        <f t="shared" si="19"/>
        <v>4396</v>
      </c>
      <c r="AD62" s="786">
        <f t="shared" si="19"/>
        <v>2567</v>
      </c>
      <c r="AE62" s="786">
        <f t="shared" si="19"/>
        <v>2567</v>
      </c>
      <c r="AF62" s="786">
        <f t="shared" si="19"/>
        <v>2567</v>
      </c>
      <c r="AG62" s="786">
        <f t="shared" si="19"/>
        <v>1467</v>
      </c>
      <c r="AH62" s="786">
        <f t="shared" si="19"/>
        <v>1467</v>
      </c>
    </row>
    <row r="63" spans="1:34" ht="12.75" hidden="1"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spans="1:34" ht="12.75" hidden="1" customHeight="1">
      <c r="B64" s="594" t="s">
        <v>534</v>
      </c>
      <c r="C64" s="1270" t="s">
        <v>535</v>
      </c>
      <c r="D64" s="1270"/>
      <c r="E64" s="1270" t="s">
        <v>536</v>
      </c>
      <c r="F64" s="1270"/>
      <c r="G64" s="1270"/>
      <c r="H64" s="1272" t="s">
        <v>537</v>
      </c>
      <c r="I64" s="1272"/>
      <c r="J64" s="1273" t="s">
        <v>538</v>
      </c>
      <c r="K64" s="1273"/>
      <c r="L64" s="476" t="s">
        <v>539</v>
      </c>
    </row>
    <row r="65" spans="1:12" ht="12.75" hidden="1" customHeight="1">
      <c r="B65" s="656">
        <v>2024</v>
      </c>
      <c r="C65" s="1245"/>
      <c r="D65" s="1245"/>
      <c r="E65" s="1245">
        <v>500</v>
      </c>
      <c r="F65" s="1245"/>
      <c r="G65" s="1245"/>
      <c r="H65" s="1247">
        <v>2.8000000000000001E-2</v>
      </c>
      <c r="I65" s="1247"/>
      <c r="J65" s="1274">
        <f>H65*E65</f>
        <v>14</v>
      </c>
      <c r="K65" s="1274"/>
    </row>
    <row r="66" spans="1:12" ht="14.45" hidden="1">
      <c r="A66" s="486"/>
      <c r="B66" s="656">
        <v>2024</v>
      </c>
      <c r="C66" s="1245"/>
      <c r="D66" s="1245"/>
      <c r="E66" s="1245">
        <v>400</v>
      </c>
      <c r="F66" s="1245"/>
      <c r="G66" s="1245"/>
      <c r="H66" s="1247">
        <v>2.1999999999999999E-2</v>
      </c>
      <c r="I66" s="1247"/>
      <c r="J66" s="1274">
        <f>H66*E66</f>
        <v>8.7999999999999989</v>
      </c>
      <c r="K66" s="1274"/>
      <c r="L66" s="796"/>
    </row>
    <row r="67" spans="1:12" ht="14.45" hidden="1">
      <c r="A67" s="486"/>
      <c r="B67" s="656">
        <v>2025</v>
      </c>
      <c r="C67" s="1245"/>
      <c r="D67" s="1245"/>
      <c r="E67" s="1245">
        <v>1000</v>
      </c>
      <c r="F67" s="1245"/>
      <c r="G67" s="1245"/>
      <c r="H67" s="1247">
        <v>3.9E-2</v>
      </c>
      <c r="I67" s="1247"/>
      <c r="J67" s="1274">
        <f>H67*E67</f>
        <v>39</v>
      </c>
      <c r="K67" s="1274"/>
    </row>
    <row r="68" spans="1:12" ht="14.45" hidden="1">
      <c r="A68" s="486"/>
      <c r="B68" s="656">
        <v>2026</v>
      </c>
      <c r="C68" s="1245"/>
      <c r="D68" s="1245"/>
      <c r="E68" s="1245">
        <v>500</v>
      </c>
      <c r="F68" s="1245"/>
      <c r="G68" s="1245"/>
      <c r="H68" s="1247">
        <v>2.4E-2</v>
      </c>
      <c r="I68" s="1247"/>
      <c r="J68" s="1274">
        <f>H68*E68</f>
        <v>12</v>
      </c>
      <c r="K68" s="1274"/>
    </row>
    <row r="69" spans="1:12" ht="12.75" hidden="1" customHeight="1">
      <c r="B69" s="656">
        <v>2027</v>
      </c>
      <c r="C69" s="1245"/>
      <c r="D69" s="1245"/>
      <c r="E69" s="1245">
        <v>1000</v>
      </c>
      <c r="F69" s="1245"/>
      <c r="G69" s="1245"/>
      <c r="H69" s="1247">
        <v>3.0499999999999999E-2</v>
      </c>
      <c r="I69" s="1247"/>
      <c r="J69" s="1271">
        <f>H69*E69</f>
        <v>30.5</v>
      </c>
      <c r="K69" s="1271"/>
    </row>
    <row r="70" spans="1:12" ht="12.75" hidden="1" customHeight="1">
      <c r="B70" s="656">
        <v>2029</v>
      </c>
      <c r="C70" s="1245"/>
      <c r="D70" s="1246"/>
      <c r="E70" s="1245">
        <v>750</v>
      </c>
      <c r="F70" s="1260"/>
      <c r="G70" s="1246"/>
      <c r="H70" s="1247">
        <v>3.4000000000000002E-2</v>
      </c>
      <c r="I70" s="1248"/>
      <c r="J70" s="1249">
        <v>0</v>
      </c>
      <c r="K70" s="1250"/>
    </row>
    <row r="71" spans="1:12" ht="12.75" hidden="1" customHeight="1">
      <c r="B71" s="656">
        <v>2029</v>
      </c>
      <c r="C71" s="1245"/>
      <c r="D71" s="1245"/>
      <c r="E71" s="1245">
        <v>400</v>
      </c>
      <c r="F71" s="1245"/>
      <c r="G71" s="1245"/>
      <c r="H71" s="1247">
        <v>2.5000000000000001E-2</v>
      </c>
      <c r="I71" s="1247"/>
      <c r="J71" s="1256">
        <v>35.5</v>
      </c>
      <c r="K71" s="1256"/>
    </row>
    <row r="72" spans="1:12" ht="12.75" hidden="1" customHeight="1">
      <c r="B72" s="656">
        <v>2030</v>
      </c>
      <c r="C72" s="1245"/>
      <c r="D72" s="1245"/>
      <c r="E72" s="1245">
        <v>750</v>
      </c>
      <c r="F72" s="1245"/>
      <c r="G72" s="1245"/>
      <c r="H72" s="1247">
        <v>4.4450000000000003E-2</v>
      </c>
      <c r="I72" s="1247"/>
      <c r="J72" s="1256">
        <f t="shared" ref="J72:J89" si="20">H72*E72</f>
        <v>33.337500000000006</v>
      </c>
      <c r="K72" s="1256"/>
    </row>
    <row r="73" spans="1:12" ht="12.75" hidden="1" customHeight="1">
      <c r="B73" s="656">
        <v>2033</v>
      </c>
      <c r="C73" s="1245"/>
      <c r="D73" s="1245"/>
      <c r="E73" s="1245">
        <v>900</v>
      </c>
      <c r="F73" s="1245"/>
      <c r="G73" s="1245"/>
      <c r="H73" s="1247">
        <v>4.8750000000000002E-2</v>
      </c>
      <c r="I73" s="1247"/>
      <c r="J73" s="1256">
        <f t="shared" si="20"/>
        <v>43.875</v>
      </c>
      <c r="K73" s="1256"/>
    </row>
    <row r="74" spans="1:12" ht="12.75" hidden="1" customHeight="1">
      <c r="B74" s="656">
        <v>2038</v>
      </c>
      <c r="C74" s="1245"/>
      <c r="D74" s="1245"/>
      <c r="E74" s="1245">
        <v>1500</v>
      </c>
      <c r="F74" s="1245"/>
      <c r="G74" s="1245"/>
      <c r="H74" s="1247">
        <v>6.2E-2</v>
      </c>
      <c r="I74" s="1247"/>
      <c r="J74" s="1256">
        <f t="shared" si="20"/>
        <v>93</v>
      </c>
      <c r="K74" s="1256"/>
    </row>
    <row r="75" spans="1:12" ht="12.75" hidden="1" customHeight="1">
      <c r="B75" s="656">
        <v>2040</v>
      </c>
      <c r="C75" s="1245"/>
      <c r="D75" s="1246"/>
      <c r="E75" s="1245">
        <v>500</v>
      </c>
      <c r="F75" s="1260"/>
      <c r="G75" s="1246"/>
      <c r="H75" s="1247">
        <v>5.1999999999999998E-2</v>
      </c>
      <c r="I75" s="1248"/>
      <c r="J75" s="1256">
        <f t="shared" si="20"/>
        <v>26</v>
      </c>
      <c r="K75" s="1256"/>
    </row>
    <row r="76" spans="1:12" ht="12.75" hidden="1" customHeight="1">
      <c r="B76" s="656">
        <v>2040</v>
      </c>
      <c r="C76" s="1245"/>
      <c r="D76" s="1246"/>
      <c r="E76" s="1245">
        <v>500</v>
      </c>
      <c r="F76" s="1260"/>
      <c r="G76" s="1246"/>
      <c r="H76" s="1247">
        <v>4.8750000000000002E-2</v>
      </c>
      <c r="I76" s="1248"/>
      <c r="J76" s="1256">
        <f t="shared" si="20"/>
        <v>24.375</v>
      </c>
      <c r="K76" s="1256"/>
    </row>
    <row r="77" spans="1:12" ht="12.75" hidden="1" customHeight="1">
      <c r="B77" s="656">
        <v>2042</v>
      </c>
      <c r="C77" s="1245"/>
      <c r="D77" s="1246"/>
      <c r="E77" s="1245">
        <v>375</v>
      </c>
      <c r="F77" s="1260"/>
      <c r="G77" s="1246"/>
      <c r="H77" s="1251">
        <v>3.6249999999999998E-2</v>
      </c>
      <c r="I77" s="1252"/>
      <c r="J77" s="1256">
        <f t="shared" si="20"/>
        <v>13.593749999999998</v>
      </c>
      <c r="K77" s="1256"/>
    </row>
    <row r="78" spans="1:12" ht="12.75" hidden="1" customHeight="1">
      <c r="B78" s="656">
        <v>2046</v>
      </c>
      <c r="C78" s="1245"/>
      <c r="D78" s="1246"/>
      <c r="E78" s="1245">
        <v>500</v>
      </c>
      <c r="F78" s="1260"/>
      <c r="G78" s="1246"/>
      <c r="H78" s="1247">
        <v>3.4000000000000002E-2</v>
      </c>
      <c r="I78" s="1248"/>
      <c r="J78" s="1256">
        <f t="shared" si="20"/>
        <v>17</v>
      </c>
      <c r="K78" s="1256"/>
    </row>
    <row r="79" spans="1:12" ht="12.75" hidden="1" customHeight="1">
      <c r="B79" s="656">
        <v>2047</v>
      </c>
      <c r="C79" s="1245"/>
      <c r="D79" s="1246"/>
      <c r="E79" s="1245">
        <v>1150</v>
      </c>
      <c r="F79" s="1260"/>
      <c r="G79" s="1246"/>
      <c r="H79" s="1247">
        <v>3.7499999999999999E-2</v>
      </c>
      <c r="I79" s="1248"/>
      <c r="J79" s="1256">
        <f t="shared" si="20"/>
        <v>43.125</v>
      </c>
      <c r="K79" s="1256"/>
    </row>
    <row r="80" spans="1:12" ht="12.75" hidden="1" customHeight="1">
      <c r="B80" s="656">
        <v>2049</v>
      </c>
      <c r="C80" s="1245"/>
      <c r="D80" s="1246"/>
      <c r="E80" s="1245">
        <v>750</v>
      </c>
      <c r="F80" s="1260"/>
      <c r="G80" s="1246"/>
      <c r="H80" s="1247">
        <v>4.2500000000000003E-2</v>
      </c>
      <c r="I80" s="1248"/>
      <c r="J80" s="1256">
        <f t="shared" si="20"/>
        <v>31.875000000000004</v>
      </c>
      <c r="K80" s="1256"/>
    </row>
    <row r="81" spans="1:30" ht="12.75" hidden="1" customHeight="1">
      <c r="B81" s="656">
        <v>2049</v>
      </c>
      <c r="C81" s="1245"/>
      <c r="D81" s="1246"/>
      <c r="E81" s="1245">
        <v>700</v>
      </c>
      <c r="F81" s="1260"/>
      <c r="G81" s="1246"/>
      <c r="H81" s="1247">
        <v>3.4000000000000002E-2</v>
      </c>
      <c r="I81" s="1248"/>
      <c r="J81" s="1256">
        <f t="shared" si="20"/>
        <v>23.8</v>
      </c>
      <c r="K81" s="1256"/>
    </row>
    <row r="82" spans="1:30" ht="12.75" hidden="1" customHeight="1">
      <c r="B82" s="656">
        <v>2050</v>
      </c>
      <c r="C82" s="1245"/>
      <c r="D82" s="1246"/>
      <c r="E82" s="1245">
        <v>1250</v>
      </c>
      <c r="F82" s="1260"/>
      <c r="G82" s="1246"/>
      <c r="H82" s="1247">
        <v>5.2999999999999999E-2</v>
      </c>
      <c r="I82" s="1248"/>
      <c r="J82" s="1256">
        <f t="shared" si="20"/>
        <v>66.25</v>
      </c>
      <c r="K82" s="1256"/>
    </row>
    <row r="83" spans="1:30" ht="12.75" hidden="1" customHeight="1">
      <c r="B83" s="656">
        <v>2053</v>
      </c>
      <c r="C83" s="1245"/>
      <c r="D83" s="1246"/>
      <c r="E83" s="1245">
        <v>1100</v>
      </c>
      <c r="F83" s="1260"/>
      <c r="G83" s="1246"/>
      <c r="H83" s="1247">
        <v>5.0500000000000003E-2</v>
      </c>
      <c r="I83" s="1248"/>
      <c r="J83" s="1256">
        <f t="shared" si="20"/>
        <v>55.550000000000004</v>
      </c>
      <c r="K83" s="1256"/>
    </row>
    <row r="84" spans="1:30" ht="12.75" hidden="1" customHeight="1">
      <c r="A84" s="666" t="s">
        <v>540</v>
      </c>
      <c r="B84" s="657">
        <v>2031</v>
      </c>
      <c r="C84" s="1245"/>
      <c r="D84" s="1246"/>
      <c r="E84" s="1245">
        <v>85</v>
      </c>
      <c r="F84" s="1260"/>
      <c r="G84" s="1246"/>
      <c r="H84" s="1247">
        <v>5.5E-2</v>
      </c>
      <c r="I84" s="1248"/>
      <c r="J84" s="1256">
        <f t="shared" si="20"/>
        <v>4.6749999999999998</v>
      </c>
      <c r="K84" s="1256"/>
    </row>
    <row r="85" spans="1:30" ht="12.75" hidden="1" customHeight="1">
      <c r="B85" s="657">
        <v>2050</v>
      </c>
      <c r="C85" s="1245"/>
      <c r="D85" s="1246"/>
      <c r="E85" s="1245">
        <v>579</v>
      </c>
      <c r="F85" s="1260"/>
      <c r="G85" s="1246"/>
      <c r="H85" s="1251">
        <v>5.1249999999999997E-2</v>
      </c>
      <c r="I85" s="1252"/>
      <c r="J85" s="1256">
        <f t="shared" si="20"/>
        <v>29.673749999999998</v>
      </c>
      <c r="K85" s="1256"/>
    </row>
    <row r="86" spans="1:30" ht="12.75" hidden="1" customHeight="1">
      <c r="A86" s="659" t="s">
        <v>541</v>
      </c>
      <c r="B86" s="658">
        <v>2025</v>
      </c>
      <c r="C86" s="1245"/>
      <c r="D86" s="1246"/>
      <c r="E86" s="1245">
        <v>775</v>
      </c>
      <c r="F86" s="1260"/>
      <c r="G86" s="1246"/>
      <c r="H86" s="1251">
        <v>1.6250000000000001E-2</v>
      </c>
      <c r="I86" s="1252"/>
      <c r="J86" s="1256">
        <f t="shared" si="20"/>
        <v>12.59375</v>
      </c>
      <c r="K86" s="1256"/>
    </row>
    <row r="87" spans="1:30" ht="12.75" hidden="1" customHeight="1">
      <c r="B87" s="658">
        <v>2028</v>
      </c>
      <c r="C87" s="1245"/>
      <c r="D87" s="1246"/>
      <c r="E87" s="1245">
        <v>554</v>
      </c>
      <c r="F87" s="1260"/>
      <c r="G87" s="1246"/>
      <c r="H87" s="1251">
        <v>0.01</v>
      </c>
      <c r="I87" s="1252"/>
      <c r="J87" s="1256">
        <f t="shared" si="20"/>
        <v>5.54</v>
      </c>
      <c r="K87" s="1256"/>
    </row>
    <row r="88" spans="1:30" ht="12.75" hidden="1" customHeight="1">
      <c r="B88" s="658">
        <v>2032</v>
      </c>
      <c r="C88" s="1245"/>
      <c r="D88" s="1246"/>
      <c r="E88" s="1245">
        <v>554</v>
      </c>
      <c r="F88" s="1260"/>
      <c r="G88" s="1246"/>
      <c r="H88" s="1247">
        <v>1.4999999999999999E-2</v>
      </c>
      <c r="I88" s="1248"/>
      <c r="J88" s="1256">
        <f t="shared" si="20"/>
        <v>8.31</v>
      </c>
      <c r="K88" s="1256"/>
    </row>
    <row r="89" spans="1:30" ht="12.75" hidden="1" customHeight="1">
      <c r="A89" s="661" t="s">
        <v>542</v>
      </c>
      <c r="B89" s="792">
        <v>2024</v>
      </c>
      <c r="C89" s="1257"/>
      <c r="D89" s="1258"/>
      <c r="E89" s="1257">
        <v>567</v>
      </c>
      <c r="F89" s="1259"/>
      <c r="G89" s="1258"/>
      <c r="H89" s="1253">
        <v>2.1250000000000002E-2</v>
      </c>
      <c r="I89" s="1254"/>
      <c r="J89" s="1255">
        <f t="shared" si="20"/>
        <v>12.04875</v>
      </c>
      <c r="K89" s="1255"/>
    </row>
    <row r="90" spans="1:30" ht="12.75" hidden="1" customHeight="1">
      <c r="B90" s="793" t="s">
        <v>462</v>
      </c>
      <c r="C90" s="1244"/>
      <c r="D90" s="1241"/>
      <c r="E90" s="1242">
        <f>SUM(E65:G89)</f>
        <v>17639</v>
      </c>
      <c r="F90" s="1243"/>
      <c r="G90" s="1241"/>
      <c r="H90" s="1240">
        <f>SUM(H65:I89)</f>
        <v>0.91495000000000015</v>
      </c>
      <c r="I90" s="1241"/>
      <c r="J90" s="1296">
        <f>SUM(J65:K89)</f>
        <v>684.4224999999999</v>
      </c>
      <c r="K90" s="1297"/>
    </row>
    <row r="91" spans="1:30" ht="12.75" hidden="1" customHeight="1"/>
    <row r="92" spans="1:30" ht="12.75" hidden="1" customHeight="1">
      <c r="B92"/>
      <c r="C92"/>
      <c r="D92"/>
      <c r="E92"/>
      <c r="F92"/>
      <c r="G92"/>
      <c r="H92"/>
      <c r="I92"/>
      <c r="J92"/>
      <c r="K92"/>
      <c r="L92"/>
      <c r="M92"/>
      <c r="N92"/>
      <c r="O92"/>
      <c r="P92"/>
      <c r="Q92"/>
      <c r="R92"/>
      <c r="S92"/>
      <c r="T92"/>
      <c r="U92"/>
      <c r="V92"/>
      <c r="W92"/>
      <c r="X92"/>
      <c r="Y92"/>
      <c r="Z92"/>
      <c r="AA92"/>
      <c r="AB92"/>
      <c r="AC92"/>
      <c r="AD92"/>
    </row>
    <row r="93" spans="1:30" ht="12.75" hidden="1" customHeight="1">
      <c r="B93"/>
      <c r="C93"/>
      <c r="D93"/>
      <c r="E93"/>
      <c r="F93"/>
      <c r="G93"/>
      <c r="H93"/>
      <c r="I93"/>
      <c r="J93"/>
      <c r="K93"/>
      <c r="L93"/>
      <c r="M93"/>
      <c r="N93"/>
      <c r="O93"/>
      <c r="P93"/>
      <c r="Q93"/>
      <c r="R93"/>
      <c r="S93"/>
      <c r="T93"/>
      <c r="U93"/>
      <c r="V93"/>
      <c r="W93"/>
      <c r="X93"/>
      <c r="Y93"/>
      <c r="Z93"/>
      <c r="AA93"/>
      <c r="AB93"/>
      <c r="AC93"/>
      <c r="AD93"/>
    </row>
    <row r="94" spans="1:30" ht="12.75" hidden="1" customHeight="1">
      <c r="B94"/>
      <c r="C94"/>
      <c r="D94"/>
      <c r="E94"/>
      <c r="F94"/>
      <c r="G94"/>
      <c r="H94"/>
      <c r="I94"/>
      <c r="J94"/>
      <c r="K94"/>
      <c r="L94"/>
      <c r="M94"/>
      <c r="N94"/>
      <c r="O94"/>
      <c r="P94"/>
      <c r="Q94"/>
      <c r="R94"/>
      <c r="S94"/>
      <c r="T94"/>
      <c r="U94"/>
      <c r="V94"/>
      <c r="W94"/>
      <c r="X94"/>
      <c r="Y94"/>
      <c r="Z94"/>
      <c r="AA94"/>
      <c r="AB94"/>
      <c r="AC94"/>
      <c r="AD94"/>
    </row>
    <row r="95" spans="1:30" ht="12.75" hidden="1" customHeight="1">
      <c r="B95"/>
      <c r="C95"/>
      <c r="D95"/>
      <c r="E95"/>
      <c r="F95"/>
      <c r="G95"/>
      <c r="H95"/>
      <c r="I95"/>
      <c r="J95"/>
      <c r="K95"/>
      <c r="L95"/>
      <c r="M95"/>
      <c r="N95"/>
      <c r="O95"/>
      <c r="P95"/>
      <c r="Q95"/>
      <c r="R95"/>
      <c r="S95"/>
      <c r="T95"/>
      <c r="U95"/>
      <c r="V95"/>
      <c r="W95"/>
      <c r="X95"/>
      <c r="Y95"/>
      <c r="Z95"/>
      <c r="AA95"/>
      <c r="AB95"/>
      <c r="AC95"/>
      <c r="AD95"/>
    </row>
    <row r="96" spans="1:30" ht="12.75" hidden="1" customHeight="1">
      <c r="A96" s="835"/>
      <c r="B96"/>
      <c r="C96"/>
      <c r="D96"/>
      <c r="E96"/>
      <c r="F96"/>
      <c r="G96"/>
      <c r="H96"/>
      <c r="I96"/>
      <c r="J96"/>
      <c r="K96"/>
      <c r="L96"/>
      <c r="M96"/>
      <c r="N96"/>
      <c r="O96"/>
      <c r="P96"/>
      <c r="Q96"/>
      <c r="R96"/>
      <c r="S96"/>
      <c r="T96"/>
      <c r="U96"/>
      <c r="V96"/>
      <c r="W96"/>
      <c r="X96"/>
      <c r="Y96"/>
      <c r="Z96"/>
      <c r="AA96"/>
      <c r="AB96"/>
      <c r="AC96"/>
      <c r="AD96"/>
    </row>
    <row r="97" spans="1:30" ht="12.75" hidden="1" customHeight="1">
      <c r="A97" s="835"/>
      <c r="B97"/>
      <c r="C97"/>
      <c r="D97"/>
      <c r="E97"/>
      <c r="F97"/>
      <c r="G97"/>
      <c r="H97"/>
      <c r="I97"/>
      <c r="J97"/>
      <c r="K97"/>
      <c r="L97"/>
      <c r="M97"/>
      <c r="N97"/>
      <c r="O97"/>
      <c r="P97"/>
      <c r="Q97"/>
      <c r="R97"/>
      <c r="S97"/>
      <c r="T97"/>
      <c r="U97"/>
      <c r="V97"/>
      <c r="W97"/>
      <c r="X97"/>
      <c r="Y97"/>
      <c r="Z97"/>
      <c r="AA97"/>
      <c r="AB97"/>
      <c r="AC97"/>
      <c r="AD97"/>
    </row>
    <row r="98" spans="1:30" ht="12.75" hidden="1" customHeight="1">
      <c r="A98" s="835"/>
      <c r="B98"/>
      <c r="C98" s="835"/>
      <c r="D98" s="835"/>
      <c r="E98" s="835"/>
      <c r="F98" s="835"/>
      <c r="G98" s="835"/>
      <c r="H98" s="835"/>
      <c r="I98" s="835"/>
      <c r="J98" s="835"/>
      <c r="K98" s="835"/>
      <c r="L98" s="835"/>
      <c r="M98" s="835"/>
      <c r="N98" s="835"/>
      <c r="O98" s="835"/>
      <c r="S98"/>
      <c r="T98"/>
      <c r="U98"/>
      <c r="V98"/>
      <c r="W98"/>
      <c r="X98"/>
      <c r="Y98"/>
      <c r="Z98"/>
      <c r="AA98"/>
      <c r="AB98"/>
      <c r="AC98"/>
      <c r="AD98"/>
    </row>
    <row r="99" spans="1:30" ht="12.75" hidden="1" customHeight="1">
      <c r="A99" s="835"/>
      <c r="B99"/>
      <c r="C99" s="835"/>
      <c r="S99"/>
      <c r="T99"/>
      <c r="U99"/>
      <c r="V99"/>
      <c r="W99"/>
      <c r="X99"/>
      <c r="Y99"/>
      <c r="Z99"/>
      <c r="AA99"/>
      <c r="AB99"/>
      <c r="AC99"/>
      <c r="AD99"/>
    </row>
    <row r="100" spans="1:30" ht="12.75" hidden="1" customHeight="1">
      <c r="A100" s="835"/>
      <c r="B100"/>
      <c r="C100" s="835"/>
      <c r="S100"/>
      <c r="T100"/>
      <c r="U100"/>
      <c r="V100"/>
      <c r="W100"/>
      <c r="X100"/>
      <c r="Y100"/>
      <c r="Z100"/>
      <c r="AA100"/>
      <c r="AB100"/>
      <c r="AC100"/>
      <c r="AD100"/>
    </row>
    <row r="101" spans="1:30" ht="12.75" hidden="1" customHeight="1">
      <c r="A101" s="835"/>
      <c r="B101"/>
      <c r="C101" s="835"/>
      <c r="S101"/>
      <c r="T101"/>
      <c r="U101"/>
      <c r="V101"/>
      <c r="W101"/>
      <c r="X101"/>
      <c r="Y101"/>
      <c r="Z101"/>
      <c r="AA101"/>
      <c r="AB101"/>
      <c r="AC101"/>
      <c r="AD101"/>
    </row>
    <row r="102" spans="1:30" ht="12.75" hidden="1" customHeight="1">
      <c r="A102" s="835"/>
      <c r="B102"/>
      <c r="C102" s="835"/>
      <c r="S102"/>
      <c r="T102"/>
      <c r="U102"/>
      <c r="V102"/>
      <c r="W102"/>
      <c r="X102"/>
      <c r="Y102"/>
      <c r="Z102"/>
      <c r="AA102"/>
      <c r="AB102"/>
      <c r="AC102"/>
      <c r="AD102"/>
    </row>
    <row r="103" spans="1:30" ht="12.75" hidden="1" customHeight="1">
      <c r="A103" s="835"/>
      <c r="B103"/>
      <c r="C103" s="835"/>
      <c r="S103"/>
      <c r="T103"/>
      <c r="U103"/>
      <c r="V103"/>
      <c r="W103"/>
      <c r="X103"/>
      <c r="Y103"/>
      <c r="Z103"/>
      <c r="AA103"/>
      <c r="AB103"/>
      <c r="AC103"/>
      <c r="AD103"/>
    </row>
    <row r="104" spans="1:30" ht="12.75" hidden="1" customHeight="1">
      <c r="B104"/>
      <c r="S104"/>
      <c r="T104"/>
      <c r="U104"/>
      <c r="V104"/>
      <c r="W104"/>
      <c r="X104"/>
      <c r="Y104"/>
      <c r="Z104"/>
      <c r="AA104"/>
      <c r="AB104"/>
      <c r="AC104"/>
      <c r="AD104"/>
    </row>
    <row r="105" spans="1:30" ht="12.75" hidden="1" customHeight="1">
      <c r="B105"/>
      <c r="S105"/>
      <c r="T105"/>
      <c r="U105"/>
      <c r="V105"/>
      <c r="W105"/>
      <c r="X105"/>
      <c r="Y105"/>
      <c r="Z105"/>
      <c r="AA105"/>
      <c r="AB105"/>
      <c r="AC105"/>
      <c r="AD105"/>
    </row>
    <row r="106" spans="1:30" ht="12.75" hidden="1" customHeight="1">
      <c r="B106"/>
      <c r="S106"/>
      <c r="T106"/>
      <c r="U106"/>
      <c r="V106"/>
      <c r="W106"/>
      <c r="X106"/>
      <c r="Y106"/>
      <c r="Z106"/>
      <c r="AA106"/>
      <c r="AB106"/>
      <c r="AC106"/>
      <c r="AD106"/>
    </row>
    <row r="107" spans="1:30" ht="12.75" hidden="1" customHeight="1">
      <c r="B107"/>
      <c r="S107"/>
      <c r="T107"/>
      <c r="U107"/>
      <c r="V107"/>
      <c r="W107"/>
      <c r="X107"/>
      <c r="Y107"/>
      <c r="Z107"/>
      <c r="AA107"/>
      <c r="AB107"/>
      <c r="AC107"/>
      <c r="AD107"/>
    </row>
    <row r="108" spans="1:30" ht="12.75" hidden="1" customHeight="1">
      <c r="B108"/>
      <c r="S108"/>
      <c r="T108"/>
      <c r="U108"/>
      <c r="V108"/>
      <c r="W108"/>
      <c r="X108"/>
      <c r="Y108"/>
      <c r="Z108"/>
      <c r="AA108"/>
      <c r="AB108"/>
      <c r="AC108"/>
      <c r="AD108"/>
    </row>
    <row r="109" spans="1:30" ht="12.75" hidden="1" customHeight="1">
      <c r="B109"/>
      <c r="S109"/>
      <c r="T109"/>
      <c r="U109"/>
      <c r="V109"/>
      <c r="W109"/>
      <c r="X109"/>
      <c r="Y109"/>
      <c r="Z109"/>
      <c r="AA109"/>
      <c r="AB109"/>
      <c r="AC109"/>
      <c r="AD109"/>
    </row>
    <row r="110" spans="1:30" ht="12.75" hidden="1" customHeight="1">
      <c r="B110"/>
      <c r="S110"/>
      <c r="T110"/>
      <c r="U110"/>
      <c r="V110"/>
      <c r="W110"/>
      <c r="X110"/>
      <c r="Y110"/>
      <c r="Z110"/>
      <c r="AA110"/>
      <c r="AB110"/>
      <c r="AC110"/>
      <c r="AD110"/>
    </row>
    <row r="111" spans="1:30" ht="12.75" hidden="1" customHeight="1">
      <c r="B111"/>
      <c r="C111"/>
      <c r="D111"/>
      <c r="E111"/>
      <c r="F111"/>
      <c r="G111"/>
      <c r="H111"/>
      <c r="I111"/>
      <c r="J111"/>
      <c r="K111"/>
      <c r="L111"/>
      <c r="M111"/>
      <c r="N111"/>
      <c r="O111"/>
      <c r="P111"/>
      <c r="Q111"/>
      <c r="R111"/>
      <c r="S111"/>
      <c r="T111"/>
      <c r="U111"/>
      <c r="V111"/>
      <c r="W111"/>
      <c r="X111"/>
      <c r="Y111"/>
      <c r="Z111"/>
      <c r="AA111"/>
      <c r="AB111"/>
      <c r="AC111"/>
      <c r="AD111"/>
    </row>
    <row r="112" spans="1:30" ht="12.75" customHeight="1">
      <c r="B112"/>
      <c r="C112"/>
      <c r="D112"/>
      <c r="E112"/>
      <c r="F112"/>
      <c r="G112"/>
      <c r="H112"/>
      <c r="I112"/>
      <c r="J112"/>
      <c r="K112"/>
      <c r="L112"/>
      <c r="M112"/>
      <c r="N112"/>
      <c r="O112"/>
      <c r="P112"/>
      <c r="Q112"/>
      <c r="R112"/>
      <c r="S112"/>
      <c r="T112"/>
      <c r="U112"/>
      <c r="V112"/>
      <c r="W112"/>
      <c r="X112"/>
      <c r="Y112"/>
      <c r="Z112"/>
      <c r="AA112"/>
      <c r="AB112"/>
      <c r="AC112"/>
      <c r="AD112"/>
    </row>
    <row r="113" spans="1:30" ht="12.75" customHeight="1">
      <c r="A113" s="475"/>
      <c r="B113" s="485" t="s">
        <v>543</v>
      </c>
      <c r="C113" s="475"/>
      <c r="D113" s="475"/>
      <c r="E113" s="475"/>
      <c r="F113" s="475"/>
      <c r="G113" s="475"/>
      <c r="H113" s="475"/>
      <c r="I113" s="475"/>
      <c r="J113" s="475"/>
      <c r="K113" s="475"/>
      <c r="L113" s="475"/>
      <c r="M113" s="475"/>
      <c r="N113" s="475"/>
      <c r="O113" s="475"/>
      <c r="P113" s="475"/>
      <c r="Q113" s="475"/>
      <c r="R113" s="475"/>
      <c r="S113" s="475"/>
      <c r="T113" s="475"/>
      <c r="U113" s="475"/>
      <c r="V113" s="475"/>
      <c r="W113" s="475"/>
      <c r="X113" s="475"/>
      <c r="Y113" s="475"/>
      <c r="Z113" s="475"/>
      <c r="AA113" s="475"/>
      <c r="AB113" s="475"/>
      <c r="AC113" s="475"/>
      <c r="AD113" s="475"/>
    </row>
    <row r="114" spans="1:30" ht="12.75" customHeight="1">
      <c r="B114"/>
      <c r="C114"/>
      <c r="D114"/>
      <c r="E114"/>
      <c r="F114"/>
      <c r="G114"/>
      <c r="H114"/>
      <c r="I114"/>
      <c r="J114"/>
      <c r="K114"/>
      <c r="L114"/>
      <c r="M114"/>
      <c r="N114"/>
      <c r="O114"/>
      <c r="P114"/>
      <c r="Q114"/>
      <c r="R114"/>
      <c r="S114"/>
      <c r="T114"/>
      <c r="U114"/>
      <c r="V114"/>
      <c r="W114"/>
      <c r="X114"/>
      <c r="Y114"/>
      <c r="Z114"/>
      <c r="AA114"/>
      <c r="AB114"/>
      <c r="AC114"/>
      <c r="AD114"/>
    </row>
    <row r="115" spans="1:30" ht="12.75" customHeight="1" thickBot="1">
      <c r="H115"/>
      <c r="I115"/>
      <c r="J115"/>
      <c r="K115"/>
      <c r="L115"/>
      <c r="M115"/>
      <c r="N115"/>
      <c r="O115"/>
      <c r="P115"/>
      <c r="Q115"/>
      <c r="R115"/>
      <c r="S115"/>
      <c r="T115"/>
      <c r="U115"/>
      <c r="V115"/>
      <c r="W115"/>
      <c r="X115"/>
      <c r="Y115"/>
      <c r="Z115"/>
      <c r="AA115"/>
      <c r="AB115"/>
      <c r="AC115"/>
      <c r="AD115"/>
    </row>
    <row r="116" spans="1:30" ht="12.75" customHeight="1">
      <c r="B116" s="1316" t="s">
        <v>544</v>
      </c>
      <c r="C116" s="1316"/>
      <c r="D116" s="1316"/>
      <c r="E116" s="1316"/>
      <c r="F116" s="1316"/>
      <c r="G116" s="1316"/>
      <c r="H116"/>
      <c r="J116" s="1307" t="s">
        <v>545</v>
      </c>
      <c r="K116" s="1308"/>
      <c r="L116" s="1308"/>
      <c r="M116" s="1308"/>
      <c r="N116" s="1309"/>
      <c r="S116"/>
      <c r="T116"/>
      <c r="U116"/>
      <c r="V116"/>
      <c r="W116"/>
      <c r="X116"/>
      <c r="Y116"/>
      <c r="Z116"/>
      <c r="AA116"/>
      <c r="AB116"/>
      <c r="AC116"/>
      <c r="AD116"/>
    </row>
    <row r="117" spans="1:30" ht="14.45" customHeight="1" thickBot="1">
      <c r="H117"/>
      <c r="J117" s="1298" t="s">
        <v>546</v>
      </c>
      <c r="K117" s="1299"/>
      <c r="L117" s="1299"/>
      <c r="M117" s="1299"/>
      <c r="N117" s="1300"/>
      <c r="S117"/>
      <c r="T117"/>
      <c r="U117"/>
      <c r="V117"/>
      <c r="W117"/>
      <c r="X117"/>
      <c r="Y117"/>
      <c r="Z117"/>
      <c r="AA117"/>
      <c r="AB117"/>
      <c r="AC117"/>
      <c r="AD117"/>
    </row>
    <row r="118" spans="1:30" ht="12.75" customHeight="1" thickBot="1">
      <c r="B118" s="835"/>
      <c r="C118" s="868">
        <v>2023</v>
      </c>
      <c r="D118" s="868">
        <v>2022</v>
      </c>
      <c r="E118" s="868">
        <v>2021</v>
      </c>
      <c r="F118" s="868">
        <v>2020</v>
      </c>
      <c r="G118" s="868">
        <v>2019</v>
      </c>
      <c r="H118" s="869" t="s">
        <v>547</v>
      </c>
      <c r="J118" s="1301"/>
      <c r="K118" s="1302"/>
      <c r="L118" s="1302"/>
      <c r="M118" s="1302"/>
      <c r="N118" s="1303"/>
      <c r="S118"/>
      <c r="T118"/>
      <c r="U118"/>
      <c r="V118"/>
      <c r="W118"/>
      <c r="X118"/>
      <c r="Y118"/>
      <c r="Z118"/>
      <c r="AA118"/>
      <c r="AB118"/>
      <c r="AC118"/>
      <c r="AD118"/>
    </row>
    <row r="119" spans="1:30" ht="12.75" customHeight="1" thickBot="1">
      <c r="B119" s="861" t="s">
        <v>176</v>
      </c>
      <c r="C119" s="866">
        <f>C130/C133</f>
        <v>0.65918335935266825</v>
      </c>
      <c r="D119" s="866">
        <f>D130/D133</f>
        <v>0.63992704658255095</v>
      </c>
      <c r="E119" s="866">
        <f>E130/E133</f>
        <v>0.61999033786631308</v>
      </c>
      <c r="F119" s="866">
        <f>F130/F133</f>
        <v>0.63216665878905332</v>
      </c>
      <c r="G119" s="866">
        <f>G130/G133</f>
        <v>0.62748670607606549</v>
      </c>
      <c r="H119" s="867">
        <f>SUM(C119:G119)/5</f>
        <v>0.6357508217333302</v>
      </c>
      <c r="J119" s="1301"/>
      <c r="K119" s="1302"/>
      <c r="L119" s="1302"/>
      <c r="M119" s="1302"/>
      <c r="N119" s="1303"/>
      <c r="S119"/>
      <c r="T119"/>
      <c r="U119"/>
      <c r="V119"/>
      <c r="W119"/>
      <c r="X119"/>
      <c r="Y119"/>
      <c r="Z119"/>
      <c r="AA119"/>
      <c r="AB119"/>
      <c r="AC119"/>
      <c r="AD119"/>
    </row>
    <row r="120" spans="1:30" ht="15" customHeight="1" thickBot="1">
      <c r="B120" s="864" t="s">
        <v>177</v>
      </c>
      <c r="C120" s="862">
        <f>C131/C133</f>
        <v>0.19603553288330877</v>
      </c>
      <c r="D120" s="862">
        <f>D131/D133</f>
        <v>0.19631645039765591</v>
      </c>
      <c r="E120" s="862">
        <f>E131/E133</f>
        <v>0.20085931316619898</v>
      </c>
      <c r="F120" s="862">
        <f>F131/F133</f>
        <v>0.18841281845252161</v>
      </c>
      <c r="G120" s="862">
        <f>G131/G133</f>
        <v>0.19191837395740546</v>
      </c>
      <c r="H120" s="863">
        <f>SUM(C120:G120)/5</f>
        <v>0.19470849777141813</v>
      </c>
      <c r="J120" s="1301"/>
      <c r="K120" s="1302"/>
      <c r="L120" s="1302"/>
      <c r="M120" s="1302"/>
      <c r="N120" s="1303"/>
      <c r="S120"/>
      <c r="T120"/>
      <c r="U120"/>
      <c r="V120"/>
      <c r="W120"/>
      <c r="X120"/>
      <c r="Y120"/>
      <c r="Z120"/>
      <c r="AA120"/>
      <c r="AB120"/>
      <c r="AC120"/>
      <c r="AD120"/>
    </row>
    <row r="121" spans="1:30" ht="12.75" customHeight="1" thickBot="1">
      <c r="B121" s="865" t="s">
        <v>178</v>
      </c>
      <c r="C121" s="862">
        <f>C132/C133</f>
        <v>0.14478110776402295</v>
      </c>
      <c r="D121" s="862">
        <f>D132/D133</f>
        <v>0.16375650301979311</v>
      </c>
      <c r="E121" s="862">
        <f>E132/E133</f>
        <v>0.17915034896748794</v>
      </c>
      <c r="F121" s="862">
        <f>F132/F133</f>
        <v>0.1794205227584251</v>
      </c>
      <c r="G121" s="862">
        <f>G132/G133</f>
        <v>0.18059491996652902</v>
      </c>
      <c r="H121" s="863">
        <f>SUM(C121:G121)/5</f>
        <v>0.16954068049525162</v>
      </c>
      <c r="J121" s="1301"/>
      <c r="K121" s="1302"/>
      <c r="L121" s="1302"/>
      <c r="M121" s="1302"/>
      <c r="N121" s="1303"/>
      <c r="S121"/>
      <c r="T121"/>
      <c r="U121"/>
      <c r="V121"/>
      <c r="W121"/>
      <c r="X121"/>
      <c r="Y121"/>
      <c r="Z121"/>
      <c r="AA121"/>
      <c r="AB121"/>
      <c r="AC121"/>
      <c r="AD121"/>
    </row>
    <row r="122" spans="1:30" ht="12.75" customHeight="1">
      <c r="D122" s="4"/>
      <c r="E122" s="4"/>
      <c r="F122" s="4"/>
      <c r="G122" s="4"/>
      <c r="H122" s="4"/>
      <c r="J122" s="1301"/>
      <c r="K122" s="1302"/>
      <c r="L122" s="1302"/>
      <c r="M122" s="1302"/>
      <c r="N122" s="1303"/>
      <c r="S122"/>
      <c r="T122"/>
      <c r="U122"/>
      <c r="V122"/>
      <c r="W122"/>
      <c r="X122"/>
      <c r="Y122"/>
      <c r="Z122"/>
      <c r="AA122"/>
      <c r="AB122"/>
      <c r="AC122"/>
      <c r="AD122"/>
    </row>
    <row r="123" spans="1:30" ht="12.75" customHeight="1" thickBot="1">
      <c r="B123" s="857"/>
      <c r="C123" s="4"/>
      <c r="D123" s="4"/>
      <c r="E123" s="4"/>
      <c r="F123" s="4"/>
      <c r="G123" s="4"/>
      <c r="H123"/>
      <c r="J123" s="1304"/>
      <c r="K123" s="1305"/>
      <c r="L123" s="1305"/>
      <c r="M123" s="1305"/>
      <c r="N123" s="1306"/>
      <c r="S123"/>
      <c r="T123"/>
      <c r="U123"/>
      <c r="V123"/>
      <c r="W123"/>
      <c r="X123"/>
      <c r="Y123"/>
      <c r="Z123"/>
      <c r="AA123"/>
      <c r="AB123"/>
      <c r="AC123"/>
      <c r="AD123"/>
    </row>
    <row r="124" spans="1:30" ht="12.75" customHeight="1">
      <c r="B124" s="857"/>
      <c r="C124" s="4"/>
      <c r="D124" s="4"/>
      <c r="E124" s="4"/>
      <c r="F124" s="4"/>
      <c r="G124" s="4"/>
      <c r="H124"/>
      <c r="I124"/>
      <c r="J124"/>
      <c r="K124"/>
      <c r="L124"/>
      <c r="M124"/>
      <c r="N124"/>
      <c r="O124"/>
      <c r="P124"/>
      <c r="Q124"/>
      <c r="R124"/>
      <c r="S124"/>
      <c r="T124"/>
      <c r="U124"/>
      <c r="V124"/>
      <c r="W124"/>
      <c r="X124"/>
      <c r="Y124"/>
      <c r="Z124"/>
      <c r="AA124"/>
      <c r="AB124"/>
      <c r="AC124"/>
      <c r="AD124"/>
    </row>
    <row r="126" spans="1:30" ht="12.75" customHeight="1" thickBot="1"/>
    <row r="127" spans="1:30" ht="12.75" customHeight="1" thickBot="1">
      <c r="B127" s="1316" t="s">
        <v>543</v>
      </c>
      <c r="C127" s="1316"/>
      <c r="D127" s="1316"/>
      <c r="E127" s="1316"/>
      <c r="F127" s="1316"/>
      <c r="G127" s="1316"/>
      <c r="J127" s="1313" t="s">
        <v>548</v>
      </c>
      <c r="K127" s="1314"/>
      <c r="L127" s="1314"/>
      <c r="M127" s="1314"/>
      <c r="N127" s="1315"/>
    </row>
    <row r="128" spans="1:30" ht="12.75" customHeight="1" thickBot="1">
      <c r="J128" s="1321" t="s">
        <v>549</v>
      </c>
      <c r="K128" s="1322"/>
      <c r="L128" s="1322"/>
      <c r="M128" s="1322"/>
      <c r="N128" s="1323"/>
    </row>
    <row r="129" spans="2:14" ht="12.75" customHeight="1" thickBot="1">
      <c r="B129" s="2"/>
      <c r="C129" s="876">
        <v>2023</v>
      </c>
      <c r="D129" s="876">
        <v>2022</v>
      </c>
      <c r="E129" s="876">
        <v>2021</v>
      </c>
      <c r="F129" s="876">
        <v>2020</v>
      </c>
      <c r="G129" s="876">
        <v>2019</v>
      </c>
      <c r="H129" s="512">
        <v>2018</v>
      </c>
      <c r="J129" s="1324"/>
      <c r="K129" s="1325"/>
      <c r="L129" s="1325"/>
      <c r="M129" s="1325"/>
      <c r="N129" s="1326"/>
    </row>
    <row r="130" spans="2:14" ht="12.75" customHeight="1" thickBot="1">
      <c r="B130" s="870" t="s">
        <v>176</v>
      </c>
      <c r="C130" s="872">
        <v>59958</v>
      </c>
      <c r="D130" s="872">
        <v>64209</v>
      </c>
      <c r="E130" s="872">
        <v>60317</v>
      </c>
      <c r="F130" s="872">
        <v>53499</v>
      </c>
      <c r="G130" s="872">
        <v>46493</v>
      </c>
      <c r="H130" s="860">
        <v>43593</v>
      </c>
      <c r="J130" s="1324"/>
      <c r="K130" s="1325"/>
      <c r="L130" s="1325"/>
      <c r="M130" s="1325"/>
      <c r="N130" s="1326"/>
    </row>
    <row r="131" spans="2:14" ht="12.75" customHeight="1" thickBot="1">
      <c r="B131" s="871" t="s">
        <v>177</v>
      </c>
      <c r="C131" s="875">
        <v>17831</v>
      </c>
      <c r="D131" s="875">
        <v>19698</v>
      </c>
      <c r="E131" s="872">
        <v>19541</v>
      </c>
      <c r="F131" s="872">
        <v>15945</v>
      </c>
      <c r="G131" s="872">
        <v>14220</v>
      </c>
      <c r="H131" s="860">
        <v>14442</v>
      </c>
      <c r="J131" s="1324"/>
      <c r="K131" s="1325"/>
      <c r="L131" s="1325"/>
      <c r="M131" s="1325"/>
      <c r="N131" s="1326"/>
    </row>
    <row r="132" spans="2:14" ht="12.75" customHeight="1" thickBot="1">
      <c r="B132" s="873" t="s">
        <v>178</v>
      </c>
      <c r="C132" s="872">
        <v>13169</v>
      </c>
      <c r="D132" s="875">
        <v>16431</v>
      </c>
      <c r="E132" s="872">
        <v>17429</v>
      </c>
      <c r="F132" s="872">
        <v>15184</v>
      </c>
      <c r="G132" s="872">
        <v>13381</v>
      </c>
      <c r="H132" s="860">
        <v>13826</v>
      </c>
      <c r="J132" s="1327" t="s">
        <v>550</v>
      </c>
      <c r="K132" s="1328"/>
      <c r="L132" s="1328"/>
      <c r="M132" s="1328"/>
      <c r="N132" s="1329"/>
    </row>
    <row r="133" spans="2:14" ht="12.75" customHeight="1" thickBot="1">
      <c r="B133" s="873" t="s">
        <v>551</v>
      </c>
      <c r="C133" s="874">
        <f>SUM(C130:C132)</f>
        <v>90958</v>
      </c>
      <c r="D133" s="874">
        <f>SUM(D130:D132)</f>
        <v>100338</v>
      </c>
      <c r="E133" s="874">
        <f t="shared" ref="E133:G133" si="21">SUM(E130:E132)</f>
        <v>97287</v>
      </c>
      <c r="F133" s="874">
        <f t="shared" si="21"/>
        <v>84628</v>
      </c>
      <c r="G133" s="874">
        <f t="shared" si="21"/>
        <v>74094</v>
      </c>
      <c r="H133" s="860">
        <v>71861</v>
      </c>
      <c r="J133" s="1327"/>
      <c r="K133" s="1328"/>
      <c r="L133" s="1328"/>
      <c r="M133" s="1328"/>
      <c r="N133" s="1329"/>
    </row>
    <row r="134" spans="2:14" ht="12.75" customHeight="1" thickBot="1">
      <c r="B134" s="871" t="s">
        <v>552</v>
      </c>
      <c r="C134" s="877">
        <f>C133/D133-1</f>
        <v>-9.3484023998883781E-2</v>
      </c>
      <c r="D134" s="877">
        <f>D133/E133-1</f>
        <v>3.1360819020012975E-2</v>
      </c>
      <c r="E134" s="877">
        <f>E133/F133-1</f>
        <v>0.14958406201257257</v>
      </c>
      <c r="F134" s="877">
        <f>F133/G133-1</f>
        <v>0.14217075606661811</v>
      </c>
      <c r="G134" s="877">
        <f>G133/H133-1</f>
        <v>3.1073878738119509E-2</v>
      </c>
      <c r="J134" s="1327"/>
      <c r="K134" s="1328"/>
      <c r="L134" s="1328"/>
      <c r="M134" s="1328"/>
      <c r="N134" s="1329"/>
    </row>
    <row r="135" spans="2:14" ht="12.75" customHeight="1">
      <c r="B135" s="857"/>
      <c r="C135" s="857"/>
      <c r="D135" s="857"/>
      <c r="E135" s="857"/>
      <c r="F135" s="857"/>
      <c r="G135" s="857"/>
      <c r="J135" s="1327"/>
      <c r="K135" s="1328"/>
      <c r="L135" s="1328"/>
      <c r="M135" s="1328"/>
      <c r="N135" s="1329"/>
    </row>
    <row r="136" spans="2:14" ht="12.75" customHeight="1">
      <c r="B136" s="857"/>
      <c r="C136" s="857"/>
      <c r="D136" s="857"/>
      <c r="E136" s="857"/>
      <c r="F136" s="857"/>
      <c r="G136" s="857"/>
      <c r="J136" s="1327" t="s">
        <v>553</v>
      </c>
      <c r="K136" s="1328"/>
      <c r="L136" s="1328"/>
      <c r="M136" s="1328"/>
      <c r="N136" s="1329"/>
    </row>
    <row r="137" spans="2:14" ht="12.75" customHeight="1">
      <c r="J137" s="1327"/>
      <c r="K137" s="1328"/>
      <c r="L137" s="1328"/>
      <c r="M137" s="1328"/>
      <c r="N137" s="1329"/>
    </row>
    <row r="138" spans="2:14" ht="12.75" customHeight="1">
      <c r="J138" s="1327"/>
      <c r="K138" s="1328"/>
      <c r="L138" s="1328"/>
      <c r="M138" s="1328"/>
      <c r="N138" s="1329"/>
    </row>
    <row r="139" spans="2:14" ht="12.75" customHeight="1" thickBot="1">
      <c r="J139" s="1330"/>
      <c r="K139" s="1331"/>
      <c r="L139" s="1331"/>
      <c r="M139" s="1331"/>
      <c r="N139" s="1332"/>
    </row>
    <row r="140" spans="2:14" ht="12.75" customHeight="1">
      <c r="B140" s="1316" t="s">
        <v>554</v>
      </c>
      <c r="C140" s="1316"/>
      <c r="D140" s="1316"/>
      <c r="E140" s="1316"/>
      <c r="F140" s="1316"/>
      <c r="G140" s="1316"/>
    </row>
    <row r="141" spans="2:14" ht="12.75" customHeight="1" thickBot="1"/>
    <row r="142" spans="2:14" ht="12.75" customHeight="1" thickBot="1">
      <c r="B142" s="2"/>
      <c r="C142" s="856">
        <v>2023</v>
      </c>
      <c r="D142" s="856">
        <v>2022</v>
      </c>
      <c r="E142" s="856">
        <v>2021</v>
      </c>
      <c r="F142" s="856">
        <v>2020</v>
      </c>
      <c r="G142" s="856">
        <v>2019</v>
      </c>
      <c r="H142" s="856" t="s">
        <v>547</v>
      </c>
    </row>
    <row r="143" spans="2:14" ht="12.75" customHeight="1" thickBot="1">
      <c r="B143" s="870" t="s">
        <v>176</v>
      </c>
      <c r="C143" s="878">
        <f>C130/D130-1</f>
        <v>-6.6205672102041757E-2</v>
      </c>
      <c r="D143" s="878">
        <f t="shared" ref="D143:F143" si="22">D130/E130-1</f>
        <v>6.4525755591292588E-2</v>
      </c>
      <c r="E143" s="878">
        <f t="shared" si="22"/>
        <v>0.12744163442307332</v>
      </c>
      <c r="F143" s="878">
        <f t="shared" si="22"/>
        <v>0.1506893510851095</v>
      </c>
      <c r="G143" s="878">
        <f t="shared" ref="G143" si="23">G130/H130-1</f>
        <v>6.6524441997568351E-2</v>
      </c>
      <c r="H143" s="879">
        <f>SUM(C143:G143)/5</f>
        <v>6.8595102199000405E-2</v>
      </c>
    </row>
    <row r="144" spans="2:14" ht="12.75" customHeight="1" thickBot="1">
      <c r="B144" s="871" t="s">
        <v>177</v>
      </c>
      <c r="C144" s="878">
        <f>C131/D131-1</f>
        <v>-9.4781196060513717E-2</v>
      </c>
      <c r="D144" s="878">
        <f t="shared" ref="D144:F144" si="24">D131/E131-1</f>
        <v>8.0343892328949007E-3</v>
      </c>
      <c r="E144" s="878">
        <f t="shared" si="24"/>
        <v>0.22552524302289112</v>
      </c>
      <c r="F144" s="878">
        <f t="shared" si="24"/>
        <v>0.12130801687763704</v>
      </c>
      <c r="G144" s="878">
        <f>G131/H131-1</f>
        <v>-1.5371832156211074E-2</v>
      </c>
      <c r="H144" s="879">
        <f>SUM(C144:G144)/5</f>
        <v>4.8942924183339655E-2</v>
      </c>
    </row>
    <row r="145" spans="2:8" ht="12.75" customHeight="1" thickBot="1">
      <c r="B145" s="873" t="s">
        <v>178</v>
      </c>
      <c r="C145" s="878">
        <f>C132/D132-1</f>
        <v>-0.19852717424380739</v>
      </c>
      <c r="D145" s="878">
        <f t="shared" ref="D145:F145" si="25">D132/E132-1</f>
        <v>-5.7260887027368201E-2</v>
      </c>
      <c r="E145" s="878">
        <f t="shared" si="25"/>
        <v>0.14785300316122241</v>
      </c>
      <c r="F145" s="878">
        <f t="shared" si="25"/>
        <v>0.13474329272849572</v>
      </c>
      <c r="G145" s="878">
        <f t="shared" ref="G145" si="26">G132/H132-1</f>
        <v>-3.2185737017213945E-2</v>
      </c>
      <c r="H145" s="879">
        <f>SUM(C145:G145)/5</f>
        <v>-1.0755004797342814E-3</v>
      </c>
    </row>
    <row r="147" spans="2:8" ht="12.75" customHeight="1">
      <c r="B147" s="858"/>
      <c r="C147" s="859"/>
      <c r="D147" s="859"/>
      <c r="E147" s="859"/>
      <c r="F147" s="859"/>
      <c r="G147" s="859"/>
    </row>
    <row r="148" spans="2:8" ht="12.75" customHeight="1">
      <c r="B148" s="858"/>
      <c r="C148" s="859"/>
      <c r="D148" s="859"/>
      <c r="E148" s="859"/>
      <c r="F148" s="859"/>
      <c r="G148" s="859"/>
    </row>
    <row r="149" spans="2:8" ht="12.75" customHeight="1">
      <c r="B149" s="858"/>
      <c r="C149" s="859"/>
      <c r="D149" s="859"/>
      <c r="E149" s="859"/>
      <c r="F149" s="859"/>
      <c r="G149" s="859"/>
    </row>
    <row r="388" spans="67:80" ht="12.75" customHeight="1">
      <c r="BO388" s="805"/>
      <c r="BP388" s="806">
        <v>2023</v>
      </c>
      <c r="BQ388" s="806">
        <v>2022</v>
      </c>
      <c r="BR388" s="806">
        <v>2021</v>
      </c>
      <c r="BS388" s="806">
        <v>2020</v>
      </c>
      <c r="BT388" s="806">
        <v>2019</v>
      </c>
      <c r="BU388" s="806">
        <v>2018</v>
      </c>
      <c r="BV388" s="807">
        <v>2017</v>
      </c>
      <c r="BW388" s="1317">
        <v>2016</v>
      </c>
      <c r="BX388" s="1317"/>
      <c r="BY388" s="806">
        <v>2015</v>
      </c>
      <c r="BZ388" s="806">
        <v>2014</v>
      </c>
      <c r="CA388" s="806">
        <v>2013</v>
      </c>
      <c r="CB388" s="806">
        <v>2012</v>
      </c>
    </row>
    <row r="389" spans="67:80" ht="12.75" customHeight="1">
      <c r="BO389" s="808" t="s">
        <v>504</v>
      </c>
      <c r="BP389" s="809">
        <v>36945</v>
      </c>
      <c r="BQ389" s="809">
        <v>34719</v>
      </c>
      <c r="BR389" s="809">
        <v>33475</v>
      </c>
      <c r="BS389" s="809">
        <v>32245</v>
      </c>
      <c r="BT389" s="809">
        <v>30842</v>
      </c>
      <c r="BU389" s="809">
        <v>26576</v>
      </c>
      <c r="BV389" s="810">
        <v>22118</v>
      </c>
      <c r="BW389" s="1318">
        <v>18800</v>
      </c>
      <c r="BX389" s="1318"/>
      <c r="BY389" s="809">
        <v>18352</v>
      </c>
      <c r="BZ389" s="809">
        <v>18281</v>
      </c>
      <c r="CA389" s="809">
        <v>17961</v>
      </c>
      <c r="CB389" s="809"/>
    </row>
    <row r="390" spans="67:80" ht="12.75" customHeight="1">
      <c r="BO390" s="811" t="s">
        <v>74</v>
      </c>
      <c r="BP390" s="812">
        <v>4308</v>
      </c>
      <c r="BQ390" s="809">
        <v>3755</v>
      </c>
      <c r="BR390" s="809">
        <v>3562</v>
      </c>
      <c r="BS390" s="809">
        <v>3073</v>
      </c>
      <c r="BT390" s="809">
        <v>3073</v>
      </c>
      <c r="BU390" s="809">
        <v>3073</v>
      </c>
      <c r="BV390" s="809">
        <v>3073</v>
      </c>
      <c r="BW390" s="1318" t="s">
        <v>19</v>
      </c>
      <c r="BX390" s="1318"/>
      <c r="BY390" s="812" t="s">
        <v>19</v>
      </c>
      <c r="BZ390" s="809" t="s">
        <v>19</v>
      </c>
      <c r="CA390" s="809" t="s">
        <v>19</v>
      </c>
      <c r="CB390" s="809" t="s">
        <v>19</v>
      </c>
    </row>
    <row r="391" spans="67:80" ht="12.75" customHeight="1">
      <c r="BO391" s="813" t="s">
        <v>507</v>
      </c>
      <c r="BP391" s="814">
        <f>BP395-BP394</f>
        <v>-500</v>
      </c>
      <c r="BQ391" s="814"/>
      <c r="BR391" s="814"/>
      <c r="BS391" s="814"/>
      <c r="BT391" s="814"/>
      <c r="BU391" s="814"/>
      <c r="BV391" s="814"/>
      <c r="BW391" s="1288"/>
      <c r="BX391" s="1319"/>
      <c r="BY391" s="816"/>
      <c r="BZ391" s="817"/>
      <c r="CA391" s="815"/>
      <c r="CB391" s="818"/>
    </row>
    <row r="392" spans="67:80" ht="12.75" customHeight="1">
      <c r="BO392" s="811" t="s">
        <v>509</v>
      </c>
      <c r="BP392" s="812">
        <v>7860</v>
      </c>
      <c r="BQ392" s="812">
        <v>6851</v>
      </c>
      <c r="BR392" s="812">
        <v>6249</v>
      </c>
      <c r="BS392" s="819">
        <v>5743</v>
      </c>
      <c r="BT392" s="812">
        <v>5347</v>
      </c>
      <c r="BU392" s="812">
        <v>4943</v>
      </c>
      <c r="BV392" s="820">
        <v>4578</v>
      </c>
      <c r="BW392" s="1320">
        <v>4183</v>
      </c>
      <c r="BX392" s="1320"/>
      <c r="BY392" s="812">
        <v>3825</v>
      </c>
      <c r="BZ392" s="812">
        <v>3129</v>
      </c>
      <c r="CA392" s="820">
        <v>2912</v>
      </c>
      <c r="CB392" s="821">
        <v>2608</v>
      </c>
    </row>
    <row r="393" spans="67:80" ht="12.75" customHeight="1">
      <c r="BO393" s="822" t="s">
        <v>511</v>
      </c>
      <c r="BP393" s="823">
        <v>4555</v>
      </c>
      <c r="BQ393" s="823">
        <v>4055</v>
      </c>
      <c r="BR393" s="823">
        <v>3763</v>
      </c>
      <c r="BS393" s="814">
        <v>3469</v>
      </c>
      <c r="BT393" s="814">
        <v>3180</v>
      </c>
      <c r="BU393" s="814">
        <v>2867</v>
      </c>
      <c r="BV393" s="814">
        <v>2614</v>
      </c>
      <c r="BW393" s="1288">
        <v>2425</v>
      </c>
      <c r="BX393" s="1289"/>
      <c r="BY393" s="814">
        <v>2276</v>
      </c>
      <c r="BZ393" s="814">
        <v>2282</v>
      </c>
      <c r="CA393" s="814">
        <v>2137</v>
      </c>
      <c r="CB393" s="824">
        <v>2005</v>
      </c>
    </row>
    <row r="394" spans="67:80" ht="12.75" customHeight="1">
      <c r="BO394" s="822" t="s">
        <v>514</v>
      </c>
      <c r="BP394" s="814">
        <f t="shared" ref="BP394" si="27">BP393-BQ393</f>
        <v>500</v>
      </c>
      <c r="BQ394" s="814">
        <f t="shared" ref="BQ394" si="28">BQ393-BR393</f>
        <v>292</v>
      </c>
      <c r="BR394" s="814">
        <f t="shared" ref="BR394" si="29">BR393-BS393</f>
        <v>294</v>
      </c>
      <c r="BS394" s="814">
        <f t="shared" ref="BS394" si="30">BS393-BT393</f>
        <v>289</v>
      </c>
      <c r="BT394" s="814">
        <f t="shared" ref="BT394" si="31">BT393-BU393</f>
        <v>313</v>
      </c>
      <c r="BU394" s="814">
        <f>BU393-BV393</f>
        <v>253</v>
      </c>
      <c r="BV394" s="814">
        <f>2614-2425</f>
        <v>189</v>
      </c>
      <c r="BW394" s="1288">
        <f>2425-2276</f>
        <v>149</v>
      </c>
      <c r="BX394" s="1289"/>
      <c r="BY394" s="814">
        <f t="shared" ref="BY394" si="32">BY393-BZ393</f>
        <v>-6</v>
      </c>
      <c r="BZ394" s="814">
        <f t="shared" ref="BZ394" si="33">BZ393-CA393</f>
        <v>145</v>
      </c>
      <c r="CA394" s="814">
        <f>CA393-CB393</f>
        <v>132</v>
      </c>
      <c r="CB394" s="814"/>
    </row>
    <row r="395" spans="67:80" ht="12.75" customHeight="1">
      <c r="BO395" s="822" t="s">
        <v>516</v>
      </c>
      <c r="BP395" s="814"/>
      <c r="BQ395" s="814"/>
      <c r="BR395" s="814"/>
      <c r="BS395" s="814"/>
      <c r="BT395" s="814"/>
      <c r="BU395" s="814"/>
      <c r="BV395" s="814"/>
      <c r="BW395" s="1288"/>
      <c r="BX395" s="1289"/>
      <c r="BY395" s="814"/>
      <c r="BZ395" s="814"/>
      <c r="CA395" s="814"/>
      <c r="CB395" s="814"/>
    </row>
  </sheetData>
  <mergeCells count="155">
    <mergeCell ref="B116:G116"/>
    <mergeCell ref="B127:G127"/>
    <mergeCell ref="B140:G140"/>
    <mergeCell ref="BW388:BX388"/>
    <mergeCell ref="BW389:BX389"/>
    <mergeCell ref="BW390:BX390"/>
    <mergeCell ref="BW391:BX391"/>
    <mergeCell ref="BW392:BX392"/>
    <mergeCell ref="BW393:BX393"/>
    <mergeCell ref="J128:N131"/>
    <mergeCell ref="J132:N135"/>
    <mergeCell ref="J136:N139"/>
    <mergeCell ref="BW394:BX394"/>
    <mergeCell ref="BW395:BX395"/>
    <mergeCell ref="J82:K82"/>
    <mergeCell ref="J83:K83"/>
    <mergeCell ref="J84:K84"/>
    <mergeCell ref="J85:K85"/>
    <mergeCell ref="J86:K86"/>
    <mergeCell ref="AG24:AH24"/>
    <mergeCell ref="AG23:AH23"/>
    <mergeCell ref="J127:N127"/>
    <mergeCell ref="AG22:AH22"/>
    <mergeCell ref="AG21:AH21"/>
    <mergeCell ref="AG20:AH20"/>
    <mergeCell ref="AG19:AH19"/>
    <mergeCell ref="AG18:AH18"/>
    <mergeCell ref="AG17:AH17"/>
    <mergeCell ref="J90:K90"/>
    <mergeCell ref="J117:N123"/>
    <mergeCell ref="J116:N116"/>
    <mergeCell ref="J61:K61"/>
    <mergeCell ref="J62:K62"/>
    <mergeCell ref="C15:M15"/>
    <mergeCell ref="J57:K57"/>
    <mergeCell ref="J58:K58"/>
    <mergeCell ref="J59:K59"/>
    <mergeCell ref="J60:K60"/>
    <mergeCell ref="C41:D41"/>
    <mergeCell ref="C42:D42"/>
    <mergeCell ref="C43:D43"/>
    <mergeCell ref="C44:D44"/>
    <mergeCell ref="C46:D46"/>
    <mergeCell ref="C47:D47"/>
    <mergeCell ref="C48:D48"/>
    <mergeCell ref="C49:D49"/>
    <mergeCell ref="C51:D51"/>
    <mergeCell ref="C52:D52"/>
    <mergeCell ref="C53:D53"/>
    <mergeCell ref="C54:D54"/>
    <mergeCell ref="H87:I87"/>
    <mergeCell ref="H82:I82"/>
    <mergeCell ref="H66:I66"/>
    <mergeCell ref="H75:I75"/>
    <mergeCell ref="J75:K75"/>
    <mergeCell ref="E67:G67"/>
    <mergeCell ref="H67:I67"/>
    <mergeCell ref="H68:I68"/>
    <mergeCell ref="J68:K68"/>
    <mergeCell ref="H73:I73"/>
    <mergeCell ref="J73:K73"/>
    <mergeCell ref="J66:K66"/>
    <mergeCell ref="H71:I71"/>
    <mergeCell ref="J71:K71"/>
    <mergeCell ref="H74:I74"/>
    <mergeCell ref="J74:K74"/>
    <mergeCell ref="J67:K67"/>
    <mergeCell ref="H81:I81"/>
    <mergeCell ref="J81:K81"/>
    <mergeCell ref="E72:G72"/>
    <mergeCell ref="H72:I72"/>
    <mergeCell ref="J72:K72"/>
    <mergeCell ref="H80:I80"/>
    <mergeCell ref="J80:K80"/>
    <mergeCell ref="E69:G69"/>
    <mergeCell ref="H69:I69"/>
    <mergeCell ref="J69:K69"/>
    <mergeCell ref="E64:G64"/>
    <mergeCell ref="H64:I64"/>
    <mergeCell ref="J64:K64"/>
    <mergeCell ref="H65:I65"/>
    <mergeCell ref="J65:K65"/>
    <mergeCell ref="C67:D67"/>
    <mergeCell ref="E78:G78"/>
    <mergeCell ref="H78:I78"/>
    <mergeCell ref="J78:K78"/>
    <mergeCell ref="C76:D76"/>
    <mergeCell ref="E76:G76"/>
    <mergeCell ref="H76:I76"/>
    <mergeCell ref="J76:K76"/>
    <mergeCell ref="C77:D77"/>
    <mergeCell ref="H77:I77"/>
    <mergeCell ref="J77:K77"/>
    <mergeCell ref="C78:D78"/>
    <mergeCell ref="H79:I79"/>
    <mergeCell ref="J79:K79"/>
    <mergeCell ref="E82:G82"/>
    <mergeCell ref="E83:G83"/>
    <mergeCell ref="E81:G81"/>
    <mergeCell ref="E77:G77"/>
    <mergeCell ref="E73:G73"/>
    <mergeCell ref="E68:G68"/>
    <mergeCell ref="C65:D65"/>
    <mergeCell ref="E65:G65"/>
    <mergeCell ref="C79:D79"/>
    <mergeCell ref="E79:G79"/>
    <mergeCell ref="E75:G75"/>
    <mergeCell ref="E71:G71"/>
    <mergeCell ref="E66:G66"/>
    <mergeCell ref="C82:D82"/>
    <mergeCell ref="C83:D83"/>
    <mergeCell ref="E70:G70"/>
    <mergeCell ref="C80:D80"/>
    <mergeCell ref="E80:G80"/>
    <mergeCell ref="C75:D75"/>
    <mergeCell ref="C74:D74"/>
    <mergeCell ref="E74:G74"/>
    <mergeCell ref="C81:D81"/>
    <mergeCell ref="C84:D84"/>
    <mergeCell ref="C85:D85"/>
    <mergeCell ref="C86:D86"/>
    <mergeCell ref="B41:B44"/>
    <mergeCell ref="B46:B49"/>
    <mergeCell ref="B51:B54"/>
    <mergeCell ref="C73:D73"/>
    <mergeCell ref="C71:D71"/>
    <mergeCell ref="C68:D68"/>
    <mergeCell ref="C66:D66"/>
    <mergeCell ref="C64:D64"/>
    <mergeCell ref="C72:D72"/>
    <mergeCell ref="C69:D69"/>
    <mergeCell ref="H90:I90"/>
    <mergeCell ref="E90:G90"/>
    <mergeCell ref="C90:D90"/>
    <mergeCell ref="C70:D70"/>
    <mergeCell ref="H70:I70"/>
    <mergeCell ref="J70:K70"/>
    <mergeCell ref="H83:I83"/>
    <mergeCell ref="H84:I84"/>
    <mergeCell ref="H85:I85"/>
    <mergeCell ref="H86:I86"/>
    <mergeCell ref="H89:I89"/>
    <mergeCell ref="H88:I88"/>
    <mergeCell ref="J89:K89"/>
    <mergeCell ref="J88:K88"/>
    <mergeCell ref="C89:D89"/>
    <mergeCell ref="C88:D88"/>
    <mergeCell ref="E89:G89"/>
    <mergeCell ref="E88:G88"/>
    <mergeCell ref="J87:K87"/>
    <mergeCell ref="E87:G87"/>
    <mergeCell ref="E84:G84"/>
    <mergeCell ref="E85:G85"/>
    <mergeCell ref="E86:G86"/>
    <mergeCell ref="C87:D87"/>
  </mergeCells>
  <pageMargins left="0.7" right="0.7" top="0.75" bottom="0.75" header="0.3" footer="0.3"/>
  <pageSetup paperSize="9" orientation="portrait" r:id="rId1"/>
  <ignoredErrors>
    <ignoredError sqref="F133" formulaRange="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zoomScale="76" workbookViewId="0">
      <selection activeCell="B19" sqref="B19"/>
    </sheetView>
  </sheetViews>
  <sheetFormatPr defaultColWidth="11.42578125" defaultRowHeight="13.15"/>
  <cols>
    <col min="1" max="1" width="36.140625" style="10" customWidth="1"/>
    <col min="2" max="10" width="12.42578125" style="41" customWidth="1"/>
    <col min="11" max="12" width="12.42578125" style="47" customWidth="1"/>
    <col min="13" max="13" width="12.140625" style="47" bestFit="1" customWidth="1"/>
    <col min="14" max="16384" width="11.42578125" style="40"/>
  </cols>
  <sheetData>
    <row r="1" spans="1:25" ht="15.6">
      <c r="A1" s="1334" t="str">
        <f>Inputs!H3</f>
        <v>UNITED PARCEL SERVICE, INC. (XNYS:UPS)</v>
      </c>
      <c r="B1" s="1334"/>
      <c r="C1" s="1334"/>
      <c r="D1" s="1334"/>
      <c r="E1" s="1334"/>
      <c r="F1" s="1334"/>
      <c r="G1" s="1334"/>
      <c r="H1" s="1334"/>
      <c r="I1" s="1334"/>
      <c r="J1" s="1334"/>
      <c r="K1" s="1334"/>
      <c r="L1" s="1334"/>
      <c r="M1" s="1334"/>
    </row>
    <row r="2" spans="1:25" ht="11.45">
      <c r="A2" s="1335" t="str">
        <f>Inputs!G2</f>
        <v>Figures in Millions of USD</v>
      </c>
      <c r="B2" s="1335"/>
      <c r="C2" s="1335"/>
      <c r="D2" s="1335"/>
      <c r="E2" s="1335"/>
      <c r="F2" s="1335"/>
      <c r="G2" s="1335"/>
      <c r="H2" s="1335"/>
      <c r="I2" s="1335"/>
      <c r="J2" s="1335"/>
      <c r="K2" s="1335"/>
      <c r="L2" s="1335"/>
      <c r="M2" s="1335"/>
    </row>
    <row r="3" spans="1:25" ht="21">
      <c r="A3" s="1333" t="s">
        <v>555</v>
      </c>
      <c r="B3" s="1333"/>
      <c r="C3" s="1333"/>
      <c r="D3" s="1333"/>
      <c r="E3" s="1333"/>
      <c r="F3" s="1333"/>
      <c r="G3" s="1333"/>
      <c r="H3" s="1333"/>
      <c r="I3" s="1333"/>
      <c r="J3" s="1333"/>
      <c r="K3" s="1333"/>
      <c r="L3" s="1333"/>
      <c r="M3" s="1333"/>
    </row>
    <row r="4" spans="1:25">
      <c r="A4" s="111"/>
      <c r="B4" s="50">
        <f>OP!J20</f>
        <v>2023</v>
      </c>
      <c r="C4" s="42">
        <f>B4-1</f>
        <v>2022</v>
      </c>
      <c r="D4" s="42">
        <f t="shared" ref="D4:M4" si="0">C4-1</f>
        <v>2021</v>
      </c>
      <c r="E4" s="42">
        <f t="shared" si="0"/>
        <v>2020</v>
      </c>
      <c r="F4" s="42">
        <f t="shared" si="0"/>
        <v>2019</v>
      </c>
      <c r="G4" s="42">
        <f t="shared" si="0"/>
        <v>2018</v>
      </c>
      <c r="H4" s="42">
        <f t="shared" si="0"/>
        <v>2017</v>
      </c>
      <c r="I4" s="42">
        <f t="shared" si="0"/>
        <v>2016</v>
      </c>
      <c r="J4" s="42">
        <f>I4-1</f>
        <v>2015</v>
      </c>
      <c r="K4" s="42">
        <f t="shared" si="0"/>
        <v>2014</v>
      </c>
      <c r="L4" s="42">
        <f t="shared" si="0"/>
        <v>2013</v>
      </c>
      <c r="M4" s="42">
        <f t="shared" si="0"/>
        <v>2012</v>
      </c>
    </row>
    <row r="5" spans="1:25">
      <c r="A5" s="112" t="s">
        <v>122</v>
      </c>
      <c r="B5" s="51">
        <f>_xlfn.XLOOKUP($A5,Inputs!$A:$A,Inputs!B:B,,0)</f>
        <v>90958</v>
      </c>
      <c r="C5" s="51">
        <f>_xlfn.XLOOKUP($A5,Inputs!$A:$A,Inputs!C:C,,0)</f>
        <v>100338</v>
      </c>
      <c r="D5" s="51">
        <f>_xlfn.XLOOKUP($A5,Inputs!$A:$A,Inputs!D:D,,0)</f>
        <v>97287</v>
      </c>
      <c r="E5" s="51">
        <f>_xlfn.XLOOKUP($A5,Inputs!$A:$A,Inputs!E:E,,0)</f>
        <v>84628</v>
      </c>
      <c r="F5" s="51">
        <f>_xlfn.XLOOKUP($A5,Inputs!$A:$A,Inputs!F:F,,0)</f>
        <v>74094</v>
      </c>
      <c r="G5" s="51">
        <f>_xlfn.XLOOKUP($A5,Inputs!$A:$A,Inputs!G:G,,0)</f>
        <v>71861</v>
      </c>
      <c r="H5" s="51">
        <f>_xlfn.XLOOKUP($A5,Inputs!$A:$A,Inputs!H:H,,0)</f>
        <v>65872</v>
      </c>
      <c r="I5" s="51">
        <f>_xlfn.XLOOKUP($A5,Inputs!$A:$A,Inputs!I:I,,0)</f>
        <v>60906</v>
      </c>
      <c r="J5" s="51">
        <f>_xlfn.XLOOKUP($A5,Inputs!$A:$A,Inputs!J:J,,0)</f>
        <v>58363</v>
      </c>
      <c r="K5" s="51">
        <f>_xlfn.XLOOKUP($A5,Inputs!$A:$A,Inputs!K:K,,0)</f>
        <v>58232</v>
      </c>
      <c r="L5" s="51">
        <f>_xlfn.XLOOKUP($A5,Inputs!$A:$A,Inputs!L:L,,0)</f>
        <v>55438</v>
      </c>
      <c r="M5" s="52">
        <f>_xlfn.XLOOKUP($A5,Inputs!$A:$A,Inputs!M:M,,0)</f>
        <v>54127</v>
      </c>
    </row>
    <row r="6" spans="1:25">
      <c r="A6" s="113" t="s">
        <v>556</v>
      </c>
      <c r="B6" s="53">
        <f t="shared" ref="B6:L6" si="1">IFERROR(B5/C5-1,"-")</f>
        <v>-9.3484023998883781E-2</v>
      </c>
      <c r="C6" s="53">
        <f t="shared" si="1"/>
        <v>3.1360819020012975E-2</v>
      </c>
      <c r="D6" s="53">
        <f t="shared" si="1"/>
        <v>0.14958406201257257</v>
      </c>
      <c r="E6" s="53">
        <f t="shared" si="1"/>
        <v>0.14217075606661811</v>
      </c>
      <c r="F6" s="53">
        <f t="shared" si="1"/>
        <v>3.1073878738119509E-2</v>
      </c>
      <c r="G6" s="53">
        <f t="shared" si="1"/>
        <v>9.0918751518095808E-2</v>
      </c>
      <c r="H6" s="53">
        <f t="shared" si="1"/>
        <v>8.1535480905001068E-2</v>
      </c>
      <c r="I6" s="53">
        <f t="shared" si="1"/>
        <v>4.3572126175830617E-2</v>
      </c>
      <c r="J6" s="53">
        <f t="shared" si="1"/>
        <v>2.2496222008516753E-3</v>
      </c>
      <c r="K6" s="53">
        <f t="shared" si="1"/>
        <v>5.0398643529708798E-2</v>
      </c>
      <c r="L6" s="53">
        <f t="shared" si="1"/>
        <v>2.4220814011491454E-2</v>
      </c>
      <c r="M6" s="54" t="str">
        <f>IFERROR(M5/#REF!-1,"-")</f>
        <v>-</v>
      </c>
      <c r="N6" s="360"/>
    </row>
    <row r="7" spans="1:25">
      <c r="A7" s="112" t="s">
        <v>557</v>
      </c>
      <c r="B7" s="51">
        <f>_xlfn.XLOOKUP($A7,Inputs!$A:$A,Inputs!B:B,,0)</f>
        <v>9141</v>
      </c>
      <c r="C7" s="51">
        <f>_xlfn.XLOOKUP($A7,Inputs!$A:$A,Inputs!C:C,,0)</f>
        <v>13094</v>
      </c>
      <c r="D7" s="51">
        <f>_xlfn.XLOOKUP($A7,Inputs!$A:$A,Inputs!D:D,,0)</f>
        <v>12810</v>
      </c>
      <c r="E7" s="51">
        <f>_xlfn.XLOOKUP($A7,Inputs!$A:$A,Inputs!E:E,,0)</f>
        <v>7684</v>
      </c>
      <c r="F7" s="51">
        <f>_xlfn.XLOOKUP($A7,Inputs!$A:$A,Inputs!F:F,,0)</f>
        <v>7798</v>
      </c>
      <c r="G7" s="51">
        <f>_xlfn.XLOOKUP($A7,Inputs!$A:$A,Inputs!G:G,,0)</f>
        <v>7024</v>
      </c>
      <c r="H7" s="51">
        <f>_xlfn.XLOOKUP($A7,Inputs!$A:$A,Inputs!H:H,,0)</f>
        <v>7529</v>
      </c>
      <c r="I7" s="51">
        <f>_xlfn.XLOOKUP($A7,Inputs!$A:$A,Inputs!I:I,,0)</f>
        <v>5467</v>
      </c>
      <c r="J7" s="51">
        <f>_xlfn.XLOOKUP($A7,Inputs!$A:$A,Inputs!J:J,,0)</f>
        <v>7668</v>
      </c>
      <c r="K7" s="51">
        <f>_xlfn.XLOOKUP($A7,Inputs!$A:$A,Inputs!K:K,,0)</f>
        <v>4968</v>
      </c>
      <c r="L7" s="51">
        <f>_xlfn.XLOOKUP($A7,Inputs!$A:$A,Inputs!L:L,,0)</f>
        <v>7034</v>
      </c>
      <c r="M7" s="52">
        <f>_xlfn.XLOOKUP($A7,Inputs!$A:$A,Inputs!M:M,,0)</f>
        <v>1343</v>
      </c>
    </row>
    <row r="8" spans="1:25">
      <c r="A8" s="113" t="s">
        <v>558</v>
      </c>
      <c r="B8" s="53">
        <f>IFERROR(B7/B$5,"-")</f>
        <v>0.10049693265023417</v>
      </c>
      <c r="C8" s="53">
        <f t="shared" ref="C8:M8" si="2">IFERROR(C7/C$5,"-")</f>
        <v>0.13049891367178934</v>
      </c>
      <c r="D8" s="53">
        <f t="shared" si="2"/>
        <v>0.13167226864843196</v>
      </c>
      <c r="E8" s="53">
        <f t="shared" si="2"/>
        <v>9.0797372028170342E-2</v>
      </c>
      <c r="F8" s="53">
        <f t="shared" si="2"/>
        <v>0.10524468917861095</v>
      </c>
      <c r="G8" s="53">
        <f t="shared" si="2"/>
        <v>9.7744256272526128E-2</v>
      </c>
      <c r="H8" s="53">
        <f t="shared" si="2"/>
        <v>0.11429742530969152</v>
      </c>
      <c r="I8" s="53">
        <f t="shared" si="2"/>
        <v>8.97612714675073E-2</v>
      </c>
      <c r="J8" s="53">
        <f t="shared" si="2"/>
        <v>0.13138461011257133</v>
      </c>
      <c r="K8" s="53">
        <f t="shared" si="2"/>
        <v>8.5313916746805885E-2</v>
      </c>
      <c r="L8" s="53">
        <f t="shared" si="2"/>
        <v>0.1268804790937624</v>
      </c>
      <c r="M8" s="54">
        <f t="shared" si="2"/>
        <v>2.4812016184159475E-2</v>
      </c>
    </row>
    <row r="9" spans="1:25">
      <c r="A9" s="112" t="s">
        <v>559</v>
      </c>
      <c r="B9" s="51">
        <f t="shared" ref="B9:M9" si="3">B5-B11</f>
        <v>81817</v>
      </c>
      <c r="C9" s="51">
        <f t="shared" si="3"/>
        <v>87244</v>
      </c>
      <c r="D9" s="51">
        <f t="shared" si="3"/>
        <v>84477</v>
      </c>
      <c r="E9" s="51">
        <f t="shared" si="3"/>
        <v>76944</v>
      </c>
      <c r="F9" s="51">
        <f t="shared" si="3"/>
        <v>66296</v>
      </c>
      <c r="G9" s="51">
        <f t="shared" si="3"/>
        <v>64837</v>
      </c>
      <c r="H9" s="51">
        <f t="shared" si="3"/>
        <v>58343</v>
      </c>
      <c r="I9" s="51">
        <f t="shared" si="3"/>
        <v>55439</v>
      </c>
      <c r="J9" s="51">
        <f t="shared" si="3"/>
        <v>50695</v>
      </c>
      <c r="K9" s="51">
        <f t="shared" si="3"/>
        <v>53264</v>
      </c>
      <c r="L9" s="51">
        <f t="shared" si="3"/>
        <v>48404</v>
      </c>
      <c r="M9" s="52">
        <f t="shared" si="3"/>
        <v>52784</v>
      </c>
    </row>
    <row r="10" spans="1:25">
      <c r="A10" s="113" t="s">
        <v>558</v>
      </c>
      <c r="B10" s="53">
        <f>IFERROR(B9/B$5,"-")</f>
        <v>0.89950306734976582</v>
      </c>
      <c r="C10" s="53">
        <f t="shared" ref="C10:M10" si="4">IFERROR(C9/C$5,"-")</f>
        <v>0.86950108632821066</v>
      </c>
      <c r="D10" s="53">
        <f t="shared" si="4"/>
        <v>0.86832773135156804</v>
      </c>
      <c r="E10" s="53">
        <f t="shared" si="4"/>
        <v>0.9092026279718296</v>
      </c>
      <c r="F10" s="53">
        <f t="shared" si="4"/>
        <v>0.89475531082138904</v>
      </c>
      <c r="G10" s="53">
        <f t="shared" si="4"/>
        <v>0.90225574372747386</v>
      </c>
      <c r="H10" s="53">
        <f t="shared" si="4"/>
        <v>0.88570257469030844</v>
      </c>
      <c r="I10" s="53">
        <f t="shared" si="4"/>
        <v>0.91023872853249266</v>
      </c>
      <c r="J10" s="53">
        <f t="shared" si="4"/>
        <v>0.8686153898874287</v>
      </c>
      <c r="K10" s="53">
        <f t="shared" si="4"/>
        <v>0.91468608325319412</v>
      </c>
      <c r="L10" s="53">
        <f t="shared" si="4"/>
        <v>0.87311952090623757</v>
      </c>
      <c r="M10" s="54">
        <f t="shared" si="4"/>
        <v>0.97518798381584049</v>
      </c>
    </row>
    <row r="11" spans="1:25">
      <c r="A11" s="112" t="s">
        <v>269</v>
      </c>
      <c r="B11" s="51">
        <f>_xlfn.XLOOKUP($A11,Inputs!$A:$A,Inputs!B:B,,0)</f>
        <v>9141</v>
      </c>
      <c r="C11" s="51">
        <f>_xlfn.XLOOKUP($A11,Inputs!$A:$A,Inputs!C:C,,0)</f>
        <v>13094</v>
      </c>
      <c r="D11" s="51">
        <f>_xlfn.XLOOKUP($A11,Inputs!$A:$A,Inputs!D:D,,0)</f>
        <v>12810</v>
      </c>
      <c r="E11" s="51">
        <f>_xlfn.XLOOKUP($A11,Inputs!$A:$A,Inputs!E:E,,0)</f>
        <v>7684</v>
      </c>
      <c r="F11" s="51">
        <f>_xlfn.XLOOKUP($A11,Inputs!$A:$A,Inputs!F:F,,0)</f>
        <v>7798</v>
      </c>
      <c r="G11" s="51">
        <f>_xlfn.XLOOKUP($A11,Inputs!$A:$A,Inputs!G:G,,0)</f>
        <v>7024</v>
      </c>
      <c r="H11" s="51">
        <f>_xlfn.XLOOKUP($A11,Inputs!$A:$A,Inputs!H:H,,0)</f>
        <v>7529</v>
      </c>
      <c r="I11" s="51">
        <f>_xlfn.XLOOKUP($A11,Inputs!$A:$A,Inputs!I:I,,0)</f>
        <v>5467</v>
      </c>
      <c r="J11" s="51">
        <f>_xlfn.XLOOKUP($A11,Inputs!$A:$A,Inputs!J:J,,0)</f>
        <v>7668</v>
      </c>
      <c r="K11" s="51">
        <f>_xlfn.XLOOKUP($A11,Inputs!$A:$A,Inputs!K:K,,0)</f>
        <v>4968</v>
      </c>
      <c r="L11" s="51">
        <f>_xlfn.XLOOKUP($A11,Inputs!$A:$A,Inputs!L:L,,0)</f>
        <v>7034</v>
      </c>
      <c r="M11" s="52">
        <f>_xlfn.XLOOKUP($A11,Inputs!$A:$A,Inputs!M:M,,0)</f>
        <v>1343</v>
      </c>
    </row>
    <row r="12" spans="1:25">
      <c r="A12" s="113" t="s">
        <v>123</v>
      </c>
      <c r="B12" s="53">
        <f t="shared" ref="B12:M12" si="5">IFERROR(B11/B$5,"-")</f>
        <v>0.10049693265023417</v>
      </c>
      <c r="C12" s="53">
        <f t="shared" si="5"/>
        <v>0.13049891367178934</v>
      </c>
      <c r="D12" s="53">
        <f t="shared" si="5"/>
        <v>0.13167226864843196</v>
      </c>
      <c r="E12" s="53">
        <f t="shared" si="5"/>
        <v>9.0797372028170342E-2</v>
      </c>
      <c r="F12" s="53">
        <f t="shared" si="5"/>
        <v>0.10524468917861095</v>
      </c>
      <c r="G12" s="53">
        <f t="shared" si="5"/>
        <v>9.7744256272526128E-2</v>
      </c>
      <c r="H12" s="53">
        <f t="shared" si="5"/>
        <v>0.11429742530969152</v>
      </c>
      <c r="I12" s="53">
        <f t="shared" si="5"/>
        <v>8.97612714675073E-2</v>
      </c>
      <c r="J12" s="53">
        <f t="shared" si="5"/>
        <v>0.13138461011257133</v>
      </c>
      <c r="K12" s="53">
        <f t="shared" si="5"/>
        <v>8.5313916746805885E-2</v>
      </c>
      <c r="L12" s="53">
        <f t="shared" si="5"/>
        <v>0.1268804790937624</v>
      </c>
      <c r="M12" s="54">
        <f t="shared" si="5"/>
        <v>2.4812016184159475E-2</v>
      </c>
    </row>
    <row r="13" spans="1:25">
      <c r="A13" s="112" t="s">
        <v>560</v>
      </c>
      <c r="B13" s="53">
        <f t="shared" ref="B13" si="6">IFERROR(B12/C12-1,"-")</f>
        <v>-0.22990215149998494</v>
      </c>
      <c r="C13" s="53">
        <f t="shared" ref="C13" si="7">IFERROR(C12/D12-1,"-")</f>
        <v>-8.9111776434527279E-3</v>
      </c>
      <c r="D13" s="53">
        <f t="shared" ref="D13" si="8">IFERROR(D12/E12-1,"-")</f>
        <v>0.45017708890935704</v>
      </c>
      <c r="E13" s="53">
        <f t="shared" ref="E13" si="9">IFERROR(E12/F12-1,"-")</f>
        <v>-0.13727359796675387</v>
      </c>
      <c r="F13" s="53">
        <f t="shared" ref="F13" si="10">IFERROR(F12/G12-1,"-")</f>
        <v>7.6735280333736E-2</v>
      </c>
      <c r="G13" s="53">
        <f t="shared" ref="G13" si="11">IFERROR(G12/H12-1,"-")</f>
        <v>-0.14482538860621041</v>
      </c>
      <c r="H13" s="53">
        <f t="shared" ref="H13" si="12">IFERROR(H12/I12-1,"-")</f>
        <v>0.27334900053266353</v>
      </c>
      <c r="I13" s="53">
        <f t="shared" ref="I13" si="13">IFERROR(I12/J12-1,"-")</f>
        <v>-0.31680528343008241</v>
      </c>
      <c r="J13" s="53">
        <f t="shared" ref="J13" si="14">IFERROR(J12/K12-1,"-")</f>
        <v>0.54001381160935047</v>
      </c>
      <c r="K13" s="53">
        <f t="shared" ref="K13" si="15">IFERROR(K12/L12-1,"-")</f>
        <v>-0.32760407782066758</v>
      </c>
      <c r="L13" s="53">
        <f t="shared" ref="L13" si="16">IFERROR(L12/M12-1,"-")</f>
        <v>4.1136706566701999</v>
      </c>
      <c r="M13" s="54" t="str">
        <f>IFERROR(M12/#REF!-1,"-")</f>
        <v>-</v>
      </c>
    </row>
    <row r="14" spans="1:25">
      <c r="A14" s="114" t="s">
        <v>270</v>
      </c>
      <c r="B14" s="51">
        <f>_xlfn.XLOOKUP($A14,Inputs!$A:$A,Inputs!B:B,,0)</f>
        <v>-568</v>
      </c>
      <c r="C14" s="51">
        <f>_xlfn.XLOOKUP($A14,Inputs!$A:$A,Inputs!C:C,,0)</f>
        <v>-704</v>
      </c>
      <c r="D14" s="51">
        <f>_xlfn.XLOOKUP($A14,Inputs!$A:$A,Inputs!D:D,,0)</f>
        <v>-694</v>
      </c>
      <c r="E14" s="51">
        <f>_xlfn.XLOOKUP($A14,Inputs!$A:$A,Inputs!E:E,,0)</f>
        <v>-701</v>
      </c>
      <c r="F14" s="51">
        <f>_xlfn.XLOOKUP($A14,Inputs!$A:$A,Inputs!F:F,,0)</f>
        <v>-653</v>
      </c>
      <c r="G14" s="51">
        <f>_xlfn.XLOOKUP($A14,Inputs!$A:$A,Inputs!G:G,,0)</f>
        <v>-605</v>
      </c>
      <c r="H14" s="51">
        <f>_xlfn.XLOOKUP($A14,Inputs!$A:$A,Inputs!H:H,,0)</f>
        <v>-453</v>
      </c>
      <c r="I14" s="51">
        <f>_xlfn.XLOOKUP($A14,Inputs!$A:$A,Inputs!I:I,,0)</f>
        <v>-381</v>
      </c>
      <c r="J14" s="51">
        <f>_xlfn.XLOOKUP($A14,Inputs!$A:$A,Inputs!J:J,,0)</f>
        <v>-341</v>
      </c>
      <c r="K14" s="51">
        <f>_xlfn.XLOOKUP($A14,Inputs!$A:$A,Inputs!K:K,,0)</f>
        <v>-353</v>
      </c>
      <c r="L14" s="51">
        <f>_xlfn.XLOOKUP($A14,Inputs!$A:$A,Inputs!L:L,,0)</f>
        <v>-380</v>
      </c>
      <c r="M14" s="52">
        <f>_xlfn.XLOOKUP($A14,Inputs!$A:$A,Inputs!M:M,,0)</f>
        <v>-393</v>
      </c>
    </row>
    <row r="15" spans="1:25">
      <c r="A15" s="112" t="s">
        <v>561</v>
      </c>
      <c r="B15" s="51">
        <f>_xlfn.XLOOKUP($A15,Inputs!$A:$A,Inputs!B:B,,0)</f>
        <v>0</v>
      </c>
      <c r="C15" s="51">
        <f>_xlfn.XLOOKUP($A15,Inputs!$A:$A,Inputs!C:C,,0)</f>
        <v>2435</v>
      </c>
      <c r="D15" s="51">
        <f>_xlfn.XLOOKUP($A15,Inputs!$A:$A,Inputs!D:D,,0)</f>
        <v>4479</v>
      </c>
      <c r="E15" s="51">
        <f>_xlfn.XLOOKUP($A15,Inputs!$A:$A,Inputs!E:E,,0)</f>
        <v>-5139</v>
      </c>
      <c r="F15" s="51">
        <f>_xlfn.XLOOKUP($A15,Inputs!$A:$A,Inputs!F:F,,0)</f>
        <v>-1493</v>
      </c>
      <c r="G15" s="51">
        <f>_xlfn.XLOOKUP($A15,Inputs!$A:$A,Inputs!G:G,,0)</f>
        <v>-400</v>
      </c>
      <c r="H15" s="51">
        <f>_xlfn.XLOOKUP($A15,Inputs!$A:$A,Inputs!H:H,,0)</f>
        <v>72</v>
      </c>
      <c r="I15" s="51">
        <f>_xlfn.XLOOKUP($A15,Inputs!$A:$A,Inputs!I:I,,0)</f>
        <v>50</v>
      </c>
      <c r="J15" s="51">
        <f>_xlfn.XLOOKUP($A15,Inputs!$A:$A,Inputs!J:J,,0)</f>
        <v>15</v>
      </c>
      <c r="K15" s="51">
        <f>_xlfn.XLOOKUP($A15,Inputs!$A:$A,Inputs!K:K,,0)</f>
        <v>22</v>
      </c>
      <c r="L15" s="51">
        <f>_xlfn.XLOOKUP($A15,Inputs!$A:$A,Inputs!L:L,,0)</f>
        <v>20</v>
      </c>
      <c r="M15" s="52">
        <f>_xlfn.XLOOKUP($A15,Inputs!$A:$A,Inputs!M:M,,0)</f>
        <v>24</v>
      </c>
    </row>
    <row r="16" spans="1:25">
      <c r="A16" s="114" t="s">
        <v>61</v>
      </c>
      <c r="B16" s="51">
        <f>B11-B15</f>
        <v>9141</v>
      </c>
      <c r="C16" s="51">
        <f t="shared" ref="C16:M16" si="17">C11-C15</f>
        <v>10659</v>
      </c>
      <c r="D16" s="51">
        <f t="shared" si="17"/>
        <v>8331</v>
      </c>
      <c r="E16" s="51">
        <f t="shared" si="17"/>
        <v>12823</v>
      </c>
      <c r="F16" s="51">
        <f t="shared" si="17"/>
        <v>9291</v>
      </c>
      <c r="G16" s="51">
        <f t="shared" si="17"/>
        <v>7424</v>
      </c>
      <c r="H16" s="51">
        <f t="shared" si="17"/>
        <v>7457</v>
      </c>
      <c r="I16" s="51">
        <f t="shared" si="17"/>
        <v>5417</v>
      </c>
      <c r="J16" s="51">
        <f t="shared" si="17"/>
        <v>7653</v>
      </c>
      <c r="K16" s="51">
        <f t="shared" si="17"/>
        <v>4946</v>
      </c>
      <c r="L16" s="51">
        <f t="shared" si="17"/>
        <v>7014</v>
      </c>
      <c r="M16" s="52">
        <f t="shared" si="17"/>
        <v>1319</v>
      </c>
      <c r="N16" s="49"/>
      <c r="O16" s="49"/>
      <c r="P16" s="49"/>
      <c r="Q16" s="49"/>
      <c r="R16" s="49"/>
      <c r="S16" s="49"/>
      <c r="T16" s="49"/>
      <c r="U16" s="49"/>
      <c r="V16" s="49"/>
      <c r="W16" s="49"/>
      <c r="X16" s="49"/>
      <c r="Y16" s="49"/>
    </row>
    <row r="17" spans="1:18">
      <c r="A17" s="112" t="s">
        <v>57</v>
      </c>
      <c r="B17" s="51">
        <f>_xlfn.XLOOKUP($A17,Inputs!$A:$A,Inputs!B:B,,0)</f>
        <v>3366</v>
      </c>
      <c r="C17" s="51">
        <f>_xlfn.XLOOKUP($A17,Inputs!$A:$A,Inputs!C:C,,0)</f>
        <v>3188</v>
      </c>
      <c r="D17" s="51">
        <f>_xlfn.XLOOKUP($A17,Inputs!$A:$A,Inputs!D:D,,0)</f>
        <v>2953</v>
      </c>
      <c r="E17" s="51">
        <f>_xlfn.XLOOKUP($A17,Inputs!$A:$A,Inputs!E:E,,0)</f>
        <v>2698</v>
      </c>
      <c r="F17" s="51">
        <f>_xlfn.XLOOKUP($A17,Inputs!$A:$A,Inputs!F:F,,0)</f>
        <v>2360</v>
      </c>
      <c r="G17" s="51">
        <f>_xlfn.XLOOKUP($A17,Inputs!$A:$A,Inputs!G:G,,0)</f>
        <v>2207</v>
      </c>
      <c r="H17" s="51">
        <f>_xlfn.XLOOKUP($A17,Inputs!$A:$A,Inputs!H:H,,0)</f>
        <v>2282</v>
      </c>
      <c r="I17" s="51">
        <f>_xlfn.XLOOKUP($A17,Inputs!$A:$A,Inputs!I:I,,0)</f>
        <v>2224</v>
      </c>
      <c r="J17" s="51">
        <f>_xlfn.XLOOKUP($A17,Inputs!$A:$A,Inputs!J:J,,0)</f>
        <v>2084</v>
      </c>
      <c r="K17" s="51">
        <f>_xlfn.XLOOKUP($A17,Inputs!$A:$A,Inputs!K:K,,0)</f>
        <v>1923</v>
      </c>
      <c r="L17" s="51">
        <f>_xlfn.XLOOKUP($A17,Inputs!$A:$A,Inputs!L:L,,0)</f>
        <v>1867</v>
      </c>
      <c r="M17" s="52">
        <f>_xlfn.XLOOKUP($A17,Inputs!$A:$A,Inputs!M:M,,0)</f>
        <v>1858</v>
      </c>
      <c r="N17" s="263"/>
    </row>
    <row r="18" spans="1:18">
      <c r="A18" s="114" t="s">
        <v>562</v>
      </c>
      <c r="B18" s="51">
        <f>_xlfn.XLOOKUP($A18,Inputs!$A:$A,Inputs!B:B,,0)</f>
        <v>56</v>
      </c>
      <c r="C18" s="51">
        <f>_xlfn.XLOOKUP($A18,Inputs!$A:$A,Inputs!C:C,,0)</f>
        <v>1365</v>
      </c>
      <c r="D18" s="51">
        <f>_xlfn.XLOOKUP($A18,Inputs!$A:$A,Inputs!D:D,,0)</f>
        <v>-189</v>
      </c>
      <c r="E18" s="51">
        <f>_xlfn.XLOOKUP($A18,Inputs!$A:$A,Inputs!E:E,,0)</f>
        <v>847</v>
      </c>
      <c r="F18" s="51">
        <f>_xlfn.XLOOKUP($A18,Inputs!$A:$A,Inputs!F:F,,0)</f>
        <v>-1446</v>
      </c>
      <c r="G18" s="51">
        <f>_xlfn.XLOOKUP($A18,Inputs!$A:$A,Inputs!G:G,,0)</f>
        <v>-1622</v>
      </c>
      <c r="H18" s="51">
        <f>_xlfn.XLOOKUP($A18,Inputs!$A:$A,Inputs!H:H,,0)</f>
        <v>877</v>
      </c>
      <c r="I18" s="51">
        <f>_xlfn.XLOOKUP($A18,Inputs!$A:$A,Inputs!I:I,,0)</f>
        <v>-1139</v>
      </c>
      <c r="J18" s="51">
        <f>_xlfn.XLOOKUP($A18,Inputs!$A:$A,Inputs!J:J,,0)</f>
        <v>-1096</v>
      </c>
      <c r="K18" s="51">
        <f>_xlfn.XLOOKUP($A18,Inputs!$A:$A,Inputs!K:K,,0)</f>
        <v>-713</v>
      </c>
      <c r="L18" s="51">
        <f>_xlfn.XLOOKUP($A18,Inputs!$A:$A,Inputs!L:L,,0)</f>
        <v>1717</v>
      </c>
      <c r="M18" s="52">
        <f>_xlfn.XLOOKUP($A18,Inputs!$A:$A,Inputs!M:M,,0)</f>
        <v>0</v>
      </c>
    </row>
    <row r="19" spans="1:18">
      <c r="A19" s="112" t="s">
        <v>53</v>
      </c>
      <c r="B19" s="51">
        <f>B11-B15+B17</f>
        <v>12507</v>
      </c>
      <c r="C19" s="51">
        <f t="shared" ref="C19:M19" si="18">C11-C15+C17</f>
        <v>13847</v>
      </c>
      <c r="D19" s="51">
        <f t="shared" si="18"/>
        <v>11284</v>
      </c>
      <c r="E19" s="51">
        <f t="shared" si="18"/>
        <v>15521</v>
      </c>
      <c r="F19" s="51">
        <f t="shared" si="18"/>
        <v>11651</v>
      </c>
      <c r="G19" s="51">
        <f t="shared" si="18"/>
        <v>9631</v>
      </c>
      <c r="H19" s="51">
        <f t="shared" si="18"/>
        <v>9739</v>
      </c>
      <c r="I19" s="51">
        <f t="shared" si="18"/>
        <v>7641</v>
      </c>
      <c r="J19" s="51">
        <f t="shared" si="18"/>
        <v>9737</v>
      </c>
      <c r="K19" s="51">
        <f t="shared" si="18"/>
        <v>6869</v>
      </c>
      <c r="L19" s="51">
        <f t="shared" si="18"/>
        <v>8881</v>
      </c>
      <c r="M19" s="52">
        <f t="shared" si="18"/>
        <v>3177</v>
      </c>
    </row>
    <row r="20" spans="1:18">
      <c r="A20" s="113" t="s">
        <v>563</v>
      </c>
      <c r="B20" s="53">
        <f t="shared" ref="B20" si="19">IFERROR(B19/B$5,"-")</f>
        <v>0.1375030233734251</v>
      </c>
      <c r="C20" s="53">
        <f t="shared" ref="C20" si="20">IFERROR(C19/C$5,"-")</f>
        <v>0.13800354800773387</v>
      </c>
      <c r="D20" s="53">
        <f t="shared" ref="D20" si="21">IFERROR(D19/D$5,"-")</f>
        <v>0.11598671970561329</v>
      </c>
      <c r="E20" s="53">
        <f t="shared" ref="E20" si="22">IFERROR(E19/E$5,"-")</f>
        <v>0.1834026563312379</v>
      </c>
      <c r="F20" s="53">
        <f t="shared" ref="F20" si="23">IFERROR(F19/F$5,"-")</f>
        <v>0.15724620077199233</v>
      </c>
      <c r="G20" s="53">
        <f t="shared" ref="G20" si="24">IFERROR(G19/G$5,"-")</f>
        <v>0.13402262701604487</v>
      </c>
      <c r="H20" s="53">
        <f t="shared" ref="H20" si="25">IFERROR(H19/H$5,"-")</f>
        <v>0.14784734029633229</v>
      </c>
      <c r="I20" s="53">
        <f t="shared" ref="I20" si="26">IFERROR(I19/I$5,"-")</f>
        <v>0.12545562013594719</v>
      </c>
      <c r="J20" s="53">
        <f t="shared" ref="J20" si="27">IFERROR(J19/J$5,"-")</f>
        <v>0.16683515240820382</v>
      </c>
      <c r="K20" s="53">
        <f t="shared" ref="K20" si="28">IFERROR(K19/K$5,"-")</f>
        <v>0.11795919769199066</v>
      </c>
      <c r="L20" s="53">
        <f t="shared" ref="L20" si="29">IFERROR(L19/L$5,"-")</f>
        <v>0.16019697680291498</v>
      </c>
      <c r="M20" s="54">
        <f t="shared" ref="M20" si="30">IFERROR(M19/M$5,"-")</f>
        <v>5.8695290705193338E-2</v>
      </c>
      <c r="P20" s="263"/>
      <c r="Q20" s="263"/>
      <c r="R20" s="263"/>
    </row>
    <row r="21" spans="1:18">
      <c r="A21" s="112" t="s">
        <v>271</v>
      </c>
      <c r="B21" s="51">
        <f>_xlfn.XLOOKUP($A21,Inputs!$A:$A,Inputs!B:B,,0)</f>
        <v>-1865</v>
      </c>
      <c r="C21" s="51">
        <f>_xlfn.XLOOKUP($A21,Inputs!$A:$A,Inputs!C:C,,0)</f>
        <v>-3277</v>
      </c>
      <c r="D21" s="51">
        <f>_xlfn.XLOOKUP($A21,Inputs!$A:$A,Inputs!D:D,,0)</f>
        <v>-3705</v>
      </c>
      <c r="E21" s="51">
        <f>_xlfn.XLOOKUP($A21,Inputs!$A:$A,Inputs!E:E,,0)</f>
        <v>-501</v>
      </c>
      <c r="F21" s="51">
        <f>_xlfn.XLOOKUP($A21,Inputs!$A:$A,Inputs!F:F,,0)</f>
        <v>-1212</v>
      </c>
      <c r="G21" s="51">
        <f>_xlfn.XLOOKUP($A21,Inputs!$A:$A,Inputs!G:G,,0)</f>
        <v>-1228</v>
      </c>
      <c r="H21" s="51">
        <f>_xlfn.XLOOKUP($A21,Inputs!$A:$A,Inputs!H:H,,0)</f>
        <v>-2238</v>
      </c>
      <c r="I21" s="51">
        <f>_xlfn.XLOOKUP($A21,Inputs!$A:$A,Inputs!I:I,,0)</f>
        <v>-1705</v>
      </c>
      <c r="J21" s="51">
        <f>_xlfn.XLOOKUP($A21,Inputs!$A:$A,Inputs!J:J,,0)</f>
        <v>-2498</v>
      </c>
      <c r="K21" s="51">
        <f>_xlfn.XLOOKUP($A21,Inputs!$A:$A,Inputs!K:K,,0)</f>
        <v>-1605</v>
      </c>
      <c r="L21" s="51">
        <f>_xlfn.XLOOKUP($A21,Inputs!$A:$A,Inputs!L:L,,0)</f>
        <v>-2302</v>
      </c>
      <c r="M21" s="52">
        <f>_xlfn.XLOOKUP($A21,Inputs!$A:$A,Inputs!M:M,,0)</f>
        <v>-167</v>
      </c>
    </row>
    <row r="22" spans="1:18">
      <c r="A22" s="113" t="s">
        <v>564</v>
      </c>
      <c r="B22" s="53">
        <f t="shared" ref="B22" si="31">IFERROR(B21/B$5,"-")</f>
        <v>-2.0503968864750765E-2</v>
      </c>
      <c r="C22" s="53">
        <f t="shared" ref="C22" si="32">IFERROR(C21/C$5,"-")</f>
        <v>-3.2659610516454385E-2</v>
      </c>
      <c r="D22" s="53">
        <f t="shared" ref="D22" si="33">IFERROR(D21/D$5,"-")</f>
        <v>-3.8083197138363813E-2</v>
      </c>
      <c r="E22" s="53">
        <f t="shared" ref="E22" si="34">IFERROR(E21/E$5,"-")</f>
        <v>-5.9200264687810185E-3</v>
      </c>
      <c r="F22" s="53">
        <f t="shared" ref="F22" si="35">IFERROR(F21/F$5,"-")</f>
        <v>-1.6357599805652278E-2</v>
      </c>
      <c r="G22" s="53">
        <f t="shared" ref="G22" si="36">IFERROR(G21/G$5,"-")</f>
        <v>-1.7088545942861914E-2</v>
      </c>
      <c r="H22" s="53">
        <f t="shared" ref="H22" si="37">IFERROR(H21/H$5,"-")</f>
        <v>-3.397498178285159E-2</v>
      </c>
      <c r="I22" s="53">
        <f t="shared" ref="I22" si="38">IFERROR(I21/I$5,"-")</f>
        <v>-2.7993957902341313E-2</v>
      </c>
      <c r="J22" s="53">
        <f t="shared" ref="J22" si="39">IFERROR(J21/J$5,"-")</f>
        <v>-4.2801089731507973E-2</v>
      </c>
      <c r="K22" s="53">
        <f t="shared" ref="K22" si="40">IFERROR(K21/K$5,"-")</f>
        <v>-2.7562165132573157E-2</v>
      </c>
      <c r="L22" s="53">
        <f t="shared" ref="L22" si="41">IFERROR(L21/L$5,"-")</f>
        <v>-4.1523864497276235E-2</v>
      </c>
      <c r="M22" s="54">
        <f t="shared" ref="M22" si="42">IFERROR(M21/M$5,"-")</f>
        <v>-3.0853363386110443E-3</v>
      </c>
    </row>
    <row r="23" spans="1:18">
      <c r="A23" s="112" t="s">
        <v>65</v>
      </c>
      <c r="B23" s="51">
        <f>_xlfn.XLOOKUP($A23,Inputs!$A:$A,Inputs!B:B,,0)</f>
        <v>6708</v>
      </c>
      <c r="C23" s="51">
        <f>_xlfn.XLOOKUP($A23,Inputs!$A:$A,Inputs!C:C,,0)</f>
        <v>11548</v>
      </c>
      <c r="D23" s="51">
        <f>_xlfn.XLOOKUP($A23,Inputs!$A:$A,Inputs!D:D,,0)</f>
        <v>12890</v>
      </c>
      <c r="E23" s="51">
        <f>_xlfn.XLOOKUP($A23,Inputs!$A:$A,Inputs!E:E,,0)</f>
        <v>1343</v>
      </c>
      <c r="F23" s="51">
        <f>_xlfn.XLOOKUP($A23,Inputs!$A:$A,Inputs!F:F,,0)</f>
        <v>4440</v>
      </c>
      <c r="G23" s="51">
        <f>_xlfn.XLOOKUP($A23,Inputs!$A:$A,Inputs!G:G,,0)</f>
        <v>4791</v>
      </c>
      <c r="H23" s="51">
        <f>_xlfn.XLOOKUP($A23,Inputs!$A:$A,Inputs!H:H,,0)</f>
        <v>4910</v>
      </c>
      <c r="I23" s="51">
        <f>_xlfn.XLOOKUP($A23,Inputs!$A:$A,Inputs!I:I,,0)</f>
        <v>3431</v>
      </c>
      <c r="J23" s="51">
        <f>_xlfn.XLOOKUP($A23,Inputs!$A:$A,Inputs!J:J,,0)</f>
        <v>4844</v>
      </c>
      <c r="K23" s="51">
        <f>_xlfn.XLOOKUP($A23,Inputs!$A:$A,Inputs!K:K,,0)</f>
        <v>3032</v>
      </c>
      <c r="L23" s="51">
        <f>_xlfn.XLOOKUP($A23,Inputs!$A:$A,Inputs!L:L,,0)</f>
        <v>4372</v>
      </c>
      <c r="M23" s="52">
        <f>_xlfn.XLOOKUP($A23,Inputs!$A:$A,Inputs!M:M,,0)</f>
        <v>807</v>
      </c>
    </row>
    <row r="24" spans="1:18">
      <c r="A24" s="113" t="s">
        <v>231</v>
      </c>
      <c r="B24" s="53">
        <f t="shared" ref="B24" si="43">IFERROR(B23/B$5,"-")</f>
        <v>7.3748323402009722E-2</v>
      </c>
      <c r="C24" s="53">
        <f t="shared" ref="C24" si="44">IFERROR(C23/C$5,"-")</f>
        <v>0.1150909924455341</v>
      </c>
      <c r="D24" s="53">
        <f t="shared" ref="D24" si="45">IFERROR(D23/D$5,"-")</f>
        <v>0.13249457789838315</v>
      </c>
      <c r="E24" s="53">
        <f t="shared" ref="E24" si="46">IFERROR(E23/E$5,"-")</f>
        <v>1.5869452190764285E-2</v>
      </c>
      <c r="F24" s="53">
        <f t="shared" ref="F24" si="47">IFERROR(F23/F$5,"-")</f>
        <v>5.9923880476151915E-2</v>
      </c>
      <c r="G24" s="53">
        <f t="shared" ref="G24" si="48">IFERROR(G23/G$5,"-")</f>
        <v>6.6670377534406702E-2</v>
      </c>
      <c r="H24" s="53">
        <f t="shared" ref="H24" si="49">IFERROR(H23/H$5,"-")</f>
        <v>7.453849890697109E-2</v>
      </c>
      <c r="I24" s="53">
        <f t="shared" ref="I24" si="50">IFERROR(I23/I$5,"-")</f>
        <v>5.63327094210751E-2</v>
      </c>
      <c r="J24" s="53">
        <f t="shared" ref="J24" si="51">IFERROR(J23/J$5,"-")</f>
        <v>8.2997789695526278E-2</v>
      </c>
      <c r="K24" s="53">
        <f t="shared" ref="K24" si="52">IFERROR(K23/K$5,"-")</f>
        <v>5.2067591702156892E-2</v>
      </c>
      <c r="L24" s="53">
        <f t="shared" ref="L24" si="53">IFERROR(L23/L$5,"-")</f>
        <v>7.8862873841047662E-2</v>
      </c>
      <c r="M24" s="54">
        <f t="shared" ref="M24" si="54">IFERROR(M23/M$5,"-")</f>
        <v>1.4909379791970736E-2</v>
      </c>
    </row>
    <row r="25" spans="1:18">
      <c r="A25" s="112" t="s">
        <v>556</v>
      </c>
      <c r="B25" s="53">
        <f t="shared" ref="B25" si="55">IFERROR(B24/C24-1,"-")</f>
        <v>-0.35921724337453664</v>
      </c>
      <c r="C25" s="53">
        <f t="shared" ref="C25" si="56">IFERROR(C24/D24-1,"-")</f>
        <v>-0.1313531899108864</v>
      </c>
      <c r="D25" s="53">
        <f t="shared" ref="D25" si="57">IFERROR(D24/E24-1,"-")</f>
        <v>7.3490328655133048</v>
      </c>
      <c r="E25" s="53">
        <f t="shared" ref="E25" si="58">IFERROR(E24/F24-1,"-")</f>
        <v>-0.73517315526520521</v>
      </c>
      <c r="F25" s="53">
        <f t="shared" ref="F25" si="59">IFERROR(F24/G24-1,"-")</f>
        <v>-0.10119182323173603</v>
      </c>
      <c r="G25" s="53">
        <f t="shared" ref="G25" si="60">IFERROR(G24/H24-1,"-")</f>
        <v>-0.10555781895184546</v>
      </c>
      <c r="H25" s="53">
        <f t="shared" ref="H25" si="61">IFERROR(H24/I24-1,"-")</f>
        <v>0.32318327438880234</v>
      </c>
      <c r="I25" s="53">
        <f t="shared" ref="I25" si="62">IFERROR(I24/J24-1,"-")</f>
        <v>-0.32127458300119616</v>
      </c>
      <c r="J25" s="53">
        <f t="shared" ref="J25" si="63">IFERROR(J24/K24-1,"-")</f>
        <v>0.5940393435190916</v>
      </c>
      <c r="K25" s="53">
        <f t="shared" ref="K25" si="64">IFERROR(K24/L24-1,"-")</f>
        <v>-0.33977055151322655</v>
      </c>
      <c r="L25" s="53">
        <f t="shared" ref="L25" si="65">IFERROR(L24/M24-1,"-")</f>
        <v>4.2894805110215453</v>
      </c>
      <c r="M25" s="54" t="str">
        <f>IFERROR(M24/#REF!-1,"-")</f>
        <v>-</v>
      </c>
    </row>
    <row r="26" spans="1:18">
      <c r="A26" s="113" t="s">
        <v>565</v>
      </c>
      <c r="B26" s="55">
        <f>B39-C39</f>
        <v>-2396</v>
      </c>
      <c r="C26" s="55">
        <f t="shared" ref="C26:M26" si="66">C39-D39</f>
        <v>-4653</v>
      </c>
      <c r="D26" s="55">
        <f t="shared" si="66"/>
        <v>4354</v>
      </c>
      <c r="E26" s="55">
        <f t="shared" si="66"/>
        <v>663</v>
      </c>
      <c r="F26" s="55">
        <f t="shared" si="66"/>
        <v>1013</v>
      </c>
      <c r="G26" s="55">
        <f t="shared" si="66"/>
        <v>905</v>
      </c>
      <c r="H26" s="55">
        <f t="shared" si="66"/>
        <v>-156</v>
      </c>
      <c r="I26" s="55">
        <f t="shared" si="66"/>
        <v>746</v>
      </c>
      <c r="J26" s="55">
        <f t="shared" si="66"/>
        <v>439</v>
      </c>
      <c r="K26" s="55">
        <f t="shared" si="66"/>
        <v>-2374</v>
      </c>
      <c r="L26" s="55">
        <f t="shared" si="66"/>
        <v>-2662</v>
      </c>
      <c r="M26" s="52">
        <f t="shared" si="66"/>
        <v>7327</v>
      </c>
    </row>
    <row r="27" spans="1:18">
      <c r="A27" s="112" t="s">
        <v>133</v>
      </c>
      <c r="B27" s="51">
        <f>_xlfn.XLOOKUP($A27,Inputs!$A:$A,Inputs!B:B,,0)</f>
        <v>-5372</v>
      </c>
      <c r="C27" s="51">
        <f>_xlfn.XLOOKUP($A27,Inputs!$A:$A,Inputs!C:C,,0)</f>
        <v>-5114</v>
      </c>
      <c r="D27" s="51">
        <f>_xlfn.XLOOKUP($A27,Inputs!$A:$A,Inputs!D:D,,0)</f>
        <v>-3437</v>
      </c>
      <c r="E27" s="51">
        <f>_xlfn.XLOOKUP($A27,Inputs!$A:$A,Inputs!E:E,,0)</f>
        <v>-3374</v>
      </c>
      <c r="F27" s="51">
        <f>_xlfn.XLOOKUP($A27,Inputs!$A:$A,Inputs!F:F,,0)</f>
        <v>-3194</v>
      </c>
      <c r="G27" s="51">
        <f>_xlfn.XLOOKUP($A27,Inputs!$A:$A,Inputs!G:G,,0)</f>
        <v>-3011</v>
      </c>
      <c r="H27" s="51">
        <f>_xlfn.XLOOKUP($A27,Inputs!$A:$A,Inputs!H:H,,0)</f>
        <v>-2771</v>
      </c>
      <c r="I27" s="51">
        <f>_xlfn.XLOOKUP($A27,Inputs!$A:$A,Inputs!I:I,,0)</f>
        <v>-2643</v>
      </c>
      <c r="J27" s="51">
        <f>_xlfn.XLOOKUP($A27,Inputs!$A:$A,Inputs!J:J,,0)</f>
        <v>-2525</v>
      </c>
      <c r="K27" s="51">
        <f>_xlfn.XLOOKUP($A27,Inputs!$A:$A,Inputs!K:K,,0)</f>
        <v>-2366</v>
      </c>
      <c r="L27" s="51">
        <f>_xlfn.XLOOKUP($A27,Inputs!$A:$A,Inputs!L:L,,0)</f>
        <v>-2260</v>
      </c>
      <c r="M27" s="52">
        <f>_xlfn.XLOOKUP($A27,Inputs!$A:$A,Inputs!M:M,,0)</f>
        <v>-2130</v>
      </c>
    </row>
    <row r="28" spans="1:18">
      <c r="A28" s="114" t="s">
        <v>566</v>
      </c>
      <c r="B28" s="51">
        <f>_xlfn.XLOOKUP($A28,Inputs!$A:$A,Inputs!B:B,,0)</f>
        <v>-2250</v>
      </c>
      <c r="C28" s="51">
        <f>_xlfn.XLOOKUP($A28,Inputs!$A:$A,Inputs!C:C,,0)</f>
        <v>-3500</v>
      </c>
      <c r="D28" s="51">
        <f>_xlfn.XLOOKUP($A28,Inputs!$A:$A,Inputs!D:D,,0)</f>
        <v>-500</v>
      </c>
      <c r="E28" s="51">
        <f>_xlfn.XLOOKUP($A28,Inputs!$A:$A,Inputs!E:E,,0)</f>
        <v>-224</v>
      </c>
      <c r="F28" s="51">
        <f>_xlfn.XLOOKUP($A28,Inputs!$A:$A,Inputs!F:F,,0)</f>
        <v>-1004</v>
      </c>
      <c r="G28" s="51">
        <f>_xlfn.XLOOKUP($A28,Inputs!$A:$A,Inputs!G:G,,0)</f>
        <v>-1011</v>
      </c>
      <c r="H28" s="51">
        <f>_xlfn.XLOOKUP($A28,Inputs!$A:$A,Inputs!H:H,,0)</f>
        <v>-1813</v>
      </c>
      <c r="I28" s="51">
        <f>_xlfn.XLOOKUP($A28,Inputs!$A:$A,Inputs!I:I,,0)</f>
        <v>-2678</v>
      </c>
      <c r="J28" s="51">
        <f>_xlfn.XLOOKUP($A28,Inputs!$A:$A,Inputs!J:J,,0)</f>
        <v>-2702</v>
      </c>
      <c r="K28" s="51">
        <f>_xlfn.XLOOKUP($A28,Inputs!$A:$A,Inputs!K:K,,0)</f>
        <v>-2695</v>
      </c>
      <c r="L28" s="51">
        <f>_xlfn.XLOOKUP($A28,Inputs!$A:$A,Inputs!L:L,,0)</f>
        <v>-3838</v>
      </c>
      <c r="M28" s="52">
        <f>_xlfn.XLOOKUP($A28,Inputs!$A:$A,Inputs!M:M,,0)</f>
        <v>-1621</v>
      </c>
    </row>
    <row r="29" spans="1:18">
      <c r="A29" s="112" t="s">
        <v>125</v>
      </c>
      <c r="B29" s="55">
        <f>SUM(B26:B28)</f>
        <v>-10018</v>
      </c>
      <c r="C29" s="55">
        <f t="shared" ref="C29:M29" si="67">SUM(C26:C28)</f>
        <v>-13267</v>
      </c>
      <c r="D29" s="55">
        <f t="shared" si="67"/>
        <v>417</v>
      </c>
      <c r="E29" s="55">
        <f t="shared" si="67"/>
        <v>-2935</v>
      </c>
      <c r="F29" s="55">
        <f t="shared" si="67"/>
        <v>-3185</v>
      </c>
      <c r="G29" s="55">
        <f t="shared" si="67"/>
        <v>-3117</v>
      </c>
      <c r="H29" s="55">
        <f t="shared" si="67"/>
        <v>-4740</v>
      </c>
      <c r="I29" s="55">
        <f t="shared" si="67"/>
        <v>-4575</v>
      </c>
      <c r="J29" s="55">
        <f t="shared" si="67"/>
        <v>-4788</v>
      </c>
      <c r="K29" s="55">
        <f t="shared" si="67"/>
        <v>-7435</v>
      </c>
      <c r="L29" s="55">
        <f t="shared" si="67"/>
        <v>-8760</v>
      </c>
      <c r="M29" s="52">
        <f t="shared" si="67"/>
        <v>3576</v>
      </c>
    </row>
    <row r="30" spans="1:18">
      <c r="A30" s="114" t="s">
        <v>567</v>
      </c>
      <c r="B30" s="55">
        <f>+B29-(B58-C29)</f>
        <v>-50014</v>
      </c>
      <c r="C30" s="55">
        <f t="shared" ref="C30:M30" si="68">+C29-(C58-D29)</f>
        <v>-36271</v>
      </c>
      <c r="D30" s="55">
        <f t="shared" si="68"/>
        <v>-28046</v>
      </c>
      <c r="E30" s="55">
        <f t="shared" si="68"/>
        <v>-33874</v>
      </c>
      <c r="F30" s="55">
        <f t="shared" si="68"/>
        <v>-34469</v>
      </c>
      <c r="G30" s="55">
        <f t="shared" si="68"/>
        <v>-30593</v>
      </c>
      <c r="H30" s="55">
        <f t="shared" si="68"/>
        <v>-33604</v>
      </c>
      <c r="I30" s="55">
        <f t="shared" si="68"/>
        <v>-25438</v>
      </c>
      <c r="J30" s="55">
        <f t="shared" si="68"/>
        <v>-26557</v>
      </c>
      <c r="K30" s="55">
        <f t="shared" si="68"/>
        <v>-26982</v>
      </c>
      <c r="L30" s="55">
        <f t="shared" si="68"/>
        <v>-16056</v>
      </c>
      <c r="M30" s="52">
        <f t="shared" si="68"/>
        <v>-9294</v>
      </c>
    </row>
    <row r="31" spans="1:18">
      <c r="A31" s="112" t="s">
        <v>568</v>
      </c>
      <c r="B31" s="55">
        <f>+B30+B33</f>
        <v>-51343</v>
      </c>
      <c r="C31" s="55">
        <f t="shared" ref="C31:L31" si="69">+C30+C33</f>
        <v>-37026</v>
      </c>
      <c r="D31" s="55">
        <f t="shared" si="69"/>
        <v>-28648</v>
      </c>
      <c r="E31" s="55">
        <f t="shared" si="69"/>
        <v>-33894</v>
      </c>
      <c r="F31" s="55">
        <f t="shared" si="69"/>
        <v>-34475</v>
      </c>
      <c r="G31" s="55">
        <f t="shared" si="69"/>
        <v>-30595</v>
      </c>
      <c r="H31" s="55">
        <f t="shared" si="69"/>
        <v>-33738</v>
      </c>
      <c r="I31" s="55">
        <f t="shared" si="69"/>
        <v>-25985</v>
      </c>
      <c r="J31" s="55">
        <f t="shared" si="69"/>
        <v>-26587</v>
      </c>
      <c r="K31" s="55">
        <f t="shared" si="69"/>
        <v>-27045</v>
      </c>
      <c r="L31" s="55">
        <f t="shared" si="69"/>
        <v>-16235</v>
      </c>
      <c r="M31" s="52">
        <f t="shared" ref="M31" si="70">+M30+M33</f>
        <v>-9394</v>
      </c>
    </row>
    <row r="32" spans="1:18">
      <c r="A32" s="114" t="s">
        <v>130</v>
      </c>
      <c r="B32" s="51">
        <f>_xlfn.XLOOKUP($A32,Inputs!$A:$A,Inputs!B:B,,0)</f>
        <v>-5158</v>
      </c>
      <c r="C32" s="51">
        <f>_xlfn.XLOOKUP($A32,Inputs!$A:$A,Inputs!C:C,,0)</f>
        <v>-4769</v>
      </c>
      <c r="D32" s="51">
        <f>_xlfn.XLOOKUP($A32,Inputs!$A:$A,Inputs!D:D,,0)</f>
        <v>-4194</v>
      </c>
      <c r="E32" s="51">
        <f>_xlfn.XLOOKUP($A32,Inputs!$A:$A,Inputs!E:E,,0)</f>
        <v>-5412</v>
      </c>
      <c r="F32" s="51">
        <f>_xlfn.XLOOKUP($A32,Inputs!$A:$A,Inputs!F:F,,0)</f>
        <v>-6380</v>
      </c>
      <c r="G32" s="51">
        <f>_xlfn.XLOOKUP($A32,Inputs!$A:$A,Inputs!G:G,,0)</f>
        <v>-6238</v>
      </c>
      <c r="H32" s="51">
        <f>_xlfn.XLOOKUP($A32,Inputs!$A:$A,Inputs!H:H,,0)</f>
        <v>-5227</v>
      </c>
      <c r="I32" s="51">
        <f>_xlfn.XLOOKUP($A32,Inputs!$A:$A,Inputs!I:I,,0)</f>
        <v>-2965</v>
      </c>
      <c r="J32" s="51">
        <f>_xlfn.XLOOKUP($A32,Inputs!$A:$A,Inputs!J:J,,0)</f>
        <v>-2379</v>
      </c>
      <c r="K32" s="51">
        <f>_xlfn.XLOOKUP($A32,Inputs!$A:$A,Inputs!K:K,,0)</f>
        <v>-2328</v>
      </c>
      <c r="L32" s="51">
        <f>_xlfn.XLOOKUP($A32,Inputs!$A:$A,Inputs!L:L,,0)</f>
        <v>-2065</v>
      </c>
      <c r="M32" s="52">
        <f>_xlfn.XLOOKUP($A32,Inputs!$A:$A,Inputs!M:M,,0)</f>
        <v>-2153</v>
      </c>
    </row>
    <row r="33" spans="1:13">
      <c r="A33" s="112" t="s">
        <v>131</v>
      </c>
      <c r="B33" s="51">
        <f>_xlfn.XLOOKUP($A33,Inputs!$A:$A,Inputs!B:B,,0)</f>
        <v>-1329</v>
      </c>
      <c r="C33" s="51">
        <f>_xlfn.XLOOKUP($A33,Inputs!$A:$A,Inputs!C:C,,0)</f>
        <v>-755</v>
      </c>
      <c r="D33" s="51">
        <f>_xlfn.XLOOKUP($A33,Inputs!$A:$A,Inputs!D:D,,0)</f>
        <v>-602</v>
      </c>
      <c r="E33" s="51">
        <f>_xlfn.XLOOKUP($A33,Inputs!$A:$A,Inputs!E:E,,0)</f>
        <v>-20</v>
      </c>
      <c r="F33" s="51">
        <f>_xlfn.XLOOKUP($A33,Inputs!$A:$A,Inputs!F:F,,0)</f>
        <v>-6</v>
      </c>
      <c r="G33" s="51">
        <f>_xlfn.XLOOKUP($A33,Inputs!$A:$A,Inputs!G:G,,0)</f>
        <v>-2</v>
      </c>
      <c r="H33" s="51">
        <f>_xlfn.XLOOKUP($A33,Inputs!$A:$A,Inputs!H:H,,0)</f>
        <v>-134</v>
      </c>
      <c r="I33" s="51">
        <f>_xlfn.XLOOKUP($A33,Inputs!$A:$A,Inputs!I:I,,0)</f>
        <v>-547</v>
      </c>
      <c r="J33" s="51">
        <f>_xlfn.XLOOKUP($A33,Inputs!$A:$A,Inputs!J:J,,0)</f>
        <v>-30</v>
      </c>
      <c r="K33" s="51">
        <f>_xlfn.XLOOKUP($A33,Inputs!$A:$A,Inputs!K:K,,0)</f>
        <v>-63</v>
      </c>
      <c r="L33" s="51">
        <f>_xlfn.XLOOKUP($A33,Inputs!$A:$A,Inputs!L:L,,0)</f>
        <v>-179</v>
      </c>
      <c r="M33" s="52">
        <f>_xlfn.XLOOKUP($A33,Inputs!$A:$A,Inputs!M:M,,0)</f>
        <v>-100</v>
      </c>
    </row>
    <row r="34" spans="1:13">
      <c r="A34" s="113" t="s">
        <v>126</v>
      </c>
      <c r="B34" s="55">
        <f t="shared" ref="B34:M34" si="71">+B32+B33</f>
        <v>-6487</v>
      </c>
      <c r="C34" s="55">
        <f t="shared" si="71"/>
        <v>-5524</v>
      </c>
      <c r="D34" s="55">
        <f t="shared" si="71"/>
        <v>-4796</v>
      </c>
      <c r="E34" s="55">
        <f t="shared" si="71"/>
        <v>-5432</v>
      </c>
      <c r="F34" s="55">
        <f t="shared" si="71"/>
        <v>-6386</v>
      </c>
      <c r="G34" s="55">
        <f t="shared" si="71"/>
        <v>-6240</v>
      </c>
      <c r="H34" s="55">
        <f t="shared" si="71"/>
        <v>-5361</v>
      </c>
      <c r="I34" s="55">
        <f t="shared" si="71"/>
        <v>-3512</v>
      </c>
      <c r="J34" s="55">
        <f t="shared" si="71"/>
        <v>-2409</v>
      </c>
      <c r="K34" s="55">
        <f t="shared" si="71"/>
        <v>-2391</v>
      </c>
      <c r="L34" s="55">
        <f t="shared" si="71"/>
        <v>-2244</v>
      </c>
      <c r="M34" s="56">
        <f t="shared" si="71"/>
        <v>-2253</v>
      </c>
    </row>
    <row r="35" spans="1:13">
      <c r="A35" s="112" t="s">
        <v>124</v>
      </c>
      <c r="B35" s="55">
        <f t="shared" ref="B35:M35" si="72">+B27+B28</f>
        <v>-7622</v>
      </c>
      <c r="C35" s="55">
        <f t="shared" si="72"/>
        <v>-8614</v>
      </c>
      <c r="D35" s="55">
        <f t="shared" si="72"/>
        <v>-3937</v>
      </c>
      <c r="E35" s="55">
        <f t="shared" si="72"/>
        <v>-3598</v>
      </c>
      <c r="F35" s="55">
        <f t="shared" si="72"/>
        <v>-4198</v>
      </c>
      <c r="G35" s="55">
        <f t="shared" si="72"/>
        <v>-4022</v>
      </c>
      <c r="H35" s="55">
        <f t="shared" si="72"/>
        <v>-4584</v>
      </c>
      <c r="I35" s="55">
        <f t="shared" si="72"/>
        <v>-5321</v>
      </c>
      <c r="J35" s="55">
        <f t="shared" si="72"/>
        <v>-5227</v>
      </c>
      <c r="K35" s="55">
        <f t="shared" si="72"/>
        <v>-5061</v>
      </c>
      <c r="L35" s="55">
        <f t="shared" si="72"/>
        <v>-6098</v>
      </c>
      <c r="M35" s="56">
        <f t="shared" si="72"/>
        <v>-3751</v>
      </c>
    </row>
    <row r="36" spans="1:13">
      <c r="A36" s="114" t="s">
        <v>569</v>
      </c>
      <c r="B36" s="53">
        <f>IFERROR(B35/B23,"-")</f>
        <v>-1.1362552176505665</v>
      </c>
      <c r="C36" s="53">
        <f t="shared" ref="C36:M36" si="73">IFERROR(C35/C23,"-")</f>
        <v>-0.74593003117422929</v>
      </c>
      <c r="D36" s="53">
        <f t="shared" si="73"/>
        <v>-0.30543056633048876</v>
      </c>
      <c r="E36" s="53">
        <f t="shared" si="73"/>
        <v>-2.6790766939687267</v>
      </c>
      <c r="F36" s="53">
        <f t="shared" si="73"/>
        <v>-0.9454954954954955</v>
      </c>
      <c r="G36" s="53">
        <f t="shared" si="73"/>
        <v>-0.83949071175120016</v>
      </c>
      <c r="H36" s="53">
        <f t="shared" si="73"/>
        <v>-0.93360488798370667</v>
      </c>
      <c r="I36" s="53">
        <f t="shared" si="73"/>
        <v>-1.5508598076362576</v>
      </c>
      <c r="J36" s="53">
        <f t="shared" si="73"/>
        <v>-1.079066886870355</v>
      </c>
      <c r="K36" s="53">
        <f t="shared" si="73"/>
        <v>-1.6691952506596306</v>
      </c>
      <c r="L36" s="53">
        <f t="shared" si="73"/>
        <v>-1.3947849954254345</v>
      </c>
      <c r="M36" s="54">
        <f t="shared" si="73"/>
        <v>-4.648079306071871</v>
      </c>
    </row>
    <row r="37" spans="1:13">
      <c r="A37" s="7"/>
      <c r="B37" s="44"/>
      <c r="C37" s="44"/>
      <c r="D37" s="44"/>
      <c r="E37" s="44"/>
      <c r="F37" s="44"/>
      <c r="G37" s="44"/>
      <c r="H37" s="44"/>
      <c r="I37" s="44"/>
      <c r="J37" s="44"/>
      <c r="K37" s="44"/>
      <c r="L37" s="44"/>
      <c r="M37" s="44"/>
    </row>
    <row r="38" spans="1:13" ht="21">
      <c r="A38" s="1333" t="s">
        <v>570</v>
      </c>
      <c r="B38" s="1333"/>
      <c r="C38" s="1333"/>
      <c r="D38" s="1333"/>
      <c r="E38" s="1333"/>
      <c r="F38" s="1333"/>
      <c r="G38" s="1333"/>
      <c r="H38" s="1333"/>
      <c r="I38" s="1333"/>
      <c r="J38" s="1333"/>
      <c r="K38" s="1333"/>
      <c r="L38" s="1333"/>
      <c r="M38" s="1333"/>
    </row>
    <row r="39" spans="1:13">
      <c r="A39" s="115" t="s">
        <v>274</v>
      </c>
      <c r="B39" s="51">
        <f>_xlfn.XLOOKUP($A39,Inputs!$A:$A,Inputs!B:B,,0)</f>
        <v>3206</v>
      </c>
      <c r="C39" s="51">
        <f>_xlfn.XLOOKUP($A39,Inputs!$A:$A,Inputs!C:C,,0)</f>
        <v>5602</v>
      </c>
      <c r="D39" s="51">
        <f>_xlfn.XLOOKUP($A39,Inputs!$A:$A,Inputs!D:D,,0)</f>
        <v>10255</v>
      </c>
      <c r="E39" s="51">
        <f>_xlfn.XLOOKUP($A39,Inputs!$A:$A,Inputs!E:E,,0)</f>
        <v>5901</v>
      </c>
      <c r="F39" s="51">
        <f>_xlfn.XLOOKUP($A39,Inputs!$A:$A,Inputs!F:F,,0)</f>
        <v>5238</v>
      </c>
      <c r="G39" s="51">
        <f>_xlfn.XLOOKUP($A39,Inputs!$A:$A,Inputs!G:G,,0)</f>
        <v>4225</v>
      </c>
      <c r="H39" s="51">
        <f>_xlfn.XLOOKUP($A39,Inputs!$A:$A,Inputs!H:H,,0)</f>
        <v>3320</v>
      </c>
      <c r="I39" s="51">
        <f>_xlfn.XLOOKUP($A39,Inputs!$A:$A,Inputs!I:I,,0)</f>
        <v>3476</v>
      </c>
      <c r="J39" s="51">
        <f>_xlfn.XLOOKUP($A39,Inputs!$A:$A,Inputs!J:J,,0)</f>
        <v>2730</v>
      </c>
      <c r="K39" s="51">
        <f>_xlfn.XLOOKUP($A39,Inputs!$A:$A,Inputs!K:K,,0)</f>
        <v>2291</v>
      </c>
      <c r="L39" s="51">
        <f>_xlfn.XLOOKUP($A39,Inputs!$A:$A,Inputs!L:L,,0)</f>
        <v>4665</v>
      </c>
      <c r="M39" s="52">
        <f>_xlfn.XLOOKUP($A39,Inputs!$A:$A,Inputs!M:M,,0)</f>
        <v>7327</v>
      </c>
    </row>
    <row r="40" spans="1:13">
      <c r="A40" s="113" t="s">
        <v>571</v>
      </c>
      <c r="B40" s="51">
        <f>_xlfn.XLOOKUP($A40,Inputs!$A:$A,Inputs!B:B,,0)</f>
        <v>11342</v>
      </c>
      <c r="C40" s="51">
        <f>_xlfn.XLOOKUP($A40,Inputs!$A:$A,Inputs!C:C,,0)</f>
        <v>12729</v>
      </c>
      <c r="D40" s="51">
        <f>_xlfn.XLOOKUP($A40,Inputs!$A:$A,Inputs!D:D,,0)</f>
        <v>10255</v>
      </c>
      <c r="E40" s="51">
        <f>_xlfn.XLOOKUP($A40,Inputs!$A:$A,Inputs!E:E,,0)</f>
        <v>5910</v>
      </c>
      <c r="F40" s="51">
        <f>_xlfn.XLOOKUP($A40,Inputs!$A:$A,Inputs!F:F,,0)</f>
        <v>5238</v>
      </c>
      <c r="G40" s="51">
        <f>_xlfn.XLOOKUP($A40,Inputs!$A:$A,Inputs!G:G,,0)</f>
        <v>8958</v>
      </c>
      <c r="H40" s="51">
        <f>_xlfn.XLOOKUP($A40,Inputs!$A:$A,Inputs!H:H,,0)</f>
        <v>8773</v>
      </c>
      <c r="I40" s="51">
        <f>_xlfn.XLOOKUP($A40,Inputs!$A:$A,Inputs!I:I,,0)</f>
        <v>7695</v>
      </c>
      <c r="J40" s="51">
        <f>_xlfn.XLOOKUP($A40,Inputs!$A:$A,Inputs!J:J,,0)</f>
        <v>7134</v>
      </c>
      <c r="K40" s="51">
        <f>_xlfn.XLOOKUP($A40,Inputs!$A:$A,Inputs!K:K,,0)</f>
        <v>6661</v>
      </c>
      <c r="L40" s="51">
        <f>_xlfn.XLOOKUP($A40,Inputs!$A:$A,Inputs!L:L,,0)</f>
        <v>6502</v>
      </c>
      <c r="M40" s="52">
        <f>_xlfn.XLOOKUP($A40,Inputs!$A:$A,Inputs!M:M,,0)</f>
        <v>6111</v>
      </c>
    </row>
    <row r="41" spans="1:13">
      <c r="A41" s="115" t="s">
        <v>276</v>
      </c>
      <c r="B41" s="51">
        <f>_xlfn.XLOOKUP($A41,Inputs!$A:$A,Inputs!B:B,,0)</f>
        <v>935</v>
      </c>
      <c r="C41" s="51">
        <f>_xlfn.XLOOKUP($A41,Inputs!$A:$A,Inputs!C:C,,0)</f>
        <v>889</v>
      </c>
      <c r="D41" s="51">
        <f>_xlfn.XLOOKUP($A41,Inputs!$A:$A,Inputs!D:D,,0)</f>
        <v>717</v>
      </c>
      <c r="E41" s="51">
        <f>_xlfn.XLOOKUP($A41,Inputs!$A:$A,Inputs!E:E,,0)</f>
        <v>620</v>
      </c>
      <c r="F41" s="51">
        <f>_xlfn.XLOOKUP($A41,Inputs!$A:$A,Inputs!F:F,,0)</f>
        <v>511</v>
      </c>
      <c r="G41" s="51">
        <f>_xlfn.XLOOKUP($A41,Inputs!$A:$A,Inputs!G:G,,0)</f>
        <v>421</v>
      </c>
      <c r="H41" s="51">
        <f>_xlfn.XLOOKUP($A41,Inputs!$A:$A,Inputs!H:H,,0)</f>
        <v>404</v>
      </c>
      <c r="I41" s="51">
        <f>_xlfn.XLOOKUP($A41,Inputs!$A:$A,Inputs!I:I,,0)</f>
        <v>342</v>
      </c>
      <c r="J41" s="51">
        <f>_xlfn.XLOOKUP($A41,Inputs!$A:$A,Inputs!J:J,,0)</f>
        <v>308</v>
      </c>
      <c r="K41" s="51">
        <f>_xlfn.XLOOKUP($A41,Inputs!$A:$A,Inputs!K:K,,0)</f>
        <v>344</v>
      </c>
      <c r="L41" s="51">
        <f>_xlfn.XLOOKUP($A41,Inputs!$A:$A,Inputs!L:L,,0)</f>
        <v>403</v>
      </c>
      <c r="M41" s="52">
        <f>_xlfn.XLOOKUP($A41,Inputs!$A:$A,Inputs!M:M,,0)</f>
        <v>393</v>
      </c>
    </row>
    <row r="42" spans="1:13">
      <c r="A42" s="113" t="s">
        <v>572</v>
      </c>
      <c r="B42" s="51">
        <f>_xlfn.XLOOKUP($A42,Inputs!$A:$A,Inputs!B:B,,0)</f>
        <v>36945</v>
      </c>
      <c r="C42" s="51">
        <f>_xlfn.XLOOKUP($A42,Inputs!$A:$A,Inputs!C:C,,0)</f>
        <v>34719</v>
      </c>
      <c r="D42" s="51">
        <f>_xlfn.XLOOKUP($A42,Inputs!$A:$A,Inputs!D:D,,0)</f>
        <v>33475</v>
      </c>
      <c r="E42" s="51">
        <f>_xlfn.XLOOKUP($A42,Inputs!$A:$A,Inputs!E:E,,0)</f>
        <v>32254</v>
      </c>
      <c r="F42" s="51">
        <f>_xlfn.XLOOKUP($A42,Inputs!$A:$A,Inputs!F:F,,0)</f>
        <v>30482</v>
      </c>
      <c r="G42" s="51">
        <f>_xlfn.XLOOKUP($A42,Inputs!$A:$A,Inputs!G:G,,0)</f>
        <v>26576</v>
      </c>
      <c r="H42" s="51">
        <f>_xlfn.XLOOKUP($A42,Inputs!$A:$A,Inputs!H:H,,0)</f>
        <v>22118</v>
      </c>
      <c r="I42" s="51">
        <f>_xlfn.XLOOKUP($A42,Inputs!$A:$A,Inputs!I:I,,0)</f>
        <v>18800</v>
      </c>
      <c r="J42" s="51">
        <f>_xlfn.XLOOKUP($A42,Inputs!$A:$A,Inputs!J:J,,0)</f>
        <v>18352</v>
      </c>
      <c r="K42" s="51">
        <f>_xlfn.XLOOKUP($A42,Inputs!$A:$A,Inputs!K:K,,0)</f>
        <v>18281</v>
      </c>
      <c r="L42" s="51">
        <f>_xlfn.XLOOKUP($A42,Inputs!$A:$A,Inputs!L:L,,0)</f>
        <v>17961</v>
      </c>
      <c r="M42" s="52">
        <f>_xlfn.XLOOKUP($A42,Inputs!$A:$A,Inputs!M:M,,0)</f>
        <v>17894</v>
      </c>
    </row>
    <row r="43" spans="1:13">
      <c r="A43" s="115" t="s">
        <v>573</v>
      </c>
      <c r="B43" s="51">
        <f>_xlfn.XLOOKUP($A43,Inputs!$A:$A,Inputs!B:B,,0)</f>
        <v>14121</v>
      </c>
      <c r="C43" s="51">
        <f>_xlfn.XLOOKUP($A43,Inputs!$A:$A,Inputs!C:C,,0)</f>
        <v>13430</v>
      </c>
      <c r="D43" s="51">
        <f>_xlfn.XLOOKUP($A43,Inputs!$A:$A,Inputs!D:D,,0)</f>
        <v>11141</v>
      </c>
      <c r="E43" s="51">
        <f>_xlfn.XLOOKUP($A43,Inputs!$A:$A,Inputs!E:E,,0)</f>
        <v>14650</v>
      </c>
      <c r="F43" s="51">
        <f>_xlfn.XLOOKUP($A43,Inputs!$A:$A,Inputs!F:F,,0)</f>
        <v>13532</v>
      </c>
      <c r="G43" s="51">
        <f>_xlfn.XLOOKUP($A43,Inputs!$A:$A,Inputs!G:G,,0)</f>
        <v>8182</v>
      </c>
      <c r="H43" s="51">
        <f>_xlfn.XLOOKUP($A43,Inputs!$A:$A,Inputs!H:H,,0)</f>
        <v>9132</v>
      </c>
      <c r="I43" s="51">
        <f>_xlfn.XLOOKUP($A43,Inputs!$A:$A,Inputs!I:I,,0)</f>
        <v>8411</v>
      </c>
      <c r="J43" s="51">
        <f>_xlfn.XLOOKUP($A43,Inputs!$A:$A,Inputs!J:J,,0)</f>
        <v>8066</v>
      </c>
      <c r="K43" s="51">
        <f>_xlfn.XLOOKUP($A43,Inputs!$A:$A,Inputs!K:K,,0)</f>
        <v>6103</v>
      </c>
      <c r="L43" s="51">
        <f>_xlfn.XLOOKUP($A43,Inputs!$A:$A,Inputs!L:L,,0)</f>
        <v>4887</v>
      </c>
      <c r="M43" s="52">
        <f>_xlfn.XLOOKUP($A43,Inputs!$A:$A,Inputs!M:M,,0)</f>
        <v>5334</v>
      </c>
    </row>
    <row r="44" spans="1:13">
      <c r="A44" s="116" t="s">
        <v>42</v>
      </c>
      <c r="B44" s="57">
        <f>_xlfn.XLOOKUP($A44,Inputs!$A:$A,Inputs!B:B,,0)</f>
        <v>70857</v>
      </c>
      <c r="C44" s="57">
        <f>_xlfn.XLOOKUP($A44,Inputs!$A:$A,Inputs!C:C,,0)</f>
        <v>71124</v>
      </c>
      <c r="D44" s="57">
        <f>_xlfn.XLOOKUP($A44,Inputs!$A:$A,Inputs!D:D,,0)</f>
        <v>69405</v>
      </c>
      <c r="E44" s="57">
        <f>_xlfn.XLOOKUP($A44,Inputs!$A:$A,Inputs!E:E,,0)</f>
        <v>62408</v>
      </c>
      <c r="F44" s="57">
        <f>_xlfn.XLOOKUP($A44,Inputs!$A:$A,Inputs!F:F,,0)</f>
        <v>57857</v>
      </c>
      <c r="G44" s="57">
        <f>_xlfn.XLOOKUP($A44,Inputs!$A:$A,Inputs!G:G,,0)</f>
        <v>50016</v>
      </c>
      <c r="H44" s="57">
        <f>_xlfn.XLOOKUP($A44,Inputs!$A:$A,Inputs!H:H,,0)</f>
        <v>45403</v>
      </c>
      <c r="I44" s="57">
        <f>_xlfn.XLOOKUP($A44,Inputs!$A:$A,Inputs!I:I,,0)</f>
        <v>40377</v>
      </c>
      <c r="J44" s="57">
        <f>_xlfn.XLOOKUP($A44,Inputs!$A:$A,Inputs!J:J,,0)</f>
        <v>38311</v>
      </c>
      <c r="K44" s="57">
        <f>_xlfn.XLOOKUP($A44,Inputs!$A:$A,Inputs!K:K,,0)</f>
        <v>35471</v>
      </c>
      <c r="L44" s="57">
        <f>_xlfn.XLOOKUP($A44,Inputs!$A:$A,Inputs!L:L,,0)</f>
        <v>36212</v>
      </c>
      <c r="M44" s="57">
        <f>_xlfn.XLOOKUP($A44,Inputs!$A:$A,Inputs!M:M,,0)</f>
        <v>38863</v>
      </c>
    </row>
    <row r="45" spans="1:13">
      <c r="B45"/>
      <c r="C45"/>
      <c r="D45"/>
      <c r="E45"/>
      <c r="F45"/>
      <c r="G45"/>
      <c r="H45"/>
      <c r="I45"/>
      <c r="J45"/>
      <c r="K45"/>
      <c r="L45"/>
      <c r="M45"/>
    </row>
    <row r="46" spans="1:13">
      <c r="B46"/>
      <c r="C46"/>
      <c r="D46"/>
      <c r="E46"/>
      <c r="F46"/>
      <c r="G46"/>
      <c r="H46"/>
      <c r="I46"/>
      <c r="J46"/>
      <c r="K46"/>
      <c r="L46"/>
      <c r="M46"/>
    </row>
    <row r="47" spans="1:13" ht="21">
      <c r="A47" s="1333" t="s">
        <v>574</v>
      </c>
      <c r="B47" s="1333"/>
      <c r="C47" s="1333"/>
      <c r="D47" s="1333"/>
      <c r="E47" s="1333"/>
      <c r="F47" s="1333"/>
      <c r="G47" s="1333"/>
      <c r="H47" s="1333"/>
      <c r="I47" s="1333"/>
      <c r="J47" s="1333"/>
      <c r="K47" s="1333"/>
      <c r="L47" s="1333"/>
      <c r="M47" s="1333"/>
    </row>
    <row r="48" spans="1:13">
      <c r="A48" s="117" t="s">
        <v>280</v>
      </c>
      <c r="B48" s="57">
        <f>_xlfn.XLOOKUP($A48,Inputs!$A:$A,Inputs!B:B,,0)</f>
        <v>17676</v>
      </c>
      <c r="C48" s="57">
        <f>_xlfn.XLOOKUP($A48,Inputs!$A:$A,Inputs!C:C,,0)</f>
        <v>18140</v>
      </c>
      <c r="D48" s="57">
        <f>_xlfn.XLOOKUP($A48,Inputs!$A:$A,Inputs!D:D,,0)</f>
        <v>17569</v>
      </c>
      <c r="E48" s="57">
        <f>_xlfn.XLOOKUP($A48,Inputs!$A:$A,Inputs!E:E,,0)</f>
        <v>17016</v>
      </c>
      <c r="F48" s="57">
        <f>_xlfn.XLOOKUP($A48,Inputs!$A:$A,Inputs!F:F,,0)</f>
        <v>15413</v>
      </c>
      <c r="G48" s="57">
        <f>_xlfn.XLOOKUP($A48,Inputs!$A:$A,Inputs!G:G,,0)</f>
        <v>14087</v>
      </c>
      <c r="H48" s="57">
        <f>_xlfn.XLOOKUP($A48,Inputs!$A:$A,Inputs!H:H,,0)</f>
        <v>12708</v>
      </c>
      <c r="I48" s="57">
        <f>_xlfn.XLOOKUP($A48,Inputs!$A:$A,Inputs!I:I,,0)</f>
        <v>11730</v>
      </c>
      <c r="J48" s="57">
        <f>_xlfn.XLOOKUP($A48,Inputs!$A:$A,Inputs!J:J,,0)</f>
        <v>10696</v>
      </c>
      <c r="K48" s="57">
        <f>_xlfn.XLOOKUP($A48,Inputs!$A:$A,Inputs!K:K,,0)</f>
        <v>8639</v>
      </c>
      <c r="L48" s="57">
        <f>_xlfn.XLOOKUP($A48,Inputs!$A:$A,Inputs!L:L,,0)</f>
        <v>7131</v>
      </c>
      <c r="M48" s="57">
        <f>_xlfn.XLOOKUP($A48,Inputs!$A:$A,Inputs!M:M,,0)</f>
        <v>8390</v>
      </c>
    </row>
    <row r="49" spans="1:13">
      <c r="A49" s="118" t="s">
        <v>575</v>
      </c>
      <c r="B49" s="51">
        <f>_xlfn.XLOOKUP($A49,Inputs!$A:$A,Inputs!B:B,,0)</f>
        <v>3348</v>
      </c>
      <c r="C49" s="51">
        <f>_xlfn.XLOOKUP($A49,Inputs!$A:$A,Inputs!C:C,,0)</f>
        <v>2241</v>
      </c>
      <c r="D49" s="51">
        <f>_xlfn.XLOOKUP($A49,Inputs!$A:$A,Inputs!D:D,,0)</f>
        <v>2131</v>
      </c>
      <c r="E49" s="51">
        <f>_xlfn.XLOOKUP($A49,Inputs!$A:$A,Inputs!E:E,,0)</f>
        <v>2623</v>
      </c>
      <c r="F49" s="51">
        <f>_xlfn.XLOOKUP($A49,Inputs!$A:$A,Inputs!F:F,,0)</f>
        <v>3420</v>
      </c>
      <c r="G49" s="51">
        <f>_xlfn.XLOOKUP($A49,Inputs!$A:$A,Inputs!G:G,,0)</f>
        <v>2805</v>
      </c>
      <c r="H49" s="51">
        <f>_xlfn.XLOOKUP($A49,Inputs!$A:$A,Inputs!H:H,,0)</f>
        <v>4011</v>
      </c>
      <c r="I49" s="51">
        <f>_xlfn.XLOOKUP($A49,Inputs!$A:$A,Inputs!I:I,,0)</f>
        <v>3681</v>
      </c>
      <c r="J49" s="51">
        <f>_xlfn.XLOOKUP($A49,Inputs!$A:$A,Inputs!J:J,,0)</f>
        <v>3018</v>
      </c>
      <c r="K49" s="51">
        <f>_xlfn.XLOOKUP($A49,Inputs!$A:$A,Inputs!K:K,,0)</f>
        <v>923</v>
      </c>
      <c r="L49" s="51">
        <f>_xlfn.XLOOKUP($A49,Inputs!$A:$A,Inputs!L:L,,0)</f>
        <v>48</v>
      </c>
      <c r="M49" s="51">
        <f>_xlfn.XLOOKUP($A49,Inputs!$A:$A,Inputs!M:M,,0)</f>
        <v>1781</v>
      </c>
    </row>
    <row r="50" spans="1:13">
      <c r="A50" s="112" t="s">
        <v>576</v>
      </c>
      <c r="B50" s="51">
        <f>_xlfn.XLOOKUP($A50,Inputs!$A:$A,Inputs!B:B,,0)</f>
        <v>709</v>
      </c>
      <c r="C50" s="51">
        <f>_xlfn.XLOOKUP($A50,Inputs!$A:$A,Inputs!C:C,,0)</f>
        <v>621</v>
      </c>
      <c r="D50" s="51">
        <f>_xlfn.XLOOKUP($A50,Inputs!$A:$A,Inputs!D:D,,0)</f>
        <v>580</v>
      </c>
      <c r="E50" s="51">
        <f>_xlfn.XLOOKUP($A50,Inputs!$A:$A,Inputs!E:E,,0)</f>
        <v>560</v>
      </c>
      <c r="F50" s="51">
        <f>_xlfn.XLOOKUP($A50,Inputs!$A:$A,Inputs!F:F,,0)</f>
        <v>538</v>
      </c>
      <c r="G50" s="51">
        <f>_xlfn.XLOOKUP($A50,Inputs!$A:$A,Inputs!G:G,,0)</f>
        <v>0</v>
      </c>
      <c r="H50" s="51">
        <f>_xlfn.XLOOKUP($A50,Inputs!$A:$A,Inputs!H:H,,0)</f>
        <v>0</v>
      </c>
      <c r="I50" s="51">
        <f>_xlfn.XLOOKUP($A50,Inputs!$A:$A,Inputs!I:I,,0)</f>
        <v>0</v>
      </c>
      <c r="J50" s="51">
        <f>_xlfn.XLOOKUP($A50,Inputs!$A:$A,Inputs!J:J,,0)</f>
        <v>0</v>
      </c>
      <c r="K50" s="51">
        <f>_xlfn.XLOOKUP($A50,Inputs!$A:$A,Inputs!K:K,,0)</f>
        <v>0</v>
      </c>
      <c r="L50" s="51">
        <f>_xlfn.XLOOKUP($A50,Inputs!$A:$A,Inputs!L:L,,0)</f>
        <v>0</v>
      </c>
      <c r="M50" s="51">
        <f>_xlfn.XLOOKUP($A50,Inputs!$A:$A,Inputs!M:M,,0)</f>
        <v>0</v>
      </c>
    </row>
    <row r="51" spans="1:13">
      <c r="A51" s="113" t="s">
        <v>577</v>
      </c>
      <c r="B51" s="51">
        <f>_xlfn.XLOOKUP($A51,Inputs!$A:$A,Inputs!B:B,,0)</f>
        <v>7279</v>
      </c>
      <c r="C51" s="51">
        <f>_xlfn.XLOOKUP($A51,Inputs!$A:$A,Inputs!C:C,,0)</f>
        <v>7763</v>
      </c>
      <c r="D51" s="51">
        <f>_xlfn.XLOOKUP($A51,Inputs!$A:$A,Inputs!D:D,,0)</f>
        <v>7335</v>
      </c>
      <c r="E51" s="51">
        <f>_xlfn.XLOOKUP($A51,Inputs!$A:$A,Inputs!E:E,,0)</f>
        <v>7378</v>
      </c>
      <c r="F51" s="51">
        <f>_xlfn.XLOOKUP($A51,Inputs!$A:$A,Inputs!F:F,,0)</f>
        <v>5900</v>
      </c>
      <c r="G51" s="51">
        <f>_xlfn.XLOOKUP($A51,Inputs!$A:$A,Inputs!G:G,,0)</f>
        <v>6094</v>
      </c>
      <c r="H51" s="51">
        <f>_xlfn.XLOOKUP($A51,Inputs!$A:$A,Inputs!H:H,,0)</f>
        <v>4825</v>
      </c>
      <c r="I51" s="51">
        <f>_xlfn.XLOOKUP($A51,Inputs!$A:$A,Inputs!I:I,,0)</f>
        <v>5007</v>
      </c>
      <c r="J51" s="51">
        <f>_xlfn.XLOOKUP($A51,Inputs!$A:$A,Inputs!J:J,,0)</f>
        <v>5091</v>
      </c>
      <c r="K51" s="51">
        <f>_xlfn.XLOOKUP($A51,Inputs!$A:$A,Inputs!K:K,,0)</f>
        <v>4962</v>
      </c>
      <c r="L51" s="51">
        <f>_xlfn.XLOOKUP($A51,Inputs!$A:$A,Inputs!L:L,,0)</f>
        <v>4605</v>
      </c>
      <c r="M51" s="51">
        <f>_xlfn.XLOOKUP($A51,Inputs!$A:$A,Inputs!M:M,,0)</f>
        <v>4331</v>
      </c>
    </row>
    <row r="52" spans="1:13">
      <c r="A52" s="117" t="s">
        <v>578</v>
      </c>
      <c r="B52" s="57">
        <f>_xlfn.XLOOKUP($A52,Inputs!$A:$A,Inputs!B:B,,0)</f>
        <v>35867</v>
      </c>
      <c r="C52" s="57">
        <f>_xlfn.XLOOKUP($A52,Inputs!$A:$A,Inputs!C:C,,0)</f>
        <v>33181</v>
      </c>
      <c r="D52" s="57">
        <f>_xlfn.XLOOKUP($A52,Inputs!$A:$A,Inputs!D:D,,0)</f>
        <v>37567</v>
      </c>
      <c r="E52" s="57">
        <f>_xlfn.XLOOKUP($A52,Inputs!$A:$A,Inputs!E:E,,0)</f>
        <v>44723</v>
      </c>
      <c r="F52" s="57">
        <f>_xlfn.XLOOKUP($A52,Inputs!$A:$A,Inputs!F:F,,0)</f>
        <v>39161</v>
      </c>
      <c r="G52" s="57">
        <f>_xlfn.XLOOKUP($A52,Inputs!$A:$A,Inputs!G:G,,0)</f>
        <v>32892</v>
      </c>
      <c r="H52" s="57">
        <f>_xlfn.XLOOKUP($A52,Inputs!$A:$A,Inputs!H:H,,0)</f>
        <v>31665</v>
      </c>
      <c r="I52" s="57">
        <f>_xlfn.XLOOKUP($A52,Inputs!$A:$A,Inputs!I:I,,0)</f>
        <v>28218</v>
      </c>
      <c r="J52" s="57">
        <f>_xlfn.XLOOKUP($A52,Inputs!$A:$A,Inputs!J:J,,0)</f>
        <v>25124</v>
      </c>
      <c r="K52" s="57">
        <f>_xlfn.XLOOKUP($A52,Inputs!$A:$A,Inputs!K:K,,0)</f>
        <v>24494</v>
      </c>
      <c r="L52" s="57">
        <f>_xlfn.XLOOKUP($A52,Inputs!$A:$A,Inputs!L:L,,0)</f>
        <v>22593</v>
      </c>
      <c r="M52" s="57">
        <f>_xlfn.XLOOKUP($A52,Inputs!$A:$A,Inputs!M:M,,0)</f>
        <v>25740</v>
      </c>
    </row>
    <row r="53" spans="1:13">
      <c r="A53" s="118" t="s">
        <v>579</v>
      </c>
      <c r="B53" s="51">
        <f>_xlfn.XLOOKUP($A53,Inputs!$A:$A,Inputs!B:B,,0)</f>
        <v>18916</v>
      </c>
      <c r="C53" s="51">
        <f>_xlfn.XLOOKUP($A53,Inputs!$A:$A,Inputs!C:C,,0)</f>
        <v>17321</v>
      </c>
      <c r="D53" s="51">
        <f>_xlfn.XLOOKUP($A53,Inputs!$A:$A,Inputs!D:D,,0)</f>
        <v>19784</v>
      </c>
      <c r="E53" s="51">
        <f>_xlfn.XLOOKUP($A53,Inputs!$A:$A,Inputs!E:E,,0)</f>
        <v>22031</v>
      </c>
      <c r="F53" s="51">
        <f>_xlfn.XLOOKUP($A53,Inputs!$A:$A,Inputs!F:F,,0)</f>
        <v>21818</v>
      </c>
      <c r="G53" s="51">
        <f>_xlfn.XLOOKUP($A53,Inputs!$A:$A,Inputs!G:G,,0)</f>
        <v>19931</v>
      </c>
      <c r="H53" s="51">
        <f>_xlfn.XLOOKUP($A53,Inputs!$A:$A,Inputs!H:H,,0)</f>
        <v>20278</v>
      </c>
      <c r="I53" s="51">
        <f>_xlfn.XLOOKUP($A53,Inputs!$A:$A,Inputs!I:I,,0)</f>
        <v>12394</v>
      </c>
      <c r="J53" s="51">
        <f>_xlfn.XLOOKUP($A53,Inputs!$A:$A,Inputs!J:J,,0)</f>
        <v>11316</v>
      </c>
      <c r="K53" s="51">
        <f>_xlfn.XLOOKUP($A53,Inputs!$A:$A,Inputs!K:K,,0)</f>
        <v>9864</v>
      </c>
      <c r="L53" s="51">
        <f>_xlfn.XLOOKUP($A53,Inputs!$A:$A,Inputs!L:L,,0)</f>
        <v>10824</v>
      </c>
      <c r="M53" s="51">
        <f>_xlfn.XLOOKUP($A53,Inputs!$A:$A,Inputs!M:M,,0)</f>
        <v>11089</v>
      </c>
    </row>
    <row r="54" spans="1:13">
      <c r="A54" s="112" t="s">
        <v>580</v>
      </c>
      <c r="B54" s="51">
        <f>_xlfn.XLOOKUP($A54,Inputs!$A:$A,Inputs!B:B,,0)</f>
        <v>3756</v>
      </c>
      <c r="C54" s="51">
        <f>_xlfn.XLOOKUP($A54,Inputs!$A:$A,Inputs!C:C,,0)</f>
        <v>3238</v>
      </c>
      <c r="D54" s="51">
        <f>_xlfn.XLOOKUP($A54,Inputs!$A:$A,Inputs!D:D,,0)</f>
        <v>3033</v>
      </c>
      <c r="E54" s="51">
        <f>_xlfn.XLOOKUP($A54,Inputs!$A:$A,Inputs!E:E,,0)</f>
        <v>2540</v>
      </c>
      <c r="F54" s="51">
        <f>_xlfn.XLOOKUP($A54,Inputs!$A:$A,Inputs!F:F,,0)</f>
        <v>2391</v>
      </c>
      <c r="G54" s="51">
        <f>_xlfn.XLOOKUP($A54,Inputs!$A:$A,Inputs!G:G,,0)</f>
        <v>0</v>
      </c>
      <c r="H54" s="51">
        <f>_xlfn.XLOOKUP($A54,Inputs!$A:$A,Inputs!H:H,,0)</f>
        <v>0</v>
      </c>
      <c r="I54" s="51">
        <f>_xlfn.XLOOKUP($A54,Inputs!$A:$A,Inputs!I:I,,0)</f>
        <v>0</v>
      </c>
      <c r="J54" s="51">
        <f>_xlfn.XLOOKUP($A54,Inputs!$A:$A,Inputs!J:J,,0)</f>
        <v>0</v>
      </c>
      <c r="K54" s="51">
        <f>_xlfn.XLOOKUP($A54,Inputs!$A:$A,Inputs!K:K,,0)</f>
        <v>0</v>
      </c>
      <c r="L54" s="51">
        <f>_xlfn.XLOOKUP($A54,Inputs!$A:$A,Inputs!L:L,,0)</f>
        <v>0</v>
      </c>
      <c r="M54" s="51">
        <f>_xlfn.XLOOKUP($A54,Inputs!$A:$A,Inputs!M:M,,0)</f>
        <v>0</v>
      </c>
    </row>
    <row r="55" spans="1:13">
      <c r="A55" s="113" t="s">
        <v>581</v>
      </c>
      <c r="B55" s="51">
        <f>_xlfn.XLOOKUP($A55,Inputs!$A:$A,Inputs!B:B,,0)</f>
        <v>13195</v>
      </c>
      <c r="C55" s="51">
        <f>_xlfn.XLOOKUP($A55,Inputs!$A:$A,Inputs!C:C,,0)</f>
        <v>12622</v>
      </c>
      <c r="D55" s="51">
        <f>_xlfn.XLOOKUP($A55,Inputs!$A:$A,Inputs!D:D,,0)</f>
        <v>14750</v>
      </c>
      <c r="E55" s="51">
        <f>_xlfn.XLOOKUP($A55,Inputs!$A:$A,Inputs!E:E,,0)</f>
        <v>20152</v>
      </c>
      <c r="F55" s="51">
        <f>_xlfn.XLOOKUP($A55,Inputs!$A:$A,Inputs!F:F,,0)</f>
        <v>14952</v>
      </c>
      <c r="G55" s="51">
        <f>_xlfn.XLOOKUP($A55,Inputs!$A:$A,Inputs!G:G,,0)</f>
        <v>12961</v>
      </c>
      <c r="H55" s="51">
        <f>_xlfn.XLOOKUP($A55,Inputs!$A:$A,Inputs!H:H,,0)</f>
        <v>11387</v>
      </c>
      <c r="I55" s="51">
        <f>_xlfn.XLOOKUP($A55,Inputs!$A:$A,Inputs!I:I,,0)</f>
        <v>15824</v>
      </c>
      <c r="J55" s="51">
        <f>_xlfn.XLOOKUP($A55,Inputs!$A:$A,Inputs!J:J,,0)</f>
        <v>13808</v>
      </c>
      <c r="K55" s="51">
        <f>_xlfn.XLOOKUP($A55,Inputs!$A:$A,Inputs!K:K,,0)</f>
        <v>14630</v>
      </c>
      <c r="L55" s="51">
        <f>_xlfn.XLOOKUP($A55,Inputs!$A:$A,Inputs!L:L,,0)</f>
        <v>11769</v>
      </c>
      <c r="M55" s="51">
        <f>_xlfn.XLOOKUP($A55,Inputs!$A:$A,Inputs!M:M,,0)</f>
        <v>14651</v>
      </c>
    </row>
    <row r="56" spans="1:13">
      <c r="A56" s="117" t="s">
        <v>48</v>
      </c>
      <c r="B56" s="57">
        <f>_xlfn.XLOOKUP($A56,Inputs!$A:$A,Inputs!B:B,,0)</f>
        <v>53543</v>
      </c>
      <c r="C56" s="57">
        <f>_xlfn.XLOOKUP($A56,Inputs!$A:$A,Inputs!C:C,,0)</f>
        <v>51321</v>
      </c>
      <c r="D56" s="57">
        <f>_xlfn.XLOOKUP($A56,Inputs!$A:$A,Inputs!D:D,,0)</f>
        <v>55136</v>
      </c>
      <c r="E56" s="57">
        <f>_xlfn.XLOOKUP($A56,Inputs!$A:$A,Inputs!E:E,,0)</f>
        <v>61739</v>
      </c>
      <c r="F56" s="57">
        <f>_xlfn.XLOOKUP($A56,Inputs!$A:$A,Inputs!F:F,,0)</f>
        <v>54574</v>
      </c>
      <c r="G56" s="57">
        <f>_xlfn.XLOOKUP($A56,Inputs!$A:$A,Inputs!G:G,,0)</f>
        <v>46979</v>
      </c>
      <c r="H56" s="57">
        <f>_xlfn.XLOOKUP($A56,Inputs!$A:$A,Inputs!H:H,,0)</f>
        <v>44373</v>
      </c>
      <c r="I56" s="57">
        <f>_xlfn.XLOOKUP($A56,Inputs!$A:$A,Inputs!I:I,,0)</f>
        <v>39948</v>
      </c>
      <c r="J56" s="57">
        <f>_xlfn.XLOOKUP($A56,Inputs!$A:$A,Inputs!J:J,,0)</f>
        <v>35820</v>
      </c>
      <c r="K56" s="57">
        <f>_xlfn.XLOOKUP($A56,Inputs!$A:$A,Inputs!K:K,,0)</f>
        <v>33133</v>
      </c>
      <c r="L56" s="57">
        <f>_xlfn.XLOOKUP($A56,Inputs!$A:$A,Inputs!L:L,,0)</f>
        <v>29724</v>
      </c>
      <c r="M56" s="57">
        <f>_xlfn.XLOOKUP($A56,Inputs!$A:$A,Inputs!M:M,,0)</f>
        <v>34130</v>
      </c>
    </row>
    <row r="57" spans="1:13">
      <c r="B57"/>
      <c r="C57"/>
      <c r="D57"/>
      <c r="E57"/>
      <c r="F57"/>
      <c r="G57"/>
      <c r="H57"/>
      <c r="I57"/>
      <c r="J57"/>
      <c r="K57"/>
      <c r="L57"/>
      <c r="M57"/>
    </row>
    <row r="58" spans="1:13">
      <c r="A58" s="117" t="s">
        <v>281</v>
      </c>
      <c r="B58" s="57">
        <f>B49+B53+B50+B54</f>
        <v>26729</v>
      </c>
      <c r="C58" s="57">
        <f t="shared" ref="C58:M58" si="74">C49+C53+C50+C54</f>
        <v>23421</v>
      </c>
      <c r="D58" s="57">
        <f t="shared" si="74"/>
        <v>25528</v>
      </c>
      <c r="E58" s="57">
        <f t="shared" si="74"/>
        <v>27754</v>
      </c>
      <c r="F58" s="57">
        <f t="shared" si="74"/>
        <v>28167</v>
      </c>
      <c r="G58" s="57">
        <f t="shared" si="74"/>
        <v>22736</v>
      </c>
      <c r="H58" s="57">
        <f t="shared" si="74"/>
        <v>24289</v>
      </c>
      <c r="I58" s="57">
        <f t="shared" si="74"/>
        <v>16075</v>
      </c>
      <c r="J58" s="57">
        <f t="shared" si="74"/>
        <v>14334</v>
      </c>
      <c r="K58" s="57">
        <f t="shared" si="74"/>
        <v>10787</v>
      </c>
      <c r="L58" s="57">
        <f t="shared" si="74"/>
        <v>10872</v>
      </c>
      <c r="M58" s="57">
        <f t="shared" si="74"/>
        <v>12870</v>
      </c>
    </row>
    <row r="59" spans="1:13">
      <c r="A59" s="118" t="s">
        <v>68</v>
      </c>
      <c r="B59" s="53">
        <f>IFERROR(B58/B44,"-")</f>
        <v>0.3772245508559493</v>
      </c>
      <c r="C59" s="53">
        <f t="shared" ref="C59:M59" si="75">IFERROR(C58/C44,"-")</f>
        <v>0.3292981272144424</v>
      </c>
      <c r="D59" s="53">
        <f t="shared" si="75"/>
        <v>0.36781211728261654</v>
      </c>
      <c r="E59" s="53">
        <f t="shared" si="75"/>
        <v>0.44471862581720289</v>
      </c>
      <c r="F59" s="53">
        <f t="shared" si="75"/>
        <v>0.48683823910676322</v>
      </c>
      <c r="G59" s="53">
        <f t="shared" si="75"/>
        <v>0.45457453614843252</v>
      </c>
      <c r="H59" s="53">
        <f t="shared" si="75"/>
        <v>0.5349646499130013</v>
      </c>
      <c r="I59" s="53">
        <f t="shared" si="75"/>
        <v>0.39812269361270031</v>
      </c>
      <c r="J59" s="53">
        <f t="shared" si="75"/>
        <v>0.37414841690376133</v>
      </c>
      <c r="K59" s="53">
        <f t="shared" si="75"/>
        <v>0.30410758084068673</v>
      </c>
      <c r="L59" s="53">
        <f t="shared" si="75"/>
        <v>0.30023196730365626</v>
      </c>
      <c r="M59" s="53">
        <f t="shared" si="75"/>
        <v>0.33116331729408433</v>
      </c>
    </row>
    <row r="60" spans="1:13">
      <c r="A60" s="117" t="s">
        <v>582</v>
      </c>
      <c r="B60" s="57">
        <f>B58-B39</f>
        <v>23523</v>
      </c>
      <c r="C60" s="57">
        <f t="shared" ref="C60:M60" si="76">C58-C39</f>
        <v>17819</v>
      </c>
      <c r="D60" s="57">
        <f t="shared" si="76"/>
        <v>15273</v>
      </c>
      <c r="E60" s="57">
        <f t="shared" si="76"/>
        <v>21853</v>
      </c>
      <c r="F60" s="57">
        <f t="shared" si="76"/>
        <v>22929</v>
      </c>
      <c r="G60" s="57">
        <f t="shared" si="76"/>
        <v>18511</v>
      </c>
      <c r="H60" s="57">
        <f t="shared" si="76"/>
        <v>20969</v>
      </c>
      <c r="I60" s="57">
        <f t="shared" si="76"/>
        <v>12599</v>
      </c>
      <c r="J60" s="57">
        <f t="shared" si="76"/>
        <v>11604</v>
      </c>
      <c r="K60" s="57">
        <f t="shared" si="76"/>
        <v>8496</v>
      </c>
      <c r="L60" s="57">
        <f t="shared" si="76"/>
        <v>6207</v>
      </c>
      <c r="M60" s="57">
        <f t="shared" si="76"/>
        <v>5543</v>
      </c>
    </row>
    <row r="61" spans="1:13">
      <c r="B61"/>
      <c r="C61"/>
      <c r="D61"/>
      <c r="E61"/>
      <c r="F61"/>
      <c r="G61"/>
      <c r="H61"/>
      <c r="I61"/>
      <c r="J61"/>
      <c r="K61"/>
      <c r="L61"/>
      <c r="M61"/>
    </row>
    <row r="62" spans="1:13" s="45" customFormat="1">
      <c r="A62" s="117" t="s">
        <v>583</v>
      </c>
      <c r="B62" s="57">
        <f>_xlfn.XLOOKUP($A62,Inputs!$A:$A,Inputs!B:B,,0)</f>
        <v>7.25</v>
      </c>
      <c r="C62" s="57">
        <f>_xlfn.XLOOKUP($A62,Inputs!$A:$A,Inputs!C:C,,0)</f>
        <v>15.88</v>
      </c>
      <c r="D62" s="57">
        <f>_xlfn.XLOOKUP($A62,Inputs!$A:$A,Inputs!D:D,,0)</f>
        <v>14.07</v>
      </c>
      <c r="E62" s="57">
        <f>_xlfn.XLOOKUP($A62,Inputs!$A:$A,Inputs!E:E,,0)</f>
        <v>9.83</v>
      </c>
      <c r="F62" s="57">
        <f>_xlfn.XLOOKUP($A62,Inputs!$A:$A,Inputs!F:F,,0)</f>
        <v>14.27</v>
      </c>
      <c r="G62" s="57">
        <f>_xlfn.XLOOKUP($A62,Inputs!$A:$A,Inputs!G:G,,0)</f>
        <v>13.95</v>
      </c>
      <c r="H62" s="57">
        <f>_xlfn.XLOOKUP($A62,Inputs!$A:$A,Inputs!H:H,,0)</f>
        <v>25.01</v>
      </c>
      <c r="I62" s="57">
        <f>_xlfn.XLOOKUP($A62,Inputs!$A:$A,Inputs!I:I,,0)</f>
        <v>22.83</v>
      </c>
      <c r="J62" s="57">
        <f>_xlfn.XLOOKUP($A62,Inputs!$A:$A,Inputs!J:J,,0)</f>
        <v>19.34</v>
      </c>
      <c r="K62" s="57">
        <f>_xlfn.XLOOKUP($A62,Inputs!$A:$A,Inputs!K:K,,0)</f>
        <v>14.05</v>
      </c>
      <c r="L62" s="57">
        <f>_xlfn.XLOOKUP($A62,Inputs!$A:$A,Inputs!L:L,,0)</f>
        <v>10.19</v>
      </c>
      <c r="M62" s="57">
        <f>_xlfn.XLOOKUP($A62,Inputs!$A:$A,Inputs!M:M,,0)</f>
        <v>60.63</v>
      </c>
    </row>
    <row r="63" spans="1:13">
      <c r="B63"/>
      <c r="C63"/>
      <c r="D63"/>
      <c r="E63"/>
      <c r="F63"/>
      <c r="G63"/>
      <c r="H63"/>
      <c r="I63"/>
      <c r="J63"/>
      <c r="K63"/>
      <c r="L63"/>
      <c r="M63"/>
    </row>
    <row r="64" spans="1:13">
      <c r="A64" s="117" t="s">
        <v>584</v>
      </c>
      <c r="B64" s="57">
        <f>_xlfn.XLOOKUP($A64,Inputs!$A:$A,Inputs!B:B,,0)</f>
        <v>17306.75</v>
      </c>
      <c r="C64" s="57">
        <f>_xlfn.XLOOKUP($A64,Inputs!$A:$A,Inputs!C:C,,0)</f>
        <v>19787.12</v>
      </c>
      <c r="D64" s="57">
        <f>_xlfn.XLOOKUP($A64,Inputs!$A:$A,Inputs!D:D,,0)</f>
        <v>14254.93</v>
      </c>
      <c r="E64" s="57">
        <f>_xlfn.XLOOKUP($A64,Inputs!$A:$A,Inputs!E:E,,0)</f>
        <v>659.17</v>
      </c>
      <c r="F64" s="57">
        <f>_xlfn.XLOOKUP($A64,Inputs!$A:$A,Inputs!F:F,,0)</f>
        <v>3268.73</v>
      </c>
      <c r="G64" s="57">
        <f>_xlfn.XLOOKUP($A64,Inputs!$A:$A,Inputs!G:G,,0)</f>
        <v>3023.05</v>
      </c>
      <c r="H64" s="57">
        <f>_xlfn.XLOOKUP($A64,Inputs!$A:$A,Inputs!H:H,,0)</f>
        <v>1004.99</v>
      </c>
      <c r="I64" s="57">
        <f>_xlfn.XLOOKUP($A64,Inputs!$A:$A,Inputs!I:I,,0)</f>
        <v>406.17</v>
      </c>
      <c r="J64" s="57">
        <f>_xlfn.XLOOKUP($A64,Inputs!$A:$A,Inputs!J:J,,0)</f>
        <v>2471.66</v>
      </c>
      <c r="K64" s="57">
        <f>_xlfn.XLOOKUP($A64,Inputs!$A:$A,Inputs!K:K,,0)</f>
        <v>2323.9499999999998</v>
      </c>
      <c r="L64" s="57">
        <f>_xlfn.XLOOKUP($A64,Inputs!$A:$A,Inputs!L:L,,0)</f>
        <v>6477.81</v>
      </c>
      <c r="M64" s="57">
        <f>_xlfn.XLOOKUP($A64,Inputs!$A:$A,Inputs!M:M,,0)</f>
        <v>4672.37</v>
      </c>
    </row>
    <row r="65" spans="1:235">
      <c r="K65" s="41"/>
      <c r="L65" s="41"/>
      <c r="M65" s="41"/>
    </row>
    <row r="66" spans="1:235" ht="21">
      <c r="A66" s="1333" t="s">
        <v>127</v>
      </c>
      <c r="B66" s="1333"/>
      <c r="C66" s="1333"/>
      <c r="D66" s="1333"/>
      <c r="E66" s="1333"/>
      <c r="F66" s="1333"/>
      <c r="G66" s="1333"/>
      <c r="H66" s="1333"/>
      <c r="I66" s="1333"/>
      <c r="J66" s="1333"/>
      <c r="K66" s="1333"/>
      <c r="L66" s="1333"/>
      <c r="M66" s="1333"/>
    </row>
    <row r="67" spans="1:235">
      <c r="A67" s="117" t="s">
        <v>128</v>
      </c>
      <c r="B67" s="57">
        <f>_xlfn.XLOOKUP($A67,Inputs!$A:$A,Inputs!B:B,,0)</f>
        <v>10238</v>
      </c>
      <c r="C67" s="57">
        <f>_xlfn.XLOOKUP($A67,Inputs!$A:$A,Inputs!C:C,,0)</f>
        <v>14104</v>
      </c>
      <c r="D67" s="57">
        <f>_xlfn.XLOOKUP($A67,Inputs!$A:$A,Inputs!D:D,,0)</f>
        <v>15007</v>
      </c>
      <c r="E67" s="57">
        <f>_xlfn.XLOOKUP($A67,Inputs!$A:$A,Inputs!E:E,,0)</f>
        <v>10459</v>
      </c>
      <c r="F67" s="57">
        <f>_xlfn.XLOOKUP($A67,Inputs!$A:$A,Inputs!F:F,,0)</f>
        <v>8639</v>
      </c>
      <c r="G67" s="57">
        <f>_xlfn.XLOOKUP($A67,Inputs!$A:$A,Inputs!G:G,,0)</f>
        <v>12711</v>
      </c>
      <c r="H67" s="57">
        <f>_xlfn.XLOOKUP($A67,Inputs!$A:$A,Inputs!H:H,,0)</f>
        <v>1479</v>
      </c>
      <c r="I67" s="57">
        <f>_xlfn.XLOOKUP($A67,Inputs!$A:$A,Inputs!I:I,,0)</f>
        <v>6473</v>
      </c>
      <c r="J67" s="57">
        <f>_xlfn.XLOOKUP($A67,Inputs!$A:$A,Inputs!J:J,,0)</f>
        <v>7430</v>
      </c>
      <c r="K67" s="57">
        <f>_xlfn.XLOOKUP($A67,Inputs!$A:$A,Inputs!K:K,,0)</f>
        <v>5726</v>
      </c>
      <c r="L67" s="57">
        <f>_xlfn.XLOOKUP($A67,Inputs!$A:$A,Inputs!L:L,,0)</f>
        <v>7304</v>
      </c>
      <c r="M67" s="57">
        <f>_xlfn.XLOOKUP($A67,Inputs!$A:$A,Inputs!M:M,,0)</f>
        <v>7216</v>
      </c>
    </row>
    <row r="68" spans="1:235">
      <c r="A68" s="117" t="s">
        <v>129</v>
      </c>
      <c r="B68" s="57">
        <f>_xlfn.XLOOKUP($A68,Inputs!$A:$A,Inputs!B:B,,0)</f>
        <v>-7133</v>
      </c>
      <c r="C68" s="57">
        <f>_xlfn.XLOOKUP($A68,Inputs!$A:$A,Inputs!C:C,,0)</f>
        <v>-7472</v>
      </c>
      <c r="D68" s="57">
        <f>_xlfn.XLOOKUP($A68,Inputs!$A:$A,Inputs!D:D,,0)</f>
        <v>-3818</v>
      </c>
      <c r="E68" s="57">
        <f>_xlfn.XLOOKUP($A68,Inputs!$A:$A,Inputs!E:E,,0)</f>
        <v>-5283</v>
      </c>
      <c r="F68" s="57">
        <f>_xlfn.XLOOKUP($A68,Inputs!$A:$A,Inputs!F:F,,0)</f>
        <v>-6061</v>
      </c>
      <c r="G68" s="57">
        <f>_xlfn.XLOOKUP($A68,Inputs!$A:$A,Inputs!G:G,,0)</f>
        <v>-6330</v>
      </c>
      <c r="H68" s="57">
        <f>_xlfn.XLOOKUP($A68,Inputs!$A:$A,Inputs!H:H,,0)</f>
        <v>-4975</v>
      </c>
      <c r="I68" s="57">
        <f>_xlfn.XLOOKUP($A68,Inputs!$A:$A,Inputs!I:I,,0)</f>
        <v>-2566</v>
      </c>
      <c r="J68" s="57">
        <f>_xlfn.XLOOKUP($A68,Inputs!$A:$A,Inputs!J:J,,0)</f>
        <v>-5309</v>
      </c>
      <c r="K68" s="57">
        <f>_xlfn.XLOOKUP($A68,Inputs!$A:$A,Inputs!K:K,,0)</f>
        <v>-2801</v>
      </c>
      <c r="L68" s="57">
        <f>_xlfn.XLOOKUP($A68,Inputs!$A:$A,Inputs!L:L,,0)</f>
        <v>-2114</v>
      </c>
      <c r="M68" s="57">
        <f>_xlfn.XLOOKUP($A68,Inputs!$A:$A,Inputs!M:M,,0)</f>
        <v>-1335</v>
      </c>
    </row>
    <row r="69" spans="1:235">
      <c r="A69" s="113" t="s">
        <v>130</v>
      </c>
      <c r="B69" s="51">
        <f>_xlfn.XLOOKUP($A69,Inputs!$A:$A,Inputs!B:B,,0)</f>
        <v>-5158</v>
      </c>
      <c r="C69" s="51">
        <f>_xlfn.XLOOKUP($A69,Inputs!$A:$A,Inputs!C:C,,0)</f>
        <v>-4769</v>
      </c>
      <c r="D69" s="51">
        <f>_xlfn.XLOOKUP($A69,Inputs!$A:$A,Inputs!D:D,,0)</f>
        <v>-4194</v>
      </c>
      <c r="E69" s="51">
        <f>_xlfn.XLOOKUP($A69,Inputs!$A:$A,Inputs!E:E,,0)</f>
        <v>-5412</v>
      </c>
      <c r="F69" s="51">
        <f>_xlfn.XLOOKUP($A69,Inputs!$A:$A,Inputs!F:F,,0)</f>
        <v>-6380</v>
      </c>
      <c r="G69" s="51">
        <f>_xlfn.XLOOKUP($A69,Inputs!$A:$A,Inputs!G:G,,0)</f>
        <v>-6238</v>
      </c>
      <c r="H69" s="51">
        <f>_xlfn.XLOOKUP($A69,Inputs!$A:$A,Inputs!H:H,,0)</f>
        <v>-5227</v>
      </c>
      <c r="I69" s="51">
        <f>_xlfn.XLOOKUP($A69,Inputs!$A:$A,Inputs!I:I,,0)</f>
        <v>-2965</v>
      </c>
      <c r="J69" s="51">
        <f>_xlfn.XLOOKUP($A69,Inputs!$A:$A,Inputs!J:J,,0)</f>
        <v>-2379</v>
      </c>
      <c r="K69" s="51">
        <f>_xlfn.XLOOKUP($A69,Inputs!$A:$A,Inputs!K:K,,0)</f>
        <v>-2328</v>
      </c>
      <c r="L69" s="51">
        <f>_xlfn.XLOOKUP($A69,Inputs!$A:$A,Inputs!L:L,,0)</f>
        <v>-2065</v>
      </c>
      <c r="M69" s="51">
        <f>_xlfn.XLOOKUP($A69,Inputs!$A:$A,Inputs!M:M,,0)</f>
        <v>-2153</v>
      </c>
    </row>
    <row r="70" spans="1:235">
      <c r="A70" s="113" t="s">
        <v>131</v>
      </c>
      <c r="B70" s="51">
        <f>_xlfn.XLOOKUP($A70,Inputs!$A:$A,Inputs!B:B,,0)</f>
        <v>-1329</v>
      </c>
      <c r="C70" s="51">
        <f>_xlfn.XLOOKUP($A70,Inputs!$A:$A,Inputs!C:C,,0)</f>
        <v>-755</v>
      </c>
      <c r="D70" s="51">
        <f>_xlfn.XLOOKUP($A70,Inputs!$A:$A,Inputs!D:D,,0)</f>
        <v>-602</v>
      </c>
      <c r="E70" s="51">
        <f>_xlfn.XLOOKUP($A70,Inputs!$A:$A,Inputs!E:E,,0)</f>
        <v>-20</v>
      </c>
      <c r="F70" s="51">
        <f>_xlfn.XLOOKUP($A70,Inputs!$A:$A,Inputs!F:F,,0)</f>
        <v>-6</v>
      </c>
      <c r="G70" s="51">
        <f>_xlfn.XLOOKUP($A70,Inputs!$A:$A,Inputs!G:G,,0)</f>
        <v>-2</v>
      </c>
      <c r="H70" s="51">
        <f>_xlfn.XLOOKUP($A70,Inputs!$A:$A,Inputs!H:H,,0)</f>
        <v>-134</v>
      </c>
      <c r="I70" s="51">
        <f>_xlfn.XLOOKUP($A70,Inputs!$A:$A,Inputs!I:I,,0)</f>
        <v>-547</v>
      </c>
      <c r="J70" s="51">
        <f>_xlfn.XLOOKUP($A70,Inputs!$A:$A,Inputs!J:J,,0)</f>
        <v>-30</v>
      </c>
      <c r="K70" s="51">
        <f>_xlfn.XLOOKUP($A70,Inputs!$A:$A,Inputs!K:K,,0)</f>
        <v>-63</v>
      </c>
      <c r="L70" s="51">
        <f>_xlfn.XLOOKUP($A70,Inputs!$A:$A,Inputs!L:L,,0)</f>
        <v>-179</v>
      </c>
      <c r="M70" s="51">
        <f>_xlfn.XLOOKUP($A70,Inputs!$A:$A,Inputs!M:M,,0)</f>
        <v>-100</v>
      </c>
      <c r="IA70" s="41"/>
    </row>
    <row r="71" spans="1:235">
      <c r="A71" s="117" t="s">
        <v>132</v>
      </c>
      <c r="B71" s="57">
        <f>_xlfn.XLOOKUP($A71,Inputs!$A:$A,Inputs!B:B,,0)</f>
        <v>-5534</v>
      </c>
      <c r="C71" s="57">
        <f>_xlfn.XLOOKUP($A71,Inputs!$A:$A,Inputs!C:C,,0)</f>
        <v>-11185</v>
      </c>
      <c r="D71" s="57">
        <f>_xlfn.XLOOKUP($A71,Inputs!$A:$A,Inputs!D:D,,0)</f>
        <v>-6823</v>
      </c>
      <c r="E71" s="57">
        <f>_xlfn.XLOOKUP($A71,Inputs!$A:$A,Inputs!E:E,,0)</f>
        <v>-4517</v>
      </c>
      <c r="F71" s="57">
        <f>_xlfn.XLOOKUP($A71,Inputs!$A:$A,Inputs!F:F,,0)</f>
        <v>-1727</v>
      </c>
      <c r="G71" s="57">
        <f>_xlfn.XLOOKUP($A71,Inputs!$A:$A,Inputs!G:G,,0)</f>
        <v>-5692</v>
      </c>
      <c r="H71" s="57">
        <f>_xlfn.XLOOKUP($A71,Inputs!$A:$A,Inputs!H:H,,0)</f>
        <v>3287</v>
      </c>
      <c r="I71" s="57">
        <f>_xlfn.XLOOKUP($A71,Inputs!$A:$A,Inputs!I:I,,0)</f>
        <v>-3140</v>
      </c>
      <c r="J71" s="57">
        <f>_xlfn.XLOOKUP($A71,Inputs!$A:$A,Inputs!J:J,,0)</f>
        <v>-1565</v>
      </c>
      <c r="K71" s="57">
        <f>_xlfn.XLOOKUP($A71,Inputs!$A:$A,Inputs!K:K,,0)</f>
        <v>-5161</v>
      </c>
      <c r="L71" s="57">
        <f>_xlfn.XLOOKUP($A71,Inputs!$A:$A,Inputs!L:L,,0)</f>
        <v>-7807</v>
      </c>
      <c r="M71" s="57">
        <f>_xlfn.XLOOKUP($A71,Inputs!$A:$A,Inputs!M:M,,0)</f>
        <v>-1817</v>
      </c>
      <c r="IA71" s="41"/>
    </row>
    <row r="72" spans="1:235">
      <c r="A72" s="113" t="s">
        <v>133</v>
      </c>
      <c r="B72" s="51">
        <f>_xlfn.XLOOKUP($A72,Inputs!$A:$A,Inputs!B:B,,0)</f>
        <v>-5372</v>
      </c>
      <c r="C72" s="51">
        <f>_xlfn.XLOOKUP($A72,Inputs!$A:$A,Inputs!C:C,,0)</f>
        <v>-5114</v>
      </c>
      <c r="D72" s="51">
        <f>_xlfn.XLOOKUP($A72,Inputs!$A:$A,Inputs!D:D,,0)</f>
        <v>-3437</v>
      </c>
      <c r="E72" s="51">
        <f>_xlfn.XLOOKUP($A72,Inputs!$A:$A,Inputs!E:E,,0)</f>
        <v>-3374</v>
      </c>
      <c r="F72" s="51">
        <f>_xlfn.XLOOKUP($A72,Inputs!$A:$A,Inputs!F:F,,0)</f>
        <v>-3194</v>
      </c>
      <c r="G72" s="51">
        <f>_xlfn.XLOOKUP($A72,Inputs!$A:$A,Inputs!G:G,,0)</f>
        <v>-3011</v>
      </c>
      <c r="H72" s="51">
        <f>_xlfn.XLOOKUP($A72,Inputs!$A:$A,Inputs!H:H,,0)</f>
        <v>-2771</v>
      </c>
      <c r="I72" s="51">
        <f>_xlfn.XLOOKUP($A72,Inputs!$A:$A,Inputs!I:I,,0)</f>
        <v>-2643</v>
      </c>
      <c r="J72" s="51">
        <f>_xlfn.XLOOKUP($A72,Inputs!$A:$A,Inputs!J:J,,0)</f>
        <v>-2525</v>
      </c>
      <c r="K72" s="51">
        <f>_xlfn.XLOOKUP($A72,Inputs!$A:$A,Inputs!K:K,,0)</f>
        <v>-2366</v>
      </c>
      <c r="L72" s="51">
        <f>_xlfn.XLOOKUP($A72,Inputs!$A:$A,Inputs!L:L,,0)</f>
        <v>-2260</v>
      </c>
      <c r="M72" s="51">
        <f>_xlfn.XLOOKUP($A72,Inputs!$A:$A,Inputs!M:M,,0)</f>
        <v>-2130</v>
      </c>
      <c r="IA72" s="41"/>
    </row>
    <row r="73" spans="1:235">
      <c r="A73" s="113" t="s">
        <v>566</v>
      </c>
      <c r="B73" s="51">
        <f>_xlfn.XLOOKUP($A73,Inputs!$A:$A,Inputs!B:B,,0)</f>
        <v>-2250</v>
      </c>
      <c r="C73" s="51">
        <f>_xlfn.XLOOKUP($A73,Inputs!$A:$A,Inputs!C:C,,0)</f>
        <v>-3500</v>
      </c>
      <c r="D73" s="51">
        <f>_xlfn.XLOOKUP($A73,Inputs!$A:$A,Inputs!D:D,,0)</f>
        <v>-500</v>
      </c>
      <c r="E73" s="51">
        <f>_xlfn.XLOOKUP($A73,Inputs!$A:$A,Inputs!E:E,,0)</f>
        <v>-224</v>
      </c>
      <c r="F73" s="51">
        <f>_xlfn.XLOOKUP($A73,Inputs!$A:$A,Inputs!F:F,,0)</f>
        <v>-1004</v>
      </c>
      <c r="G73" s="51">
        <f>_xlfn.XLOOKUP($A73,Inputs!$A:$A,Inputs!G:G,,0)</f>
        <v>-1011</v>
      </c>
      <c r="H73" s="51">
        <f>_xlfn.XLOOKUP($A73,Inputs!$A:$A,Inputs!H:H,,0)</f>
        <v>-1813</v>
      </c>
      <c r="I73" s="51">
        <f>_xlfn.XLOOKUP($A73,Inputs!$A:$A,Inputs!I:I,,0)</f>
        <v>-2678</v>
      </c>
      <c r="J73" s="51">
        <f>_xlfn.XLOOKUP($A73,Inputs!$A:$A,Inputs!J:J,,0)</f>
        <v>-2702</v>
      </c>
      <c r="K73" s="51">
        <f>_xlfn.XLOOKUP($A73,Inputs!$A:$A,Inputs!K:K,,0)</f>
        <v>-2695</v>
      </c>
      <c r="L73" s="51">
        <f>_xlfn.XLOOKUP($A73,Inputs!$A:$A,Inputs!L:L,,0)</f>
        <v>-3838</v>
      </c>
      <c r="M73" s="51">
        <f>_xlfn.XLOOKUP($A73,Inputs!$A:$A,Inputs!M:M,,0)</f>
        <v>-1621</v>
      </c>
    </row>
    <row r="74" spans="1:235">
      <c r="A74" s="117" t="s">
        <v>136</v>
      </c>
      <c r="B74" s="57">
        <f>_xlfn.XLOOKUP($A74,Inputs!$A:$A,Inputs!B:B,,0)</f>
        <v>0</v>
      </c>
      <c r="C74" s="57">
        <f>_xlfn.XLOOKUP($A74,Inputs!$A:$A,Inputs!C:C,,0)</f>
        <v>0</v>
      </c>
      <c r="D74" s="57">
        <f>_xlfn.XLOOKUP($A74,Inputs!$A:$A,Inputs!D:D,,0)</f>
        <v>0</v>
      </c>
      <c r="E74" s="57">
        <f>_xlfn.XLOOKUP($A74,Inputs!$A:$A,Inputs!E:E,,0)</f>
        <v>0</v>
      </c>
      <c r="F74" s="57">
        <f>_xlfn.XLOOKUP($A74,Inputs!$A:$A,Inputs!F:F,,0)</f>
        <v>0</v>
      </c>
      <c r="G74" s="57">
        <f>_xlfn.XLOOKUP($A74,Inputs!$A:$A,Inputs!G:G,,0)</f>
        <v>0</v>
      </c>
      <c r="H74" s="57">
        <f>_xlfn.XLOOKUP($A74,Inputs!$A:$A,Inputs!H:H,,0)</f>
        <v>0</v>
      </c>
      <c r="I74" s="57">
        <f>_xlfn.XLOOKUP($A74,Inputs!$A:$A,Inputs!I:I,,0)</f>
        <v>0</v>
      </c>
      <c r="J74" s="57">
        <f>_xlfn.XLOOKUP($A74,Inputs!$A:$A,Inputs!J:J,,0)</f>
        <v>0</v>
      </c>
      <c r="K74" s="57">
        <f>_xlfn.XLOOKUP($A74,Inputs!$A:$A,Inputs!K:K,,0)</f>
        <v>0</v>
      </c>
      <c r="L74" s="57">
        <f>_xlfn.XLOOKUP($A74,Inputs!$A:$A,Inputs!L:L,,0)</f>
        <v>0</v>
      </c>
      <c r="M74" s="57">
        <f>_xlfn.XLOOKUP($A74,Inputs!$A:$A,Inputs!M:M,,0)</f>
        <v>0</v>
      </c>
    </row>
    <row r="75" spans="1:235">
      <c r="A75" s="117" t="s">
        <v>585</v>
      </c>
      <c r="B75" s="57">
        <f>_xlfn.XLOOKUP($A75,Inputs!$A:$A,Inputs!B:B,,0)</f>
        <v>-2429</v>
      </c>
      <c r="C75" s="57">
        <f>_xlfn.XLOOKUP($A75,Inputs!$A:$A,Inputs!C:C,,0)</f>
        <v>-4553</v>
      </c>
      <c r="D75" s="57">
        <f>_xlfn.XLOOKUP($A75,Inputs!$A:$A,Inputs!D:D,,0)</f>
        <v>4366</v>
      </c>
      <c r="E75" s="57">
        <f>_xlfn.XLOOKUP($A75,Inputs!$A:$A,Inputs!E:E,,0)</f>
        <v>659</v>
      </c>
      <c r="F75" s="57">
        <f>_xlfn.XLOOKUP($A75,Inputs!$A:$A,Inputs!F:F,,0)</f>
        <v>851</v>
      </c>
      <c r="G75" s="57">
        <f>_xlfn.XLOOKUP($A75,Inputs!$A:$A,Inputs!G:G,,0)</f>
        <v>689</v>
      </c>
      <c r="H75" s="57">
        <f>_xlfn.XLOOKUP($A75,Inputs!$A:$A,Inputs!H:H,,0)</f>
        <v>-209</v>
      </c>
      <c r="I75" s="57">
        <f>_xlfn.XLOOKUP($A75,Inputs!$A:$A,Inputs!I:I,,0)</f>
        <v>767</v>
      </c>
      <c r="J75" s="57">
        <f>_xlfn.XLOOKUP($A75,Inputs!$A:$A,Inputs!J:J,,0)</f>
        <v>556</v>
      </c>
      <c r="K75" s="57">
        <f>_xlfn.XLOOKUP($A75,Inputs!$A:$A,Inputs!K:K,,0)</f>
        <v>-2236</v>
      </c>
      <c r="L75" s="57">
        <f>_xlfn.XLOOKUP($A75,Inputs!$A:$A,Inputs!L:L,,0)</f>
        <v>-2617</v>
      </c>
      <c r="M75" s="57">
        <f>_xlfn.XLOOKUP($A75,Inputs!$A:$A,Inputs!M:M,,0)</f>
        <v>4064</v>
      </c>
    </row>
    <row r="76" spans="1:235">
      <c r="K76" s="41"/>
      <c r="L76" s="41"/>
      <c r="M76" s="41"/>
    </row>
    <row r="77" spans="1:235" ht="21">
      <c r="A77" s="1333" t="s">
        <v>586</v>
      </c>
      <c r="B77" s="1333"/>
      <c r="C77" s="1333"/>
      <c r="D77" s="1333"/>
      <c r="E77" s="1333"/>
      <c r="F77" s="1333"/>
      <c r="G77" s="1333"/>
      <c r="H77" s="1333"/>
      <c r="I77" s="1333"/>
      <c r="J77" s="1333"/>
      <c r="K77" s="1333"/>
      <c r="L77" s="1333"/>
      <c r="M77" s="1333"/>
    </row>
    <row r="78" spans="1:235">
      <c r="A78" s="112" t="s">
        <v>587</v>
      </c>
      <c r="B78" s="51" t="e">
        <f>_xlfn.XLOOKUP($A78,Inputs!$A:$A,Inputs!B:B,,0)</f>
        <v>#N/A</v>
      </c>
      <c r="C78" s="51" t="e">
        <f>_xlfn.XLOOKUP($A78,Inputs!$A:$A,Inputs!C:C,,0)</f>
        <v>#N/A</v>
      </c>
      <c r="D78" s="51" t="e">
        <f>_xlfn.XLOOKUP($A78,Inputs!$A:$A,Inputs!D:D,,0)</f>
        <v>#N/A</v>
      </c>
      <c r="E78" s="51" t="e">
        <f>_xlfn.XLOOKUP($A78,Inputs!$A:$A,Inputs!E:E,,0)</f>
        <v>#N/A</v>
      </c>
      <c r="F78" s="51" t="e">
        <f>_xlfn.XLOOKUP($A78,Inputs!$A:$A,Inputs!F:F,,0)</f>
        <v>#N/A</v>
      </c>
      <c r="G78" s="51" t="e">
        <f>_xlfn.XLOOKUP($A78,Inputs!$A:$A,Inputs!G:G,,0)</f>
        <v>#N/A</v>
      </c>
      <c r="H78" s="51" t="e">
        <f>_xlfn.XLOOKUP($A78,Inputs!$A:$A,Inputs!H:H,,0)</f>
        <v>#N/A</v>
      </c>
      <c r="I78" s="51" t="e">
        <f>_xlfn.XLOOKUP($A78,Inputs!$A:$A,Inputs!I:I,,0)</f>
        <v>#N/A</v>
      </c>
      <c r="J78" s="51" t="e">
        <f>_xlfn.XLOOKUP($A78,Inputs!$A:$A,Inputs!J:J,,0)</f>
        <v>#N/A</v>
      </c>
      <c r="K78" s="51" t="e">
        <f>_xlfn.XLOOKUP($A78,Inputs!$A:$A,Inputs!K:K,,0)</f>
        <v>#N/A</v>
      </c>
      <c r="L78" s="51" t="e">
        <f>_xlfn.XLOOKUP($A78,Inputs!$A:$A,Inputs!L:L,,0)</f>
        <v>#N/A</v>
      </c>
      <c r="M78" s="51" t="e">
        <f>_xlfn.XLOOKUP($A78,Inputs!$A:$A,Inputs!M:M,,0)</f>
        <v>#N/A</v>
      </c>
    </row>
    <row r="79" spans="1:235">
      <c r="A79" s="118" t="s">
        <v>588</v>
      </c>
      <c r="B79" s="51" t="e">
        <f>_xlfn.XLOOKUP($A79,Inputs!$A:$A,Inputs!B:B,,0)</f>
        <v>#N/A</v>
      </c>
      <c r="C79" s="51" t="e">
        <f>_xlfn.XLOOKUP($A79,Inputs!$A:$A,Inputs!C:C,,0)</f>
        <v>#N/A</v>
      </c>
      <c r="D79" s="51" t="e">
        <f>_xlfn.XLOOKUP($A79,Inputs!$A:$A,Inputs!D:D,,0)</f>
        <v>#N/A</v>
      </c>
      <c r="E79" s="51" t="e">
        <f>_xlfn.XLOOKUP($A79,Inputs!$A:$A,Inputs!E:E,,0)</f>
        <v>#N/A</v>
      </c>
      <c r="F79" s="51" t="e">
        <f>_xlfn.XLOOKUP($A79,Inputs!$A:$A,Inputs!F:F,,0)</f>
        <v>#N/A</v>
      </c>
      <c r="G79" s="51" t="e">
        <f>_xlfn.XLOOKUP($A79,Inputs!$A:$A,Inputs!G:G,,0)</f>
        <v>#N/A</v>
      </c>
      <c r="H79" s="51" t="e">
        <f>_xlfn.XLOOKUP($A79,Inputs!$A:$A,Inputs!H:H,,0)</f>
        <v>#N/A</v>
      </c>
      <c r="I79" s="51" t="e">
        <f>_xlfn.XLOOKUP($A79,Inputs!$A:$A,Inputs!I:I,,0)</f>
        <v>#N/A</v>
      </c>
      <c r="J79" s="51" t="e">
        <f>_xlfn.XLOOKUP($A79,Inputs!$A:$A,Inputs!J:J,,0)</f>
        <v>#N/A</v>
      </c>
      <c r="K79" s="51" t="e">
        <f>_xlfn.XLOOKUP($A79,Inputs!$A:$A,Inputs!K:K,,0)</f>
        <v>#N/A</v>
      </c>
      <c r="L79" s="51" t="e">
        <f>_xlfn.XLOOKUP($A79,Inputs!$A:$A,Inputs!L:L,,0)</f>
        <v>#N/A</v>
      </c>
      <c r="M79" s="51" t="e">
        <f>_xlfn.XLOOKUP($A79,Inputs!$A:$A,Inputs!M:M,,0)</f>
        <v>#N/A</v>
      </c>
    </row>
    <row r="80" spans="1:235">
      <c r="A80" s="112" t="s">
        <v>46</v>
      </c>
      <c r="B80" s="51">
        <f>_xlfn.XLOOKUP($A80,Inputs!$A:$A,Inputs!B:B,,0)</f>
        <v>0.99895999999999996</v>
      </c>
      <c r="C80" s="51" t="str">
        <f>_xlfn.XLOOKUP($A80,Inputs!$A:$A,Inputs!C:C,,0)</f>
        <v>Yahoo finance</v>
      </c>
      <c r="D80" s="51">
        <f>_xlfn.XLOOKUP($A80,Inputs!$A:$A,Inputs!D:D,,0)</f>
        <v>0</v>
      </c>
      <c r="E80" s="51">
        <f>_xlfn.XLOOKUP($A80,Inputs!$A:$A,Inputs!E:E,,0)</f>
        <v>0</v>
      </c>
      <c r="F80" s="51">
        <f>_xlfn.XLOOKUP($A80,Inputs!$A:$A,Inputs!F:F,,0)</f>
        <v>0</v>
      </c>
      <c r="G80" s="51">
        <f>_xlfn.XLOOKUP($A80,Inputs!$A:$A,Inputs!G:G,,0)</f>
        <v>0</v>
      </c>
      <c r="H80" s="51">
        <f>_xlfn.XLOOKUP($A80,Inputs!$A:$A,Inputs!H:H,,0)</f>
        <v>0</v>
      </c>
      <c r="I80" s="51">
        <f>_xlfn.XLOOKUP($A80,Inputs!$A:$A,Inputs!I:I,,0)</f>
        <v>0</v>
      </c>
      <c r="J80" s="51">
        <f>_xlfn.XLOOKUP($A80,Inputs!$A:$A,Inputs!J:J,,0)</f>
        <v>0</v>
      </c>
      <c r="K80" s="51">
        <f>_xlfn.XLOOKUP($A80,Inputs!$A:$A,Inputs!K:K,,0)</f>
        <v>0</v>
      </c>
      <c r="L80" s="51">
        <f>_xlfn.XLOOKUP($A80,Inputs!$A:$A,Inputs!L:L,,0)</f>
        <v>0</v>
      </c>
      <c r="M80" s="51">
        <f>_xlfn.XLOOKUP($A80,Inputs!$A:$A,Inputs!M:M,,0)</f>
        <v>0</v>
      </c>
    </row>
    <row r="81" spans="1:13">
      <c r="A81" s="118" t="s">
        <v>50</v>
      </c>
      <c r="B81" s="51">
        <f>_xlfn.XLOOKUP($A81,Inputs!$A:$A,Inputs!B:B,,0)</f>
        <v>1E-4</v>
      </c>
      <c r="C81" s="51" t="str">
        <f>_xlfn.XLOOKUP($A81,Inputs!$A:$A,Inputs!C:C,,0)</f>
        <v>Yahoo finance</v>
      </c>
      <c r="D81" s="51">
        <f>_xlfn.XLOOKUP($A81,Inputs!$A:$A,Inputs!D:D,,0)</f>
        <v>0</v>
      </c>
      <c r="E81" s="51">
        <f>_xlfn.XLOOKUP($A81,Inputs!$A:$A,Inputs!E:E,,0)</f>
        <v>0</v>
      </c>
      <c r="F81" s="51">
        <f>_xlfn.XLOOKUP($A81,Inputs!$A:$A,Inputs!F:F,,0)</f>
        <v>0</v>
      </c>
      <c r="G81" s="51">
        <f>_xlfn.XLOOKUP($A81,Inputs!$A:$A,Inputs!G:G,,0)</f>
        <v>0</v>
      </c>
      <c r="H81" s="51">
        <f>_xlfn.XLOOKUP($A81,Inputs!$A:$A,Inputs!H:H,,0)</f>
        <v>0</v>
      </c>
      <c r="I81" s="51">
        <f>_xlfn.XLOOKUP($A81,Inputs!$A:$A,Inputs!I:I,,0)</f>
        <v>0</v>
      </c>
      <c r="J81" s="51">
        <f>_xlfn.XLOOKUP($A81,Inputs!$A:$A,Inputs!J:J,,0)</f>
        <v>0</v>
      </c>
      <c r="K81" s="51">
        <f>_xlfn.XLOOKUP($A81,Inputs!$A:$A,Inputs!K:K,,0)</f>
        <v>0</v>
      </c>
      <c r="L81" s="51">
        <f>_xlfn.XLOOKUP($A81,Inputs!$A:$A,Inputs!L:L,,0)</f>
        <v>0</v>
      </c>
      <c r="M81" s="51">
        <f>_xlfn.XLOOKUP($A81,Inputs!$A:$A,Inputs!M:M,,0)</f>
        <v>0</v>
      </c>
    </row>
    <row r="82" spans="1:13">
      <c r="A82" s="112" t="s">
        <v>589</v>
      </c>
      <c r="B82" s="51" t="str">
        <f>_xlfn.XLOOKUP($A82,Inputs!$A:$A,Inputs!B:B,,0)</f>
        <v>A</v>
      </c>
      <c r="C82" s="51" t="str">
        <f>_xlfn.XLOOKUP($A82,Inputs!$A:$A,Inputs!C:C,,0)</f>
        <v>10-K</v>
      </c>
      <c r="D82" s="51">
        <f>_xlfn.XLOOKUP($A82,Inputs!$A:$A,Inputs!D:D,,0)</f>
        <v>0</v>
      </c>
      <c r="E82" s="51">
        <f>_xlfn.XLOOKUP($A82,Inputs!$A:$A,Inputs!E:E,,0)</f>
        <v>0</v>
      </c>
      <c r="F82" s="51">
        <f>_xlfn.XLOOKUP($A82,Inputs!$A:$A,Inputs!F:F,,0)</f>
        <v>0</v>
      </c>
      <c r="G82" s="51">
        <f>_xlfn.XLOOKUP($A82,Inputs!$A:$A,Inputs!G:G,,0)</f>
        <v>0</v>
      </c>
      <c r="H82" s="51">
        <f>_xlfn.XLOOKUP($A82,Inputs!$A:$A,Inputs!H:H,,0)</f>
        <v>0</v>
      </c>
      <c r="I82" s="51">
        <f>_xlfn.XLOOKUP($A82,Inputs!$A:$A,Inputs!I:I,,0)</f>
        <v>0</v>
      </c>
      <c r="J82" s="51">
        <f>_xlfn.XLOOKUP($A82,Inputs!$A:$A,Inputs!J:J,,0)</f>
        <v>0</v>
      </c>
      <c r="K82" s="51">
        <f>_xlfn.XLOOKUP($A82,Inputs!$A:$A,Inputs!K:K,,0)</f>
        <v>0</v>
      </c>
      <c r="L82" s="51">
        <f>_xlfn.XLOOKUP($A82,Inputs!$A:$A,Inputs!L:L,,0)</f>
        <v>0</v>
      </c>
      <c r="M82" s="51">
        <f>_xlfn.XLOOKUP($A82,Inputs!$A:$A,Inputs!M:M,,0)</f>
        <v>0</v>
      </c>
    </row>
    <row r="83" spans="1:13">
      <c r="A83" s="112" t="s">
        <v>590</v>
      </c>
      <c r="B83" s="51" t="e">
        <f>_xlfn.XLOOKUP($A83,Inputs!$A:$A,Inputs!B:B,,0)</f>
        <v>#N/A</v>
      </c>
      <c r="C83" s="51" t="e">
        <f>_xlfn.XLOOKUP($A83,Inputs!$A:$A,Inputs!C:C,,0)</f>
        <v>#N/A</v>
      </c>
      <c r="D83" s="51" t="e">
        <f>_xlfn.XLOOKUP($A83,Inputs!$A:$A,Inputs!D:D,,0)</f>
        <v>#N/A</v>
      </c>
      <c r="E83" s="51" t="e">
        <f>_xlfn.XLOOKUP($A83,Inputs!$A:$A,Inputs!E:E,,0)</f>
        <v>#N/A</v>
      </c>
      <c r="F83" s="51" t="e">
        <f>_xlfn.XLOOKUP($A83,Inputs!$A:$A,Inputs!F:F,,0)</f>
        <v>#N/A</v>
      </c>
      <c r="G83" s="51" t="e">
        <f>_xlfn.XLOOKUP($A83,Inputs!$A:$A,Inputs!G:G,,0)</f>
        <v>#N/A</v>
      </c>
      <c r="H83" s="51" t="e">
        <f>_xlfn.XLOOKUP($A83,Inputs!$A:$A,Inputs!H:H,,0)</f>
        <v>#N/A</v>
      </c>
      <c r="I83" s="51" t="e">
        <f>_xlfn.XLOOKUP($A83,Inputs!$A:$A,Inputs!I:I,,0)</f>
        <v>#N/A</v>
      </c>
      <c r="J83" s="51" t="e">
        <f>_xlfn.XLOOKUP($A83,Inputs!$A:$A,Inputs!J:J,,0)</f>
        <v>#N/A</v>
      </c>
      <c r="K83" s="51" t="e">
        <f>_xlfn.XLOOKUP($A83,Inputs!$A:$A,Inputs!K:K,,0)</f>
        <v>#N/A</v>
      </c>
      <c r="L83" s="51" t="e">
        <f>_xlfn.XLOOKUP($A83,Inputs!$A:$A,Inputs!L:L,,0)</f>
        <v>#N/A</v>
      </c>
      <c r="M83" s="51" t="e">
        <f>_xlfn.XLOOKUP($A83,Inputs!$A:$A,Inputs!M:M,,0)</f>
        <v>#N/A</v>
      </c>
    </row>
    <row r="84" spans="1:13">
      <c r="A84" s="118" t="s">
        <v>591</v>
      </c>
      <c r="B84" s="51">
        <f>_xlfn.XLOOKUP($A84,Inputs!$A:$A,Inputs!B:B,,0)</f>
        <v>4.9000000000000004</v>
      </c>
      <c r="C84" s="51" t="str">
        <f>_xlfn.XLOOKUP($A84,Inputs!$A:$A,Inputs!C:C,,0)</f>
        <v>Yahoo Finance</v>
      </c>
      <c r="D84" s="51">
        <f>_xlfn.XLOOKUP($A84,Inputs!$A:$A,Inputs!D:D,,0)</f>
        <v>0</v>
      </c>
      <c r="E84" s="51">
        <f>_xlfn.XLOOKUP($A84,Inputs!$A:$A,Inputs!E:E,,0)</f>
        <v>0</v>
      </c>
      <c r="F84" s="51">
        <f>_xlfn.XLOOKUP($A84,Inputs!$A:$A,Inputs!F:F,,0)</f>
        <v>0</v>
      </c>
      <c r="G84" s="51">
        <f>_xlfn.XLOOKUP($A84,Inputs!$A:$A,Inputs!G:G,,0)</f>
        <v>0</v>
      </c>
      <c r="H84" s="51">
        <f>_xlfn.XLOOKUP($A84,Inputs!$A:$A,Inputs!H:H,,0)</f>
        <v>0</v>
      </c>
      <c r="I84" s="51">
        <f>_xlfn.XLOOKUP($A84,Inputs!$A:$A,Inputs!I:I,,0)</f>
        <v>0</v>
      </c>
      <c r="J84" s="51">
        <f>_xlfn.XLOOKUP($A84,Inputs!$A:$A,Inputs!J:J,,0)</f>
        <v>0</v>
      </c>
      <c r="K84" s="51">
        <f>_xlfn.XLOOKUP($A84,Inputs!$A:$A,Inputs!K:K,,0)</f>
        <v>0</v>
      </c>
      <c r="L84" s="51">
        <f>_xlfn.XLOOKUP($A84,Inputs!$A:$A,Inputs!L:L,,0)</f>
        <v>0</v>
      </c>
      <c r="M84" s="51">
        <f>_xlfn.XLOOKUP($A84,Inputs!$A:$A,Inputs!M:M,,0)</f>
        <v>0</v>
      </c>
    </row>
    <row r="85" spans="1:13">
      <c r="B85" s="43"/>
      <c r="C85" s="43"/>
      <c r="D85" s="43"/>
      <c r="E85" s="43"/>
      <c r="F85" s="43"/>
      <c r="G85" s="43"/>
      <c r="H85" s="43"/>
      <c r="I85" s="43"/>
      <c r="J85" s="43"/>
      <c r="K85" s="43"/>
      <c r="L85" s="43"/>
      <c r="M85" s="43"/>
    </row>
    <row r="86" spans="1:13">
      <c r="B86" s="42">
        <v>2020</v>
      </c>
      <c r="C86" s="42">
        <v>2021</v>
      </c>
      <c r="D86" s="42">
        <v>2022</v>
      </c>
      <c r="G86" s="42"/>
      <c r="H86" s="43"/>
      <c r="I86" s="43"/>
      <c r="J86" s="43"/>
      <c r="K86" s="43"/>
      <c r="L86" s="43"/>
      <c r="M86" s="43"/>
    </row>
    <row r="87" spans="1:13">
      <c r="A87" s="112" t="s">
        <v>592</v>
      </c>
      <c r="B87" s="55">
        <v>0</v>
      </c>
      <c r="C87" s="55">
        <v>0</v>
      </c>
      <c r="D87" s="56">
        <v>0</v>
      </c>
      <c r="G87" s="43"/>
      <c r="H87" s="43"/>
      <c r="I87" s="43"/>
      <c r="J87" s="43"/>
      <c r="K87" s="43"/>
      <c r="L87" s="43"/>
      <c r="M87" s="43"/>
    </row>
    <row r="88" spans="1:13">
      <c r="A88" s="118" t="s">
        <v>70</v>
      </c>
      <c r="B88" s="55">
        <v>0</v>
      </c>
      <c r="C88" s="55">
        <v>0</v>
      </c>
      <c r="D88" s="56">
        <v>0</v>
      </c>
    </row>
    <row r="90" spans="1:13">
      <c r="A90" s="13" t="s">
        <v>593</v>
      </c>
      <c r="B90" s="42" t="s">
        <v>594</v>
      </c>
      <c r="C90" s="42" t="s">
        <v>595</v>
      </c>
      <c r="D90" s="42" t="s">
        <v>596</v>
      </c>
      <c r="E90" s="42" t="s">
        <v>597</v>
      </c>
      <c r="G90" s="42"/>
    </row>
    <row r="91" spans="1:13">
      <c r="B91" s="58" t="e">
        <f>VLOOKUP($A91,Inputs!$A$5:$M$98,MATCH(B$4,Inputs!$B$5:$M$5,0)+1,FALSE)</f>
        <v>#N/A</v>
      </c>
      <c r="C91" s="58" t="e">
        <f>VLOOKUP($A91,Inputs!$A$5:$M$98,MATCH(C$4,Inputs!$B$5:$M$5,0)+1,FALSE)</f>
        <v>#N/A</v>
      </c>
      <c r="D91" s="58" t="e">
        <f>VLOOKUP($A91,Inputs!$A$5:$M$98,MATCH(D$4,Inputs!$B$5:$M$5,0)+1,FALSE)</f>
        <v>#N/A</v>
      </c>
      <c r="E91" s="58" t="e">
        <f>VLOOKUP($A91,Inputs!$A$5:$M$98,MATCH(E$4,Inputs!$B$5:$M$5,0)+1,FALSE)</f>
        <v>#N/A</v>
      </c>
    </row>
    <row r="92" spans="1:13">
      <c r="B92" s="59"/>
      <c r="C92" s="59"/>
      <c r="D92" s="2"/>
      <c r="E92" s="59"/>
      <c r="F92" s="2"/>
    </row>
    <row r="93" spans="1:13">
      <c r="B93" s="59"/>
      <c r="C93" s="59"/>
      <c r="D93" s="2"/>
      <c r="E93" s="59"/>
      <c r="F93" s="2"/>
    </row>
    <row r="94" spans="1:13">
      <c r="B94" s="59"/>
      <c r="C94" s="59"/>
      <c r="D94" s="2"/>
      <c r="E94" s="59"/>
      <c r="F94" s="2"/>
    </row>
    <row r="95" spans="1:13">
      <c r="B95" s="59"/>
      <c r="C95" s="59"/>
      <c r="D95" s="2"/>
      <c r="E95" s="59"/>
      <c r="F95" s="2"/>
    </row>
    <row r="96" spans="1:13">
      <c r="B96" s="59"/>
      <c r="C96" s="59"/>
      <c r="D96" s="2"/>
      <c r="E96" s="59"/>
      <c r="F96" s="2"/>
    </row>
    <row r="97" spans="2:6">
      <c r="B97" s="59"/>
      <c r="C97" s="59"/>
      <c r="D97" s="2"/>
      <c r="E97" s="59"/>
      <c r="F97" s="2"/>
    </row>
    <row r="98" spans="2:6">
      <c r="B98" s="59"/>
      <c r="C98" s="59"/>
      <c r="D98" s="2"/>
      <c r="E98" s="59"/>
      <c r="F98" s="2"/>
    </row>
    <row r="99" spans="2:6">
      <c r="B99" s="59"/>
      <c r="C99" s="59"/>
      <c r="D99" s="2"/>
      <c r="E99" s="59"/>
      <c r="F99" s="2"/>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7109375" defaultRowHeight="13.15"/>
  <cols>
    <col min="1" max="9" width="0" hidden="1" customWidth="1"/>
    <col min="11" max="11" width="21.7109375" bestFit="1" customWidth="1"/>
  </cols>
  <sheetData>
    <row r="2" spans="2:27">
      <c r="E2" s="10" t="s">
        <v>598</v>
      </c>
      <c r="F2" s="10" t="s">
        <v>599</v>
      </c>
      <c r="H2" s="10" t="s">
        <v>381</v>
      </c>
      <c r="K2" s="1336" t="s">
        <v>598</v>
      </c>
      <c r="L2" s="1338" t="s">
        <v>600</v>
      </c>
      <c r="M2" s="1339"/>
      <c r="N2" s="1339"/>
      <c r="O2" s="1339"/>
      <c r="P2" s="1340"/>
      <c r="Q2" s="1339" t="s">
        <v>321</v>
      </c>
      <c r="R2" s="1339"/>
      <c r="S2" s="1339"/>
      <c r="T2" s="1339"/>
      <c r="U2" s="1339"/>
      <c r="V2" s="1339"/>
      <c r="W2" s="1339"/>
      <c r="X2" s="1339"/>
      <c r="Y2" s="1339"/>
      <c r="Z2" s="1339"/>
      <c r="AA2" s="1340"/>
    </row>
    <row r="3" spans="2:27">
      <c r="E3" t="s">
        <v>601</v>
      </c>
      <c r="F3" t="s">
        <v>602</v>
      </c>
      <c r="H3" s="10" t="s">
        <v>327</v>
      </c>
      <c r="K3" s="1337"/>
      <c r="L3" s="68" t="s">
        <v>603</v>
      </c>
      <c r="M3" s="85" t="s">
        <v>604</v>
      </c>
      <c r="N3" s="85" t="s">
        <v>605</v>
      </c>
      <c r="O3" s="85" t="s">
        <v>606</v>
      </c>
      <c r="P3" s="86" t="s">
        <v>607</v>
      </c>
      <c r="Q3" s="85" t="s">
        <v>608</v>
      </c>
      <c r="R3" s="85" t="s">
        <v>609</v>
      </c>
      <c r="S3" s="85" t="s">
        <v>330</v>
      </c>
      <c r="T3" s="85" t="s">
        <v>610</v>
      </c>
      <c r="U3" s="85" t="s">
        <v>611</v>
      </c>
      <c r="V3" s="85" t="s">
        <v>612</v>
      </c>
      <c r="W3" s="85" t="s">
        <v>613</v>
      </c>
      <c r="X3" s="85" t="s">
        <v>614</v>
      </c>
      <c r="Y3" s="85" t="s">
        <v>615</v>
      </c>
      <c r="Z3" s="85" t="s">
        <v>616</v>
      </c>
      <c r="AA3" s="86" t="s">
        <v>370</v>
      </c>
    </row>
    <row r="4" spans="2:27">
      <c r="B4" s="69"/>
      <c r="E4" t="s">
        <v>601</v>
      </c>
      <c r="F4" t="s">
        <v>617</v>
      </c>
      <c r="H4" s="10" t="s">
        <v>388</v>
      </c>
      <c r="K4" s="87" t="s">
        <v>601</v>
      </c>
      <c r="L4" s="88" t="s">
        <v>381</v>
      </c>
      <c r="M4" t="s">
        <v>381</v>
      </c>
      <c r="N4" t="s">
        <v>327</v>
      </c>
      <c r="O4" t="s">
        <v>381</v>
      </c>
      <c r="P4" s="89" t="s">
        <v>381</v>
      </c>
      <c r="Q4" t="s">
        <v>327</v>
      </c>
      <c r="R4" t="s">
        <v>327</v>
      </c>
      <c r="S4" t="s">
        <v>381</v>
      </c>
      <c r="T4" t="s">
        <v>381</v>
      </c>
      <c r="U4" t="s">
        <v>388</v>
      </c>
      <c r="V4" t="s">
        <v>381</v>
      </c>
      <c r="W4" t="s">
        <v>381</v>
      </c>
      <c r="X4" t="s">
        <v>381</v>
      </c>
      <c r="Y4" t="s">
        <v>381</v>
      </c>
      <c r="Z4" t="s">
        <v>381</v>
      </c>
      <c r="AA4" s="89" t="s">
        <v>327</v>
      </c>
    </row>
    <row r="5" spans="2:27" ht="13.9">
      <c r="B5" s="81" t="s">
        <v>301</v>
      </c>
      <c r="E5" t="s">
        <v>601</v>
      </c>
      <c r="F5" t="s">
        <v>618</v>
      </c>
      <c r="H5" s="10" t="s">
        <v>619</v>
      </c>
      <c r="K5" s="87" t="s">
        <v>620</v>
      </c>
      <c r="L5" s="88" t="s">
        <v>381</v>
      </c>
      <c r="M5" t="s">
        <v>381</v>
      </c>
      <c r="N5" t="s">
        <v>327</v>
      </c>
      <c r="O5" t="s">
        <v>327</v>
      </c>
      <c r="P5" s="89" t="s">
        <v>381</v>
      </c>
      <c r="Q5" t="s">
        <v>327</v>
      </c>
      <c r="R5" t="s">
        <v>327</v>
      </c>
      <c r="S5" t="s">
        <v>381</v>
      </c>
      <c r="T5" t="s">
        <v>381</v>
      </c>
      <c r="U5" t="s">
        <v>327</v>
      </c>
      <c r="V5" t="s">
        <v>327</v>
      </c>
      <c r="W5" t="s">
        <v>327</v>
      </c>
      <c r="X5" t="s">
        <v>388</v>
      </c>
      <c r="Y5" t="s">
        <v>381</v>
      </c>
      <c r="Z5" t="s">
        <v>388</v>
      </c>
      <c r="AA5" s="89" t="s">
        <v>381</v>
      </c>
    </row>
    <row r="6" spans="2:27">
      <c r="B6" s="83" t="s">
        <v>621</v>
      </c>
      <c r="E6" t="s">
        <v>601</v>
      </c>
      <c r="F6" t="s">
        <v>622</v>
      </c>
      <c r="K6" s="87" t="s">
        <v>623</v>
      </c>
      <c r="L6" s="88" t="s">
        <v>388</v>
      </c>
      <c r="M6" t="s">
        <v>619</v>
      </c>
      <c r="N6" t="s">
        <v>388</v>
      </c>
      <c r="O6" t="s">
        <v>388</v>
      </c>
      <c r="P6" s="89" t="s">
        <v>388</v>
      </c>
      <c r="Q6" t="s">
        <v>327</v>
      </c>
      <c r="R6" t="s">
        <v>388</v>
      </c>
      <c r="S6" t="s">
        <v>388</v>
      </c>
      <c r="T6" t="s">
        <v>381</v>
      </c>
      <c r="U6" t="s">
        <v>327</v>
      </c>
      <c r="V6" t="s">
        <v>327</v>
      </c>
      <c r="W6" t="s">
        <v>381</v>
      </c>
      <c r="X6" t="s">
        <v>388</v>
      </c>
      <c r="Y6" t="s">
        <v>381</v>
      </c>
      <c r="Z6" t="s">
        <v>619</v>
      </c>
      <c r="AA6" s="89" t="s">
        <v>381</v>
      </c>
    </row>
    <row r="7" spans="2:27">
      <c r="B7" s="83" t="s">
        <v>624</v>
      </c>
      <c r="E7" t="s">
        <v>601</v>
      </c>
      <c r="F7" t="s">
        <v>625</v>
      </c>
      <c r="K7" s="87" t="s">
        <v>605</v>
      </c>
      <c r="L7" s="88" t="s">
        <v>619</v>
      </c>
      <c r="M7" t="s">
        <v>619</v>
      </c>
      <c r="N7" t="s">
        <v>327</v>
      </c>
      <c r="O7" t="s">
        <v>619</v>
      </c>
      <c r="P7" s="89" t="s">
        <v>388</v>
      </c>
      <c r="Q7" t="s">
        <v>388</v>
      </c>
      <c r="R7" t="s">
        <v>327</v>
      </c>
      <c r="S7" t="s">
        <v>327</v>
      </c>
      <c r="T7" t="s">
        <v>327</v>
      </c>
      <c r="U7" t="s">
        <v>327</v>
      </c>
      <c r="V7" t="s">
        <v>388</v>
      </c>
      <c r="W7" t="s">
        <v>327</v>
      </c>
      <c r="X7" t="s">
        <v>327</v>
      </c>
      <c r="Y7" t="s">
        <v>388</v>
      </c>
      <c r="Z7" t="s">
        <v>388</v>
      </c>
      <c r="AA7" s="89" t="s">
        <v>381</v>
      </c>
    </row>
    <row r="8" spans="2:27">
      <c r="B8" s="83"/>
      <c r="K8" s="87" t="s">
        <v>626</v>
      </c>
      <c r="L8" s="88" t="s">
        <v>381</v>
      </c>
      <c r="M8" t="s">
        <v>381</v>
      </c>
      <c r="N8" t="s">
        <v>381</v>
      </c>
      <c r="O8" t="s">
        <v>327</v>
      </c>
      <c r="P8" s="89" t="s">
        <v>327</v>
      </c>
      <c r="Q8" t="s">
        <v>381</v>
      </c>
      <c r="R8" t="s">
        <v>327</v>
      </c>
      <c r="S8" t="s">
        <v>327</v>
      </c>
      <c r="T8" t="s">
        <v>388</v>
      </c>
      <c r="U8" t="s">
        <v>327</v>
      </c>
      <c r="V8" t="s">
        <v>381</v>
      </c>
      <c r="W8" t="s">
        <v>381</v>
      </c>
      <c r="X8" t="s">
        <v>327</v>
      </c>
      <c r="Y8" t="s">
        <v>327</v>
      </c>
      <c r="Z8" t="s">
        <v>388</v>
      </c>
      <c r="AA8" s="89" t="s">
        <v>381</v>
      </c>
    </row>
    <row r="9" spans="2:27">
      <c r="B9" s="83" t="s">
        <v>311</v>
      </c>
      <c r="E9" t="s">
        <v>601</v>
      </c>
      <c r="F9" t="s">
        <v>627</v>
      </c>
      <c r="K9" s="87" t="s">
        <v>628</v>
      </c>
      <c r="L9" s="88" t="s">
        <v>381</v>
      </c>
      <c r="M9" t="s">
        <v>381</v>
      </c>
      <c r="N9" t="s">
        <v>381</v>
      </c>
      <c r="O9" t="s">
        <v>381</v>
      </c>
      <c r="P9" s="89" t="s">
        <v>381</v>
      </c>
      <c r="Q9" t="s">
        <v>381</v>
      </c>
      <c r="R9" t="s">
        <v>381</v>
      </c>
      <c r="S9" t="s">
        <v>327</v>
      </c>
      <c r="T9" t="s">
        <v>388</v>
      </c>
      <c r="U9" t="s">
        <v>327</v>
      </c>
      <c r="V9" t="s">
        <v>381</v>
      </c>
      <c r="W9" t="s">
        <v>381</v>
      </c>
      <c r="X9" t="s">
        <v>381</v>
      </c>
      <c r="Y9" t="s">
        <v>381</v>
      </c>
      <c r="Z9" t="s">
        <v>327</v>
      </c>
      <c r="AA9" s="89" t="s">
        <v>381</v>
      </c>
    </row>
    <row r="10" spans="2:27">
      <c r="B10" s="83"/>
      <c r="K10" s="87" t="s">
        <v>629</v>
      </c>
      <c r="L10" s="88" t="s">
        <v>381</v>
      </c>
      <c r="M10" t="s">
        <v>327</v>
      </c>
      <c r="N10" t="s">
        <v>381</v>
      </c>
      <c r="O10" t="s">
        <v>327</v>
      </c>
      <c r="P10" s="89" t="s">
        <v>388</v>
      </c>
      <c r="Q10" t="s">
        <v>381</v>
      </c>
      <c r="R10" t="s">
        <v>381</v>
      </c>
      <c r="S10" t="s">
        <v>381</v>
      </c>
      <c r="T10" t="s">
        <v>381</v>
      </c>
      <c r="U10" t="s">
        <v>381</v>
      </c>
      <c r="V10" t="s">
        <v>381</v>
      </c>
      <c r="W10" t="s">
        <v>381</v>
      </c>
      <c r="X10" t="s">
        <v>381</v>
      </c>
      <c r="Y10" t="s">
        <v>327</v>
      </c>
      <c r="Z10" t="s">
        <v>381</v>
      </c>
      <c r="AA10" s="89" t="s">
        <v>381</v>
      </c>
    </row>
    <row r="11" spans="2:27">
      <c r="B11" s="83" t="s">
        <v>316</v>
      </c>
      <c r="E11" t="s">
        <v>601</v>
      </c>
      <c r="F11" t="s">
        <v>630</v>
      </c>
      <c r="K11" s="87" t="s">
        <v>631</v>
      </c>
      <c r="L11" s="88" t="s">
        <v>381</v>
      </c>
      <c r="M11" t="s">
        <v>327</v>
      </c>
      <c r="N11" t="s">
        <v>381</v>
      </c>
      <c r="O11" t="s">
        <v>381</v>
      </c>
      <c r="P11" s="89" t="s">
        <v>381</v>
      </c>
      <c r="Q11" t="s">
        <v>381</v>
      </c>
      <c r="R11" t="s">
        <v>381</v>
      </c>
      <c r="S11" t="s">
        <v>327</v>
      </c>
      <c r="T11" t="s">
        <v>381</v>
      </c>
      <c r="U11" t="s">
        <v>388</v>
      </c>
      <c r="V11" t="s">
        <v>381</v>
      </c>
      <c r="W11" t="s">
        <v>381</v>
      </c>
      <c r="X11" t="s">
        <v>381</v>
      </c>
      <c r="Y11" t="s">
        <v>381</v>
      </c>
      <c r="Z11" t="s">
        <v>381</v>
      </c>
      <c r="AA11" s="89" t="s">
        <v>381</v>
      </c>
    </row>
    <row r="12" spans="2:27">
      <c r="B12" s="82" t="s">
        <v>632</v>
      </c>
      <c r="E12" t="s">
        <v>601</v>
      </c>
      <c r="F12" t="s">
        <v>633</v>
      </c>
      <c r="K12" s="87" t="s">
        <v>287</v>
      </c>
      <c r="L12" s="88" t="s">
        <v>619</v>
      </c>
      <c r="M12" t="s">
        <v>619</v>
      </c>
      <c r="N12" t="s">
        <v>619</v>
      </c>
      <c r="O12" t="s">
        <v>388</v>
      </c>
      <c r="P12" s="89" t="s">
        <v>388</v>
      </c>
      <c r="Q12" t="s">
        <v>381</v>
      </c>
      <c r="R12" t="s">
        <v>327</v>
      </c>
      <c r="S12" t="s">
        <v>388</v>
      </c>
      <c r="T12" t="s">
        <v>619</v>
      </c>
      <c r="U12" t="s">
        <v>327</v>
      </c>
      <c r="V12" t="s">
        <v>619</v>
      </c>
      <c r="W12" t="s">
        <v>327</v>
      </c>
      <c r="X12" t="s">
        <v>619</v>
      </c>
      <c r="Y12" t="s">
        <v>619</v>
      </c>
      <c r="Z12" t="s">
        <v>619</v>
      </c>
      <c r="AA12" s="89" t="s">
        <v>388</v>
      </c>
    </row>
    <row r="13" spans="2:27" ht="13.9">
      <c r="B13" s="81" t="s">
        <v>321</v>
      </c>
      <c r="E13" t="s">
        <v>601</v>
      </c>
      <c r="F13" t="s">
        <v>634</v>
      </c>
      <c r="K13" s="87" t="s">
        <v>635</v>
      </c>
      <c r="L13" s="88" t="s">
        <v>327</v>
      </c>
      <c r="M13" t="s">
        <v>381</v>
      </c>
      <c r="N13" t="s">
        <v>388</v>
      </c>
      <c r="O13" t="s">
        <v>381</v>
      </c>
      <c r="P13" s="89" t="s">
        <v>381</v>
      </c>
      <c r="Q13" t="s">
        <v>381</v>
      </c>
      <c r="R13" t="s">
        <v>381</v>
      </c>
      <c r="S13" t="s">
        <v>381</v>
      </c>
      <c r="T13" t="s">
        <v>381</v>
      </c>
      <c r="U13" t="s">
        <v>388</v>
      </c>
      <c r="V13" t="s">
        <v>381</v>
      </c>
      <c r="W13" t="s">
        <v>381</v>
      </c>
      <c r="X13" t="s">
        <v>381</v>
      </c>
      <c r="Y13" t="s">
        <v>381</v>
      </c>
      <c r="Z13" t="s">
        <v>327</v>
      </c>
      <c r="AA13" s="89" t="s">
        <v>619</v>
      </c>
    </row>
    <row r="14" spans="2:27">
      <c r="B14" s="73" t="s">
        <v>636</v>
      </c>
      <c r="E14" t="s">
        <v>601</v>
      </c>
      <c r="F14" t="s">
        <v>637</v>
      </c>
      <c r="K14" s="87" t="s">
        <v>638</v>
      </c>
      <c r="L14" s="88" t="s">
        <v>619</v>
      </c>
      <c r="M14" t="s">
        <v>619</v>
      </c>
      <c r="N14" t="s">
        <v>619</v>
      </c>
      <c r="O14" t="s">
        <v>619</v>
      </c>
      <c r="P14" s="89" t="s">
        <v>388</v>
      </c>
      <c r="Q14" t="s">
        <v>388</v>
      </c>
      <c r="R14" t="s">
        <v>388</v>
      </c>
      <c r="S14" t="s">
        <v>327</v>
      </c>
      <c r="T14" t="s">
        <v>388</v>
      </c>
      <c r="U14" t="s">
        <v>381</v>
      </c>
      <c r="V14" t="s">
        <v>619</v>
      </c>
      <c r="W14" t="s">
        <v>327</v>
      </c>
      <c r="X14" t="s">
        <v>327</v>
      </c>
      <c r="Y14" t="s">
        <v>619</v>
      </c>
      <c r="Z14" t="s">
        <v>388</v>
      </c>
      <c r="AA14" s="89" t="s">
        <v>327</v>
      </c>
    </row>
    <row r="15" spans="2:27">
      <c r="B15" s="73" t="s">
        <v>639</v>
      </c>
      <c r="E15" t="s">
        <v>620</v>
      </c>
      <c r="F15" t="s">
        <v>640</v>
      </c>
      <c r="K15" s="87" t="s">
        <v>641</v>
      </c>
      <c r="L15" s="88" t="s">
        <v>381</v>
      </c>
      <c r="M15" t="s">
        <v>381</v>
      </c>
      <c r="N15" t="s">
        <v>327</v>
      </c>
      <c r="O15" t="s">
        <v>381</v>
      </c>
      <c r="P15" s="89" t="s">
        <v>381</v>
      </c>
      <c r="Q15" t="s">
        <v>327</v>
      </c>
      <c r="R15" t="s">
        <v>381</v>
      </c>
      <c r="S15" t="s">
        <v>381</v>
      </c>
      <c r="T15" t="s">
        <v>381</v>
      </c>
      <c r="U15" t="s">
        <v>388</v>
      </c>
      <c r="V15" t="s">
        <v>381</v>
      </c>
      <c r="W15" t="s">
        <v>327</v>
      </c>
      <c r="X15" t="s">
        <v>381</v>
      </c>
      <c r="Y15" t="s">
        <v>327</v>
      </c>
      <c r="Z15" t="s">
        <v>381</v>
      </c>
      <c r="AA15" s="89" t="s">
        <v>381</v>
      </c>
    </row>
    <row r="16" spans="2:27">
      <c r="B16" s="76" t="s">
        <v>642</v>
      </c>
      <c r="E16" t="s">
        <v>620</v>
      </c>
      <c r="F16" t="s">
        <v>643</v>
      </c>
      <c r="K16" s="90" t="s">
        <v>644</v>
      </c>
      <c r="L16" s="91" t="s">
        <v>619</v>
      </c>
      <c r="M16" s="92" t="s">
        <v>388</v>
      </c>
      <c r="N16" s="92" t="s">
        <v>388</v>
      </c>
      <c r="O16" s="92" t="s">
        <v>327</v>
      </c>
      <c r="P16" s="93" t="s">
        <v>388</v>
      </c>
      <c r="Q16" s="92" t="s">
        <v>381</v>
      </c>
      <c r="R16" s="92" t="s">
        <v>327</v>
      </c>
      <c r="S16" s="92" t="s">
        <v>327</v>
      </c>
      <c r="T16" s="92" t="s">
        <v>381</v>
      </c>
      <c r="U16" s="92" t="s">
        <v>327</v>
      </c>
      <c r="V16" s="92" t="s">
        <v>327</v>
      </c>
      <c r="W16" s="92" t="s">
        <v>327</v>
      </c>
      <c r="X16" s="92" t="s">
        <v>327</v>
      </c>
      <c r="Y16" s="92" t="s">
        <v>381</v>
      </c>
      <c r="Z16" s="92" t="s">
        <v>327</v>
      </c>
      <c r="AA16" s="93" t="s">
        <v>381</v>
      </c>
    </row>
    <row r="17" spans="2:22">
      <c r="B17" s="76" t="s">
        <v>645</v>
      </c>
      <c r="E17" t="s">
        <v>620</v>
      </c>
      <c r="F17" t="s">
        <v>646</v>
      </c>
    </row>
    <row r="18" spans="2:22" hidden="1">
      <c r="B18" s="73" t="s">
        <v>647</v>
      </c>
      <c r="E18" t="s">
        <v>620</v>
      </c>
      <c r="F18" t="s">
        <v>648</v>
      </c>
    </row>
    <row r="19" spans="2:22" hidden="1">
      <c r="B19" s="73" t="s">
        <v>649</v>
      </c>
      <c r="E19" t="s">
        <v>620</v>
      </c>
      <c r="F19" t="s">
        <v>650</v>
      </c>
      <c r="L19" s="94" t="s">
        <v>601</v>
      </c>
      <c r="M19" s="95" t="s">
        <v>620</v>
      </c>
      <c r="N19" s="95" t="s">
        <v>623</v>
      </c>
      <c r="O19" s="95" t="s">
        <v>605</v>
      </c>
      <c r="P19" s="95" t="s">
        <v>628</v>
      </c>
      <c r="Q19" s="95" t="s">
        <v>631</v>
      </c>
      <c r="R19" s="95" t="s">
        <v>287</v>
      </c>
      <c r="S19" s="95" t="s">
        <v>635</v>
      </c>
      <c r="T19" s="95" t="s">
        <v>638</v>
      </c>
      <c r="U19" s="95" t="s">
        <v>641</v>
      </c>
      <c r="V19" s="96" t="s">
        <v>644</v>
      </c>
    </row>
    <row r="20" spans="2:22" hidden="1">
      <c r="B20" s="73" t="s">
        <v>348</v>
      </c>
      <c r="E20" t="s">
        <v>620</v>
      </c>
      <c r="F20" t="s">
        <v>651</v>
      </c>
      <c r="L20" s="88" t="s">
        <v>602</v>
      </c>
      <c r="M20" t="s">
        <v>640</v>
      </c>
      <c r="N20" t="s">
        <v>652</v>
      </c>
      <c r="O20" t="s">
        <v>653</v>
      </c>
      <c r="P20" t="s">
        <v>654</v>
      </c>
      <c r="Q20" t="s">
        <v>655</v>
      </c>
      <c r="R20" t="s">
        <v>656</v>
      </c>
      <c r="S20" t="s">
        <v>657</v>
      </c>
      <c r="T20" t="s">
        <v>658</v>
      </c>
      <c r="U20" t="s">
        <v>659</v>
      </c>
      <c r="V20" s="89" t="s">
        <v>660</v>
      </c>
    </row>
    <row r="21" spans="2:22" hidden="1">
      <c r="B21" s="73" t="s">
        <v>356</v>
      </c>
      <c r="E21" t="s">
        <v>620</v>
      </c>
      <c r="F21" t="s">
        <v>661</v>
      </c>
      <c r="L21" s="88" t="s">
        <v>617</v>
      </c>
      <c r="M21" t="s">
        <v>643</v>
      </c>
      <c r="N21" t="s">
        <v>662</v>
      </c>
      <c r="O21" t="s">
        <v>663</v>
      </c>
      <c r="P21" t="s">
        <v>664</v>
      </c>
      <c r="Q21" t="s">
        <v>665</v>
      </c>
      <c r="R21" t="s">
        <v>666</v>
      </c>
      <c r="S21" t="s">
        <v>667</v>
      </c>
      <c r="T21" t="s">
        <v>668</v>
      </c>
      <c r="U21" t="s">
        <v>669</v>
      </c>
      <c r="V21" s="89" t="s">
        <v>670</v>
      </c>
    </row>
    <row r="22" spans="2:22" hidden="1">
      <c r="B22" s="73" t="s">
        <v>363</v>
      </c>
      <c r="E22" t="s">
        <v>620</v>
      </c>
      <c r="F22" t="s">
        <v>671</v>
      </c>
      <c r="L22" s="88" t="s">
        <v>618</v>
      </c>
      <c r="M22" t="s">
        <v>646</v>
      </c>
      <c r="N22" t="s">
        <v>672</v>
      </c>
      <c r="O22" t="s">
        <v>673</v>
      </c>
      <c r="P22" t="s">
        <v>674</v>
      </c>
      <c r="Q22" t="s">
        <v>675</v>
      </c>
      <c r="R22" t="s">
        <v>676</v>
      </c>
      <c r="S22" t="s">
        <v>677</v>
      </c>
      <c r="T22" t="s">
        <v>678</v>
      </c>
      <c r="U22" t="s">
        <v>679</v>
      </c>
      <c r="V22" s="89" t="s">
        <v>680</v>
      </c>
    </row>
    <row r="23" spans="2:22" hidden="1">
      <c r="B23" s="73" t="s">
        <v>368</v>
      </c>
      <c r="E23" t="s">
        <v>620</v>
      </c>
      <c r="F23" t="s">
        <v>681</v>
      </c>
      <c r="L23" s="88" t="s">
        <v>622</v>
      </c>
      <c r="M23" t="s">
        <v>648</v>
      </c>
      <c r="N23" t="s">
        <v>682</v>
      </c>
      <c r="O23" t="s">
        <v>683</v>
      </c>
      <c r="P23" t="s">
        <v>684</v>
      </c>
      <c r="Q23" t="s">
        <v>685</v>
      </c>
      <c r="R23" t="s">
        <v>686</v>
      </c>
      <c r="S23" t="s">
        <v>687</v>
      </c>
      <c r="T23" t="s">
        <v>688</v>
      </c>
      <c r="U23" t="s">
        <v>689</v>
      </c>
      <c r="V23" s="89" t="s">
        <v>690</v>
      </c>
    </row>
    <row r="24" spans="2:22" hidden="1">
      <c r="B24" s="75" t="s">
        <v>370</v>
      </c>
      <c r="E24" t="s">
        <v>620</v>
      </c>
      <c r="F24" t="s">
        <v>691</v>
      </c>
      <c r="L24" s="88" t="s">
        <v>625</v>
      </c>
      <c r="M24" t="s">
        <v>650</v>
      </c>
      <c r="N24" t="s">
        <v>692</v>
      </c>
      <c r="O24" t="s">
        <v>693</v>
      </c>
      <c r="P24" t="s">
        <v>694</v>
      </c>
      <c r="Q24" t="s">
        <v>695</v>
      </c>
      <c r="R24" t="s">
        <v>696</v>
      </c>
      <c r="S24" t="s">
        <v>697</v>
      </c>
      <c r="T24" t="s">
        <v>698</v>
      </c>
      <c r="U24" t="s">
        <v>699</v>
      </c>
      <c r="V24" s="89" t="s">
        <v>700</v>
      </c>
    </row>
    <row r="25" spans="2:22" hidden="1">
      <c r="E25" t="s">
        <v>620</v>
      </c>
      <c r="F25" t="s">
        <v>701</v>
      </c>
      <c r="L25" s="88" t="s">
        <v>627</v>
      </c>
      <c r="M25" t="s">
        <v>651</v>
      </c>
      <c r="N25" t="s">
        <v>702</v>
      </c>
      <c r="P25" t="s">
        <v>703</v>
      </c>
      <c r="Q25" t="s">
        <v>704</v>
      </c>
      <c r="R25" t="s">
        <v>705</v>
      </c>
      <c r="S25" t="s">
        <v>706</v>
      </c>
      <c r="T25" t="s">
        <v>707</v>
      </c>
      <c r="U25" t="s">
        <v>708</v>
      </c>
      <c r="V25" s="89"/>
    </row>
    <row r="26" spans="2:22" hidden="1">
      <c r="E26" t="s">
        <v>620</v>
      </c>
      <c r="F26" t="s">
        <v>709</v>
      </c>
      <c r="L26" s="88" t="s">
        <v>630</v>
      </c>
      <c r="M26" t="s">
        <v>661</v>
      </c>
      <c r="N26" t="s">
        <v>710</v>
      </c>
      <c r="P26" t="s">
        <v>711</v>
      </c>
      <c r="Q26" t="s">
        <v>712</v>
      </c>
      <c r="R26" t="s">
        <v>713</v>
      </c>
      <c r="S26" t="s">
        <v>714</v>
      </c>
      <c r="T26" t="s">
        <v>715</v>
      </c>
      <c r="U26" t="s">
        <v>716</v>
      </c>
      <c r="V26" s="89"/>
    </row>
    <row r="27" spans="2:22" hidden="1">
      <c r="E27" t="s">
        <v>620</v>
      </c>
      <c r="F27" t="s">
        <v>717</v>
      </c>
      <c r="L27" s="88" t="s">
        <v>633</v>
      </c>
      <c r="M27" t="s">
        <v>671</v>
      </c>
      <c r="N27" t="s">
        <v>718</v>
      </c>
      <c r="P27" t="s">
        <v>719</v>
      </c>
      <c r="Q27" t="s">
        <v>720</v>
      </c>
      <c r="R27" t="s">
        <v>721</v>
      </c>
      <c r="S27" t="s">
        <v>722</v>
      </c>
      <c r="T27" t="s">
        <v>723</v>
      </c>
      <c r="U27" t="s">
        <v>724</v>
      </c>
      <c r="V27" s="89"/>
    </row>
    <row r="28" spans="2:22" hidden="1">
      <c r="E28" t="s">
        <v>620</v>
      </c>
      <c r="F28" t="s">
        <v>725</v>
      </c>
      <c r="L28" s="88" t="s">
        <v>634</v>
      </c>
      <c r="M28" t="s">
        <v>681</v>
      </c>
      <c r="N28" t="s">
        <v>726</v>
      </c>
      <c r="P28" t="s">
        <v>727</v>
      </c>
      <c r="Q28" t="s">
        <v>728</v>
      </c>
      <c r="R28" t="s">
        <v>729</v>
      </c>
      <c r="S28" t="s">
        <v>730</v>
      </c>
      <c r="T28" t="s">
        <v>731</v>
      </c>
      <c r="V28" s="89"/>
    </row>
    <row r="29" spans="2:22" hidden="1">
      <c r="E29" t="s">
        <v>620</v>
      </c>
      <c r="F29" t="s">
        <v>732</v>
      </c>
      <c r="L29" s="91" t="s">
        <v>637</v>
      </c>
      <c r="M29" s="92" t="s">
        <v>691</v>
      </c>
      <c r="N29" s="92" t="s">
        <v>733</v>
      </c>
      <c r="O29" s="92"/>
      <c r="P29" s="92" t="s">
        <v>734</v>
      </c>
      <c r="Q29" s="92" t="s">
        <v>735</v>
      </c>
      <c r="R29" s="92" t="s">
        <v>736</v>
      </c>
      <c r="S29" s="92" t="s">
        <v>737</v>
      </c>
      <c r="T29" s="92" t="s">
        <v>738</v>
      </c>
      <c r="U29" s="92"/>
      <c r="V29" s="93"/>
    </row>
    <row r="30" spans="2:22" hidden="1">
      <c r="E30" t="s">
        <v>620</v>
      </c>
      <c r="F30" t="s">
        <v>739</v>
      </c>
      <c r="M30" t="s">
        <v>701</v>
      </c>
      <c r="N30" t="s">
        <v>740</v>
      </c>
      <c r="P30" t="s">
        <v>741</v>
      </c>
      <c r="R30" t="s">
        <v>742</v>
      </c>
      <c r="S30" t="s">
        <v>743</v>
      </c>
      <c r="T30" t="s">
        <v>744</v>
      </c>
    </row>
    <row r="31" spans="2:22" hidden="1">
      <c r="E31" t="s">
        <v>620</v>
      </c>
      <c r="F31" t="s">
        <v>745</v>
      </c>
      <c r="M31" t="s">
        <v>709</v>
      </c>
      <c r="N31" t="s">
        <v>746</v>
      </c>
      <c r="P31" t="s">
        <v>747</v>
      </c>
      <c r="R31" t="s">
        <v>748</v>
      </c>
      <c r="S31" t="s">
        <v>749</v>
      </c>
    </row>
    <row r="32" spans="2:22" hidden="1">
      <c r="E32" t="s">
        <v>620</v>
      </c>
      <c r="F32" t="s">
        <v>750</v>
      </c>
      <c r="M32" t="s">
        <v>717</v>
      </c>
      <c r="P32" t="s">
        <v>751</v>
      </c>
      <c r="R32" t="s">
        <v>752</v>
      </c>
      <c r="S32" t="s">
        <v>753</v>
      </c>
    </row>
    <row r="33" spans="5:18" hidden="1">
      <c r="E33" t="s">
        <v>620</v>
      </c>
      <c r="F33" t="s">
        <v>754</v>
      </c>
      <c r="M33" t="s">
        <v>725</v>
      </c>
      <c r="R33" t="s">
        <v>755</v>
      </c>
    </row>
    <row r="34" spans="5:18" hidden="1">
      <c r="E34" t="s">
        <v>620</v>
      </c>
      <c r="F34" t="s">
        <v>756</v>
      </c>
      <c r="M34" t="s">
        <v>732</v>
      </c>
      <c r="R34" t="s">
        <v>757</v>
      </c>
    </row>
    <row r="35" spans="5:18" hidden="1">
      <c r="E35" t="s">
        <v>623</v>
      </c>
      <c r="F35" t="s">
        <v>652</v>
      </c>
      <c r="M35" t="s">
        <v>739</v>
      </c>
      <c r="R35" t="s">
        <v>758</v>
      </c>
    </row>
    <row r="36" spans="5:18" hidden="1">
      <c r="E36" t="s">
        <v>623</v>
      </c>
      <c r="F36" t="s">
        <v>662</v>
      </c>
      <c r="M36" t="s">
        <v>745</v>
      </c>
      <c r="R36" t="s">
        <v>759</v>
      </c>
    </row>
    <row r="37" spans="5:18" hidden="1">
      <c r="E37" t="s">
        <v>623</v>
      </c>
      <c r="F37" t="s">
        <v>672</v>
      </c>
      <c r="M37" t="s">
        <v>750</v>
      </c>
    </row>
    <row r="38" spans="5:18" hidden="1">
      <c r="E38" t="s">
        <v>623</v>
      </c>
      <c r="F38" t="s">
        <v>682</v>
      </c>
      <c r="M38" t="s">
        <v>754</v>
      </c>
    </row>
    <row r="39" spans="5:18" hidden="1">
      <c r="E39" t="s">
        <v>623</v>
      </c>
      <c r="F39" t="s">
        <v>692</v>
      </c>
      <c r="M39" t="s">
        <v>756</v>
      </c>
    </row>
    <row r="40" spans="5:18" hidden="1">
      <c r="E40" t="s">
        <v>623</v>
      </c>
      <c r="F40" t="s">
        <v>702</v>
      </c>
    </row>
    <row r="41" spans="5:18" hidden="1">
      <c r="E41" t="s">
        <v>623</v>
      </c>
      <c r="F41" t="s">
        <v>710</v>
      </c>
    </row>
    <row r="42" spans="5:18">
      <c r="E42" t="s">
        <v>623</v>
      </c>
      <c r="F42" t="s">
        <v>718</v>
      </c>
    </row>
    <row r="43" spans="5:18">
      <c r="E43" t="s">
        <v>623</v>
      </c>
      <c r="F43" t="s">
        <v>726</v>
      </c>
    </row>
    <row r="44" spans="5:18">
      <c r="E44" t="s">
        <v>623</v>
      </c>
      <c r="F44" t="s">
        <v>733</v>
      </c>
    </row>
    <row r="45" spans="5:18">
      <c r="E45" t="s">
        <v>623</v>
      </c>
      <c r="F45" t="s">
        <v>740</v>
      </c>
    </row>
    <row r="46" spans="5:18">
      <c r="E46" t="s">
        <v>623</v>
      </c>
      <c r="F46" t="s">
        <v>746</v>
      </c>
    </row>
    <row r="47" spans="5:18">
      <c r="E47" t="s">
        <v>605</v>
      </c>
      <c r="F47" t="s">
        <v>653</v>
      </c>
    </row>
    <row r="48" spans="5:18">
      <c r="E48" t="s">
        <v>605</v>
      </c>
      <c r="F48" t="s">
        <v>663</v>
      </c>
    </row>
    <row r="49" spans="5:6">
      <c r="E49" t="s">
        <v>605</v>
      </c>
      <c r="F49" t="s">
        <v>673</v>
      </c>
    </row>
    <row r="50" spans="5:6">
      <c r="E50" t="s">
        <v>605</v>
      </c>
      <c r="F50" t="s">
        <v>683</v>
      </c>
    </row>
    <row r="51" spans="5:6">
      <c r="E51" t="s">
        <v>605</v>
      </c>
      <c r="F51" t="s">
        <v>693</v>
      </c>
    </row>
    <row r="52" spans="5:6">
      <c r="E52" t="s">
        <v>628</v>
      </c>
      <c r="F52" t="s">
        <v>654</v>
      </c>
    </row>
    <row r="53" spans="5:6">
      <c r="E53" t="s">
        <v>628</v>
      </c>
      <c r="F53" t="s">
        <v>664</v>
      </c>
    </row>
    <row r="54" spans="5:6">
      <c r="E54" t="s">
        <v>628</v>
      </c>
      <c r="F54" t="s">
        <v>674</v>
      </c>
    </row>
    <row r="55" spans="5:6">
      <c r="E55" t="s">
        <v>628</v>
      </c>
      <c r="F55" t="s">
        <v>684</v>
      </c>
    </row>
    <row r="56" spans="5:6">
      <c r="E56" t="s">
        <v>628</v>
      </c>
      <c r="F56" t="s">
        <v>694</v>
      </c>
    </row>
    <row r="57" spans="5:6">
      <c r="E57" t="s">
        <v>628</v>
      </c>
      <c r="F57" t="s">
        <v>703</v>
      </c>
    </row>
    <row r="58" spans="5:6">
      <c r="E58" t="s">
        <v>628</v>
      </c>
      <c r="F58" t="s">
        <v>711</v>
      </c>
    </row>
    <row r="59" spans="5:6">
      <c r="E59" t="s">
        <v>628</v>
      </c>
      <c r="F59" t="s">
        <v>719</v>
      </c>
    </row>
    <row r="60" spans="5:6">
      <c r="E60" t="s">
        <v>628</v>
      </c>
      <c r="F60" t="s">
        <v>727</v>
      </c>
    </row>
    <row r="61" spans="5:6">
      <c r="E61" t="s">
        <v>628</v>
      </c>
      <c r="F61" t="s">
        <v>734</v>
      </c>
    </row>
    <row r="62" spans="5:6">
      <c r="E62" t="s">
        <v>628</v>
      </c>
      <c r="F62" t="s">
        <v>741</v>
      </c>
    </row>
    <row r="63" spans="5:6">
      <c r="E63" t="s">
        <v>628</v>
      </c>
      <c r="F63" t="s">
        <v>747</v>
      </c>
    </row>
    <row r="64" spans="5:6">
      <c r="E64" t="s">
        <v>628</v>
      </c>
      <c r="F64" t="s">
        <v>751</v>
      </c>
    </row>
    <row r="65" spans="5:6">
      <c r="E65" t="s">
        <v>631</v>
      </c>
      <c r="F65" t="s">
        <v>655</v>
      </c>
    </row>
    <row r="66" spans="5:6">
      <c r="E66" t="s">
        <v>631</v>
      </c>
      <c r="F66" t="s">
        <v>665</v>
      </c>
    </row>
    <row r="67" spans="5:6">
      <c r="E67" t="s">
        <v>631</v>
      </c>
      <c r="F67" t="s">
        <v>675</v>
      </c>
    </row>
    <row r="68" spans="5:6">
      <c r="E68" t="s">
        <v>631</v>
      </c>
      <c r="F68" t="s">
        <v>685</v>
      </c>
    </row>
    <row r="69" spans="5:6">
      <c r="E69" t="s">
        <v>631</v>
      </c>
      <c r="F69" t="s">
        <v>695</v>
      </c>
    </row>
    <row r="70" spans="5:6">
      <c r="E70" t="s">
        <v>631</v>
      </c>
      <c r="F70" t="s">
        <v>704</v>
      </c>
    </row>
    <row r="71" spans="5:6">
      <c r="E71" t="s">
        <v>631</v>
      </c>
      <c r="F71" t="s">
        <v>712</v>
      </c>
    </row>
    <row r="72" spans="5:6">
      <c r="E72" t="s">
        <v>631</v>
      </c>
      <c r="F72" t="s">
        <v>720</v>
      </c>
    </row>
    <row r="73" spans="5:6">
      <c r="E73" t="s">
        <v>631</v>
      </c>
      <c r="F73" t="s">
        <v>728</v>
      </c>
    </row>
    <row r="74" spans="5:6">
      <c r="E74" t="s">
        <v>631</v>
      </c>
      <c r="F74" t="s">
        <v>735</v>
      </c>
    </row>
    <row r="75" spans="5:6">
      <c r="E75" t="s">
        <v>287</v>
      </c>
      <c r="F75" t="s">
        <v>656</v>
      </c>
    </row>
    <row r="76" spans="5:6">
      <c r="E76" t="s">
        <v>287</v>
      </c>
      <c r="F76" t="s">
        <v>666</v>
      </c>
    </row>
    <row r="77" spans="5:6">
      <c r="E77" t="s">
        <v>287</v>
      </c>
      <c r="F77" t="s">
        <v>676</v>
      </c>
    </row>
    <row r="78" spans="5:6">
      <c r="E78" t="s">
        <v>287</v>
      </c>
      <c r="F78" t="s">
        <v>686</v>
      </c>
    </row>
    <row r="79" spans="5:6">
      <c r="E79" t="s">
        <v>287</v>
      </c>
      <c r="F79" t="s">
        <v>696</v>
      </c>
    </row>
    <row r="80" spans="5:6">
      <c r="E80" t="s">
        <v>287</v>
      </c>
      <c r="F80" t="s">
        <v>705</v>
      </c>
    </row>
    <row r="81" spans="5:6">
      <c r="E81" t="s">
        <v>287</v>
      </c>
      <c r="F81" t="s">
        <v>713</v>
      </c>
    </row>
    <row r="82" spans="5:6">
      <c r="E82" t="s">
        <v>287</v>
      </c>
      <c r="F82" t="s">
        <v>721</v>
      </c>
    </row>
    <row r="83" spans="5:6">
      <c r="E83" t="s">
        <v>287</v>
      </c>
      <c r="F83" t="s">
        <v>729</v>
      </c>
    </row>
    <row r="84" spans="5:6">
      <c r="E84" t="s">
        <v>287</v>
      </c>
      <c r="F84" t="s">
        <v>736</v>
      </c>
    </row>
    <row r="85" spans="5:6">
      <c r="E85" t="s">
        <v>287</v>
      </c>
      <c r="F85" t="s">
        <v>742</v>
      </c>
    </row>
    <row r="86" spans="5:6">
      <c r="E86" t="s">
        <v>287</v>
      </c>
      <c r="F86" t="s">
        <v>748</v>
      </c>
    </row>
    <row r="87" spans="5:6">
      <c r="E87" t="s">
        <v>287</v>
      </c>
      <c r="F87" t="s">
        <v>752</v>
      </c>
    </row>
    <row r="88" spans="5:6">
      <c r="E88" t="s">
        <v>287</v>
      </c>
      <c r="F88" t="s">
        <v>755</v>
      </c>
    </row>
    <row r="89" spans="5:6">
      <c r="E89" t="s">
        <v>287</v>
      </c>
      <c r="F89" t="s">
        <v>757</v>
      </c>
    </row>
    <row r="90" spans="5:6">
      <c r="E90" t="s">
        <v>287</v>
      </c>
      <c r="F90" t="s">
        <v>758</v>
      </c>
    </row>
    <row r="91" spans="5:6">
      <c r="E91" t="s">
        <v>287</v>
      </c>
      <c r="F91" t="s">
        <v>759</v>
      </c>
    </row>
    <row r="92" spans="5:6">
      <c r="E92" t="s">
        <v>635</v>
      </c>
      <c r="F92" t="s">
        <v>657</v>
      </c>
    </row>
    <row r="93" spans="5:6">
      <c r="E93" t="s">
        <v>635</v>
      </c>
      <c r="F93" t="s">
        <v>667</v>
      </c>
    </row>
    <row r="94" spans="5:6">
      <c r="E94" t="s">
        <v>635</v>
      </c>
      <c r="F94" t="s">
        <v>677</v>
      </c>
    </row>
    <row r="95" spans="5:6">
      <c r="E95" t="s">
        <v>635</v>
      </c>
      <c r="F95" t="s">
        <v>687</v>
      </c>
    </row>
    <row r="96" spans="5:6">
      <c r="E96" t="s">
        <v>635</v>
      </c>
      <c r="F96" t="s">
        <v>697</v>
      </c>
    </row>
    <row r="97" spans="5:6">
      <c r="E97" t="s">
        <v>635</v>
      </c>
      <c r="F97" t="s">
        <v>706</v>
      </c>
    </row>
    <row r="98" spans="5:6">
      <c r="E98" t="s">
        <v>635</v>
      </c>
      <c r="F98" t="s">
        <v>714</v>
      </c>
    </row>
    <row r="99" spans="5:6">
      <c r="E99" t="s">
        <v>635</v>
      </c>
      <c r="F99" t="s">
        <v>722</v>
      </c>
    </row>
    <row r="100" spans="5:6">
      <c r="E100" t="s">
        <v>635</v>
      </c>
      <c r="F100" t="s">
        <v>730</v>
      </c>
    </row>
    <row r="101" spans="5:6">
      <c r="E101" t="s">
        <v>635</v>
      </c>
      <c r="F101" t="s">
        <v>737</v>
      </c>
    </row>
    <row r="102" spans="5:6">
      <c r="E102" t="s">
        <v>635</v>
      </c>
      <c r="F102" t="s">
        <v>743</v>
      </c>
    </row>
    <row r="103" spans="5:6">
      <c r="E103" t="s">
        <v>635</v>
      </c>
      <c r="F103" t="s">
        <v>749</v>
      </c>
    </row>
    <row r="104" spans="5:6">
      <c r="E104" t="s">
        <v>635</v>
      </c>
      <c r="F104" t="s">
        <v>753</v>
      </c>
    </row>
    <row r="105" spans="5:6">
      <c r="E105" t="s">
        <v>638</v>
      </c>
      <c r="F105" t="s">
        <v>658</v>
      </c>
    </row>
    <row r="106" spans="5:6">
      <c r="E106" t="s">
        <v>638</v>
      </c>
      <c r="F106" t="s">
        <v>668</v>
      </c>
    </row>
    <row r="107" spans="5:6">
      <c r="E107" t="s">
        <v>638</v>
      </c>
      <c r="F107" t="s">
        <v>678</v>
      </c>
    </row>
    <row r="108" spans="5:6">
      <c r="E108" t="s">
        <v>638</v>
      </c>
      <c r="F108" t="s">
        <v>688</v>
      </c>
    </row>
    <row r="109" spans="5:6">
      <c r="E109" t="s">
        <v>638</v>
      </c>
      <c r="F109" t="s">
        <v>698</v>
      </c>
    </row>
    <row r="110" spans="5:6">
      <c r="E110" t="s">
        <v>638</v>
      </c>
      <c r="F110" t="s">
        <v>707</v>
      </c>
    </row>
    <row r="111" spans="5:6">
      <c r="E111" t="s">
        <v>638</v>
      </c>
      <c r="F111" t="s">
        <v>715</v>
      </c>
    </row>
    <row r="112" spans="5:6">
      <c r="E112" t="s">
        <v>638</v>
      </c>
      <c r="F112" t="s">
        <v>723</v>
      </c>
    </row>
    <row r="113" spans="5:6">
      <c r="E113" t="s">
        <v>638</v>
      </c>
      <c r="F113" t="s">
        <v>731</v>
      </c>
    </row>
    <row r="114" spans="5:6">
      <c r="E114" t="s">
        <v>638</v>
      </c>
      <c r="F114" t="s">
        <v>738</v>
      </c>
    </row>
    <row r="115" spans="5:6">
      <c r="E115" t="s">
        <v>638</v>
      </c>
      <c r="F115" t="s">
        <v>744</v>
      </c>
    </row>
    <row r="116" spans="5:6">
      <c r="E116" t="s">
        <v>641</v>
      </c>
      <c r="F116" t="s">
        <v>659</v>
      </c>
    </row>
    <row r="117" spans="5:6">
      <c r="E117" t="s">
        <v>641</v>
      </c>
      <c r="F117" t="s">
        <v>669</v>
      </c>
    </row>
    <row r="118" spans="5:6">
      <c r="E118" t="s">
        <v>641</v>
      </c>
      <c r="F118" t="s">
        <v>679</v>
      </c>
    </row>
    <row r="119" spans="5:6">
      <c r="E119" t="s">
        <v>641</v>
      </c>
      <c r="F119" t="s">
        <v>689</v>
      </c>
    </row>
    <row r="120" spans="5:6">
      <c r="E120" t="s">
        <v>641</v>
      </c>
      <c r="F120" t="s">
        <v>699</v>
      </c>
    </row>
    <row r="121" spans="5:6">
      <c r="E121" t="s">
        <v>641</v>
      </c>
      <c r="F121" t="s">
        <v>708</v>
      </c>
    </row>
    <row r="122" spans="5:6">
      <c r="E122" t="s">
        <v>641</v>
      </c>
      <c r="F122" t="s">
        <v>716</v>
      </c>
    </row>
    <row r="123" spans="5:6">
      <c r="E123" t="s">
        <v>641</v>
      </c>
      <c r="F123" t="s">
        <v>724</v>
      </c>
    </row>
    <row r="124" spans="5:6">
      <c r="E124" t="s">
        <v>644</v>
      </c>
      <c r="F124" t="s">
        <v>660</v>
      </c>
    </row>
    <row r="125" spans="5:6">
      <c r="E125" t="s">
        <v>644</v>
      </c>
      <c r="F125" t="s">
        <v>670</v>
      </c>
    </row>
    <row r="126" spans="5:6">
      <c r="E126" t="s">
        <v>644</v>
      </c>
      <c r="F126" t="s">
        <v>680</v>
      </c>
    </row>
    <row r="127" spans="5:6">
      <c r="E127" t="s">
        <v>644</v>
      </c>
      <c r="F127" t="s">
        <v>690</v>
      </c>
    </row>
    <row r="128" spans="5:6">
      <c r="E128" t="s">
        <v>644</v>
      </c>
      <c r="F128" t="s">
        <v>700</v>
      </c>
    </row>
  </sheetData>
  <mergeCells count="3">
    <mergeCell ref="K2:K3"/>
    <mergeCell ref="L2:P2"/>
    <mergeCell ref="Q2:AA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00"/>
  <sheetViews>
    <sheetView topLeftCell="A43" zoomScale="90" zoomScaleNormal="100" workbookViewId="0">
      <selection activeCell="H3" sqref="H3"/>
    </sheetView>
  </sheetViews>
  <sheetFormatPr defaultColWidth="10.28515625" defaultRowHeight="13.9"/>
  <cols>
    <col min="1" max="1" width="40" style="20" bestFit="1" customWidth="1"/>
    <col min="2" max="5" width="13.42578125" style="20" customWidth="1"/>
    <col min="6" max="6" width="13.140625" style="20" customWidth="1"/>
    <col min="7" max="9" width="13.7109375" style="20" customWidth="1"/>
    <col min="10" max="10" width="14.140625" style="20" customWidth="1"/>
    <col min="11" max="11" width="15.140625" style="22" customWidth="1"/>
    <col min="12" max="12" width="17" style="22" customWidth="1"/>
    <col min="13" max="13" width="14.140625" style="20" customWidth="1"/>
    <col min="14" max="14" width="21.42578125" style="20" bestFit="1" customWidth="1"/>
    <col min="15" max="15" width="32.140625" style="20" customWidth="1"/>
    <col min="16" max="16" width="11.42578125" style="20" customWidth="1"/>
    <col min="17" max="23" width="0" style="20" hidden="1" customWidth="1"/>
    <col min="24" max="24" width="15.28515625" style="20" bestFit="1" customWidth="1"/>
    <col min="25" max="25" width="17.42578125" style="20" bestFit="1" customWidth="1"/>
    <col min="26" max="33" width="0" style="20" hidden="1" customWidth="1"/>
    <col min="34" max="16384" width="10.28515625" style="20"/>
  </cols>
  <sheetData>
    <row r="1" spans="1:33">
      <c r="B1" s="46"/>
      <c r="C1" s="46"/>
      <c r="D1" s="46"/>
      <c r="E1" s="46"/>
      <c r="F1" s="46"/>
      <c r="G1" s="46"/>
      <c r="H1" s="46"/>
      <c r="I1" s="46"/>
      <c r="J1" s="46"/>
      <c r="K1" s="46"/>
      <c r="L1" s="46"/>
      <c r="M1" s="46"/>
      <c r="N1"/>
      <c r="O1"/>
    </row>
    <row r="2" spans="1:33">
      <c r="G2" s="1343" t="s">
        <v>760</v>
      </c>
      <c r="H2" s="1343"/>
      <c r="I2" s="1343"/>
      <c r="J2" s="1343"/>
      <c r="K2" s="23"/>
      <c r="L2" s="23"/>
      <c r="M2" s="23"/>
      <c r="N2" s="23"/>
      <c r="O2" s="23"/>
    </row>
    <row r="3" spans="1:33">
      <c r="G3" s="20" t="s">
        <v>761</v>
      </c>
      <c r="H3" s="20" t="s">
        <v>762</v>
      </c>
      <c r="M3"/>
      <c r="N3"/>
      <c r="O3"/>
    </row>
    <row r="4" spans="1:33">
      <c r="D4" s="1343" t="s">
        <v>763</v>
      </c>
      <c r="E4" s="1343"/>
      <c r="F4" s="1343"/>
      <c r="G4" s="1343"/>
      <c r="H4" s="1343"/>
      <c r="I4" s="1343"/>
      <c r="J4" s="1343"/>
      <c r="K4" s="1343"/>
      <c r="L4" s="1343"/>
      <c r="M4" s="1343"/>
      <c r="N4"/>
      <c r="O4"/>
    </row>
    <row r="5" spans="1:33">
      <c r="A5" s="46" t="s">
        <v>764</v>
      </c>
      <c r="B5" s="298">
        <v>2023</v>
      </c>
      <c r="C5" s="298">
        <f>B5-1</f>
        <v>2022</v>
      </c>
      <c r="D5" s="298">
        <f t="shared" ref="D5:M5" si="0">C5-1</f>
        <v>2021</v>
      </c>
      <c r="E5" s="298">
        <f t="shared" si="0"/>
        <v>2020</v>
      </c>
      <c r="F5" s="298">
        <f t="shared" si="0"/>
        <v>2019</v>
      </c>
      <c r="G5" s="298">
        <f t="shared" si="0"/>
        <v>2018</v>
      </c>
      <c r="H5" s="298">
        <f t="shared" si="0"/>
        <v>2017</v>
      </c>
      <c r="I5" s="298">
        <f t="shared" si="0"/>
        <v>2016</v>
      </c>
      <c r="J5" s="298">
        <f t="shared" si="0"/>
        <v>2015</v>
      </c>
      <c r="K5" s="298">
        <f t="shared" si="0"/>
        <v>2014</v>
      </c>
      <c r="L5" s="298">
        <f t="shared" si="0"/>
        <v>2013</v>
      </c>
      <c r="M5" s="298">
        <f t="shared" si="0"/>
        <v>2012</v>
      </c>
      <c r="N5"/>
      <c r="O5"/>
      <c r="Q5" s="9" t="s">
        <v>765</v>
      </c>
      <c r="R5" s="1344" t="s">
        <v>766</v>
      </c>
      <c r="S5" s="1344"/>
      <c r="T5" s="20" t="s">
        <v>767</v>
      </c>
      <c r="Z5" s="46">
        <v>2016</v>
      </c>
      <c r="AA5" s="46">
        <v>2015</v>
      </c>
      <c r="AB5" s="46">
        <v>2014</v>
      </c>
      <c r="AC5" s="46">
        <v>2013</v>
      </c>
      <c r="AD5" s="46">
        <v>2012</v>
      </c>
      <c r="AE5" s="46">
        <v>2011</v>
      </c>
      <c r="AF5" s="46">
        <v>2010</v>
      </c>
      <c r="AG5" s="46">
        <v>2009</v>
      </c>
    </row>
    <row r="6" spans="1:33">
      <c r="A6" s="24" t="s">
        <v>122</v>
      </c>
      <c r="B6" s="255">
        <v>90958</v>
      </c>
      <c r="C6" s="255">
        <v>100338</v>
      </c>
      <c r="D6" s="255">
        <v>97287</v>
      </c>
      <c r="E6" s="255">
        <v>84628</v>
      </c>
      <c r="F6" s="255">
        <v>74094</v>
      </c>
      <c r="G6" s="255">
        <v>71861</v>
      </c>
      <c r="H6" s="299">
        <v>65872</v>
      </c>
      <c r="I6" s="255">
        <v>60906</v>
      </c>
      <c r="J6" s="255">
        <v>58363</v>
      </c>
      <c r="K6" s="255">
        <v>58232</v>
      </c>
      <c r="L6" s="255">
        <v>55438</v>
      </c>
      <c r="M6" s="255">
        <v>54127</v>
      </c>
      <c r="N6" s="26" t="s">
        <v>768</v>
      </c>
      <c r="O6" t="s">
        <v>769</v>
      </c>
      <c r="P6"/>
      <c r="Q6" s="20" t="s">
        <v>770</v>
      </c>
      <c r="R6" s="20" t="s">
        <v>770</v>
      </c>
      <c r="X6" s="27"/>
      <c r="Y6" s="27"/>
      <c r="Z6" s="25">
        <v>38537</v>
      </c>
      <c r="AA6" s="25">
        <v>47011</v>
      </c>
      <c r="AB6" s="25">
        <v>55184</v>
      </c>
      <c r="AC6" s="25">
        <v>55656</v>
      </c>
      <c r="AD6" s="25">
        <v>65875</v>
      </c>
      <c r="AE6" s="25">
        <v>60138</v>
      </c>
      <c r="AF6" s="25">
        <v>42588</v>
      </c>
      <c r="AG6" s="25">
        <v>32396</v>
      </c>
    </row>
    <row r="7" spans="1:33">
      <c r="A7" s="24" t="s">
        <v>557</v>
      </c>
      <c r="B7" s="255">
        <f t="shared" ref="B7:M7" si="1">B8</f>
        <v>9141</v>
      </c>
      <c r="C7" s="255">
        <f t="shared" si="1"/>
        <v>13094</v>
      </c>
      <c r="D7" s="255">
        <f t="shared" si="1"/>
        <v>12810</v>
      </c>
      <c r="E7" s="255">
        <f t="shared" si="1"/>
        <v>7684</v>
      </c>
      <c r="F7" s="255">
        <f t="shared" si="1"/>
        <v>7798</v>
      </c>
      <c r="G7" s="255">
        <f t="shared" si="1"/>
        <v>7024</v>
      </c>
      <c r="H7" s="255">
        <f t="shared" si="1"/>
        <v>7529</v>
      </c>
      <c r="I7" s="255">
        <f t="shared" si="1"/>
        <v>5467</v>
      </c>
      <c r="J7" s="255">
        <f t="shared" si="1"/>
        <v>7668</v>
      </c>
      <c r="K7" s="255">
        <f t="shared" si="1"/>
        <v>4968</v>
      </c>
      <c r="L7" s="255">
        <f t="shared" si="1"/>
        <v>7034</v>
      </c>
      <c r="M7" s="255">
        <f t="shared" si="1"/>
        <v>1343</v>
      </c>
      <c r="N7" s="26" t="s">
        <v>768</v>
      </c>
      <c r="O7" t="str">
        <f>+A7</f>
        <v>Gross Profit</v>
      </c>
      <c r="P7"/>
      <c r="Q7" s="20" t="s">
        <v>770</v>
      </c>
      <c r="R7" s="20" t="s">
        <v>771</v>
      </c>
      <c r="Z7" s="29">
        <f>Z6-28044</f>
        <v>10493</v>
      </c>
      <c r="AA7" s="29">
        <f>AA6-33546</f>
        <v>13465</v>
      </c>
      <c r="AB7" s="29">
        <f>AB6-40718</f>
        <v>14466</v>
      </c>
      <c r="AC7" s="29">
        <f>AC6-40727</f>
        <v>14929</v>
      </c>
      <c r="AD7" s="30">
        <f>+AD6-47055</f>
        <v>18820</v>
      </c>
      <c r="AE7" s="30">
        <f>+AE6-43578</f>
        <v>16560</v>
      </c>
      <c r="AF7" s="30">
        <f>+AF6-30367</f>
        <v>12221</v>
      </c>
      <c r="AG7" s="30">
        <f>+AG6-23886</f>
        <v>8510</v>
      </c>
    </row>
    <row r="8" spans="1:33">
      <c r="A8" s="24" t="s">
        <v>269</v>
      </c>
      <c r="B8" s="255">
        <v>9141</v>
      </c>
      <c r="C8" s="255">
        <v>13094</v>
      </c>
      <c r="D8" s="255">
        <v>12810</v>
      </c>
      <c r="E8" s="255">
        <v>7684</v>
      </c>
      <c r="F8" s="255">
        <v>7798</v>
      </c>
      <c r="G8" s="255">
        <v>7024</v>
      </c>
      <c r="H8" s="300">
        <v>7529</v>
      </c>
      <c r="I8" s="301">
        <v>5467</v>
      </c>
      <c r="J8" s="301">
        <v>7668</v>
      </c>
      <c r="K8" s="301">
        <v>4968</v>
      </c>
      <c r="L8" s="301">
        <v>7034</v>
      </c>
      <c r="M8" s="301">
        <v>1343</v>
      </c>
      <c r="N8" s="26" t="s">
        <v>768</v>
      </c>
      <c r="O8" t="s">
        <v>269</v>
      </c>
      <c r="P8"/>
      <c r="Q8" s="20" t="s">
        <v>770</v>
      </c>
      <c r="R8" s="31" t="s">
        <v>772</v>
      </c>
      <c r="Z8" s="29">
        <f>Z7-4383</f>
        <v>6110</v>
      </c>
      <c r="AA8" s="29">
        <f>AA7-4951</f>
        <v>8514</v>
      </c>
      <c r="AB8" s="29">
        <f>AB7-6529</f>
        <v>7937</v>
      </c>
      <c r="AC8" s="29">
        <f>AC7-5547</f>
        <v>9382</v>
      </c>
      <c r="AD8" s="30">
        <f>AD7-5919-2466-797-580-485</f>
        <v>8573</v>
      </c>
      <c r="AE8" s="30">
        <f>+AE7-5203-2297-826-1081</f>
        <v>7153</v>
      </c>
      <c r="AF8" s="30">
        <f>+AF7-4248-1905-914-1191</f>
        <v>3963</v>
      </c>
      <c r="AG8" s="30">
        <f>+AG7-3645-1421-1045-1822</f>
        <v>577</v>
      </c>
    </row>
    <row r="9" spans="1:33">
      <c r="A9" s="24" t="s">
        <v>561</v>
      </c>
      <c r="B9" s="255">
        <v>0</v>
      </c>
      <c r="C9" s="255">
        <v>2435</v>
      </c>
      <c r="D9" s="255">
        <v>4479</v>
      </c>
      <c r="E9" s="255">
        <v>-5139</v>
      </c>
      <c r="F9" s="255">
        <v>-1493</v>
      </c>
      <c r="G9" s="255">
        <v>-400</v>
      </c>
      <c r="H9" s="255">
        <v>72</v>
      </c>
      <c r="I9" s="255">
        <v>50</v>
      </c>
      <c r="J9" s="255">
        <v>15</v>
      </c>
      <c r="K9" s="255">
        <v>22</v>
      </c>
      <c r="L9" s="255">
        <v>20</v>
      </c>
      <c r="M9" s="255">
        <v>24</v>
      </c>
      <c r="N9" s="26" t="s">
        <v>768</v>
      </c>
      <c r="O9" t="s">
        <v>773</v>
      </c>
      <c r="P9"/>
      <c r="Q9" s="20" t="s">
        <v>770</v>
      </c>
      <c r="R9" s="20" t="s">
        <v>774</v>
      </c>
      <c r="S9" s="20" t="s">
        <v>775</v>
      </c>
      <c r="T9" s="20" t="s">
        <v>776</v>
      </c>
      <c r="U9" s="20" t="s">
        <v>777</v>
      </c>
      <c r="V9" s="20" t="s">
        <v>778</v>
      </c>
      <c r="Z9" s="29">
        <f>1853+596+595+1904+6+8</f>
        <v>4962</v>
      </c>
      <c r="AA9" s="29">
        <f>2119+587+2023+11</f>
        <v>4740</v>
      </c>
      <c r="AB9" s="29">
        <f>2380+624+1619-8+16</f>
        <v>4631</v>
      </c>
      <c r="AC9" s="29">
        <f>2046+727+981+6+14</f>
        <v>3774</v>
      </c>
      <c r="AD9" s="30">
        <f>-14+41</f>
        <v>27</v>
      </c>
      <c r="AE9" s="29">
        <v>53</v>
      </c>
      <c r="AF9" s="29">
        <f>58+24</f>
        <v>82</v>
      </c>
      <c r="AG9" s="29">
        <f>12-68</f>
        <v>-56</v>
      </c>
    </row>
    <row r="10" spans="1:33">
      <c r="A10" s="24" t="s">
        <v>270</v>
      </c>
      <c r="B10" s="255">
        <v>-568</v>
      </c>
      <c r="C10" s="255">
        <v>-704</v>
      </c>
      <c r="D10" s="255">
        <v>-694</v>
      </c>
      <c r="E10" s="255">
        <v>-701</v>
      </c>
      <c r="F10" s="255">
        <v>-653</v>
      </c>
      <c r="G10" s="255">
        <v>-605</v>
      </c>
      <c r="H10" s="300">
        <v>-453</v>
      </c>
      <c r="I10" s="301">
        <v>-381</v>
      </c>
      <c r="J10" s="255">
        <v>-341</v>
      </c>
      <c r="K10" s="255">
        <v>-353</v>
      </c>
      <c r="L10" s="255">
        <v>-380</v>
      </c>
      <c r="M10" s="255">
        <v>-393</v>
      </c>
      <c r="N10" s="26" t="s">
        <v>768</v>
      </c>
      <c r="O10" t="s">
        <v>779</v>
      </c>
      <c r="P10"/>
      <c r="Q10" s="20" t="s">
        <v>770</v>
      </c>
      <c r="R10" s="20" t="s">
        <v>780</v>
      </c>
      <c r="Z10" s="29">
        <f>505+518</f>
        <v>1023</v>
      </c>
      <c r="AA10" s="29">
        <f>507-161</f>
        <v>346</v>
      </c>
      <c r="AB10" s="29">
        <f>484-322</f>
        <v>162</v>
      </c>
      <c r="AC10" s="29">
        <f>465+35</f>
        <v>500</v>
      </c>
      <c r="AD10" s="30">
        <f>467-130</f>
        <v>337</v>
      </c>
      <c r="AE10" s="29">
        <f>396+32</f>
        <v>428</v>
      </c>
      <c r="AF10" s="29">
        <f>343-130</f>
        <v>213</v>
      </c>
      <c r="AG10" s="29">
        <f>389-381</f>
        <v>8</v>
      </c>
    </row>
    <row r="11" spans="1:33">
      <c r="A11" s="24" t="s">
        <v>271</v>
      </c>
      <c r="B11" s="255">
        <v>-1865</v>
      </c>
      <c r="C11" s="255">
        <v>-3277</v>
      </c>
      <c r="D11" s="255">
        <v>-3705</v>
      </c>
      <c r="E11" s="255">
        <v>-501</v>
      </c>
      <c r="F11" s="255">
        <v>-1212</v>
      </c>
      <c r="G11" s="255">
        <v>-1228</v>
      </c>
      <c r="H11" s="300">
        <v>-2238</v>
      </c>
      <c r="I11" s="301">
        <v>-1705</v>
      </c>
      <c r="J11" s="255">
        <v>-2498</v>
      </c>
      <c r="K11" s="255">
        <v>-1605</v>
      </c>
      <c r="L11" s="255">
        <v>-2302</v>
      </c>
      <c r="M11" s="255">
        <v>-167</v>
      </c>
      <c r="N11" s="26" t="s">
        <v>768</v>
      </c>
      <c r="O11" t="s">
        <v>271</v>
      </c>
      <c r="P11"/>
      <c r="Q11" s="20" t="s">
        <v>770</v>
      </c>
      <c r="R11" s="20" t="s">
        <v>781</v>
      </c>
      <c r="Z11" s="25">
        <v>192</v>
      </c>
      <c r="AA11" s="25">
        <v>916</v>
      </c>
      <c r="AB11" s="25">
        <v>692</v>
      </c>
      <c r="AC11" s="25">
        <v>1319</v>
      </c>
      <c r="AD11" s="28">
        <f>2528</f>
        <v>2528</v>
      </c>
      <c r="AE11" s="25">
        <f>1720</f>
        <v>1720</v>
      </c>
      <c r="AF11" s="25">
        <f>968</f>
        <v>968</v>
      </c>
      <c r="AG11" s="25">
        <f>-270</f>
        <v>-270</v>
      </c>
    </row>
    <row r="12" spans="1:33">
      <c r="A12" s="24" t="s">
        <v>65</v>
      </c>
      <c r="B12" s="255">
        <v>6708</v>
      </c>
      <c r="C12" s="255">
        <v>11548</v>
      </c>
      <c r="D12" s="255">
        <v>12890</v>
      </c>
      <c r="E12" s="255">
        <v>1343</v>
      </c>
      <c r="F12" s="255">
        <v>4440</v>
      </c>
      <c r="G12" s="255">
        <v>4791</v>
      </c>
      <c r="H12" s="299">
        <v>4910</v>
      </c>
      <c r="I12" s="255">
        <v>3431</v>
      </c>
      <c r="J12" s="255">
        <v>4844</v>
      </c>
      <c r="K12" s="255">
        <v>3032</v>
      </c>
      <c r="L12" s="255">
        <v>4372</v>
      </c>
      <c r="M12" s="255">
        <v>807</v>
      </c>
      <c r="N12" s="26" t="s">
        <v>768</v>
      </c>
      <c r="O12" t="s">
        <v>65</v>
      </c>
      <c r="P12"/>
      <c r="Q12" s="20" t="s">
        <v>782</v>
      </c>
      <c r="R12" s="20" t="s">
        <v>783</v>
      </c>
      <c r="Z12" s="25">
        <v>-67</v>
      </c>
      <c r="AA12" s="25">
        <v>2512</v>
      </c>
      <c r="AB12" s="25">
        <v>2452</v>
      </c>
      <c r="AC12" s="25">
        <v>3789</v>
      </c>
      <c r="AD12" s="25">
        <v>5681</v>
      </c>
      <c r="AE12" s="25">
        <f>4928+24</f>
        <v>4952</v>
      </c>
      <c r="AF12" s="25">
        <v>2700</v>
      </c>
      <c r="AG12" s="25">
        <v>895</v>
      </c>
    </row>
    <row r="13" spans="1:33">
      <c r="B13" s="302">
        <f>SUM(B8:B11)</f>
        <v>6708</v>
      </c>
      <c r="C13" s="302">
        <f t="shared" ref="C13:M13" si="2">SUM(C8:C11)</f>
        <v>11548</v>
      </c>
      <c r="D13" s="302">
        <f t="shared" si="2"/>
        <v>12890</v>
      </c>
      <c r="E13" s="302">
        <f t="shared" si="2"/>
        <v>1343</v>
      </c>
      <c r="F13" s="302">
        <f t="shared" si="2"/>
        <v>4440</v>
      </c>
      <c r="G13" s="302">
        <f t="shared" si="2"/>
        <v>4791</v>
      </c>
      <c r="H13" s="302">
        <f t="shared" si="2"/>
        <v>4910</v>
      </c>
      <c r="I13" s="302">
        <f t="shared" si="2"/>
        <v>3431</v>
      </c>
      <c r="J13" s="302">
        <f t="shared" si="2"/>
        <v>4844</v>
      </c>
      <c r="K13" s="302">
        <f t="shared" si="2"/>
        <v>3032</v>
      </c>
      <c r="L13" s="302">
        <f t="shared" si="2"/>
        <v>4372</v>
      </c>
      <c r="M13" s="302">
        <f t="shared" si="2"/>
        <v>807</v>
      </c>
      <c r="N13"/>
      <c r="O13"/>
      <c r="P13"/>
      <c r="Z13" s="22">
        <f t="shared" ref="Z13:AG13" si="3">Z8-Z10-Z9-Z11</f>
        <v>-67</v>
      </c>
      <c r="AA13" s="22">
        <f t="shared" si="3"/>
        <v>2512</v>
      </c>
      <c r="AB13" s="22">
        <f t="shared" si="3"/>
        <v>2452</v>
      </c>
      <c r="AC13" s="22">
        <f t="shared" si="3"/>
        <v>3789</v>
      </c>
      <c r="AD13" s="22">
        <f t="shared" si="3"/>
        <v>5681</v>
      </c>
      <c r="AE13" s="22">
        <f t="shared" si="3"/>
        <v>4952</v>
      </c>
      <c r="AF13" s="22">
        <f t="shared" si="3"/>
        <v>2700</v>
      </c>
      <c r="AG13" s="22">
        <f t="shared" si="3"/>
        <v>895</v>
      </c>
    </row>
    <row r="14" spans="1:33">
      <c r="A14" s="46" t="s">
        <v>784</v>
      </c>
      <c r="B14" s="303">
        <f>B12-B13</f>
        <v>0</v>
      </c>
      <c r="C14" s="303">
        <f t="shared" ref="C14:M14" si="4">C12-C13</f>
        <v>0</v>
      </c>
      <c r="D14" s="303">
        <f t="shared" si="4"/>
        <v>0</v>
      </c>
      <c r="E14" s="303">
        <f t="shared" si="4"/>
        <v>0</v>
      </c>
      <c r="F14" s="303">
        <f t="shared" si="4"/>
        <v>0</v>
      </c>
      <c r="G14" s="303">
        <f t="shared" si="4"/>
        <v>0</v>
      </c>
      <c r="H14" s="303">
        <f t="shared" si="4"/>
        <v>0</v>
      </c>
      <c r="I14" s="303">
        <f t="shared" si="4"/>
        <v>0</v>
      </c>
      <c r="J14" s="303">
        <f t="shared" si="4"/>
        <v>0</v>
      </c>
      <c r="K14" s="303">
        <f t="shared" si="4"/>
        <v>0</v>
      </c>
      <c r="L14" s="303">
        <f t="shared" si="4"/>
        <v>0</v>
      </c>
      <c r="M14" s="303">
        <f t="shared" si="4"/>
        <v>0</v>
      </c>
      <c r="N14"/>
      <c r="O14"/>
      <c r="P14"/>
      <c r="Z14" s="33">
        <f t="shared" ref="Z14:AG14" si="5">Z12-Z13</f>
        <v>0</v>
      </c>
      <c r="AA14" s="33">
        <f t="shared" si="5"/>
        <v>0</v>
      </c>
      <c r="AB14" s="33">
        <f t="shared" si="5"/>
        <v>0</v>
      </c>
      <c r="AC14" s="33">
        <f t="shared" si="5"/>
        <v>0</v>
      </c>
      <c r="AD14" s="33">
        <f t="shared" si="5"/>
        <v>0</v>
      </c>
      <c r="AE14" s="33">
        <f t="shared" si="5"/>
        <v>0</v>
      </c>
      <c r="AF14" s="33">
        <f t="shared" si="5"/>
        <v>0</v>
      </c>
      <c r="AG14" s="33">
        <f t="shared" si="5"/>
        <v>0</v>
      </c>
    </row>
    <row r="15" spans="1:33">
      <c r="A15"/>
      <c r="B15" s="306"/>
      <c r="C15" s="306"/>
      <c r="D15" s="306"/>
      <c r="E15" s="306"/>
      <c r="F15" s="306"/>
      <c r="G15" s="306"/>
      <c r="H15" s="306"/>
      <c r="I15" s="306"/>
      <c r="J15" s="306"/>
      <c r="K15" s="306"/>
      <c r="L15" s="306"/>
      <c r="M15" s="306"/>
      <c r="N15"/>
      <c r="O15"/>
      <c r="P15"/>
      <c r="Z15" s="25"/>
      <c r="AA15" s="25"/>
      <c r="AB15" s="25"/>
      <c r="AC15" s="25"/>
      <c r="AD15" s="25"/>
      <c r="AE15" s="25"/>
      <c r="AF15" s="25"/>
      <c r="AG15" s="25"/>
    </row>
    <row r="16" spans="1:33">
      <c r="A16" s="24" t="s">
        <v>785</v>
      </c>
      <c r="B16" s="304">
        <v>13.26</v>
      </c>
      <c r="C16" s="304">
        <v>14.75</v>
      </c>
      <c r="D16" s="304">
        <v>1.55</v>
      </c>
      <c r="E16" s="304">
        <v>5.14</v>
      </c>
      <c r="F16" s="304">
        <v>5.53</v>
      </c>
      <c r="G16" s="304">
        <v>5.63</v>
      </c>
      <c r="H16" s="305">
        <v>5.64</v>
      </c>
      <c r="I16" s="304">
        <v>3.89</v>
      </c>
      <c r="J16" s="304">
        <v>5.38</v>
      </c>
      <c r="K16" s="304">
        <v>3.31</v>
      </c>
      <c r="L16" s="304">
        <v>4.6500000000000004</v>
      </c>
      <c r="M16" s="304">
        <v>0.84</v>
      </c>
      <c r="N16" s="26"/>
      <c r="O16"/>
      <c r="P16"/>
      <c r="Z16" s="25"/>
      <c r="AA16" s="25"/>
      <c r="AB16" s="25"/>
      <c r="AC16" s="25"/>
      <c r="AD16" s="25"/>
      <c r="AE16" s="25"/>
      <c r="AF16" s="25"/>
      <c r="AG16" s="25"/>
    </row>
    <row r="17" spans="1:152">
      <c r="A17" s="24" t="s">
        <v>786</v>
      </c>
      <c r="B17" s="304">
        <v>13.2</v>
      </c>
      <c r="C17" s="304">
        <v>14.68</v>
      </c>
      <c r="D17" s="304">
        <v>1.54</v>
      </c>
      <c r="E17" s="304">
        <v>5.1100000000000003</v>
      </c>
      <c r="F17" s="304">
        <v>5.51</v>
      </c>
      <c r="G17" s="304">
        <v>5.61</v>
      </c>
      <c r="H17" s="305">
        <v>5.61</v>
      </c>
      <c r="I17" s="304">
        <v>3.87</v>
      </c>
      <c r="J17" s="304">
        <v>5.35</v>
      </c>
      <c r="K17" s="304">
        <v>3.28</v>
      </c>
      <c r="L17" s="304">
        <v>4.6100000000000003</v>
      </c>
      <c r="M17" s="304">
        <v>0.81</v>
      </c>
      <c r="N17" s="26"/>
      <c r="O17"/>
      <c r="P17"/>
      <c r="Z17" s="25"/>
      <c r="AA17" s="25"/>
      <c r="AB17" s="25"/>
      <c r="AC17" s="25"/>
      <c r="AD17" s="25"/>
      <c r="AE17" s="25"/>
      <c r="AF17" s="25"/>
      <c r="AG17" s="25"/>
    </row>
    <row r="18" spans="1:152" customFormat="1" ht="13.15">
      <c r="B18" s="306"/>
      <c r="C18" s="306"/>
      <c r="D18" s="306"/>
      <c r="E18" s="306"/>
      <c r="F18" s="306"/>
      <c r="G18" s="306"/>
      <c r="H18" s="306"/>
      <c r="I18" s="306"/>
      <c r="J18" s="306"/>
      <c r="K18" s="306"/>
      <c r="L18" s="306"/>
      <c r="M18" s="306"/>
    </row>
    <row r="19" spans="1:152">
      <c r="A19" s="24" t="s">
        <v>787</v>
      </c>
      <c r="B19" s="255">
        <v>33</v>
      </c>
      <c r="C19" s="255">
        <v>-100</v>
      </c>
      <c r="D19" s="255">
        <v>-21</v>
      </c>
      <c r="E19" s="255">
        <v>13</v>
      </c>
      <c r="F19" s="255">
        <v>20</v>
      </c>
      <c r="G19" s="255">
        <v>-91</v>
      </c>
      <c r="H19" s="299">
        <v>53</v>
      </c>
      <c r="I19" s="255">
        <v>-21</v>
      </c>
      <c r="J19" s="255">
        <v>-117</v>
      </c>
      <c r="K19" s="255">
        <v>-138</v>
      </c>
      <c r="L19" s="255">
        <v>-45</v>
      </c>
      <c r="M19" s="255">
        <v>229</v>
      </c>
      <c r="N19" s="26"/>
      <c r="O19"/>
      <c r="P19"/>
      <c r="Z19" s="25"/>
      <c r="AA19" s="25"/>
      <c r="AB19" s="25"/>
      <c r="AC19" s="25"/>
      <c r="AD19" s="25"/>
      <c r="AE19" s="25"/>
      <c r="AF19" s="25"/>
      <c r="AG19" s="25"/>
    </row>
    <row r="20" spans="1:152">
      <c r="A20" s="9" t="s">
        <v>788</v>
      </c>
      <c r="B20" s="255">
        <v>4499</v>
      </c>
      <c r="C20" s="255">
        <v>13277</v>
      </c>
      <c r="D20" s="255">
        <v>16725</v>
      </c>
      <c r="E20" s="255">
        <v>227</v>
      </c>
      <c r="F20" s="255">
        <v>3437</v>
      </c>
      <c r="G20" s="255">
        <v>5399</v>
      </c>
      <c r="H20" s="299">
        <v>4526</v>
      </c>
      <c r="I20" s="255">
        <v>2488</v>
      </c>
      <c r="J20" s="255">
        <v>4898</v>
      </c>
      <c r="K20" s="255">
        <v>-102</v>
      </c>
      <c r="L20" s="255">
        <v>7266</v>
      </c>
      <c r="M20" s="255">
        <v>556</v>
      </c>
      <c r="N20" s="26"/>
      <c r="O20"/>
      <c r="P20"/>
      <c r="Z20" s="25"/>
      <c r="AA20" s="25"/>
      <c r="AB20" s="25"/>
      <c r="AC20" s="25"/>
      <c r="AD20" s="25"/>
      <c r="AE20" s="25"/>
      <c r="AF20" s="25"/>
      <c r="AG20" s="25"/>
    </row>
    <row r="21" spans="1:152" customFormat="1" ht="13.15">
      <c r="B21" s="306"/>
      <c r="C21" s="306"/>
      <c r="D21" s="306"/>
      <c r="E21" s="306"/>
      <c r="F21" s="306"/>
      <c r="G21" s="306"/>
      <c r="H21" s="306"/>
      <c r="I21" s="306"/>
      <c r="J21" s="306"/>
      <c r="K21" s="306"/>
      <c r="L21" s="306"/>
      <c r="M21" s="306"/>
    </row>
    <row r="22" spans="1:152">
      <c r="A22" s="20" t="s">
        <v>562</v>
      </c>
      <c r="B22" s="302">
        <f t="shared" ref="B22:J22" si="6">B23-C23</f>
        <v>56</v>
      </c>
      <c r="C22" s="302">
        <f t="shared" si="6"/>
        <v>1365</v>
      </c>
      <c r="D22" s="302">
        <f>D23-E23</f>
        <v>-189</v>
      </c>
      <c r="E22" s="302">
        <f t="shared" si="6"/>
        <v>847</v>
      </c>
      <c r="F22" s="302">
        <f t="shared" si="6"/>
        <v>-1446</v>
      </c>
      <c r="G22" s="302">
        <f t="shared" si="6"/>
        <v>-1622</v>
      </c>
      <c r="H22" s="302">
        <f t="shared" si="6"/>
        <v>877</v>
      </c>
      <c r="I22" s="302">
        <f>I23-J23</f>
        <v>-1139</v>
      </c>
      <c r="J22" s="302">
        <f t="shared" si="6"/>
        <v>-1096</v>
      </c>
      <c r="K22" s="302">
        <f>K23-L23</f>
        <v>-713</v>
      </c>
      <c r="L22" s="302">
        <f>L23-M23</f>
        <v>1717</v>
      </c>
      <c r="M22" s="302"/>
      <c r="N22" s="32" t="s">
        <v>789</v>
      </c>
      <c r="O22" t="s">
        <v>790</v>
      </c>
      <c r="P22"/>
      <c r="Q22" s="20" t="s">
        <v>782</v>
      </c>
      <c r="Z22" s="25"/>
      <c r="AA22" s="25"/>
      <c r="AB22" s="25"/>
      <c r="AC22" s="25"/>
      <c r="AD22" s="28"/>
      <c r="AE22" s="25"/>
      <c r="AF22" s="25"/>
      <c r="AG22" s="25"/>
    </row>
    <row r="23" spans="1:152">
      <c r="A23" s="24" t="s">
        <v>791</v>
      </c>
      <c r="B23" s="255">
        <f t="shared" ref="B23" si="7">B27-B42-B28</f>
        <v>-1469</v>
      </c>
      <c r="C23" s="255">
        <f t="shared" ref="C23:M23" si="8">C27-C42-C28</f>
        <v>-1525</v>
      </c>
      <c r="D23" s="255">
        <f t="shared" si="8"/>
        <v>-2890</v>
      </c>
      <c r="E23" s="255">
        <f t="shared" si="8"/>
        <v>-2701</v>
      </c>
      <c r="F23" s="255">
        <f t="shared" si="8"/>
        <v>-3548</v>
      </c>
      <c r="G23" s="255">
        <f t="shared" si="8"/>
        <v>-2102</v>
      </c>
      <c r="H23" s="255">
        <f t="shared" si="8"/>
        <v>-480</v>
      </c>
      <c r="I23" s="255">
        <f t="shared" si="8"/>
        <v>-1357</v>
      </c>
      <c r="J23" s="255">
        <f t="shared" si="8"/>
        <v>-218</v>
      </c>
      <c r="K23" s="255">
        <f t="shared" si="8"/>
        <v>878</v>
      </c>
      <c r="L23" s="255">
        <f t="shared" si="8"/>
        <v>1591</v>
      </c>
      <c r="M23" s="255">
        <f t="shared" si="8"/>
        <v>-126</v>
      </c>
      <c r="N23" s="32"/>
      <c r="O23"/>
      <c r="P23"/>
      <c r="Z23" s="25"/>
      <c r="AA23" s="25"/>
      <c r="AB23" s="25"/>
      <c r="AC23" s="25"/>
      <c r="AD23" s="28"/>
      <c r="AE23" s="25"/>
      <c r="AF23" s="25"/>
      <c r="AG23" s="25"/>
    </row>
    <row r="24" spans="1:152">
      <c r="A24" s="7">
        <v>2625</v>
      </c>
      <c r="B24" s="307">
        <v>2625</v>
      </c>
      <c r="C24" s="307">
        <v>2625</v>
      </c>
      <c r="D24" s="307">
        <v>2625</v>
      </c>
      <c r="E24" s="307">
        <v>2625</v>
      </c>
      <c r="F24" s="307">
        <v>2625</v>
      </c>
      <c r="G24" s="307">
        <v>2625</v>
      </c>
      <c r="H24" s="307">
        <v>2625</v>
      </c>
      <c r="I24" s="307">
        <v>2625</v>
      </c>
      <c r="J24" s="307">
        <v>2625</v>
      </c>
      <c r="K24" s="307">
        <v>2625</v>
      </c>
      <c r="L24" s="307">
        <v>2625</v>
      </c>
      <c r="M24" s="307">
        <v>2625</v>
      </c>
      <c r="N24" s="7">
        <v>2625</v>
      </c>
      <c r="O24"/>
      <c r="P24"/>
      <c r="Q24" s="20" t="s">
        <v>782</v>
      </c>
      <c r="R24" s="20" t="s">
        <v>792</v>
      </c>
      <c r="T24" s="20" t="s">
        <v>793</v>
      </c>
      <c r="Z24" s="25">
        <v>1799</v>
      </c>
      <c r="AA24" s="25">
        <v>1757</v>
      </c>
      <c r="AB24" s="25">
        <v>1620</v>
      </c>
      <c r="AC24" s="25">
        <v>1111</v>
      </c>
      <c r="AD24" s="25">
        <v>1617</v>
      </c>
      <c r="AE24" s="25">
        <v>1159</v>
      </c>
      <c r="AF24" s="25">
        <v>1084</v>
      </c>
      <c r="AG24" s="25">
        <v>1029</v>
      </c>
    </row>
    <row r="25" spans="1:152">
      <c r="A25" s="46" t="s">
        <v>446</v>
      </c>
      <c r="B25" s="307">
        <v>2625</v>
      </c>
      <c r="C25" s="307">
        <v>2625</v>
      </c>
      <c r="D25" s="307">
        <v>2625</v>
      </c>
      <c r="E25" s="307">
        <v>2625</v>
      </c>
      <c r="F25" s="307">
        <v>2625</v>
      </c>
      <c r="G25" s="307">
        <v>2625</v>
      </c>
      <c r="H25" s="307">
        <v>2625</v>
      </c>
      <c r="I25" s="307">
        <v>2625</v>
      </c>
      <c r="J25" s="307">
        <v>2625</v>
      </c>
      <c r="K25" s="307">
        <v>2625</v>
      </c>
      <c r="L25" s="307">
        <v>2625</v>
      </c>
      <c r="M25" s="307">
        <v>2625</v>
      </c>
      <c r="N25" s="7">
        <v>2625</v>
      </c>
      <c r="O25"/>
      <c r="P25"/>
      <c r="Q25" s="20" t="s">
        <v>782</v>
      </c>
      <c r="R25" s="20" t="s">
        <v>794</v>
      </c>
      <c r="S25" s="20" t="s">
        <v>795</v>
      </c>
      <c r="T25" s="20" t="s">
        <v>796</v>
      </c>
      <c r="Z25" s="25">
        <v>23</v>
      </c>
      <c r="AA25" s="25">
        <f>-33+2025</f>
        <v>1992</v>
      </c>
      <c r="AB25" s="25">
        <v>3817</v>
      </c>
      <c r="AC25" s="25">
        <v>1776</v>
      </c>
      <c r="AD25" s="25">
        <v>-244</v>
      </c>
      <c r="AE25" s="25">
        <v>-312</v>
      </c>
      <c r="AF25" s="25">
        <v>-449</v>
      </c>
      <c r="AG25" s="25">
        <v>-110</v>
      </c>
    </row>
    <row r="26" spans="1:152">
      <c r="A26" s="101" t="s">
        <v>797</v>
      </c>
      <c r="B26" s="357"/>
      <c r="C26" s="357"/>
      <c r="D26" s="357"/>
      <c r="E26" s="357"/>
      <c r="F26" s="357"/>
      <c r="G26" s="357"/>
      <c r="H26" s="357"/>
      <c r="I26" s="357"/>
      <c r="J26" s="357"/>
      <c r="K26" s="357"/>
      <c r="L26" s="357"/>
      <c r="M26" s="357"/>
      <c r="N26" s="883"/>
      <c r="O26" s="7">
        <v>2625</v>
      </c>
      <c r="P26"/>
      <c r="Z26" s="25"/>
      <c r="AA26" s="25"/>
      <c r="AB26" s="25"/>
      <c r="AC26" s="25"/>
      <c r="AD26" s="25"/>
      <c r="AE26" s="25"/>
      <c r="AF26" s="25"/>
      <c r="AG26" s="25"/>
    </row>
    <row r="27" spans="1:152">
      <c r="A27" s="9" t="s">
        <v>798</v>
      </c>
      <c r="B27" s="254">
        <v>19413</v>
      </c>
      <c r="C27" s="254">
        <v>22217</v>
      </c>
      <c r="D27" s="254">
        <v>24934</v>
      </c>
      <c r="E27" s="254">
        <v>20216</v>
      </c>
      <c r="F27" s="254">
        <v>17103</v>
      </c>
      <c r="G27" s="254">
        <v>16210</v>
      </c>
      <c r="H27" s="254">
        <v>15548</v>
      </c>
      <c r="I27" s="254">
        <v>13849</v>
      </c>
      <c r="J27" s="254">
        <v>13208</v>
      </c>
      <c r="K27" s="254">
        <v>11808</v>
      </c>
      <c r="L27" s="254">
        <v>13387</v>
      </c>
      <c r="M27" s="254">
        <v>15591</v>
      </c>
      <c r="N27" s="7"/>
      <c r="O27" s="7"/>
      <c r="P27"/>
      <c r="Z27" s="25"/>
      <c r="AA27" s="25"/>
      <c r="AB27" s="25"/>
      <c r="AC27" s="25"/>
      <c r="AD27" s="25"/>
      <c r="AE27" s="25"/>
      <c r="AF27" s="25"/>
      <c r="AG27" s="25"/>
    </row>
    <row r="28" spans="1:152">
      <c r="A28" s="98" t="s">
        <v>274</v>
      </c>
      <c r="B28" s="255">
        <v>3206</v>
      </c>
      <c r="C28" s="255">
        <v>5602</v>
      </c>
      <c r="D28" s="255">
        <v>10255</v>
      </c>
      <c r="E28" s="255">
        <v>5901</v>
      </c>
      <c r="F28" s="255">
        <v>5238</v>
      </c>
      <c r="G28" s="255">
        <v>4225</v>
      </c>
      <c r="H28" s="255">
        <v>3320</v>
      </c>
      <c r="I28" s="255">
        <v>3476</v>
      </c>
      <c r="J28" s="255">
        <v>2730</v>
      </c>
      <c r="K28" s="255">
        <v>2291</v>
      </c>
      <c r="L28" s="255">
        <v>4665</v>
      </c>
      <c r="M28" s="255">
        <v>7327</v>
      </c>
      <c r="N28" s="35" t="s">
        <v>799</v>
      </c>
      <c r="O28" t="s">
        <v>274</v>
      </c>
      <c r="P28"/>
      <c r="Z28" s="34"/>
      <c r="AA28" s="34"/>
      <c r="AB28" s="34"/>
      <c r="AC28" s="34"/>
      <c r="AD28" s="34"/>
      <c r="AE28" s="33"/>
      <c r="AF28" s="33"/>
      <c r="AG28" s="33"/>
    </row>
    <row r="29" spans="1:152">
      <c r="A29" s="99" t="s">
        <v>571</v>
      </c>
      <c r="B29" s="255">
        <v>11342</v>
      </c>
      <c r="C29" s="255">
        <v>12729</v>
      </c>
      <c r="D29" s="255">
        <v>10255</v>
      </c>
      <c r="E29" s="255">
        <v>5910</v>
      </c>
      <c r="F29" s="255">
        <v>5238</v>
      </c>
      <c r="G29" s="255">
        <v>8958</v>
      </c>
      <c r="H29" s="255">
        <v>8773</v>
      </c>
      <c r="I29" s="255">
        <v>7695</v>
      </c>
      <c r="J29" s="255">
        <v>7134</v>
      </c>
      <c r="K29" s="255">
        <v>6661</v>
      </c>
      <c r="L29" s="255">
        <v>6502</v>
      </c>
      <c r="M29" s="255">
        <v>6111</v>
      </c>
      <c r="N29" s="35" t="s">
        <v>799</v>
      </c>
      <c r="O29" t="s">
        <v>571</v>
      </c>
      <c r="P29"/>
      <c r="Z29" s="34"/>
      <c r="AA29" s="34"/>
      <c r="AB29" s="34"/>
      <c r="AC29" s="34"/>
      <c r="AD29" s="34"/>
      <c r="AE29" s="33"/>
      <c r="AF29" s="33"/>
      <c r="AG29" s="33"/>
    </row>
    <row r="30" spans="1:152">
      <c r="A30" s="98" t="s">
        <v>276</v>
      </c>
      <c r="B30" s="255">
        <v>935</v>
      </c>
      <c r="C30" s="255">
        <v>889</v>
      </c>
      <c r="D30" s="255">
        <v>717</v>
      </c>
      <c r="E30" s="255">
        <v>620</v>
      </c>
      <c r="F30" s="255">
        <v>511</v>
      </c>
      <c r="G30" s="255">
        <v>421</v>
      </c>
      <c r="H30" s="255">
        <v>404</v>
      </c>
      <c r="I30" s="255">
        <v>342</v>
      </c>
      <c r="J30" s="255">
        <v>308</v>
      </c>
      <c r="K30" s="255">
        <v>344</v>
      </c>
      <c r="L30" s="255">
        <v>403</v>
      </c>
      <c r="M30" s="255">
        <v>393</v>
      </c>
      <c r="N30" s="35" t="s">
        <v>799</v>
      </c>
      <c r="O30" t="s">
        <v>276</v>
      </c>
      <c r="P30"/>
      <c r="Q30" s="20" t="s">
        <v>800</v>
      </c>
      <c r="R30" s="20" t="s">
        <v>801</v>
      </c>
      <c r="Z30" s="25">
        <v>7168</v>
      </c>
      <c r="AA30" s="25">
        <v>6460</v>
      </c>
      <c r="AB30" s="25">
        <v>7341</v>
      </c>
      <c r="AC30" s="25">
        <v>6081</v>
      </c>
      <c r="AD30" s="25">
        <v>5490</v>
      </c>
      <c r="AE30" s="25">
        <v>3057</v>
      </c>
      <c r="AF30" s="25">
        <v>3592</v>
      </c>
      <c r="AG30" s="25">
        <v>4867</v>
      </c>
    </row>
    <row r="31" spans="1:152" s="21" customFormat="1">
      <c r="A31" s="98" t="s">
        <v>802</v>
      </c>
      <c r="B31" s="255">
        <f t="shared" ref="B31" si="9">B27-SUM(B28:B30)</f>
        <v>3930</v>
      </c>
      <c r="C31" s="255">
        <f t="shared" ref="C31:M31" si="10">C27-SUM(C28:C30)</f>
        <v>2997</v>
      </c>
      <c r="D31" s="255">
        <f t="shared" si="10"/>
        <v>3707</v>
      </c>
      <c r="E31" s="255">
        <f t="shared" si="10"/>
        <v>7785</v>
      </c>
      <c r="F31" s="255">
        <f t="shared" si="10"/>
        <v>6116</v>
      </c>
      <c r="G31" s="255">
        <f t="shared" si="10"/>
        <v>2606</v>
      </c>
      <c r="H31" s="255">
        <f t="shared" si="10"/>
        <v>3051</v>
      </c>
      <c r="I31" s="255">
        <f t="shared" si="10"/>
        <v>2336</v>
      </c>
      <c r="J31" s="255">
        <f t="shared" si="10"/>
        <v>3036</v>
      </c>
      <c r="K31" s="255">
        <f t="shared" si="10"/>
        <v>2512</v>
      </c>
      <c r="L31" s="255">
        <f t="shared" si="10"/>
        <v>1817</v>
      </c>
      <c r="M31" s="255">
        <f t="shared" si="10"/>
        <v>1760</v>
      </c>
      <c r="N31" s="35" t="s">
        <v>799</v>
      </c>
      <c r="O31" t="s">
        <v>276</v>
      </c>
      <c r="P31"/>
      <c r="Q31" s="20" t="s">
        <v>800</v>
      </c>
      <c r="R31" s="20" t="s">
        <v>803</v>
      </c>
      <c r="S31" s="20" t="s">
        <v>804</v>
      </c>
      <c r="T31" s="20" t="s">
        <v>805</v>
      </c>
      <c r="U31" s="20"/>
      <c r="V31" s="20"/>
      <c r="W31" s="20"/>
      <c r="X31" s="20"/>
      <c r="Y31" s="20"/>
      <c r="Z31" s="29">
        <f>5981+8522+1029+13556</f>
        <v>29088</v>
      </c>
      <c r="AA31" s="29">
        <f>6695+8991+1170+13651</f>
        <v>30507</v>
      </c>
      <c r="AB31" s="29">
        <f>7737+9027+1364+14644</f>
        <v>32772</v>
      </c>
      <c r="AC31" s="29">
        <v>33499</v>
      </c>
      <c r="AD31" s="29">
        <v>33911</v>
      </c>
      <c r="AE31" s="29">
        <v>31031</v>
      </c>
      <c r="AF31" s="29">
        <v>28849</v>
      </c>
      <c r="AG31" s="29">
        <v>27162</v>
      </c>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c r="DB31" s="20"/>
      <c r="DC31" s="20"/>
      <c r="DD31" s="20"/>
      <c r="DE31" s="20"/>
      <c r="DF31" s="20"/>
      <c r="DG31" s="20"/>
      <c r="DH31" s="20"/>
      <c r="DI31" s="20"/>
      <c r="DJ31" s="20"/>
      <c r="DK31" s="20"/>
      <c r="DL31" s="20"/>
      <c r="DM31" s="20"/>
      <c r="DN31" s="20"/>
      <c r="DO31" s="20"/>
      <c r="DP31" s="20"/>
      <c r="DQ31" s="20"/>
      <c r="DR31" s="20"/>
      <c r="DS31" s="20"/>
      <c r="DT31" s="20"/>
      <c r="DU31" s="20"/>
      <c r="DV31" s="20"/>
      <c r="DW31" s="20"/>
      <c r="DX31" s="20"/>
      <c r="DY31" s="20"/>
      <c r="DZ31" s="20"/>
      <c r="EA31" s="20"/>
      <c r="EB31" s="20"/>
      <c r="EC31" s="20"/>
      <c r="ED31" s="20"/>
      <c r="EE31" s="20"/>
      <c r="EF31" s="20"/>
      <c r="EG31" s="20"/>
      <c r="EH31" s="20"/>
      <c r="EI31" s="20"/>
      <c r="EJ31" s="20"/>
      <c r="EK31" s="20"/>
      <c r="EL31" s="20"/>
      <c r="EM31" s="20"/>
      <c r="EN31" s="20"/>
      <c r="EO31" s="20"/>
      <c r="EP31" s="20"/>
      <c r="EQ31" s="20"/>
      <c r="ER31" s="20"/>
      <c r="ES31" s="20"/>
      <c r="ET31" s="20"/>
      <c r="EU31" s="20"/>
      <c r="EV31" s="20"/>
    </row>
    <row r="32" spans="1:152" s="21" customFormat="1">
      <c r="A32" s="9" t="s">
        <v>806</v>
      </c>
      <c r="B32" s="254">
        <f t="shared" ref="B32:M32" si="11">B38-B27</f>
        <v>51444</v>
      </c>
      <c r="C32" s="254">
        <f t="shared" si="11"/>
        <v>48907</v>
      </c>
      <c r="D32" s="254">
        <f t="shared" si="11"/>
        <v>44471</v>
      </c>
      <c r="E32" s="254">
        <f t="shared" si="11"/>
        <v>42192</v>
      </c>
      <c r="F32" s="254">
        <f t="shared" si="11"/>
        <v>40754</v>
      </c>
      <c r="G32" s="254">
        <f t="shared" si="11"/>
        <v>33806</v>
      </c>
      <c r="H32" s="254">
        <f t="shared" si="11"/>
        <v>29855</v>
      </c>
      <c r="I32" s="254">
        <f t="shared" si="11"/>
        <v>26528</v>
      </c>
      <c r="J32" s="254">
        <f t="shared" si="11"/>
        <v>25103</v>
      </c>
      <c r="K32" s="254">
        <f t="shared" si="11"/>
        <v>23663</v>
      </c>
      <c r="L32" s="254">
        <f t="shared" si="11"/>
        <v>22825</v>
      </c>
      <c r="M32" s="254">
        <f t="shared" si="11"/>
        <v>23272</v>
      </c>
      <c r="N32" s="35"/>
      <c r="O32"/>
      <c r="P32"/>
      <c r="Q32" s="20"/>
      <c r="R32" s="20"/>
      <c r="S32" s="20"/>
      <c r="T32" s="20"/>
      <c r="U32" s="20"/>
      <c r="V32" s="20"/>
      <c r="W32" s="20"/>
      <c r="X32" s="20"/>
      <c r="Y32" s="20"/>
      <c r="Z32" s="29"/>
      <c r="AA32" s="29"/>
      <c r="AB32" s="29"/>
      <c r="AC32" s="29"/>
      <c r="AD32" s="29"/>
      <c r="AE32" s="29"/>
      <c r="AF32" s="29"/>
      <c r="AG32" s="29"/>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c r="DB32" s="20"/>
      <c r="DC32" s="20"/>
      <c r="DD32" s="20"/>
      <c r="DE32" s="20"/>
      <c r="DF32" s="20"/>
      <c r="DG32" s="20"/>
      <c r="DH32" s="20"/>
      <c r="DI32" s="20"/>
      <c r="DJ32" s="20"/>
      <c r="DK32" s="20"/>
      <c r="DL32" s="20"/>
      <c r="DM32" s="20"/>
      <c r="DN32" s="20"/>
      <c r="DO32" s="20"/>
      <c r="DP32" s="20"/>
      <c r="DQ32" s="20"/>
      <c r="DR32" s="20"/>
      <c r="DS32" s="20"/>
      <c r="DT32" s="20"/>
      <c r="DU32" s="20"/>
      <c r="DV32" s="20"/>
      <c r="DW32" s="20"/>
      <c r="DX32" s="20"/>
      <c r="DY32" s="20"/>
      <c r="DZ32" s="20"/>
      <c r="EA32" s="20"/>
      <c r="EB32" s="20"/>
      <c r="EC32" s="20"/>
      <c r="ED32" s="20"/>
      <c r="EE32" s="20"/>
      <c r="EF32" s="20"/>
      <c r="EG32" s="20"/>
      <c r="EH32" s="20"/>
      <c r="EI32" s="20"/>
      <c r="EJ32" s="20"/>
      <c r="EK32" s="20"/>
      <c r="EL32" s="20"/>
      <c r="EM32" s="20"/>
      <c r="EN32" s="20"/>
      <c r="EO32" s="20"/>
      <c r="EP32" s="20"/>
      <c r="EQ32" s="20"/>
      <c r="ER32" s="20"/>
      <c r="ES32" s="20"/>
      <c r="ET32" s="20"/>
      <c r="EU32" s="20"/>
      <c r="EV32" s="20"/>
    </row>
    <row r="33" spans="1:33">
      <c r="A33" s="100" t="s">
        <v>572</v>
      </c>
      <c r="B33" s="255">
        <v>36945</v>
      </c>
      <c r="C33" s="255">
        <v>34719</v>
      </c>
      <c r="D33" s="255">
        <v>33475</v>
      </c>
      <c r="E33" s="255">
        <v>32254</v>
      </c>
      <c r="F33" s="255">
        <v>30482</v>
      </c>
      <c r="G33" s="255">
        <v>26576</v>
      </c>
      <c r="H33" s="255">
        <v>22118</v>
      </c>
      <c r="I33" s="255">
        <v>18800</v>
      </c>
      <c r="J33" s="255">
        <v>18352</v>
      </c>
      <c r="K33" s="255">
        <v>18281</v>
      </c>
      <c r="L33" s="255">
        <v>17961</v>
      </c>
      <c r="M33" s="255">
        <v>17894</v>
      </c>
      <c r="N33" s="35"/>
      <c r="O33"/>
      <c r="P33"/>
      <c r="Q33" s="20" t="s">
        <v>800</v>
      </c>
      <c r="R33" s="20" t="s">
        <v>807</v>
      </c>
      <c r="Z33" s="25">
        <v>8614</v>
      </c>
      <c r="AA33" s="25">
        <v>9700</v>
      </c>
      <c r="AB33" s="25">
        <v>12205</v>
      </c>
      <c r="AC33" s="25">
        <v>12625</v>
      </c>
      <c r="AD33" s="25">
        <v>15547</v>
      </c>
      <c r="AE33" s="25">
        <v>14544</v>
      </c>
      <c r="AF33" s="25">
        <v>9587</v>
      </c>
      <c r="AG33" s="25">
        <v>6360</v>
      </c>
    </row>
    <row r="34" spans="1:33">
      <c r="A34" s="100" t="s">
        <v>808</v>
      </c>
      <c r="B34" s="255">
        <v>4308</v>
      </c>
      <c r="C34" s="255">
        <v>3755</v>
      </c>
      <c r="D34" s="255">
        <v>3562</v>
      </c>
      <c r="E34" s="255">
        <v>3073</v>
      </c>
      <c r="F34" s="255">
        <v>2856</v>
      </c>
      <c r="G34" s="255">
        <v>1654</v>
      </c>
      <c r="H34" s="255">
        <v>1656</v>
      </c>
      <c r="I34" s="255">
        <v>1653</v>
      </c>
      <c r="J34" s="255">
        <v>1721</v>
      </c>
      <c r="K34" s="255">
        <v>1791</v>
      </c>
      <c r="L34" s="255">
        <v>1794</v>
      </c>
      <c r="M34" s="255">
        <v>1804</v>
      </c>
      <c r="N34" s="35"/>
      <c r="O34"/>
      <c r="P34"/>
      <c r="Z34" s="25"/>
      <c r="AA34" s="25"/>
      <c r="AB34" s="25"/>
      <c r="AC34" s="25"/>
      <c r="AD34" s="25"/>
      <c r="AE34" s="25"/>
      <c r="AF34" s="25"/>
      <c r="AG34" s="25"/>
    </row>
    <row r="35" spans="1:33">
      <c r="A35" s="100" t="s">
        <v>809</v>
      </c>
      <c r="B35" s="255">
        <v>0</v>
      </c>
      <c r="C35" s="255">
        <v>0</v>
      </c>
      <c r="D35" s="255">
        <v>0</v>
      </c>
      <c r="E35" s="255">
        <v>0</v>
      </c>
      <c r="F35" s="255">
        <v>0</v>
      </c>
      <c r="G35" s="255">
        <v>0</v>
      </c>
      <c r="H35" s="255">
        <v>0</v>
      </c>
      <c r="I35" s="255">
        <v>0</v>
      </c>
      <c r="J35" s="255">
        <v>0</v>
      </c>
      <c r="K35" s="255">
        <v>0</v>
      </c>
      <c r="L35" s="255">
        <v>0</v>
      </c>
      <c r="M35" s="255">
        <v>0</v>
      </c>
      <c r="N35" s="35"/>
      <c r="O35"/>
      <c r="P35"/>
      <c r="Z35" s="25"/>
      <c r="AA35" s="25"/>
      <c r="AB35" s="25"/>
      <c r="AC35" s="25"/>
      <c r="AD35" s="25"/>
      <c r="AE35" s="25"/>
      <c r="AF35" s="25"/>
      <c r="AG35" s="25"/>
    </row>
    <row r="36" spans="1:33">
      <c r="A36" s="100" t="s">
        <v>810</v>
      </c>
      <c r="B36" s="255">
        <f t="shared" ref="B36" si="12">B32-SUM(B33:B35)</f>
        <v>10191</v>
      </c>
      <c r="C36" s="255">
        <f t="shared" ref="C36" si="13">C32-SUM(C33:C35)</f>
        <v>10433</v>
      </c>
      <c r="D36" s="255">
        <f t="shared" ref="D36" si="14">D32-SUM(D33:D35)</f>
        <v>7434</v>
      </c>
      <c r="E36" s="255">
        <f>E32-SUM(E33:E35)</f>
        <v>6865</v>
      </c>
      <c r="F36" s="255">
        <f t="shared" ref="F36" si="15">F32-SUM(F33:F35)</f>
        <v>7416</v>
      </c>
      <c r="G36" s="255">
        <f t="shared" ref="G36" si="16">G32-SUM(G33:G35)</f>
        <v>5576</v>
      </c>
      <c r="H36" s="255">
        <f t="shared" ref="H36" si="17">H32-SUM(H33:H35)</f>
        <v>6081</v>
      </c>
      <c r="I36" s="255">
        <f t="shared" ref="I36" si="18">I32-SUM(I33:I35)</f>
        <v>6075</v>
      </c>
      <c r="J36" s="255">
        <f t="shared" ref="J36" si="19">J32-SUM(J33:J35)</f>
        <v>5030</v>
      </c>
      <c r="K36" s="255">
        <f t="shared" ref="K36" si="20">K32-SUM(K33:K35)</f>
        <v>3591</v>
      </c>
      <c r="L36" s="255">
        <f t="shared" ref="L36" si="21">L32-SUM(L33:L35)</f>
        <v>3070</v>
      </c>
      <c r="M36" s="255">
        <f t="shared" ref="M36" si="22">M32-SUM(M33:M35)</f>
        <v>3574</v>
      </c>
      <c r="N36" s="35" t="s">
        <v>799</v>
      </c>
      <c r="O36" t="s">
        <v>572</v>
      </c>
      <c r="P36"/>
      <c r="Z36" s="25"/>
      <c r="AA36" s="25"/>
      <c r="AB36" s="25"/>
      <c r="AC36" s="25"/>
      <c r="AD36" s="25"/>
      <c r="AE36" s="25"/>
      <c r="AF36" s="25"/>
      <c r="AG36" s="25"/>
    </row>
    <row r="37" spans="1:33">
      <c r="A37" s="20" t="s">
        <v>573</v>
      </c>
      <c r="B37" s="302">
        <f>B31+B36</f>
        <v>14121</v>
      </c>
      <c r="C37" s="302">
        <f>C31+C36</f>
        <v>13430</v>
      </c>
      <c r="D37" s="302">
        <f t="shared" ref="D37:M37" si="23">D31+D36</f>
        <v>11141</v>
      </c>
      <c r="E37" s="302">
        <f t="shared" si="23"/>
        <v>14650</v>
      </c>
      <c r="F37" s="302">
        <f t="shared" si="23"/>
        <v>13532</v>
      </c>
      <c r="G37" s="302">
        <f t="shared" si="23"/>
        <v>8182</v>
      </c>
      <c r="H37" s="302">
        <f t="shared" si="23"/>
        <v>9132</v>
      </c>
      <c r="I37" s="302">
        <f t="shared" si="23"/>
        <v>8411</v>
      </c>
      <c r="J37" s="302">
        <f t="shared" si="23"/>
        <v>8066</v>
      </c>
      <c r="K37" s="302">
        <f t="shared" si="23"/>
        <v>6103</v>
      </c>
      <c r="L37" s="302">
        <f t="shared" si="23"/>
        <v>4887</v>
      </c>
      <c r="M37" s="302">
        <f t="shared" si="23"/>
        <v>5334</v>
      </c>
      <c r="N37" s="35" t="s">
        <v>799</v>
      </c>
      <c r="O37"/>
      <c r="P37"/>
      <c r="Z37" s="25"/>
      <c r="AA37" s="25"/>
      <c r="AB37" s="25"/>
      <c r="AC37" s="25"/>
      <c r="AD37" s="25"/>
      <c r="AE37" s="25"/>
      <c r="AF37" s="25"/>
      <c r="AG37" s="25"/>
    </row>
    <row r="38" spans="1:33">
      <c r="A38" s="9" t="s">
        <v>42</v>
      </c>
      <c r="B38" s="254">
        <v>70857</v>
      </c>
      <c r="C38" s="254">
        <v>71124</v>
      </c>
      <c r="D38" s="254">
        <v>69405</v>
      </c>
      <c r="E38" s="254">
        <v>62408</v>
      </c>
      <c r="F38" s="254">
        <v>57857</v>
      </c>
      <c r="G38" s="254">
        <v>50016</v>
      </c>
      <c r="H38" s="254">
        <v>45403</v>
      </c>
      <c r="I38" s="254">
        <v>40377</v>
      </c>
      <c r="J38" s="254">
        <v>38311</v>
      </c>
      <c r="K38" s="254">
        <v>35471</v>
      </c>
      <c r="L38" s="254">
        <v>36212</v>
      </c>
      <c r="M38" s="254">
        <v>38863</v>
      </c>
      <c r="N38" s="35" t="s">
        <v>799</v>
      </c>
      <c r="O38" t="s">
        <v>42</v>
      </c>
      <c r="P38"/>
      <c r="Q38" s="20" t="s">
        <v>800</v>
      </c>
      <c r="R38" s="20" t="s">
        <v>811</v>
      </c>
      <c r="Z38" s="25">
        <v>15322</v>
      </c>
      <c r="AA38" s="25">
        <v>16090</v>
      </c>
      <c r="AB38" s="25">
        <f>16577</f>
        <v>16577</v>
      </c>
      <c r="AC38" s="25">
        <v>17075</v>
      </c>
      <c r="AD38" s="25">
        <v>16461</v>
      </c>
      <c r="AE38" s="25">
        <v>14395</v>
      </c>
      <c r="AF38" s="25">
        <v>12539</v>
      </c>
      <c r="AG38" s="25">
        <v>12386</v>
      </c>
    </row>
    <row r="39" spans="1:33">
      <c r="B39" s="302"/>
      <c r="C39" s="302"/>
      <c r="D39" s="302"/>
      <c r="E39" s="302"/>
      <c r="F39" s="302"/>
      <c r="G39" s="302"/>
      <c r="H39" s="302"/>
      <c r="I39" s="302"/>
      <c r="J39" s="302"/>
      <c r="K39" s="302"/>
      <c r="L39" s="302"/>
      <c r="M39" s="302"/>
      <c r="N39" s="35" t="s">
        <v>799</v>
      </c>
      <c r="O39"/>
      <c r="P39"/>
      <c r="Z39" s="22">
        <f t="shared" ref="Z39:AG39" si="24">Z40-SUM(Z30:Z38)</f>
        <v>14512</v>
      </c>
      <c r="AA39" s="22">
        <f t="shared" si="24"/>
        <v>15585</v>
      </c>
      <c r="AB39" s="22">
        <f t="shared" si="24"/>
        <v>15786</v>
      </c>
      <c r="AC39" s="22">
        <f t="shared" si="24"/>
        <v>15616</v>
      </c>
      <c r="AD39" s="22">
        <f t="shared" si="24"/>
        <v>17947</v>
      </c>
      <c r="AE39" s="22">
        <f t="shared" si="24"/>
        <v>18419</v>
      </c>
      <c r="AF39" s="22">
        <f t="shared" si="24"/>
        <v>9453</v>
      </c>
      <c r="AG39" s="22">
        <f t="shared" si="24"/>
        <v>9263</v>
      </c>
    </row>
    <row r="40" spans="1:33">
      <c r="B40" s="302"/>
      <c r="C40" s="302"/>
      <c r="D40" s="302"/>
      <c r="E40" s="302"/>
      <c r="F40" s="302"/>
      <c r="G40" s="302"/>
      <c r="H40" s="302"/>
      <c r="I40" s="302"/>
      <c r="J40" s="302"/>
      <c r="K40" s="302"/>
      <c r="L40" s="302"/>
      <c r="M40" s="302"/>
      <c r="N40" s="35" t="s">
        <v>799</v>
      </c>
      <c r="O40"/>
      <c r="P40"/>
      <c r="Q40" s="20" t="s">
        <v>800</v>
      </c>
      <c r="R40" s="20" t="s">
        <v>812</v>
      </c>
      <c r="Z40" s="36">
        <v>74704</v>
      </c>
      <c r="AA40" s="36">
        <v>78342</v>
      </c>
      <c r="AB40" s="36">
        <v>84681</v>
      </c>
      <c r="AC40" s="36">
        <v>84896</v>
      </c>
      <c r="AD40" s="36">
        <v>89356</v>
      </c>
      <c r="AE40" s="36">
        <v>81446</v>
      </c>
      <c r="AF40" s="36">
        <v>64020</v>
      </c>
      <c r="AG40" s="36">
        <v>60038</v>
      </c>
    </row>
    <row r="41" spans="1:33">
      <c r="A41" s="101" t="s">
        <v>813</v>
      </c>
      <c r="B41" s="254"/>
      <c r="C41" s="254"/>
      <c r="D41" s="254"/>
      <c r="E41" s="254"/>
      <c r="F41" s="254"/>
      <c r="G41" s="254"/>
      <c r="H41" s="254"/>
      <c r="I41" s="254"/>
      <c r="J41" s="254"/>
      <c r="K41" s="254"/>
      <c r="L41" s="254"/>
      <c r="M41" s="254"/>
      <c r="N41" s="35" t="s">
        <v>799</v>
      </c>
      <c r="O41"/>
      <c r="P41"/>
      <c r="Z41" s="27"/>
      <c r="AA41" s="27"/>
      <c r="AB41" s="27"/>
      <c r="AC41" s="27"/>
      <c r="AD41" s="27"/>
      <c r="AE41" s="27"/>
      <c r="AF41" s="27"/>
      <c r="AG41" s="27"/>
    </row>
    <row r="42" spans="1:33">
      <c r="A42" s="9" t="s">
        <v>280</v>
      </c>
      <c r="B42" s="254">
        <v>17676</v>
      </c>
      <c r="C42" s="254">
        <v>18140</v>
      </c>
      <c r="D42" s="254">
        <v>17569</v>
      </c>
      <c r="E42" s="254">
        <v>17016</v>
      </c>
      <c r="F42" s="254">
        <v>15413</v>
      </c>
      <c r="G42" s="254">
        <v>14087</v>
      </c>
      <c r="H42" s="254">
        <v>12708</v>
      </c>
      <c r="I42" s="254">
        <v>11730</v>
      </c>
      <c r="J42" s="254">
        <v>10696</v>
      </c>
      <c r="K42" s="254">
        <v>8639</v>
      </c>
      <c r="L42" s="254">
        <v>7131</v>
      </c>
      <c r="M42" s="254">
        <v>8390</v>
      </c>
      <c r="N42" s="35" t="s">
        <v>799</v>
      </c>
      <c r="O42" t="s">
        <v>280</v>
      </c>
      <c r="P42"/>
      <c r="Z42" s="27"/>
      <c r="AA42" s="27"/>
      <c r="AB42" s="27"/>
      <c r="AC42" s="27"/>
      <c r="AD42" s="27"/>
      <c r="AE42" s="27"/>
      <c r="AF42" s="27"/>
      <c r="AG42" s="27"/>
    </row>
    <row r="43" spans="1:33">
      <c r="A43" s="98" t="s">
        <v>814</v>
      </c>
      <c r="B43" s="255">
        <v>6340</v>
      </c>
      <c r="C43" s="255">
        <v>7515</v>
      </c>
      <c r="D43" s="255">
        <v>7523</v>
      </c>
      <c r="E43" s="255">
        <v>6455</v>
      </c>
      <c r="F43" s="255">
        <v>5555</v>
      </c>
      <c r="G43" s="255">
        <v>5188</v>
      </c>
      <c r="H43" s="255">
        <v>3872</v>
      </c>
      <c r="I43" s="255">
        <v>3042</v>
      </c>
      <c r="J43" s="255">
        <v>2587</v>
      </c>
      <c r="K43" s="255">
        <v>2754</v>
      </c>
      <c r="L43" s="255">
        <v>2478</v>
      </c>
      <c r="M43" s="255">
        <v>2278</v>
      </c>
      <c r="N43" s="35"/>
      <c r="O43"/>
      <c r="P43"/>
      <c r="Z43" s="34"/>
      <c r="AA43" s="34"/>
      <c r="AB43" s="34"/>
      <c r="AC43" s="34"/>
      <c r="AD43" s="34"/>
      <c r="AE43" s="33"/>
      <c r="AF43" s="33"/>
      <c r="AG43" s="33"/>
    </row>
    <row r="44" spans="1:33" s="9" customFormat="1">
      <c r="A44" s="24" t="s">
        <v>575</v>
      </c>
      <c r="B44" s="255">
        <v>3348</v>
      </c>
      <c r="C44" s="255">
        <v>2241</v>
      </c>
      <c r="D44" s="255">
        <v>2131</v>
      </c>
      <c r="E44" s="255">
        <v>2623</v>
      </c>
      <c r="F44" s="255">
        <v>3420</v>
      </c>
      <c r="G44" s="255">
        <v>2805</v>
      </c>
      <c r="H44" s="255">
        <v>4011</v>
      </c>
      <c r="I44" s="255">
        <v>3681</v>
      </c>
      <c r="J44" s="255">
        <v>3018</v>
      </c>
      <c r="K44" s="255">
        <v>923</v>
      </c>
      <c r="L44" s="255">
        <v>48</v>
      </c>
      <c r="M44" s="255">
        <v>1781</v>
      </c>
      <c r="N44" s="35" t="s">
        <v>799</v>
      </c>
      <c r="O44" t="s">
        <v>815</v>
      </c>
      <c r="P44"/>
      <c r="Q44" s="20" t="s">
        <v>800</v>
      </c>
      <c r="R44" s="9" t="s">
        <v>816</v>
      </c>
      <c r="Z44" s="36">
        <v>26132</v>
      </c>
      <c r="AA44" s="36">
        <v>26242</v>
      </c>
      <c r="AB44" s="36">
        <v>27877</v>
      </c>
      <c r="AC44" s="36">
        <v>27297</v>
      </c>
      <c r="AD44" s="36">
        <v>29415</v>
      </c>
      <c r="AE44" s="36">
        <f>93+3895+8161+3386+2410+2691+298+1967+558+5102</f>
        <v>28561</v>
      </c>
      <c r="AF44" s="36">
        <f>204+3852+5856+2880+1670+1831+281+1521+495+3430</f>
        <v>22020</v>
      </c>
      <c r="AG44" s="36">
        <f>433+3650+2993+3351+797+1217+262+888+302+5399</f>
        <v>19292</v>
      </c>
    </row>
    <row r="45" spans="1:33" s="9" customFormat="1">
      <c r="A45" s="24" t="s">
        <v>576</v>
      </c>
      <c r="B45" s="255">
        <v>709</v>
      </c>
      <c r="C45" s="255">
        <v>621</v>
      </c>
      <c r="D45" s="255">
        <v>580</v>
      </c>
      <c r="E45" s="255">
        <v>560</v>
      </c>
      <c r="F45" s="255">
        <v>538</v>
      </c>
      <c r="G45" s="255">
        <v>0</v>
      </c>
      <c r="H45" s="255">
        <v>0</v>
      </c>
      <c r="I45" s="255">
        <v>0</v>
      </c>
      <c r="J45" s="255">
        <v>0</v>
      </c>
      <c r="K45" s="255">
        <v>0</v>
      </c>
      <c r="L45" s="255">
        <v>0</v>
      </c>
      <c r="M45" s="255">
        <v>0</v>
      </c>
      <c r="N45" s="35"/>
      <c r="O45"/>
      <c r="P45"/>
      <c r="Q45" s="20"/>
      <c r="Z45" s="36"/>
      <c r="AA45" s="36"/>
      <c r="AB45" s="36"/>
      <c r="AC45" s="36"/>
      <c r="AD45" s="36"/>
      <c r="AE45" s="36"/>
      <c r="AF45" s="36"/>
      <c r="AG45" s="36"/>
    </row>
    <row r="46" spans="1:33">
      <c r="A46" s="98" t="s">
        <v>577</v>
      </c>
      <c r="B46" s="255">
        <f t="shared" ref="B46" si="25">B42-SUM(B43:B45)</f>
        <v>7279</v>
      </c>
      <c r="C46" s="255">
        <f t="shared" ref="C46:M46" si="26">C42-SUM(C43:C45)</f>
        <v>7763</v>
      </c>
      <c r="D46" s="255">
        <f t="shared" si="26"/>
        <v>7335</v>
      </c>
      <c r="E46" s="255">
        <f t="shared" si="26"/>
        <v>7378</v>
      </c>
      <c r="F46" s="255">
        <f>F42-SUM(F43:F45)</f>
        <v>5900</v>
      </c>
      <c r="G46" s="255">
        <f t="shared" si="26"/>
        <v>6094</v>
      </c>
      <c r="H46" s="255">
        <f t="shared" si="26"/>
        <v>4825</v>
      </c>
      <c r="I46" s="255">
        <f t="shared" si="26"/>
        <v>5007</v>
      </c>
      <c r="J46" s="255">
        <f t="shared" si="26"/>
        <v>5091</v>
      </c>
      <c r="K46" s="255">
        <f t="shared" si="26"/>
        <v>4962</v>
      </c>
      <c r="L46" s="255">
        <f t="shared" si="26"/>
        <v>4605</v>
      </c>
      <c r="M46" s="255">
        <f t="shared" si="26"/>
        <v>4331</v>
      </c>
      <c r="N46" s="35" t="s">
        <v>799</v>
      </c>
      <c r="O46"/>
      <c r="P46"/>
      <c r="R46" s="20" t="s">
        <v>817</v>
      </c>
      <c r="Z46" s="29">
        <v>7303</v>
      </c>
      <c r="AA46" s="29">
        <v>6967</v>
      </c>
      <c r="AB46" s="29">
        <v>4708</v>
      </c>
      <c r="AC46" s="29">
        <v>3679</v>
      </c>
      <c r="AD46" s="29">
        <v>5287</v>
      </c>
      <c r="AE46" s="29">
        <v>5660</v>
      </c>
      <c r="AF46" s="29">
        <v>3925</v>
      </c>
      <c r="AG46" s="29">
        <v>5701</v>
      </c>
    </row>
    <row r="47" spans="1:33">
      <c r="A47" s="9" t="s">
        <v>578</v>
      </c>
      <c r="B47" s="254">
        <f t="shared" ref="B47:M47" si="27">B51-B42</f>
        <v>35867</v>
      </c>
      <c r="C47" s="254">
        <f t="shared" si="27"/>
        <v>33181</v>
      </c>
      <c r="D47" s="254">
        <f t="shared" si="27"/>
        <v>37567</v>
      </c>
      <c r="E47" s="254">
        <f t="shared" si="27"/>
        <v>44723</v>
      </c>
      <c r="F47" s="254">
        <f t="shared" si="27"/>
        <v>39161</v>
      </c>
      <c r="G47" s="254">
        <f t="shared" si="27"/>
        <v>32892</v>
      </c>
      <c r="H47" s="254">
        <f t="shared" si="27"/>
        <v>31665</v>
      </c>
      <c r="I47" s="254">
        <f t="shared" si="27"/>
        <v>28218</v>
      </c>
      <c r="J47" s="254">
        <f t="shared" si="27"/>
        <v>25124</v>
      </c>
      <c r="K47" s="254">
        <f t="shared" si="27"/>
        <v>24494</v>
      </c>
      <c r="L47" s="254">
        <f t="shared" si="27"/>
        <v>22593</v>
      </c>
      <c r="M47" s="254">
        <f t="shared" si="27"/>
        <v>25740</v>
      </c>
      <c r="N47" s="35" t="s">
        <v>799</v>
      </c>
      <c r="O47" t="s">
        <v>818</v>
      </c>
      <c r="P47"/>
      <c r="Z47" s="29"/>
      <c r="AA47" s="29"/>
      <c r="AB47" s="29"/>
      <c r="AC47" s="29"/>
      <c r="AD47" s="29"/>
      <c r="AE47" s="29"/>
      <c r="AF47" s="29"/>
      <c r="AG47" s="29"/>
    </row>
    <row r="48" spans="1:33">
      <c r="A48" s="24" t="s">
        <v>579</v>
      </c>
      <c r="B48" s="255">
        <v>18916</v>
      </c>
      <c r="C48" s="255">
        <v>17321</v>
      </c>
      <c r="D48" s="255">
        <v>19784</v>
      </c>
      <c r="E48" s="255">
        <v>22031</v>
      </c>
      <c r="F48" s="255">
        <v>21818</v>
      </c>
      <c r="G48" s="255">
        <v>19931</v>
      </c>
      <c r="H48" s="255">
        <v>20278</v>
      </c>
      <c r="I48" s="255">
        <v>12394</v>
      </c>
      <c r="J48" s="255">
        <v>11316</v>
      </c>
      <c r="K48" s="255">
        <v>9864</v>
      </c>
      <c r="L48" s="255">
        <v>10824</v>
      </c>
      <c r="M48" s="255">
        <v>11089</v>
      </c>
      <c r="N48" s="35" t="s">
        <v>799</v>
      </c>
      <c r="O48" t="s">
        <v>819</v>
      </c>
      <c r="P48"/>
      <c r="Z48" s="22">
        <f t="shared" ref="Z48:AG48" si="28">Z44-Z46</f>
        <v>18829</v>
      </c>
      <c r="AA48" s="22">
        <f t="shared" si="28"/>
        <v>19275</v>
      </c>
      <c r="AB48" s="22">
        <f t="shared" si="28"/>
        <v>23169</v>
      </c>
      <c r="AC48" s="22">
        <f t="shared" si="28"/>
        <v>23618</v>
      </c>
      <c r="AD48" s="22">
        <f t="shared" si="28"/>
        <v>24128</v>
      </c>
      <c r="AE48" s="22">
        <f t="shared" si="28"/>
        <v>22901</v>
      </c>
      <c r="AF48" s="22">
        <f t="shared" si="28"/>
        <v>18095</v>
      </c>
      <c r="AG48" s="22">
        <f t="shared" si="28"/>
        <v>13591</v>
      </c>
    </row>
    <row r="49" spans="1:33" s="9" customFormat="1">
      <c r="A49" s="24" t="s">
        <v>580</v>
      </c>
      <c r="B49" s="255">
        <v>3756</v>
      </c>
      <c r="C49" s="255">
        <v>3238</v>
      </c>
      <c r="D49" s="255">
        <v>3033</v>
      </c>
      <c r="E49" s="255">
        <v>2540</v>
      </c>
      <c r="F49" s="255">
        <v>2391</v>
      </c>
      <c r="G49" s="255">
        <v>0</v>
      </c>
      <c r="H49" s="255">
        <v>0</v>
      </c>
      <c r="I49" s="255">
        <v>0</v>
      </c>
      <c r="J49" s="255">
        <v>0</v>
      </c>
      <c r="K49" s="255">
        <v>0</v>
      </c>
      <c r="L49" s="255">
        <v>0</v>
      </c>
      <c r="M49" s="255">
        <v>0</v>
      </c>
      <c r="N49" s="35"/>
      <c r="O49"/>
      <c r="P49"/>
      <c r="Q49" s="20" t="s">
        <v>800</v>
      </c>
      <c r="R49" s="9" t="s">
        <v>820</v>
      </c>
      <c r="Z49" s="36">
        <f>61491-Z44</f>
        <v>35359</v>
      </c>
      <c r="AA49" s="36">
        <f>63457-AA44</f>
        <v>37215</v>
      </c>
      <c r="AB49" s="36">
        <f>67855-AB44</f>
        <v>39978</v>
      </c>
      <c r="AC49" s="36">
        <v>36721</v>
      </c>
      <c r="AD49" s="36">
        <v>41973</v>
      </c>
      <c r="AE49" s="36">
        <f>8415+16529+10956+3583</f>
        <v>39483</v>
      </c>
      <c r="AF49" s="36">
        <f>4505+15932+7584+2654</f>
        <v>30675</v>
      </c>
      <c r="AG49" s="36">
        <f>5652+16195+7420+2179</f>
        <v>31446</v>
      </c>
    </row>
    <row r="50" spans="1:33">
      <c r="A50" s="98" t="s">
        <v>581</v>
      </c>
      <c r="B50" s="255">
        <f t="shared" ref="B50" si="29">B47-SUM(B48:B49)</f>
        <v>13195</v>
      </c>
      <c r="C50" s="255">
        <f t="shared" ref="C50:M50" si="30">C47-SUM(C48:C49)</f>
        <v>12622</v>
      </c>
      <c r="D50" s="255">
        <f t="shared" si="30"/>
        <v>14750</v>
      </c>
      <c r="E50" s="255">
        <f t="shared" si="30"/>
        <v>20152</v>
      </c>
      <c r="F50" s="255">
        <f t="shared" si="30"/>
        <v>14952</v>
      </c>
      <c r="G50" s="255">
        <f t="shared" si="30"/>
        <v>12961</v>
      </c>
      <c r="H50" s="255">
        <f t="shared" si="30"/>
        <v>11387</v>
      </c>
      <c r="I50" s="255">
        <f t="shared" si="30"/>
        <v>15824</v>
      </c>
      <c r="J50" s="255">
        <f t="shared" si="30"/>
        <v>13808</v>
      </c>
      <c r="K50" s="255">
        <f>K47-SUM(K48:K49)</f>
        <v>14630</v>
      </c>
      <c r="L50" s="255">
        <f t="shared" si="30"/>
        <v>11769</v>
      </c>
      <c r="M50" s="255">
        <f t="shared" si="30"/>
        <v>14651</v>
      </c>
      <c r="N50" s="35" t="s">
        <v>799</v>
      </c>
      <c r="O50" t="s">
        <v>821</v>
      </c>
      <c r="P50"/>
      <c r="R50" s="20" t="s">
        <v>822</v>
      </c>
      <c r="Z50" s="25">
        <v>22818</v>
      </c>
      <c r="AA50" s="25">
        <v>25169</v>
      </c>
      <c r="AB50" s="25">
        <v>27784</v>
      </c>
      <c r="AC50" s="25">
        <v>26719</v>
      </c>
      <c r="AD50" s="25">
        <v>27752</v>
      </c>
      <c r="AE50" s="25">
        <v>24944</v>
      </c>
      <c r="AF50" s="25">
        <v>20437</v>
      </c>
      <c r="AG50" s="25">
        <v>21847</v>
      </c>
    </row>
    <row r="51" spans="1:33">
      <c r="A51" s="9" t="s">
        <v>48</v>
      </c>
      <c r="B51" s="254">
        <v>53543</v>
      </c>
      <c r="C51" s="254">
        <v>51321</v>
      </c>
      <c r="D51" s="254">
        <v>55136</v>
      </c>
      <c r="E51" s="254">
        <v>61739</v>
      </c>
      <c r="F51" s="254">
        <v>54574</v>
      </c>
      <c r="G51" s="254">
        <v>46979</v>
      </c>
      <c r="H51" s="254">
        <v>44373</v>
      </c>
      <c r="I51" s="254">
        <v>39948</v>
      </c>
      <c r="J51" s="254">
        <v>35820</v>
      </c>
      <c r="K51" s="254">
        <v>33133</v>
      </c>
      <c r="L51" s="254">
        <v>29724</v>
      </c>
      <c r="M51" s="254">
        <v>34130</v>
      </c>
      <c r="N51" s="35" t="s">
        <v>799</v>
      </c>
      <c r="O51" t="s">
        <v>48</v>
      </c>
      <c r="P51"/>
      <c r="Z51" s="25"/>
      <c r="AA51" s="25"/>
      <c r="AB51" s="25"/>
      <c r="AC51" s="25"/>
      <c r="AD51" s="25"/>
      <c r="AE51" s="25"/>
      <c r="AF51" s="25"/>
      <c r="AG51" s="25"/>
    </row>
    <row r="52" spans="1:33">
      <c r="B52" s="302"/>
      <c r="C52" s="302"/>
      <c r="D52" s="302"/>
      <c r="E52" s="302"/>
      <c r="F52" s="302"/>
      <c r="G52" s="302"/>
      <c r="H52" s="302"/>
      <c r="I52" s="302"/>
      <c r="J52" s="302"/>
      <c r="K52" s="302"/>
      <c r="L52" s="302"/>
      <c r="M52" s="302"/>
      <c r="N52" s="35" t="s">
        <v>799</v>
      </c>
      <c r="O52"/>
      <c r="P52"/>
      <c r="Z52" s="22">
        <f t="shared" ref="Z52:AG52" si="31">Z49-Z50</f>
        <v>12541</v>
      </c>
      <c r="AA52" s="22">
        <f t="shared" si="31"/>
        <v>12046</v>
      </c>
      <c r="AB52" s="22">
        <f t="shared" si="31"/>
        <v>12194</v>
      </c>
      <c r="AC52" s="22">
        <f t="shared" si="31"/>
        <v>10002</v>
      </c>
      <c r="AD52" s="22">
        <f t="shared" si="31"/>
        <v>14221</v>
      </c>
      <c r="AE52" s="22">
        <f t="shared" si="31"/>
        <v>14539</v>
      </c>
      <c r="AF52" s="22">
        <f t="shared" si="31"/>
        <v>10238</v>
      </c>
      <c r="AG52" s="22">
        <f t="shared" si="31"/>
        <v>9599</v>
      </c>
    </row>
    <row r="53" spans="1:33" s="9" customFormat="1">
      <c r="A53" s="20"/>
      <c r="B53" s="302"/>
      <c r="C53" s="302"/>
      <c r="D53" s="302"/>
      <c r="E53" s="302"/>
      <c r="F53" s="302"/>
      <c r="G53" s="302"/>
      <c r="H53" s="302"/>
      <c r="I53" s="302"/>
      <c r="J53" s="302"/>
      <c r="K53" s="302"/>
      <c r="L53" s="302"/>
      <c r="M53" s="302"/>
      <c r="N53" s="35" t="s">
        <v>799</v>
      </c>
      <c r="O53"/>
      <c r="P53"/>
      <c r="Z53" s="33">
        <f>+Z49+Z44</f>
        <v>61491</v>
      </c>
      <c r="AA53" s="33">
        <f>+AA49+AA44</f>
        <v>63457</v>
      </c>
      <c r="AB53" s="33">
        <f>+AB49+AB44</f>
        <v>67855</v>
      </c>
      <c r="AC53" s="33">
        <f>AC44+AC49</f>
        <v>64018</v>
      </c>
      <c r="AD53" s="33">
        <f>AD49+AD44</f>
        <v>71388</v>
      </c>
      <c r="AE53" s="33">
        <f>AE49+AE44</f>
        <v>68044</v>
      </c>
      <c r="AF53" s="33">
        <f>AF49+AF44</f>
        <v>52695</v>
      </c>
      <c r="AG53" s="33">
        <f>AG49+AG44</f>
        <v>50738</v>
      </c>
    </row>
    <row r="54" spans="1:33">
      <c r="A54" s="37" t="s">
        <v>583</v>
      </c>
      <c r="B54" s="255">
        <v>7.25</v>
      </c>
      <c r="C54" s="255">
        <v>15.88</v>
      </c>
      <c r="D54" s="255">
        <v>14.07</v>
      </c>
      <c r="E54" s="255">
        <v>9.83</v>
      </c>
      <c r="F54" s="255">
        <v>14.27</v>
      </c>
      <c r="G54" s="255">
        <v>13.95</v>
      </c>
      <c r="H54" s="255">
        <v>25.01</v>
      </c>
      <c r="I54" s="255">
        <v>22.83</v>
      </c>
      <c r="J54" s="255">
        <v>19.34</v>
      </c>
      <c r="K54" s="255">
        <v>14.05</v>
      </c>
      <c r="L54" s="255">
        <v>10.19</v>
      </c>
      <c r="M54" s="255">
        <v>60.63</v>
      </c>
      <c r="N54" s="35" t="s">
        <v>799</v>
      </c>
      <c r="O54" s="601"/>
      <c r="P54" s="601"/>
    </row>
    <row r="55" spans="1:33">
      <c r="B55" s="302"/>
      <c r="C55" s="302"/>
      <c r="D55" s="302"/>
      <c r="E55" s="302"/>
      <c r="F55" s="302"/>
      <c r="G55" s="302"/>
      <c r="H55" s="302"/>
      <c r="I55" s="302"/>
      <c r="J55" s="302"/>
      <c r="K55" s="302"/>
      <c r="L55" s="302"/>
      <c r="M55" s="302"/>
      <c r="N55" s="35" t="s">
        <v>799</v>
      </c>
      <c r="O55"/>
      <c r="P55"/>
    </row>
    <row r="56" spans="1:33" s="9" customFormat="1">
      <c r="A56" s="9" t="s">
        <v>584</v>
      </c>
      <c r="B56" s="254">
        <f t="shared" ref="B56" si="32">B38-B51-B54</f>
        <v>17306.75</v>
      </c>
      <c r="C56" s="254">
        <f t="shared" ref="C56:M56" si="33">C38-C51-C54</f>
        <v>19787.12</v>
      </c>
      <c r="D56" s="254">
        <f t="shared" si="33"/>
        <v>14254.93</v>
      </c>
      <c r="E56" s="254">
        <f>E38-E51-E54</f>
        <v>659.17</v>
      </c>
      <c r="F56" s="254">
        <f t="shared" si="33"/>
        <v>3268.73</v>
      </c>
      <c r="G56" s="254">
        <f t="shared" si="33"/>
        <v>3023.05</v>
      </c>
      <c r="H56" s="254">
        <f t="shared" si="33"/>
        <v>1004.99</v>
      </c>
      <c r="I56" s="254">
        <f t="shared" si="33"/>
        <v>406.17</v>
      </c>
      <c r="J56" s="254">
        <f>J38-J51-J54</f>
        <v>2471.66</v>
      </c>
      <c r="K56" s="254">
        <f>K38-K51-K54</f>
        <v>2323.9499999999998</v>
      </c>
      <c r="L56" s="254">
        <f t="shared" si="33"/>
        <v>6477.81</v>
      </c>
      <c r="M56" s="254">
        <f t="shared" si="33"/>
        <v>4672.37</v>
      </c>
      <c r="N56" s="35" t="s">
        <v>799</v>
      </c>
      <c r="O56"/>
      <c r="P56"/>
      <c r="Q56" s="20" t="s">
        <v>800</v>
      </c>
      <c r="R56" s="9" t="s">
        <v>823</v>
      </c>
    </row>
    <row r="57" spans="1:33">
      <c r="A57" s="9"/>
      <c r="B57" s="254"/>
      <c r="C57" s="254"/>
      <c r="D57" s="254"/>
      <c r="E57" s="254"/>
      <c r="F57" s="254"/>
      <c r="G57" s="254"/>
      <c r="H57" s="254"/>
      <c r="I57" s="254"/>
      <c r="J57" s="254"/>
      <c r="K57" s="254"/>
      <c r="L57" s="254"/>
      <c r="M57" s="254"/>
      <c r="N57" s="35"/>
      <c r="O57"/>
      <c r="P57"/>
    </row>
    <row r="58" spans="1:33">
      <c r="A58" s="46" t="s">
        <v>824</v>
      </c>
      <c r="B58" s="254"/>
      <c r="C58" s="254"/>
      <c r="D58" s="254"/>
      <c r="E58" s="254"/>
      <c r="F58" s="254"/>
      <c r="G58" s="254"/>
      <c r="H58" s="254"/>
      <c r="I58" s="254"/>
      <c r="J58" s="254"/>
      <c r="K58" s="254"/>
      <c r="L58" s="254"/>
      <c r="M58" s="254"/>
      <c r="N58" s="35"/>
      <c r="O58"/>
      <c r="P58"/>
    </row>
    <row r="59" spans="1:33">
      <c r="A59" s="9" t="s">
        <v>128</v>
      </c>
      <c r="B59" s="254">
        <v>10238</v>
      </c>
      <c r="C59" s="254">
        <v>14104</v>
      </c>
      <c r="D59" s="254">
        <v>15007</v>
      </c>
      <c r="E59" s="254">
        <v>10459</v>
      </c>
      <c r="F59" s="254">
        <v>8639</v>
      </c>
      <c r="G59" s="254">
        <v>12711</v>
      </c>
      <c r="H59" s="254">
        <v>1479</v>
      </c>
      <c r="I59" s="254">
        <v>6473</v>
      </c>
      <c r="J59" s="254">
        <v>7430</v>
      </c>
      <c r="K59" s="254">
        <v>5726</v>
      </c>
      <c r="L59" s="254">
        <v>7304</v>
      </c>
      <c r="M59" s="254">
        <v>7216</v>
      </c>
      <c r="N59" s="35"/>
      <c r="O59"/>
      <c r="P59"/>
    </row>
    <row r="60" spans="1:33">
      <c r="A60" s="24" t="s">
        <v>65</v>
      </c>
      <c r="B60" s="255">
        <f t="shared" ref="B60:M60" si="34">B12</f>
        <v>6708</v>
      </c>
      <c r="C60" s="255">
        <f t="shared" si="34"/>
        <v>11548</v>
      </c>
      <c r="D60" s="255">
        <f t="shared" si="34"/>
        <v>12890</v>
      </c>
      <c r="E60" s="255">
        <f t="shared" si="34"/>
        <v>1343</v>
      </c>
      <c r="F60" s="255">
        <f t="shared" si="34"/>
        <v>4440</v>
      </c>
      <c r="G60" s="255">
        <f t="shared" si="34"/>
        <v>4791</v>
      </c>
      <c r="H60" s="255">
        <f t="shared" si="34"/>
        <v>4910</v>
      </c>
      <c r="I60" s="255">
        <f t="shared" si="34"/>
        <v>3431</v>
      </c>
      <c r="J60" s="255">
        <f t="shared" si="34"/>
        <v>4844</v>
      </c>
      <c r="K60" s="255">
        <f t="shared" si="34"/>
        <v>3032</v>
      </c>
      <c r="L60" s="255">
        <f t="shared" si="34"/>
        <v>4372</v>
      </c>
      <c r="M60" s="255">
        <f t="shared" si="34"/>
        <v>807</v>
      </c>
      <c r="N60" s="35"/>
      <c r="O60"/>
      <c r="P60"/>
    </row>
    <row r="61" spans="1:33">
      <c r="A61" s="98" t="s">
        <v>57</v>
      </c>
      <c r="B61" s="255">
        <v>3366</v>
      </c>
      <c r="C61" s="255">
        <v>3188</v>
      </c>
      <c r="D61" s="255">
        <v>2953</v>
      </c>
      <c r="E61" s="255">
        <v>2698</v>
      </c>
      <c r="F61" s="255">
        <v>2360</v>
      </c>
      <c r="G61" s="255">
        <v>2207</v>
      </c>
      <c r="H61" s="255">
        <v>2282</v>
      </c>
      <c r="I61" s="255">
        <v>2224</v>
      </c>
      <c r="J61" s="255">
        <v>2084</v>
      </c>
      <c r="K61" s="255">
        <v>1923</v>
      </c>
      <c r="L61" s="255">
        <v>1867</v>
      </c>
      <c r="M61" s="255">
        <v>1858</v>
      </c>
      <c r="N61" s="35"/>
      <c r="O61"/>
      <c r="P61"/>
    </row>
    <row r="62" spans="1:33">
      <c r="A62" s="98" t="s">
        <v>825</v>
      </c>
      <c r="B62" s="255">
        <v>-514</v>
      </c>
      <c r="C62" s="255">
        <v>-363</v>
      </c>
      <c r="D62" s="255">
        <v>-642</v>
      </c>
      <c r="E62" s="255">
        <v>1060</v>
      </c>
      <c r="F62" s="255">
        <v>156</v>
      </c>
      <c r="G62" s="255">
        <v>2058</v>
      </c>
      <c r="H62" s="255">
        <v>-1413</v>
      </c>
      <c r="I62" s="255">
        <v>-734</v>
      </c>
      <c r="J62" s="255">
        <v>-307</v>
      </c>
      <c r="K62" s="255">
        <v>322</v>
      </c>
      <c r="L62" s="255">
        <v>-174</v>
      </c>
      <c r="M62" s="255">
        <v>13</v>
      </c>
      <c r="N62" s="35"/>
      <c r="O62"/>
      <c r="P62"/>
    </row>
    <row r="63" spans="1:33">
      <c r="A63" s="98" t="s">
        <v>826</v>
      </c>
      <c r="B63" s="255">
        <f t="shared" ref="B63" si="35">B59-B60-B61-B62</f>
        <v>678</v>
      </c>
      <c r="C63" s="255">
        <f t="shared" ref="C63" si="36">C59-C60-C61-C62</f>
        <v>-269</v>
      </c>
      <c r="D63" s="255">
        <f>D59-D60-D61-D62</f>
        <v>-194</v>
      </c>
      <c r="E63" s="255">
        <f t="shared" ref="E63:M63" si="37">E59-E60-E61-E62</f>
        <v>5358</v>
      </c>
      <c r="F63" s="255">
        <f t="shared" si="37"/>
        <v>1683</v>
      </c>
      <c r="G63" s="255">
        <f t="shared" si="37"/>
        <v>3655</v>
      </c>
      <c r="H63" s="255">
        <f t="shared" si="37"/>
        <v>-4300</v>
      </c>
      <c r="I63" s="255">
        <f t="shared" si="37"/>
        <v>1552</v>
      </c>
      <c r="J63" s="255">
        <f t="shared" si="37"/>
        <v>809</v>
      </c>
      <c r="K63" s="255">
        <f t="shared" si="37"/>
        <v>449</v>
      </c>
      <c r="L63" s="255">
        <f t="shared" si="37"/>
        <v>1239</v>
      </c>
      <c r="M63" s="255">
        <f t="shared" si="37"/>
        <v>4538</v>
      </c>
      <c r="N63" s="35"/>
      <c r="O63"/>
      <c r="P63"/>
    </row>
    <row r="64" spans="1:33">
      <c r="A64" s="9" t="s">
        <v>129</v>
      </c>
      <c r="B64" s="254">
        <v>-7133</v>
      </c>
      <c r="C64" s="254">
        <v>-7472</v>
      </c>
      <c r="D64" s="254">
        <v>-3818</v>
      </c>
      <c r="E64" s="254">
        <v>-5283</v>
      </c>
      <c r="F64" s="254">
        <v>-6061</v>
      </c>
      <c r="G64" s="254">
        <v>-6330</v>
      </c>
      <c r="H64" s="254">
        <v>-4975</v>
      </c>
      <c r="I64" s="254">
        <v>-2566</v>
      </c>
      <c r="J64" s="254">
        <v>-5309</v>
      </c>
      <c r="K64" s="254">
        <v>-2801</v>
      </c>
      <c r="L64" s="254">
        <v>-2114</v>
      </c>
      <c r="M64" s="254">
        <v>-1335</v>
      </c>
      <c r="N64" s="35"/>
      <c r="O64"/>
      <c r="P64"/>
    </row>
    <row r="65" spans="1:16">
      <c r="A65" s="98" t="s">
        <v>130</v>
      </c>
      <c r="B65" s="255">
        <v>-5158</v>
      </c>
      <c r="C65" s="255">
        <v>-4769</v>
      </c>
      <c r="D65" s="255">
        <v>-4194</v>
      </c>
      <c r="E65" s="255">
        <v>-5412</v>
      </c>
      <c r="F65" s="255">
        <v>-6380</v>
      </c>
      <c r="G65" s="255">
        <v>-6238</v>
      </c>
      <c r="H65" s="255">
        <v>-5227</v>
      </c>
      <c r="I65" s="255">
        <v>-2965</v>
      </c>
      <c r="J65" s="255">
        <v>-2379</v>
      </c>
      <c r="K65" s="255">
        <v>-2328</v>
      </c>
      <c r="L65" s="255">
        <v>-2065</v>
      </c>
      <c r="M65" s="255">
        <v>-2153</v>
      </c>
      <c r="N65" s="35"/>
      <c r="O65"/>
      <c r="P65"/>
    </row>
    <row r="66" spans="1:16">
      <c r="A66" s="98" t="s">
        <v>131</v>
      </c>
      <c r="B66" s="255">
        <v>-1329</v>
      </c>
      <c r="C66" s="255">
        <v>-755</v>
      </c>
      <c r="D66" s="255">
        <v>-602</v>
      </c>
      <c r="E66" s="255">
        <v>-20</v>
      </c>
      <c r="F66" s="255">
        <v>-6</v>
      </c>
      <c r="G66" s="255">
        <v>-2</v>
      </c>
      <c r="H66" s="255">
        <v>-134</v>
      </c>
      <c r="I66" s="255">
        <v>-547</v>
      </c>
      <c r="J66" s="255">
        <v>-30</v>
      </c>
      <c r="K66" s="255">
        <v>-63</v>
      </c>
      <c r="L66" s="255">
        <v>-179</v>
      </c>
      <c r="M66" s="255">
        <v>-100</v>
      </c>
      <c r="N66" s="35"/>
      <c r="O66"/>
      <c r="P66"/>
    </row>
    <row r="67" spans="1:16">
      <c r="A67" s="98" t="s">
        <v>827</v>
      </c>
      <c r="B67" s="255">
        <f>B64-B65-B66</f>
        <v>-646</v>
      </c>
      <c r="C67" s="255">
        <f>C64-C65-C66</f>
        <v>-1948</v>
      </c>
      <c r="D67" s="255">
        <f>D64-D65-D66</f>
        <v>978</v>
      </c>
      <c r="E67" s="255">
        <f t="shared" ref="E67" si="38">E64-E65-E66</f>
        <v>149</v>
      </c>
      <c r="F67" s="255">
        <f t="shared" ref="F67:M67" si="39">F64-F65-F66</f>
        <v>325</v>
      </c>
      <c r="G67" s="255">
        <f t="shared" si="39"/>
        <v>-90</v>
      </c>
      <c r="H67" s="255">
        <f t="shared" si="39"/>
        <v>386</v>
      </c>
      <c r="I67" s="255">
        <f t="shared" si="39"/>
        <v>946</v>
      </c>
      <c r="J67" s="255">
        <f t="shared" si="39"/>
        <v>-2900</v>
      </c>
      <c r="K67" s="255">
        <f t="shared" si="39"/>
        <v>-410</v>
      </c>
      <c r="L67" s="255">
        <f t="shared" si="39"/>
        <v>130</v>
      </c>
      <c r="M67" s="255">
        <f t="shared" si="39"/>
        <v>918</v>
      </c>
      <c r="N67" s="35"/>
      <c r="O67"/>
      <c r="P67"/>
    </row>
    <row r="68" spans="1:16">
      <c r="A68" s="9" t="s">
        <v>132</v>
      </c>
      <c r="B68" s="254">
        <v>-5534</v>
      </c>
      <c r="C68" s="254">
        <v>-11185</v>
      </c>
      <c r="D68" s="254">
        <v>-6823</v>
      </c>
      <c r="E68" s="254">
        <v>-4517</v>
      </c>
      <c r="F68" s="254">
        <v>-1727</v>
      </c>
      <c r="G68" s="254">
        <v>-5692</v>
      </c>
      <c r="H68" s="254">
        <v>3287</v>
      </c>
      <c r="I68" s="254">
        <v>-3140</v>
      </c>
      <c r="J68" s="254">
        <v>-1565</v>
      </c>
      <c r="K68" s="254">
        <v>-5161</v>
      </c>
      <c r="L68" s="254">
        <v>-7807</v>
      </c>
      <c r="M68" s="254">
        <v>-1817</v>
      </c>
      <c r="N68" s="35"/>
      <c r="O68"/>
      <c r="P68"/>
    </row>
    <row r="69" spans="1:16">
      <c r="A69" s="98" t="s">
        <v>828</v>
      </c>
      <c r="B69" s="255">
        <v>3429</v>
      </c>
      <c r="C69" s="255">
        <v>0</v>
      </c>
      <c r="D69" s="255">
        <v>0</v>
      </c>
      <c r="E69" s="255">
        <v>5003</v>
      </c>
      <c r="F69" s="255">
        <v>5205</v>
      </c>
      <c r="G69" s="255">
        <v>1202</v>
      </c>
      <c r="H69" s="255">
        <v>12016</v>
      </c>
      <c r="I69" s="255">
        <v>5927</v>
      </c>
      <c r="J69" s="255">
        <v>3783</v>
      </c>
      <c r="K69" s="255">
        <v>1525</v>
      </c>
      <c r="L69" s="255">
        <v>100</v>
      </c>
      <c r="M69" s="255">
        <v>1745</v>
      </c>
      <c r="N69" s="35"/>
      <c r="O69"/>
      <c r="P69"/>
    </row>
    <row r="70" spans="1:16">
      <c r="A70" s="98" t="s">
        <v>829</v>
      </c>
      <c r="B70" s="255">
        <v>-2429</v>
      </c>
      <c r="C70" s="255">
        <v>-2304</v>
      </c>
      <c r="D70" s="255">
        <v>-2773</v>
      </c>
      <c r="E70" s="255">
        <v>-3392</v>
      </c>
      <c r="F70" s="255">
        <v>-3096</v>
      </c>
      <c r="G70" s="255">
        <v>-2887</v>
      </c>
      <c r="H70" s="255">
        <v>-3939</v>
      </c>
      <c r="I70" s="255">
        <v>-3805</v>
      </c>
      <c r="J70" s="255">
        <v>-2724</v>
      </c>
      <c r="K70" s="255">
        <v>-1694</v>
      </c>
      <c r="L70" s="255">
        <v>-1875</v>
      </c>
      <c r="M70" s="255">
        <v>-16</v>
      </c>
      <c r="N70" s="35"/>
      <c r="O70"/>
      <c r="P70"/>
    </row>
    <row r="71" spans="1:16">
      <c r="A71" s="98" t="s">
        <v>830</v>
      </c>
      <c r="B71" s="255">
        <v>0</v>
      </c>
      <c r="C71" s="255">
        <v>0</v>
      </c>
      <c r="D71" s="255">
        <v>0</v>
      </c>
      <c r="E71" s="255">
        <v>0</v>
      </c>
      <c r="F71" s="255">
        <v>0</v>
      </c>
      <c r="G71" s="255">
        <v>0</v>
      </c>
      <c r="H71" s="255">
        <v>0</v>
      </c>
      <c r="I71" s="255">
        <v>0</v>
      </c>
      <c r="J71" s="255">
        <v>0</v>
      </c>
      <c r="K71" s="255">
        <v>0</v>
      </c>
      <c r="L71" s="255">
        <v>0</v>
      </c>
      <c r="M71" s="255">
        <v>0</v>
      </c>
      <c r="N71" s="35"/>
      <c r="O71"/>
      <c r="P71"/>
    </row>
    <row r="72" spans="1:16">
      <c r="A72" s="98" t="s">
        <v>831</v>
      </c>
      <c r="B72" s="255">
        <v>0</v>
      </c>
      <c r="C72" s="255">
        <v>0</v>
      </c>
      <c r="D72" s="255">
        <v>0</v>
      </c>
      <c r="E72" s="255">
        <v>0</v>
      </c>
      <c r="F72" s="255">
        <v>0</v>
      </c>
      <c r="G72" s="255">
        <v>0</v>
      </c>
      <c r="H72" s="255">
        <v>0</v>
      </c>
      <c r="I72" s="255">
        <v>0</v>
      </c>
      <c r="J72" s="255">
        <v>0</v>
      </c>
      <c r="K72" s="255">
        <v>0</v>
      </c>
      <c r="L72" s="255">
        <v>0</v>
      </c>
      <c r="M72" s="255">
        <v>0</v>
      </c>
      <c r="N72" s="35"/>
      <c r="O72"/>
      <c r="P72"/>
    </row>
    <row r="73" spans="1:16">
      <c r="A73" s="98" t="s">
        <v>133</v>
      </c>
      <c r="B73" s="255">
        <v>-5372</v>
      </c>
      <c r="C73" s="255">
        <v>-5114</v>
      </c>
      <c r="D73" s="255">
        <v>-3437</v>
      </c>
      <c r="E73" s="255">
        <v>-3374</v>
      </c>
      <c r="F73" s="255">
        <v>-3194</v>
      </c>
      <c r="G73" s="255">
        <v>-3011</v>
      </c>
      <c r="H73" s="299">
        <v>-2771</v>
      </c>
      <c r="I73" s="255">
        <v>-2643</v>
      </c>
      <c r="J73" s="299">
        <v>-2525</v>
      </c>
      <c r="K73" s="255">
        <v>-2366</v>
      </c>
      <c r="L73" s="255">
        <v>-2260</v>
      </c>
      <c r="M73" s="255">
        <v>-2130</v>
      </c>
      <c r="N73" s="32" t="s">
        <v>832</v>
      </c>
      <c r="O73" t="s">
        <v>833</v>
      </c>
      <c r="P73"/>
    </row>
    <row r="74" spans="1:16">
      <c r="A74" s="98" t="s">
        <v>566</v>
      </c>
      <c r="B74" s="255">
        <v>-2250</v>
      </c>
      <c r="C74" s="255">
        <v>-3500</v>
      </c>
      <c r="D74" s="255">
        <v>-500</v>
      </c>
      <c r="E74" s="255">
        <v>-224</v>
      </c>
      <c r="F74" s="255">
        <v>-1004</v>
      </c>
      <c r="G74" s="255">
        <v>-1011</v>
      </c>
      <c r="H74" s="299">
        <v>-1813</v>
      </c>
      <c r="I74" s="255">
        <v>-2678</v>
      </c>
      <c r="J74" s="299">
        <v>-2702</v>
      </c>
      <c r="K74" s="255">
        <v>-2695</v>
      </c>
      <c r="L74" s="255">
        <v>-3838</v>
      </c>
      <c r="M74" s="255">
        <v>-1621</v>
      </c>
      <c r="N74" s="32" t="s">
        <v>832</v>
      </c>
      <c r="O74" t="str">
        <f>+A74</f>
        <v>Share buyback</v>
      </c>
      <c r="P74"/>
    </row>
    <row r="75" spans="1:16">
      <c r="A75" s="98" t="s">
        <v>827</v>
      </c>
      <c r="B75" s="255">
        <f t="shared" ref="B75" si="40">B68-B69-B70-B71-B72-B73-B74</f>
        <v>1088</v>
      </c>
      <c r="C75" s="255">
        <f t="shared" ref="C75:M75" si="41">C68-C69-C70-C71-C72-C73-C74</f>
        <v>-267</v>
      </c>
      <c r="D75" s="255">
        <f t="shared" si="41"/>
        <v>-113</v>
      </c>
      <c r="E75" s="255">
        <f t="shared" si="41"/>
        <v>-2530</v>
      </c>
      <c r="F75" s="255">
        <f t="shared" si="41"/>
        <v>362</v>
      </c>
      <c r="G75" s="255">
        <f t="shared" si="41"/>
        <v>15</v>
      </c>
      <c r="H75" s="255">
        <f>H68-H69-H70-H71-H72-H73-H74</f>
        <v>-206</v>
      </c>
      <c r="I75" s="255">
        <f>I68-I69-I70-I71-I72-I73-I74</f>
        <v>59</v>
      </c>
      <c r="J75" s="255">
        <f t="shared" si="41"/>
        <v>2603</v>
      </c>
      <c r="K75" s="255">
        <f t="shared" si="41"/>
        <v>69</v>
      </c>
      <c r="L75" s="255">
        <f t="shared" si="41"/>
        <v>66</v>
      </c>
      <c r="M75" s="255">
        <f t="shared" si="41"/>
        <v>205</v>
      </c>
      <c r="N75" s="35"/>
      <c r="O75"/>
      <c r="P75"/>
    </row>
    <row r="76" spans="1:16">
      <c r="A76" s="9" t="s">
        <v>136</v>
      </c>
      <c r="B76" s="254"/>
      <c r="C76" s="254"/>
      <c r="D76" s="254"/>
      <c r="E76" s="254"/>
      <c r="F76" s="254"/>
      <c r="G76" s="254"/>
      <c r="H76" s="254"/>
      <c r="I76" s="254"/>
      <c r="J76" s="254"/>
      <c r="K76" s="254"/>
      <c r="L76" s="254"/>
      <c r="M76" s="254"/>
      <c r="N76" s="35"/>
      <c r="O76"/>
      <c r="P76"/>
    </row>
    <row r="77" spans="1:16">
      <c r="A77" s="9" t="s">
        <v>585</v>
      </c>
      <c r="B77" s="254">
        <f t="shared" ref="B77" si="42">B59+B64+B68+B76</f>
        <v>-2429</v>
      </c>
      <c r="C77" s="254">
        <f t="shared" ref="C77:M77" si="43">C59+C64+C68+C76</f>
        <v>-4553</v>
      </c>
      <c r="D77" s="254">
        <f t="shared" si="43"/>
        <v>4366</v>
      </c>
      <c r="E77" s="254">
        <f t="shared" si="43"/>
        <v>659</v>
      </c>
      <c r="F77" s="254">
        <f t="shared" si="43"/>
        <v>851</v>
      </c>
      <c r="G77" s="254">
        <f t="shared" si="43"/>
        <v>689</v>
      </c>
      <c r="H77" s="254">
        <f>H59+H64+H68+H76</f>
        <v>-209</v>
      </c>
      <c r="I77" s="254">
        <f>I59+I64+I68+I76</f>
        <v>767</v>
      </c>
      <c r="J77" s="254">
        <f t="shared" si="43"/>
        <v>556</v>
      </c>
      <c r="K77" s="254">
        <f t="shared" si="43"/>
        <v>-2236</v>
      </c>
      <c r="L77" s="254">
        <f t="shared" si="43"/>
        <v>-2617</v>
      </c>
      <c r="M77" s="254">
        <f t="shared" si="43"/>
        <v>4064</v>
      </c>
      <c r="N77" s="35"/>
      <c r="O77"/>
      <c r="P77"/>
    </row>
    <row r="78" spans="1:16">
      <c r="M78" s="22"/>
      <c r="N78"/>
      <c r="O78" t="s">
        <v>834</v>
      </c>
      <c r="P78"/>
    </row>
    <row r="79" spans="1:16">
      <c r="A79" s="46" t="s">
        <v>835</v>
      </c>
      <c r="B79" s="46"/>
      <c r="C79" s="46"/>
      <c r="D79" s="46"/>
      <c r="E79" s="1344" t="s">
        <v>593</v>
      </c>
      <c r="F79" s="1344"/>
      <c r="G79" s="1344"/>
      <c r="H79" s="1344" t="s">
        <v>836</v>
      </c>
      <c r="I79" s="1344"/>
      <c r="J79" s="46" t="s">
        <v>595</v>
      </c>
      <c r="K79" s="46" t="s">
        <v>596</v>
      </c>
      <c r="L79" s="46" t="s">
        <v>597</v>
      </c>
      <c r="M79" s="33"/>
      <c r="N79"/>
      <c r="O79"/>
      <c r="P79"/>
    </row>
    <row r="80" spans="1:16">
      <c r="A80" s="24" t="s">
        <v>837</v>
      </c>
      <c r="B80" s="25">
        <v>500000</v>
      </c>
      <c r="C80" s="38" t="s">
        <v>838</v>
      </c>
      <c r="D80" s="22"/>
      <c r="E80" s="1341"/>
      <c r="F80" s="1341"/>
      <c r="G80" s="1341"/>
      <c r="H80" s="1342"/>
      <c r="I80" s="1342"/>
      <c r="J80" s="62"/>
      <c r="K80" s="61"/>
      <c r="L80" s="61"/>
      <c r="M80" s="22"/>
      <c r="N80" s="38" t="s">
        <v>839</v>
      </c>
      <c r="O80"/>
      <c r="P80"/>
    </row>
    <row r="81" spans="1:16">
      <c r="A81" s="24" t="s">
        <v>840</v>
      </c>
      <c r="B81" s="25">
        <v>732510</v>
      </c>
      <c r="C81" s="38" t="s">
        <v>841</v>
      </c>
      <c r="D81" s="22"/>
      <c r="E81" s="1341"/>
      <c r="F81" s="1341"/>
      <c r="G81" s="1341"/>
      <c r="H81" s="1342"/>
      <c r="I81" s="1342"/>
      <c r="J81" s="62"/>
      <c r="K81" s="61"/>
      <c r="L81" s="61"/>
      <c r="M81" s="22"/>
      <c r="N81" s="38" t="s">
        <v>839</v>
      </c>
      <c r="O81"/>
      <c r="P81"/>
    </row>
    <row r="82" spans="1:16">
      <c r="A82" s="24" t="s">
        <v>46</v>
      </c>
      <c r="B82" s="596">
        <v>0.99895999999999996</v>
      </c>
      <c r="C82" s="38" t="s">
        <v>841</v>
      </c>
      <c r="D82" s="63"/>
      <c r="E82" s="1341"/>
      <c r="F82" s="1341"/>
      <c r="G82" s="1341"/>
      <c r="H82" s="1342"/>
      <c r="I82" s="1342"/>
      <c r="J82" s="62"/>
      <c r="K82" s="61"/>
      <c r="L82" s="61"/>
      <c r="M82" s="65"/>
      <c r="N82" s="38" t="s">
        <v>839</v>
      </c>
      <c r="O82"/>
      <c r="P82"/>
    </row>
    <row r="83" spans="1:16">
      <c r="A83" s="24" t="s">
        <v>50</v>
      </c>
      <c r="B83" s="596">
        <v>1E-4</v>
      </c>
      <c r="C83" s="38" t="s">
        <v>841</v>
      </c>
      <c r="D83" s="64"/>
      <c r="E83" s="1341"/>
      <c r="F83" s="1341"/>
      <c r="G83" s="1341"/>
      <c r="H83" s="1342"/>
      <c r="I83" s="1342"/>
      <c r="J83" s="62"/>
      <c r="K83" s="61"/>
      <c r="L83" s="61"/>
      <c r="M83" s="65"/>
      <c r="N83" s="38" t="s">
        <v>839</v>
      </c>
      <c r="O83"/>
      <c r="P83"/>
    </row>
    <row r="84" spans="1:16">
      <c r="A84" s="24" t="s">
        <v>589</v>
      </c>
      <c r="B84" s="25" t="s">
        <v>842</v>
      </c>
      <c r="C84" s="38" t="s">
        <v>838</v>
      </c>
      <c r="D84" s="22"/>
      <c r="E84" s="1341"/>
      <c r="F84" s="1341"/>
      <c r="G84" s="1341"/>
      <c r="H84" s="1342"/>
      <c r="I84" s="1342"/>
      <c r="J84" s="62"/>
      <c r="K84" s="61"/>
      <c r="L84" s="61"/>
      <c r="M84" s="22"/>
      <c r="N84" s="38" t="s">
        <v>839</v>
      </c>
      <c r="O84"/>
      <c r="P84"/>
    </row>
    <row r="85" spans="1:16">
      <c r="A85" s="24" t="s">
        <v>843</v>
      </c>
      <c r="B85" s="503">
        <v>4.8899999999999999E-2</v>
      </c>
      <c r="C85" s="38" t="s">
        <v>841</v>
      </c>
      <c r="D85" s="22"/>
      <c r="E85" s="1341"/>
      <c r="F85" s="1341"/>
      <c r="G85" s="1341"/>
      <c r="H85" s="1342"/>
      <c r="I85" s="1342"/>
      <c r="J85" s="61"/>
      <c r="K85" s="61"/>
      <c r="L85" s="61"/>
      <c r="M85" s="22"/>
      <c r="N85" s="38" t="s">
        <v>839</v>
      </c>
      <c r="O85"/>
    </row>
    <row r="86" spans="1:16">
      <c r="A86" s="24" t="s">
        <v>591</v>
      </c>
      <c r="B86" s="572">
        <v>4.9000000000000004</v>
      </c>
      <c r="C86" s="38" t="s">
        <v>844</v>
      </c>
      <c r="D86" s="22"/>
      <c r="E86" s="1341"/>
      <c r="F86" s="1341"/>
      <c r="G86" s="1341"/>
      <c r="H86" s="1342"/>
      <c r="I86" s="1342"/>
      <c r="J86" s="61"/>
      <c r="K86" s="61"/>
      <c r="L86" s="61"/>
      <c r="M86" s="22"/>
      <c r="N86" s="38" t="s">
        <v>839</v>
      </c>
    </row>
    <row r="87" spans="1:16">
      <c r="B87" s="46">
        <f>B5</f>
        <v>2023</v>
      </c>
      <c r="C87" s="46">
        <f t="shared" ref="C87:D87" si="44">C5</f>
        <v>2022</v>
      </c>
      <c r="D87" s="46">
        <f t="shared" si="44"/>
        <v>2021</v>
      </c>
      <c r="E87" s="39"/>
      <c r="G87" s="39"/>
      <c r="H87" s="39"/>
      <c r="I87" s="39"/>
      <c r="J87" s="39"/>
      <c r="K87" s="39"/>
      <c r="L87" s="39"/>
      <c r="M87" s="39"/>
      <c r="N87"/>
    </row>
    <row r="88" spans="1:16">
      <c r="A88" s="24" t="s">
        <v>592</v>
      </c>
      <c r="E88" s="38" t="s">
        <v>844</v>
      </c>
      <c r="K88" s="20"/>
      <c r="L88" s="20"/>
      <c r="O88"/>
      <c r="P88"/>
    </row>
    <row r="89" spans="1:16">
      <c r="A89" s="24" t="s">
        <v>70</v>
      </c>
      <c r="B89" s="60"/>
      <c r="C89" s="60"/>
      <c r="D89" s="60"/>
      <c r="E89" s="38" t="s">
        <v>844</v>
      </c>
      <c r="K89" s="20"/>
      <c r="L89" s="20"/>
      <c r="O89" s="46"/>
    </row>
    <row r="90" spans="1:16">
      <c r="M90"/>
      <c r="N90" s="97"/>
      <c r="O90" s="46"/>
    </row>
    <row r="91" spans="1:16">
      <c r="J91" s="22"/>
      <c r="L91"/>
      <c r="M91"/>
      <c r="N91"/>
    </row>
    <row r="92" spans="1:16">
      <c r="J92" s="22"/>
      <c r="L92"/>
      <c r="M92"/>
      <c r="N92"/>
    </row>
    <row r="93" spans="1:16">
      <c r="J93" s="22"/>
      <c r="L93"/>
      <c r="M93"/>
      <c r="N93"/>
    </row>
    <row r="94" spans="1:16">
      <c r="J94" s="22"/>
      <c r="L94"/>
      <c r="M94"/>
      <c r="N94"/>
    </row>
    <row r="95" spans="1:16">
      <c r="J95" s="22"/>
      <c r="L95"/>
      <c r="M95"/>
      <c r="N95"/>
    </row>
    <row r="96" spans="1:16">
      <c r="J96" s="22"/>
      <c r="L96"/>
      <c r="M96"/>
      <c r="N96"/>
      <c r="O96"/>
    </row>
    <row r="97" spans="1:14">
      <c r="J97" s="22"/>
      <c r="L97"/>
      <c r="M97"/>
      <c r="N97"/>
    </row>
    <row r="98" spans="1:14">
      <c r="G98"/>
      <c r="M98"/>
      <c r="N98"/>
    </row>
    <row r="99" spans="1:14">
      <c r="A99"/>
      <c r="B99"/>
      <c r="C99"/>
      <c r="D99"/>
      <c r="E99"/>
      <c r="F99"/>
      <c r="G99"/>
    </row>
    <row r="100" spans="1:14">
      <c r="A100"/>
      <c r="B100"/>
      <c r="C100"/>
      <c r="D100"/>
      <c r="E100"/>
      <c r="F100"/>
      <c r="G100"/>
    </row>
  </sheetData>
  <mergeCells count="19">
    <mergeCell ref="G2:J2"/>
    <mergeCell ref="D4:M4"/>
    <mergeCell ref="R5:S5"/>
    <mergeCell ref="H79:I79"/>
    <mergeCell ref="E79:G7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s>
  <pageMargins left="0.75" right="0.75" top="1" bottom="1" header="0" footer="0"/>
  <pageSetup orientation="portrait" horizontalDpi="4294967292"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E4E33FEE-1117-4802-A5BB-FA073D1C6E04}"/>
</file>

<file path=customXml/itemProps2.xml><?xml version="1.0" encoding="utf-8"?>
<ds:datastoreItem xmlns:ds="http://schemas.openxmlformats.org/officeDocument/2006/customXml" ds:itemID="{CC9D7045-503E-4399-9BED-CEC20E11B6DE}"/>
</file>

<file path=customXml/itemProps3.xml><?xml version="1.0" encoding="utf-8"?>
<ds:datastoreItem xmlns:ds="http://schemas.openxmlformats.org/officeDocument/2006/customXml" ds:itemID="{A881089C-6E2A-4FD7-A402-55E9C86C97B5}"/>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Nicole Valeria Kovaleva Sequeira</cp:lastModifiedBy>
  <cp:revision/>
  <dcterms:created xsi:type="dcterms:W3CDTF">2000-04-19T14:51:26Z</dcterms:created>
  <dcterms:modified xsi:type="dcterms:W3CDTF">2025-04-10T14:48:25Z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