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6.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2 (Rosário La Spina)/"/>
    </mc:Choice>
  </mc:AlternateContent>
  <xr:revisionPtr revIDLastSave="252" documentId="13_ncr:1_{2F76A2F0-8C63-4C92-803A-0FBE7DFAE045}" xr6:coauthVersionLast="47" xr6:coauthVersionMax="47" xr10:uidLastSave="{BE19BAE1-F745-4363-AEDC-AAA2A3EA1208}"/>
  <bookViews>
    <workbookView xWindow="20" yWindow="360" windowWidth="9780" windowHeight="10080" tabRatio="777" activeTab="3"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Multiples" sheetId="11" r:id="rId10"/>
    <sheet name="Sensitivity" sheetId="27" r:id="rId11"/>
  </sheets>
  <definedNames>
    <definedName name="_xlchart.v1.3" hidden="1">Sensitivity!$B$56:$B$10055</definedName>
    <definedName name="_xlchart.v5.0" hidden="1">Segments!$B$5</definedName>
    <definedName name="_xlchart.v5.1" hidden="1">Segments!$B$6:$B$10</definedName>
    <definedName name="_xlchart.v5.2"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9" hidden="1">{"'Sheet1'!$A$1:$H$145"}</definedName>
    <definedName name="HTML_Control" localSheetId="3"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19" l="1"/>
  <c r="U14" i="19"/>
  <c r="L9" i="27"/>
  <c r="K9" i="27"/>
  <c r="L8" i="27"/>
  <c r="K8" i="27"/>
  <c r="V35" i="19"/>
  <c r="V34" i="19"/>
  <c r="V32" i="19"/>
  <c r="V33" i="19"/>
  <c r="P64" i="11"/>
  <c r="O64" i="11"/>
  <c r="O43" i="19" s="1"/>
  <c r="N64" i="11"/>
  <c r="N43" i="19" s="1"/>
  <c r="M64" i="11"/>
  <c r="L64" i="11"/>
  <c r="K64" i="11"/>
  <c r="J64" i="11"/>
  <c r="I64" i="11"/>
  <c r="H64" i="11"/>
  <c r="G64" i="11"/>
  <c r="F64" i="11"/>
  <c r="P63" i="11"/>
  <c r="O63" i="11"/>
  <c r="N63" i="11"/>
  <c r="M63" i="11"/>
  <c r="L63" i="11"/>
  <c r="K63" i="11"/>
  <c r="J63" i="11"/>
  <c r="I63" i="11"/>
  <c r="H63" i="11"/>
  <c r="G63" i="11"/>
  <c r="F63"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P58" i="11"/>
  <c r="O58" i="11"/>
  <c r="N58" i="11"/>
  <c r="M58" i="11"/>
  <c r="L58" i="11"/>
  <c r="K58" i="11"/>
  <c r="J58" i="11"/>
  <c r="I58" i="11"/>
  <c r="H58" i="11"/>
  <c r="G58" i="11"/>
  <c r="F58" i="11"/>
  <c r="P57" i="11"/>
  <c r="O57" i="11"/>
  <c r="N57" i="11"/>
  <c r="M57" i="11"/>
  <c r="L57" i="11"/>
  <c r="K57" i="11"/>
  <c r="J57" i="11"/>
  <c r="I57" i="11"/>
  <c r="H57" i="11"/>
  <c r="G57" i="11"/>
  <c r="F57" i="11"/>
  <c r="P56" i="11"/>
  <c r="O56" i="11"/>
  <c r="N56" i="11"/>
  <c r="M56" i="11"/>
  <c r="L56" i="11"/>
  <c r="K56" i="11"/>
  <c r="J56" i="11"/>
  <c r="I56" i="11"/>
  <c r="H56" i="11"/>
  <c r="G56" i="11"/>
  <c r="F56" i="11"/>
  <c r="O53" i="11"/>
  <c r="P53" i="11" s="1"/>
  <c r="H53" i="11"/>
  <c r="I53" i="11" s="1"/>
  <c r="J53" i="11" s="1"/>
  <c r="K53" i="11" s="1"/>
  <c r="L53" i="11" s="1"/>
  <c r="M53" i="11" s="1"/>
  <c r="G53" i="11"/>
  <c r="P55" i="11"/>
  <c r="O55" i="11"/>
  <c r="N55" i="11"/>
  <c r="M55" i="11"/>
  <c r="L55" i="11"/>
  <c r="K55" i="11"/>
  <c r="J55" i="11"/>
  <c r="I55" i="11"/>
  <c r="H55" i="11"/>
  <c r="G55" i="11"/>
  <c r="F55" i="11"/>
  <c r="P45" i="11"/>
  <c r="O45" i="11"/>
  <c r="N45" i="11"/>
  <c r="M45" i="11"/>
  <c r="L45" i="11"/>
  <c r="K45" i="11"/>
  <c r="J45" i="11"/>
  <c r="I45" i="11"/>
  <c r="H45" i="11"/>
  <c r="G45" i="11"/>
  <c r="F45" i="11"/>
  <c r="P44" i="11"/>
  <c r="P51" i="19" s="1"/>
  <c r="O44" i="11"/>
  <c r="O51" i="19" s="1"/>
  <c r="N44" i="11"/>
  <c r="N51" i="19" s="1"/>
  <c r="M44" i="11"/>
  <c r="L44" i="11"/>
  <c r="K44" i="11"/>
  <c r="J44" i="11"/>
  <c r="I44" i="11"/>
  <c r="H44" i="11"/>
  <c r="G44" i="11"/>
  <c r="F44" i="11"/>
  <c r="P43" i="11"/>
  <c r="P49" i="19" s="1"/>
  <c r="O43" i="11"/>
  <c r="O49" i="19" s="1"/>
  <c r="N43" i="11"/>
  <c r="N49" i="19" s="1"/>
  <c r="M43" i="11"/>
  <c r="L43" i="11"/>
  <c r="K43" i="11"/>
  <c r="J43" i="11"/>
  <c r="I43" i="11"/>
  <c r="H43" i="11"/>
  <c r="G43" i="11"/>
  <c r="F43" i="11"/>
  <c r="P42" i="11"/>
  <c r="P48" i="19" s="1"/>
  <c r="O42" i="11"/>
  <c r="O48" i="19" s="1"/>
  <c r="N42" i="11"/>
  <c r="N48" i="19" s="1"/>
  <c r="M42" i="11"/>
  <c r="L42" i="11"/>
  <c r="K42" i="11"/>
  <c r="J42" i="11"/>
  <c r="I42" i="11"/>
  <c r="H42" i="11"/>
  <c r="G42" i="11"/>
  <c r="F42" i="11"/>
  <c r="P41" i="11"/>
  <c r="P47" i="19" s="1"/>
  <c r="O41" i="11"/>
  <c r="O47" i="19" s="1"/>
  <c r="N41" i="11"/>
  <c r="N47" i="19" s="1"/>
  <c r="M41" i="11"/>
  <c r="L41" i="11"/>
  <c r="K41" i="11"/>
  <c r="J41" i="11"/>
  <c r="I41" i="11"/>
  <c r="H41" i="11"/>
  <c r="G41" i="11"/>
  <c r="F41" i="11"/>
  <c r="P40" i="11"/>
  <c r="P46" i="19" s="1"/>
  <c r="O40" i="11"/>
  <c r="O46" i="19" s="1"/>
  <c r="N40" i="11"/>
  <c r="N46" i="19" s="1"/>
  <c r="M40" i="11"/>
  <c r="L40" i="11"/>
  <c r="K40" i="11"/>
  <c r="J40" i="11"/>
  <c r="I40" i="11"/>
  <c r="H40" i="11"/>
  <c r="G40" i="11"/>
  <c r="F40" i="11"/>
  <c r="P29" i="11"/>
  <c r="P38" i="19" s="1"/>
  <c r="O29" i="11"/>
  <c r="O38" i="19" s="1"/>
  <c r="N29" i="11"/>
  <c r="N38" i="19" s="1"/>
  <c r="M29" i="11"/>
  <c r="L29" i="11"/>
  <c r="K29" i="11"/>
  <c r="J29" i="11"/>
  <c r="I29" i="11"/>
  <c r="H29" i="11"/>
  <c r="G29" i="11"/>
  <c r="F29" i="11"/>
  <c r="P28" i="11"/>
  <c r="P37" i="19" s="1"/>
  <c r="O28" i="11"/>
  <c r="O37" i="19" s="1"/>
  <c r="N28" i="11"/>
  <c r="N37" i="19" s="1"/>
  <c r="M28" i="11"/>
  <c r="L28" i="11"/>
  <c r="K28" i="11"/>
  <c r="J28" i="11"/>
  <c r="I28" i="11"/>
  <c r="H28" i="11"/>
  <c r="G28" i="11"/>
  <c r="F28" i="11"/>
  <c r="P27" i="11"/>
  <c r="P36" i="19" s="1"/>
  <c r="O27" i="11"/>
  <c r="O36" i="19" s="1"/>
  <c r="N27" i="11"/>
  <c r="N36" i="19" s="1"/>
  <c r="M27" i="11"/>
  <c r="L27" i="11"/>
  <c r="K27" i="11"/>
  <c r="J27" i="11"/>
  <c r="I27" i="11"/>
  <c r="H27" i="11"/>
  <c r="G27" i="11"/>
  <c r="F27" i="11"/>
  <c r="P23" i="11"/>
  <c r="P33" i="19" s="1"/>
  <c r="O23" i="11"/>
  <c r="O33" i="19" s="1"/>
  <c r="N23" i="11"/>
  <c r="N33" i="19" s="1"/>
  <c r="M23" i="11"/>
  <c r="L23" i="11"/>
  <c r="K23" i="11"/>
  <c r="J23" i="11"/>
  <c r="I23" i="11"/>
  <c r="H23" i="11"/>
  <c r="G23" i="11"/>
  <c r="F23" i="11"/>
  <c r="P22" i="11"/>
  <c r="P32" i="19" s="1"/>
  <c r="O22" i="11"/>
  <c r="O32" i="19" s="1"/>
  <c r="N22" i="11"/>
  <c r="N32" i="19" s="1"/>
  <c r="M22" i="11"/>
  <c r="L22" i="11"/>
  <c r="K22" i="11"/>
  <c r="J22" i="11"/>
  <c r="I22" i="11"/>
  <c r="H22" i="11"/>
  <c r="G22" i="11"/>
  <c r="F22" i="11"/>
  <c r="P21" i="11"/>
  <c r="P31" i="19" s="1"/>
  <c r="O21" i="11"/>
  <c r="O31" i="19" s="1"/>
  <c r="N21" i="11"/>
  <c r="N31" i="19" s="1"/>
  <c r="M21" i="11"/>
  <c r="L21" i="11"/>
  <c r="K21" i="11"/>
  <c r="J21" i="11"/>
  <c r="I21" i="11"/>
  <c r="H21" i="11"/>
  <c r="G21" i="11"/>
  <c r="F21" i="11"/>
  <c r="P20" i="11"/>
  <c r="O20" i="11"/>
  <c r="N20" i="11"/>
  <c r="M20" i="11"/>
  <c r="L20" i="11"/>
  <c r="K20" i="11"/>
  <c r="J20" i="11"/>
  <c r="I20" i="11"/>
  <c r="H20" i="11"/>
  <c r="G20" i="11"/>
  <c r="F20" i="11"/>
  <c r="P19" i="11"/>
  <c r="P30" i="19" s="1"/>
  <c r="O19" i="11"/>
  <c r="O30" i="19" s="1"/>
  <c r="N19" i="11"/>
  <c r="N30" i="19" s="1"/>
  <c r="M19" i="11"/>
  <c r="L19" i="11"/>
  <c r="K19" i="11"/>
  <c r="J19" i="11"/>
  <c r="I19" i="11"/>
  <c r="H19" i="11"/>
  <c r="G19" i="11"/>
  <c r="F19" i="11"/>
  <c r="P18" i="11"/>
  <c r="P29" i="19" s="1"/>
  <c r="O18" i="11"/>
  <c r="O29" i="19" s="1"/>
  <c r="N18" i="11"/>
  <c r="N29" i="19" s="1"/>
  <c r="M18" i="11"/>
  <c r="L18" i="11"/>
  <c r="K18" i="11"/>
  <c r="J18" i="11"/>
  <c r="I18" i="11"/>
  <c r="H18" i="11"/>
  <c r="G18" i="11"/>
  <c r="F18" i="11"/>
  <c r="P17" i="11"/>
  <c r="P28" i="19" s="1"/>
  <c r="O17" i="11"/>
  <c r="O28" i="19" s="1"/>
  <c r="N17" i="11"/>
  <c r="N28" i="19" s="1"/>
  <c r="M17" i="11"/>
  <c r="L17" i="11"/>
  <c r="K17" i="11"/>
  <c r="J17" i="11"/>
  <c r="I17" i="11"/>
  <c r="H17" i="11"/>
  <c r="G17" i="11"/>
  <c r="F17" i="11"/>
  <c r="P16" i="11"/>
  <c r="P27" i="19" s="1"/>
  <c r="O16" i="11"/>
  <c r="O27" i="19" s="1"/>
  <c r="N16" i="11"/>
  <c r="N27" i="19" s="1"/>
  <c r="M16" i="11"/>
  <c r="L16" i="11"/>
  <c r="K16" i="11"/>
  <c r="J16" i="11"/>
  <c r="I16" i="11"/>
  <c r="H16" i="11"/>
  <c r="G16" i="11"/>
  <c r="F16" i="11"/>
  <c r="P15" i="11"/>
  <c r="P26" i="19" s="1"/>
  <c r="O15" i="11"/>
  <c r="O26" i="19" s="1"/>
  <c r="N15" i="11"/>
  <c r="N26" i="19" s="1"/>
  <c r="M15" i="11"/>
  <c r="L15" i="11"/>
  <c r="K15" i="11"/>
  <c r="J15" i="11"/>
  <c r="I15" i="11"/>
  <c r="H15" i="11"/>
  <c r="G15" i="11"/>
  <c r="F15" i="11"/>
  <c r="G16" i="6"/>
  <c r="N19" i="6"/>
  <c r="O17" i="17" a="1"/>
  <c r="O17" i="17" s="1"/>
  <c r="O16" i="17" a="1"/>
  <c r="O16" i="17" s="1"/>
  <c r="O15" i="17" a="1"/>
  <c r="O15" i="17" s="1"/>
  <c r="O14" i="17" a="1"/>
  <c r="O14" i="17" s="1"/>
  <c r="O13" i="17" a="1"/>
  <c r="O13" i="17" s="1"/>
  <c r="O12" i="17" a="1"/>
  <c r="O12" i="17" s="1"/>
  <c r="O11" i="17" a="1"/>
  <c r="O11" i="17" s="1"/>
  <c r="O10" i="17" a="1"/>
  <c r="O10" i="17" s="1"/>
  <c r="O9" i="17" a="1"/>
  <c r="O9" i="17" s="1"/>
  <c r="O8" i="17" a="1"/>
  <c r="O8" i="17" s="1"/>
  <c r="N17" i="17" a="1"/>
  <c r="N17" i="17" s="1"/>
  <c r="N16" i="17" a="1"/>
  <c r="N16" i="17" s="1"/>
  <c r="N15" i="17" a="1"/>
  <c r="N15" i="17" s="1"/>
  <c r="N14" i="17" a="1"/>
  <c r="N14" i="17" s="1"/>
  <c r="N13" i="17" a="1"/>
  <c r="N13" i="17" s="1"/>
  <c r="N12" i="17" a="1"/>
  <c r="N12" i="17" s="1"/>
  <c r="N11" i="17" a="1"/>
  <c r="N11" i="17" s="1"/>
  <c r="N10" i="17" a="1"/>
  <c r="N10" i="17" s="1"/>
  <c r="N9" i="17" a="1"/>
  <c r="N9" i="17" s="1"/>
  <c r="N8" i="17" a="1"/>
  <c r="N8" i="17" s="1"/>
  <c r="M17" i="17" a="1"/>
  <c r="M17" i="17" s="1"/>
  <c r="M16" i="17" a="1"/>
  <c r="M16" i="17" s="1"/>
  <c r="M15" i="17" a="1"/>
  <c r="M15" i="17" s="1"/>
  <c r="M13" i="17" a="1"/>
  <c r="M13" i="17" s="1"/>
  <c r="M12" i="17" a="1"/>
  <c r="M12" i="17" s="1"/>
  <c r="M11" i="17" a="1"/>
  <c r="M11" i="17" s="1"/>
  <c r="M10" i="17" a="1"/>
  <c r="M10" i="17" s="1"/>
  <c r="M9" i="17" a="1"/>
  <c r="M9" i="17" s="1"/>
  <c r="M8" i="17" a="1"/>
  <c r="M8" i="17" s="1"/>
  <c r="L17" i="17" a="1"/>
  <c r="L17" i="17" s="1"/>
  <c r="L16" i="17" a="1"/>
  <c r="L16" i="17" s="1"/>
  <c r="L15" i="17" a="1"/>
  <c r="L15" i="17" s="1"/>
  <c r="L13" i="17" a="1"/>
  <c r="L13" i="17" s="1"/>
  <c r="L12" i="17" a="1"/>
  <c r="L12" i="17"/>
  <c r="L11" i="17" a="1"/>
  <c r="L11" i="17" s="1"/>
  <c r="L10" i="17" a="1"/>
  <c r="L10" i="17" s="1"/>
  <c r="L9" i="17" a="1"/>
  <c r="L9" i="17" s="1"/>
  <c r="L8" i="17" a="1"/>
  <c r="L8" i="17" s="1"/>
  <c r="K17" i="17" a="1"/>
  <c r="K17" i="17" s="1"/>
  <c r="K16" i="17" a="1"/>
  <c r="K16" i="17" s="1"/>
  <c r="K15" i="17" a="1"/>
  <c r="K15" i="17" s="1"/>
  <c r="K13" i="17" a="1"/>
  <c r="K13" i="17" s="1"/>
  <c r="K12" i="17" a="1"/>
  <c r="K12" i="17" s="1"/>
  <c r="K11" i="17" a="1"/>
  <c r="K11" i="17" s="1"/>
  <c r="K10" i="17" a="1"/>
  <c r="K10" i="17" s="1"/>
  <c r="K9" i="17" a="1"/>
  <c r="K9" i="17" s="1"/>
  <c r="K8" i="17" a="1"/>
  <c r="K8" i="17" s="1"/>
  <c r="J17" i="17" a="1"/>
  <c r="J17" i="17" s="1"/>
  <c r="J16" i="17" a="1"/>
  <c r="J16" i="17" s="1"/>
  <c r="J15" i="17" a="1"/>
  <c r="J15" i="17" s="1"/>
  <c r="J13" i="17" a="1"/>
  <c r="J13" i="17" s="1"/>
  <c r="J12" i="17" a="1"/>
  <c r="J12" i="17" s="1"/>
  <c r="J11" i="17" a="1"/>
  <c r="J11" i="17"/>
  <c r="J10" i="17" a="1"/>
  <c r="J10" i="17" s="1"/>
  <c r="J9" i="17" a="1"/>
  <c r="J9" i="17" s="1"/>
  <c r="J8" i="17" a="1"/>
  <c r="J8" i="17" s="1"/>
  <c r="I17" i="17"/>
  <c r="I16" i="17"/>
  <c r="I15" i="17"/>
  <c r="I14" i="17"/>
  <c r="I13" i="17"/>
  <c r="I12" i="17"/>
  <c r="I11"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5" i="17"/>
  <c r="E14" i="17"/>
  <c r="E13" i="17"/>
  <c r="E12" i="17"/>
  <c r="E11" i="17"/>
  <c r="E10" i="17"/>
  <c r="E9" i="17"/>
  <c r="E8" i="17"/>
  <c r="D17" i="17"/>
  <c r="D16" i="17"/>
  <c r="D15" i="17"/>
  <c r="D14" i="17"/>
  <c r="D13" i="17"/>
  <c r="D12" i="17"/>
  <c r="D11" i="17"/>
  <c r="D10" i="17"/>
  <c r="D9" i="17"/>
  <c r="D8" i="17"/>
  <c r="C17" i="17" a="1"/>
  <c r="C17" i="17" s="1"/>
  <c r="C16" i="17" a="1"/>
  <c r="C16" i="17" s="1"/>
  <c r="C15" i="17" a="1"/>
  <c r="C15" i="17" s="1"/>
  <c r="C14" i="17" a="1"/>
  <c r="C14" i="17" s="1"/>
  <c r="C13" i="17" a="1"/>
  <c r="C13" i="17" s="1"/>
  <c r="C12" i="17" a="1"/>
  <c r="C12" i="17" s="1"/>
  <c r="J29" i="17" s="1"/>
  <c r="J80" i="17" s="1"/>
  <c r="C11" i="17" a="1"/>
  <c r="C11" i="17" s="1"/>
  <c r="C10" i="17" a="1"/>
  <c r="C10" i="17" s="1"/>
  <c r="C9" i="17" a="1"/>
  <c r="C9" i="17" s="1"/>
  <c r="C8" i="17" a="1"/>
  <c r="C8" i="17" s="1"/>
  <c r="B17" i="17" a="1"/>
  <c r="B17" i="17" s="1"/>
  <c r="B16" i="17" a="1"/>
  <c r="B16" i="17" s="1"/>
  <c r="B15" i="17" a="1"/>
  <c r="B15" i="17" s="1"/>
  <c r="B14" i="17" a="1"/>
  <c r="B14" i="17" s="1"/>
  <c r="B13" i="17" a="1"/>
  <c r="B13" i="17" s="1"/>
  <c r="B12" i="17" a="1"/>
  <c r="B12" i="17" s="1"/>
  <c r="B11" i="17" a="1"/>
  <c r="B11" i="17" s="1"/>
  <c r="B10" i="17" a="1"/>
  <c r="B10" i="17" s="1"/>
  <c r="B9" i="17" a="1"/>
  <c r="B9" i="17" s="1"/>
  <c r="B8" i="17" a="1"/>
  <c r="B8" i="17" s="1"/>
  <c r="N85" i="17" a="1"/>
  <c r="N85" i="17" s="1"/>
  <c r="M85" i="17" a="1"/>
  <c r="M85" i="17" s="1"/>
  <c r="L85" i="17" a="1"/>
  <c r="L85" i="17" s="1"/>
  <c r="K85" i="17" a="1"/>
  <c r="K85" i="17" s="1"/>
  <c r="J85" i="17" a="1"/>
  <c r="J85" i="17" s="1"/>
  <c r="I85" i="17" a="1"/>
  <c r="I85" i="17" s="1"/>
  <c r="H85" i="17" a="1"/>
  <c r="H85" i="17" s="1"/>
  <c r="G85" i="17" a="1"/>
  <c r="G85" i="17" s="1"/>
  <c r="F85" i="17" a="1"/>
  <c r="F85" i="17" s="1"/>
  <c r="E85" i="17" a="1"/>
  <c r="E85" i="17" s="1"/>
  <c r="N75" i="17"/>
  <c r="M75" i="17"/>
  <c r="L75" i="17"/>
  <c r="K75" i="17"/>
  <c r="J75" i="17"/>
  <c r="I75" i="17"/>
  <c r="H75" i="17"/>
  <c r="G75" i="17"/>
  <c r="F75" i="17"/>
  <c r="E75" i="17"/>
  <c r="N74" i="17" a="1"/>
  <c r="N74" i="17" s="1"/>
  <c r="M74" i="17" a="1"/>
  <c r="M74" i="17" s="1"/>
  <c r="L74" i="17" a="1"/>
  <c r="L74" i="17" s="1"/>
  <c r="K74" i="17"/>
  <c r="K74" i="17" a="1"/>
  <c r="J74" i="17" a="1"/>
  <c r="J74" i="17" s="1"/>
  <c r="I74" i="17" a="1"/>
  <c r="I74" i="17" s="1"/>
  <c r="H74" i="17" a="1"/>
  <c r="H74" i="17" s="1"/>
  <c r="G74" i="17" a="1"/>
  <c r="G74" i="17" s="1"/>
  <c r="F74" i="17" a="1"/>
  <c r="F74" i="17" s="1"/>
  <c r="E74" i="17" a="1"/>
  <c r="E74" i="17" s="1"/>
  <c r="E69" i="3"/>
  <c r="E63" i="3"/>
  <c r="E57" i="3"/>
  <c r="E51" i="3"/>
  <c r="E44" i="3"/>
  <c r="D12" i="4"/>
  <c r="D11" i="4"/>
  <c r="D10" i="4"/>
  <c r="D9" i="4"/>
  <c r="D8" i="4"/>
  <c r="D7" i="4"/>
  <c r="Q258" i="8"/>
  <c r="Q259" i="8" s="1"/>
  <c r="P258" i="8"/>
  <c r="P259" i="8" s="1"/>
  <c r="O258" i="8"/>
  <c r="O259" i="8" s="1"/>
  <c r="N258" i="8"/>
  <c r="N259" i="8" s="1"/>
  <c r="M258" i="8"/>
  <c r="M259" i="8" s="1"/>
  <c r="L258" i="8"/>
  <c r="L259" i="8" s="1"/>
  <c r="K258" i="8"/>
  <c r="K259" i="8" s="1"/>
  <c r="J258" i="8"/>
  <c r="J259" i="8" s="1"/>
  <c r="I258" i="8"/>
  <c r="I259" i="8" s="1"/>
  <c r="H258" i="8"/>
  <c r="H259" i="8" s="1"/>
  <c r="Q210" i="8" a="1"/>
  <c r="Q210" i="8" s="1"/>
  <c r="Q207" i="8" a="1"/>
  <c r="Q207" i="8" s="1"/>
  <c r="Q174" i="8"/>
  <c r="P174" i="8"/>
  <c r="O174" i="8"/>
  <c r="N174" i="8"/>
  <c r="M174" i="8"/>
  <c r="L174" i="8"/>
  <c r="K174" i="8"/>
  <c r="J174" i="8"/>
  <c r="I174" i="8"/>
  <c r="Q172" i="8"/>
  <c r="P172" i="8"/>
  <c r="O172" i="8"/>
  <c r="N172" i="8"/>
  <c r="M172" i="8"/>
  <c r="L172" i="8"/>
  <c r="K172" i="8"/>
  <c r="J172" i="8"/>
  <c r="I172" i="8"/>
  <c r="Q31" i="8"/>
  <c r="P31" i="8"/>
  <c r="O31" i="8"/>
  <c r="N31" i="8"/>
  <c r="M31" i="8"/>
  <c r="L31" i="8"/>
  <c r="K31" i="8"/>
  <c r="J31" i="8"/>
  <c r="I31" i="8"/>
  <c r="P43" i="19"/>
  <c r="P42" i="19"/>
  <c r="O42" i="19"/>
  <c r="N42" i="19"/>
  <c r="Q121" i="9"/>
  <c r="P121" i="9"/>
  <c r="O121" i="9"/>
  <c r="N121" i="9"/>
  <c r="M121" i="9"/>
  <c r="L121" i="9"/>
  <c r="K121" i="9"/>
  <c r="J121" i="9"/>
  <c r="I121" i="9"/>
  <c r="H121" i="9"/>
  <c r="G121" i="9"/>
  <c r="Q120" i="9"/>
  <c r="P120" i="9"/>
  <c r="O120" i="9"/>
  <c r="N120" i="9"/>
  <c r="M120" i="9"/>
  <c r="L120" i="9"/>
  <c r="K120" i="9"/>
  <c r="J120" i="9"/>
  <c r="I120" i="9"/>
  <c r="H120" i="9"/>
  <c r="G120" i="9"/>
  <c r="Q119" i="9"/>
  <c r="P119" i="9"/>
  <c r="O119" i="9"/>
  <c r="N119" i="9"/>
  <c r="M119" i="9"/>
  <c r="L119" i="9"/>
  <c r="K119" i="9"/>
  <c r="J119" i="9"/>
  <c r="I119" i="9"/>
  <c r="H119" i="9"/>
  <c r="G119" i="9"/>
  <c r="Q118" i="9"/>
  <c r="P118" i="9"/>
  <c r="O118" i="9"/>
  <c r="N118" i="9"/>
  <c r="M118" i="9"/>
  <c r="L118" i="9"/>
  <c r="K118" i="9"/>
  <c r="J118" i="9"/>
  <c r="I118" i="9"/>
  <c r="H118" i="9"/>
  <c r="Q117" i="9"/>
  <c r="P117" i="9"/>
  <c r="O117" i="9"/>
  <c r="N117" i="9"/>
  <c r="M117" i="9"/>
  <c r="L117" i="9"/>
  <c r="K117" i="9"/>
  <c r="J117" i="9"/>
  <c r="I117" i="9"/>
  <c r="H117" i="9"/>
  <c r="Q115" i="9"/>
  <c r="P115" i="9"/>
  <c r="O115" i="9"/>
  <c r="N115" i="9"/>
  <c r="M115" i="9"/>
  <c r="L115" i="9"/>
  <c r="K115" i="9"/>
  <c r="J115" i="9"/>
  <c r="I115" i="9"/>
  <c r="H115" i="9"/>
  <c r="G115" i="9"/>
  <c r="Q114" i="9"/>
  <c r="P114" i="9"/>
  <c r="O114" i="9"/>
  <c r="N114" i="9"/>
  <c r="M114" i="9"/>
  <c r="L114" i="9"/>
  <c r="K114" i="9"/>
  <c r="J114" i="9"/>
  <c r="I114" i="9"/>
  <c r="H114" i="9"/>
  <c r="G114" i="9"/>
  <c r="Q113" i="9"/>
  <c r="P113" i="9"/>
  <c r="O113" i="9"/>
  <c r="N113" i="9"/>
  <c r="M113" i="9"/>
  <c r="L113" i="9"/>
  <c r="K113" i="9"/>
  <c r="J113" i="9"/>
  <c r="I113" i="9"/>
  <c r="H113" i="9"/>
  <c r="G84" i="9"/>
  <c r="M79" i="9"/>
  <c r="Q46" i="9"/>
  <c r="P46" i="9"/>
  <c r="O46" i="9"/>
  <c r="N46" i="9"/>
  <c r="M46" i="9"/>
  <c r="L46" i="9"/>
  <c r="K46" i="9"/>
  <c r="J46" i="9"/>
  <c r="I46" i="9"/>
  <c r="H46" i="9"/>
  <c r="V73" i="19"/>
  <c r="V72" i="19"/>
  <c r="V71" i="19"/>
  <c r="V70" i="19"/>
  <c r="V69" i="19"/>
  <c r="V68" i="19"/>
  <c r="V67" i="19"/>
  <c r="V66" i="19"/>
  <c r="V65" i="19"/>
  <c r="V64" i="19"/>
  <c r="V63" i="19"/>
  <c r="V62" i="19"/>
  <c r="V61" i="19"/>
  <c r="P61" i="11"/>
  <c r="O61" i="11"/>
  <c r="N61" i="11"/>
  <c r="M61" i="11"/>
  <c r="L61" i="11"/>
  <c r="K61" i="11"/>
  <c r="J61" i="11"/>
  <c r="I61" i="11"/>
  <c r="H61" i="11"/>
  <c r="G61" i="11"/>
  <c r="F61" i="11"/>
  <c r="N67" i="17"/>
  <c r="M67" i="17"/>
  <c r="L67" i="17"/>
  <c r="K67" i="17"/>
  <c r="J67" i="17"/>
  <c r="I67" i="17"/>
  <c r="H67" i="17"/>
  <c r="G67" i="17"/>
  <c r="F67" i="17"/>
  <c r="E67" i="17"/>
  <c r="K16" i="27"/>
  <c r="K15" i="27"/>
  <c r="K14" i="27"/>
  <c r="K13" i="27"/>
  <c r="K12" i="27"/>
  <c r="N66" i="17"/>
  <c r="M66" i="17"/>
  <c r="L66" i="17"/>
  <c r="K66" i="17"/>
  <c r="J66" i="17"/>
  <c r="I66" i="17"/>
  <c r="H66" i="17"/>
  <c r="G66" i="17"/>
  <c r="F66" i="17"/>
  <c r="E66" i="17"/>
  <c r="P50" i="19" l="1"/>
  <c r="N50" i="19"/>
  <c r="O50" i="19"/>
  <c r="F19" i="27"/>
  <c r="D17" i="27"/>
  <c r="F10" i="27"/>
  <c r="H8" i="27"/>
  <c r="E7" i="27"/>
  <c r="H11" i="27"/>
  <c r="G8" i="27"/>
  <c r="F8" i="27"/>
  <c r="H9" i="27"/>
  <c r="F9" i="27"/>
  <c r="H7" i="27"/>
  <c r="H10" i="27"/>
  <c r="G7" i="27"/>
  <c r="G10" i="27"/>
  <c r="F7" i="27"/>
  <c r="E19" i="27"/>
  <c r="E10" i="27"/>
  <c r="D7" i="27"/>
  <c r="F18" i="27"/>
  <c r="E8" i="27"/>
  <c r="E18" i="27"/>
  <c r="G9" i="27"/>
  <c r="L14" i="27"/>
  <c r="L13" i="27"/>
  <c r="D19" i="27"/>
  <c r="G11" i="27"/>
  <c r="D10" i="27"/>
  <c r="F11" i="27"/>
  <c r="E11" i="27"/>
  <c r="D8" i="27"/>
  <c r="D18" i="27"/>
  <c r="F17" i="27"/>
  <c r="E9" i="27"/>
  <c r="L12" i="27"/>
  <c r="D11" i="27"/>
  <c r="E17" i="27"/>
  <c r="D9" i="27"/>
  <c r="L15" i="27"/>
  <c r="N63" i="17"/>
  <c r="M63" i="17"/>
  <c r="L63" i="17"/>
  <c r="K63" i="17"/>
  <c r="J63" i="17"/>
  <c r="I63" i="17"/>
  <c r="H63" i="17"/>
  <c r="G63" i="17"/>
  <c r="F63" i="17"/>
  <c r="E63" i="17"/>
  <c r="I105" i="9"/>
  <c r="J105" i="9"/>
  <c r="K105" i="9"/>
  <c r="L105" i="9" s="1"/>
  <c r="M105" i="9" s="1"/>
  <c r="N105" i="9" s="1"/>
  <c r="O105" i="9" s="1"/>
  <c r="P105" i="9" s="1"/>
  <c r="Q105" i="9" s="1"/>
  <c r="N65" i="17"/>
  <c r="M65" i="17"/>
  <c r="L65" i="17"/>
  <c r="K65" i="17"/>
  <c r="J65" i="17"/>
  <c r="I65" i="17"/>
  <c r="H65" i="17"/>
  <c r="G65" i="17"/>
  <c r="F65" i="17"/>
  <c r="E65" i="17"/>
  <c r="AN292" i="8" l="1"/>
  <c r="AN282" i="8"/>
  <c r="F64" i="17"/>
  <c r="G64" i="17"/>
  <c r="H64" i="17"/>
  <c r="I64" i="17"/>
  <c r="J64" i="17"/>
  <c r="K64" i="17"/>
  <c r="L64" i="17"/>
  <c r="M64" i="17"/>
  <c r="N64" i="17"/>
  <c r="E68" i="17"/>
  <c r="F68" i="17"/>
  <c r="G68" i="17"/>
  <c r="H68" i="17"/>
  <c r="I68" i="17"/>
  <c r="J68" i="17"/>
  <c r="K68" i="17"/>
  <c r="L68" i="17"/>
  <c r="M68" i="17"/>
  <c r="N68" i="17"/>
  <c r="E64" i="17"/>
  <c r="Q86" i="28" l="1"/>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I36" i="17"/>
  <c r="H36" i="17"/>
  <c r="G36" i="17"/>
  <c r="F36" i="17"/>
  <c r="E36" i="17"/>
  <c r="N35" i="17"/>
  <c r="M35" i="17"/>
  <c r="L35" i="17"/>
  <c r="K35" i="17"/>
  <c r="J35" i="17"/>
  <c r="I35" i="17"/>
  <c r="H35" i="17"/>
  <c r="G35" i="17"/>
  <c r="F35" i="17"/>
  <c r="E35" i="17"/>
  <c r="N34" i="17"/>
  <c r="M34" i="17"/>
  <c r="L34" i="17"/>
  <c r="K34" i="17"/>
  <c r="J34" i="17"/>
  <c r="I34" i="17"/>
  <c r="H34" i="17"/>
  <c r="G34" i="17"/>
  <c r="F34" i="17"/>
  <c r="E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G61" i="17"/>
  <c r="F61" i="17"/>
  <c r="E61" i="17"/>
  <c r="D6" i="4"/>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D13" i="4" l="1"/>
  <c r="I4" i="28"/>
  <c r="J14" i="6"/>
  <c r="K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J71" i="17"/>
  <c r="O50" i="17"/>
  <c r="J50" i="17"/>
  <c r="O44" i="17"/>
  <c r="J44" i="17"/>
  <c r="O38" i="17"/>
  <c r="O59" i="17" s="1"/>
  <c r="J38" i="17"/>
  <c r="J59" i="17" s="1"/>
  <c r="H27" i="17"/>
  <c r="H26" i="17"/>
  <c r="H24" i="17"/>
  <c r="U9" i="19" a="1"/>
  <c r="G9" i="6" a="1"/>
  <c r="D6" i="19" a="1"/>
  <c r="J4" i="28" l="1"/>
  <c r="G9" i="6"/>
  <c r="G15" i="6"/>
  <c r="D6" i="19"/>
  <c r="U9"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11"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E52" i="17"/>
  <c r="N42" i="17"/>
  <c r="M42" i="17"/>
  <c r="L42" i="17"/>
  <c r="K42" i="17"/>
  <c r="J42" i="17"/>
  <c r="I42" i="17"/>
  <c r="H42" i="17"/>
  <c r="G42" i="17"/>
  <c r="F42" i="17"/>
  <c r="E42" i="17"/>
  <c r="N99" i="17"/>
  <c r="M99" i="17"/>
  <c r="L99" i="17"/>
  <c r="K99" i="17"/>
  <c r="J99" i="17"/>
  <c r="H99" i="17"/>
  <c r="G99" i="17"/>
  <c r="F99" i="17"/>
  <c r="I99" i="17"/>
  <c r="E99" i="17"/>
  <c r="A17" i="17"/>
  <c r="A16" i="17"/>
  <c r="B37" i="3" s="1" a="1"/>
  <c r="A15" i="17"/>
  <c r="A14" i="17"/>
  <c r="A13" i="17"/>
  <c r="A12" i="17"/>
  <c r="A11" i="17"/>
  <c r="A10" i="17"/>
  <c r="A9" i="17"/>
  <c r="A8" i="17"/>
  <c r="B29" i="3" s="1" a="1"/>
  <c r="D91" i="17"/>
  <c r="Q53" i="11"/>
  <c r="R53" i="11" s="1"/>
  <c r="S203" i="8"/>
  <c r="R203" i="8"/>
  <c r="S202" i="8"/>
  <c r="R202" i="8"/>
  <c r="W8" i="8"/>
  <c r="W9" i="8" s="1"/>
  <c r="W10" i="8" s="1"/>
  <c r="W11" i="8" s="1"/>
  <c r="W12" i="8" s="1"/>
  <c r="W13" i="8" s="1"/>
  <c r="W14" i="8" s="1"/>
  <c r="H62" i="8"/>
  <c r="Q62" i="8"/>
  <c r="P62" i="8"/>
  <c r="O62" i="8"/>
  <c r="N62" i="8"/>
  <c r="M62" i="8"/>
  <c r="L62" i="8"/>
  <c r="K62" i="8"/>
  <c r="J62" i="8"/>
  <c r="I62" i="8"/>
  <c r="H111" i="9"/>
  <c r="I111" i="9" s="1"/>
  <c r="J111" i="9" s="1"/>
  <c r="K111" i="9" s="1"/>
  <c r="L111" i="9" s="1"/>
  <c r="M111" i="9" s="1"/>
  <c r="N111" i="9" s="1"/>
  <c r="O111" i="9" s="1"/>
  <c r="P111" i="9" s="1"/>
  <c r="Q111" i="9" s="1"/>
  <c r="N13" i="9"/>
  <c r="N67" i="9" s="1"/>
  <c r="M13" i="9"/>
  <c r="M67" i="9" s="1"/>
  <c r="I13" i="9"/>
  <c r="I67" i="9" s="1"/>
  <c r="P13" i="9"/>
  <c r="F50" i="8" s="1"/>
  <c r="F51" i="8" s="1"/>
  <c r="L13" i="9"/>
  <c r="L67" i="9" s="1"/>
  <c r="K13" i="9"/>
  <c r="K67" i="9" s="1"/>
  <c r="J13" i="9"/>
  <c r="J67" i="9" s="1"/>
  <c r="H13" i="9"/>
  <c r="H67" i="9" s="1"/>
  <c r="G13" i="9"/>
  <c r="N76" i="9"/>
  <c r="M76" i="9"/>
  <c r="I76" i="9"/>
  <c r="G76" i="9"/>
  <c r="Q76" i="9"/>
  <c r="G102" i="9"/>
  <c r="H102" i="9"/>
  <c r="I102" i="9"/>
  <c r="J102" i="9"/>
  <c r="K102" i="9"/>
  <c r="L102" i="9"/>
  <c r="M102" i="9"/>
  <c r="N102" i="9"/>
  <c r="O102" i="9"/>
  <c r="P102" i="9"/>
  <c r="Q102" i="9"/>
  <c r="H55" i="9"/>
  <c r="I55" i="9"/>
  <c r="L55" i="9"/>
  <c r="N55" i="9"/>
  <c r="I50" i="9"/>
  <c r="M50" i="9"/>
  <c r="Q50" i="9"/>
  <c r="H32" i="9"/>
  <c r="K32" i="9"/>
  <c r="L32" i="9"/>
  <c r="P55" i="9"/>
  <c r="M55" i="9"/>
  <c r="I17" i="9"/>
  <c r="G8" i="9"/>
  <c r="G56" i="8"/>
  <c r="G145" i="8"/>
  <c r="E56" i="8"/>
  <c r="E42" i="8"/>
  <c r="E153" i="8"/>
  <c r="F145" i="8"/>
  <c r="F153" i="8"/>
  <c r="E101" i="8"/>
  <c r="G163" i="8"/>
  <c r="G42" i="8"/>
  <c r="F93" i="8"/>
  <c r="E71" i="8"/>
  <c r="E165" i="8"/>
  <c r="F42" i="8"/>
  <c r="G153" i="8"/>
  <c r="G45" i="8"/>
  <c r="Q49" i="11"/>
  <c r="Q54" i="19" s="1"/>
  <c r="E132" i="8"/>
  <c r="F101" i="8"/>
  <c r="G101" i="8"/>
  <c r="D106" i="17"/>
  <c r="F56" i="8"/>
  <c r="D107" i="17"/>
  <c r="B28" i="3" a="1"/>
  <c r="O98" i="9" a="1"/>
  <c r="G154" i="8" l="1"/>
  <c r="E154" i="8"/>
  <c r="F154" i="8"/>
  <c r="G23" i="6"/>
  <c r="G19" i="6" s="1"/>
  <c r="D85" i="17" a="1"/>
  <c r="D85" i="17" s="1"/>
  <c r="O85" i="17" s="1"/>
  <c r="D74" i="17" a="1"/>
  <c r="D74" i="17" s="1"/>
  <c r="G32" i="9"/>
  <c r="G99" i="9" s="1"/>
  <c r="M100" i="9"/>
  <c r="Q55" i="9"/>
  <c r="D120" i="17" s="1"/>
  <c r="K76" i="9"/>
  <c r="G50" i="9"/>
  <c r="G53" i="9" s="1"/>
  <c r="J76" i="9"/>
  <c r="G12" i="9"/>
  <c r="L68" i="9"/>
  <c r="K4" i="28"/>
  <c r="H71" i="8"/>
  <c r="P32" i="9"/>
  <c r="Q100" i="9"/>
  <c r="J17" i="9"/>
  <c r="M17" i="9"/>
  <c r="P68" i="9"/>
  <c r="N17" i="9"/>
  <c r="O32" i="9"/>
  <c r="O99" i="9" s="1"/>
  <c r="L50" i="9"/>
  <c r="L100" i="9" s="1"/>
  <c r="J55" i="9"/>
  <c r="G55" i="9"/>
  <c r="H68" i="9"/>
  <c r="H76" i="9"/>
  <c r="L76" i="9"/>
  <c r="O98" i="9"/>
  <c r="G37" i="9"/>
  <c r="L37" i="9"/>
  <c r="L99" i="9"/>
  <c r="O33" i="11"/>
  <c r="F35" i="11"/>
  <c r="AH9" i="8"/>
  <c r="P67" i="9"/>
  <c r="G17" i="9"/>
  <c r="K17" i="9"/>
  <c r="H37" i="9"/>
  <c r="H99" i="9"/>
  <c r="N32" i="9"/>
  <c r="N99" i="9" s="1"/>
  <c r="H50" i="9"/>
  <c r="H53" i="9" s="1"/>
  <c r="Q32" i="9"/>
  <c r="M32" i="9"/>
  <c r="I32" i="9"/>
  <c r="F33" i="11"/>
  <c r="AI9" i="8"/>
  <c r="N50" i="9"/>
  <c r="N100" i="9" s="1"/>
  <c r="J50" i="9"/>
  <c r="I68" i="9"/>
  <c r="M68" i="9"/>
  <c r="Q68" i="9"/>
  <c r="P76" i="9"/>
  <c r="G67" i="9"/>
  <c r="J32" i="9"/>
  <c r="I100" i="9"/>
  <c r="O50" i="9"/>
  <c r="O53" i="9" s="1"/>
  <c r="K37" i="9"/>
  <c r="K99" i="9"/>
  <c r="K50" i="9"/>
  <c r="P50" i="9"/>
  <c r="P100" i="9" s="1"/>
  <c r="G35" i="11"/>
  <c r="O55" i="9"/>
  <c r="K55" i="9"/>
  <c r="G68" i="9"/>
  <c r="K68" i="9"/>
  <c r="O68" i="9"/>
  <c r="O76" i="9"/>
  <c r="O13" i="9"/>
  <c r="Q13" i="9"/>
  <c r="H17" i="9"/>
  <c r="L17" i="9"/>
  <c r="M33" i="11"/>
  <c r="L35" i="11"/>
  <c r="H35" i="11"/>
  <c r="F34" i="11"/>
  <c r="J68" i="9"/>
  <c r="N68" i="9"/>
  <c r="G57" i="17"/>
  <c r="I27" i="17"/>
  <c r="I26" i="17"/>
  <c r="I25" i="17"/>
  <c r="I24" i="17"/>
  <c r="B37" i="3"/>
  <c r="B28" i="3"/>
  <c r="B29" i="3"/>
  <c r="L57" i="17"/>
  <c r="I57" i="17"/>
  <c r="E57" i="17"/>
  <c r="M57" i="17"/>
  <c r="F57" i="17"/>
  <c r="N57" i="17"/>
  <c r="H57" i="17"/>
  <c r="J57" i="17"/>
  <c r="K57" i="17"/>
  <c r="A6" i="17"/>
  <c r="F123" i="8"/>
  <c r="Q39" i="9"/>
  <c r="P39" i="9"/>
  <c r="O39" i="9"/>
  <c r="N39" i="9"/>
  <c r="M39" i="9"/>
  <c r="L39" i="9"/>
  <c r="K39" i="9"/>
  <c r="J39" i="9"/>
  <c r="I39" i="9"/>
  <c r="H39" i="9"/>
  <c r="G39" i="9"/>
  <c r="G46" i="9" s="1"/>
  <c r="O17" i="9"/>
  <c r="P17" i="9"/>
  <c r="G91" i="9"/>
  <c r="H91" i="9"/>
  <c r="I91" i="9"/>
  <c r="J91" i="9"/>
  <c r="K91" i="9"/>
  <c r="L91" i="9"/>
  <c r="M91" i="9"/>
  <c r="N91" i="9"/>
  <c r="O91" i="9"/>
  <c r="P91" i="9"/>
  <c r="Q91" i="9"/>
  <c r="Q53" i="9"/>
  <c r="M53" i="9"/>
  <c r="L53" i="9"/>
  <c r="K53" i="9"/>
  <c r="I53" i="9"/>
  <c r="H58" i="9"/>
  <c r="I58" i="9"/>
  <c r="J58" i="9"/>
  <c r="L58" i="9"/>
  <c r="M58" i="9"/>
  <c r="N58" i="9"/>
  <c r="P58" i="9"/>
  <c r="Q58" i="9"/>
  <c r="Q17" i="9"/>
  <c r="O4" i="11"/>
  <c r="P4" i="11" s="1"/>
  <c r="Q4" i="11" s="1"/>
  <c r="H64" i="9"/>
  <c r="I64" i="9" s="1"/>
  <c r="J64" i="9" s="1"/>
  <c r="K64" i="9" s="1"/>
  <c r="L64" i="9" s="1"/>
  <c r="M64" i="9" s="1"/>
  <c r="N64" i="9" s="1"/>
  <c r="O64" i="9" s="1"/>
  <c r="P64" i="9" s="1"/>
  <c r="Q64" i="9" s="1"/>
  <c r="Q45" i="9"/>
  <c r="H45" i="9"/>
  <c r="I48" i="9"/>
  <c r="H48" i="9"/>
  <c r="H30" i="9"/>
  <c r="I30" i="9" s="1"/>
  <c r="J30" i="9" s="1"/>
  <c r="K30" i="9" s="1"/>
  <c r="L30" i="9" s="1"/>
  <c r="M30" i="9" s="1"/>
  <c r="N30" i="9" s="1"/>
  <c r="O30" i="9" s="1"/>
  <c r="P30" i="9" s="1"/>
  <c r="Q30" i="9" s="1"/>
  <c r="H4" i="9"/>
  <c r="E228" i="8"/>
  <c r="E255" i="8" s="1"/>
  <c r="P196" i="8"/>
  <c r="E168" i="8"/>
  <c r="E213" i="8" s="1"/>
  <c r="E121" i="8"/>
  <c r="E84" i="8"/>
  <c r="F28" i="8"/>
  <c r="F15" i="8"/>
  <c r="G15" i="8" s="1"/>
  <c r="H15" i="8" s="1"/>
  <c r="I15" i="8" s="1"/>
  <c r="J15" i="8" s="1"/>
  <c r="K15" i="8" s="1"/>
  <c r="L15" i="8" s="1"/>
  <c r="M15" i="8" s="1"/>
  <c r="N15" i="8" s="1"/>
  <c r="O15" i="8" s="1"/>
  <c r="P15" i="8" s="1"/>
  <c r="Q15" i="8" s="1"/>
  <c r="L10" i="8"/>
  <c r="C13" i="8" s="1"/>
  <c r="F10" i="8"/>
  <c r="I43" i="4"/>
  <c r="H43" i="4"/>
  <c r="G43" i="4"/>
  <c r="F43" i="4"/>
  <c r="J42" i="4"/>
  <c r="K42" i="4" s="1"/>
  <c r="L42" i="4" s="1"/>
  <c r="M42" i="4" s="1"/>
  <c r="N42" i="4" s="1"/>
  <c r="O42" i="4" s="1"/>
  <c r="P42" i="4" s="1"/>
  <c r="Q42" i="4" s="1"/>
  <c r="R42" i="4" s="1"/>
  <c r="S42" i="4" s="1"/>
  <c r="T42" i="4" s="1"/>
  <c r="I41" i="4"/>
  <c r="H41" i="4"/>
  <c r="G41" i="4"/>
  <c r="F41" i="4"/>
  <c r="J40" i="4"/>
  <c r="K40" i="4" s="1"/>
  <c r="L40" i="4" s="1"/>
  <c r="M40" i="4" s="1"/>
  <c r="N40" i="4" s="1"/>
  <c r="O40" i="4" s="1"/>
  <c r="P40" i="4" s="1"/>
  <c r="Q40" i="4" s="1"/>
  <c r="R40" i="4" s="1"/>
  <c r="S40" i="4" s="1"/>
  <c r="T40" i="4" s="1"/>
  <c r="I39" i="4"/>
  <c r="H39" i="4"/>
  <c r="G39" i="4"/>
  <c r="F39" i="4"/>
  <c r="J38" i="4"/>
  <c r="K38" i="4" s="1"/>
  <c r="E44" i="4"/>
  <c r="F32" i="4"/>
  <c r="G32" i="4" s="1"/>
  <c r="H32" i="4" s="1"/>
  <c r="I32" i="4" s="1"/>
  <c r="J32" i="4" s="1"/>
  <c r="K32" i="4" s="1"/>
  <c r="L32" i="4" s="1"/>
  <c r="M32" i="4" s="1"/>
  <c r="N32" i="4" s="1"/>
  <c r="O32" i="4" s="1"/>
  <c r="P32" i="4" s="1"/>
  <c r="Q32" i="4" s="1"/>
  <c r="R32" i="4" s="1"/>
  <c r="S32" i="4" s="1"/>
  <c r="T32" i="4" s="1"/>
  <c r="B30" i="4"/>
  <c r="B29" i="4"/>
  <c r="I22" i="4"/>
  <c r="H22" i="4"/>
  <c r="G22" i="4"/>
  <c r="F22" i="4"/>
  <c r="E22" i="4"/>
  <c r="N21" i="4"/>
  <c r="M21" i="4"/>
  <c r="L21" i="4"/>
  <c r="K21" i="4"/>
  <c r="D21" i="4"/>
  <c r="N20" i="4"/>
  <c r="M20" i="4"/>
  <c r="L20" i="4"/>
  <c r="K20" i="4"/>
  <c r="D20" i="4"/>
  <c r="N19" i="4"/>
  <c r="M19" i="4"/>
  <c r="L19" i="4"/>
  <c r="K19" i="4"/>
  <c r="D19" i="4"/>
  <c r="N18" i="4"/>
  <c r="M18" i="4"/>
  <c r="L18" i="4"/>
  <c r="K18" i="4"/>
  <c r="D18" i="4"/>
  <c r="N17" i="4"/>
  <c r="M17" i="4"/>
  <c r="L17" i="4"/>
  <c r="K17" i="4"/>
  <c r="D17" i="4"/>
  <c r="L15" i="4"/>
  <c r="M15" i="4" s="1"/>
  <c r="N15" i="4" s="1"/>
  <c r="F15" i="4"/>
  <c r="G15" i="4" s="1"/>
  <c r="H15" i="4" s="1"/>
  <c r="I15" i="4" s="1"/>
  <c r="I13" i="4"/>
  <c r="D34" i="4" s="1"/>
  <c r="H13" i="4"/>
  <c r="G13" i="4"/>
  <c r="F13" i="4"/>
  <c r="E13" i="4"/>
  <c r="N10" i="4"/>
  <c r="M10" i="4"/>
  <c r="L10" i="4"/>
  <c r="K10" i="4"/>
  <c r="N9" i="4"/>
  <c r="M9" i="4"/>
  <c r="L9" i="4"/>
  <c r="K9" i="4"/>
  <c r="N8" i="4"/>
  <c r="M8" i="4"/>
  <c r="L8" i="4"/>
  <c r="K8" i="4"/>
  <c r="N7" i="4"/>
  <c r="M7" i="4"/>
  <c r="L7" i="4"/>
  <c r="K7" i="4"/>
  <c r="N6" i="4"/>
  <c r="M6" i="4"/>
  <c r="L6" i="4"/>
  <c r="K6" i="4"/>
  <c r="L4" i="4"/>
  <c r="M4" i="4" s="1"/>
  <c r="N4" i="4" s="1"/>
  <c r="F4" i="4"/>
  <c r="G11" i="3"/>
  <c r="G4" i="3"/>
  <c r="F68" i="8"/>
  <c r="F69" i="8" s="1"/>
  <c r="G103" i="8"/>
  <c r="D119" i="17"/>
  <c r="G39" i="8"/>
  <c r="D93" i="17"/>
  <c r="K33" i="11"/>
  <c r="G165" i="8"/>
  <c r="G74" i="8"/>
  <c r="F132" i="8"/>
  <c r="E100" i="8"/>
  <c r="D130" i="17"/>
  <c r="G125" i="8"/>
  <c r="F90" i="8"/>
  <c r="L33" i="11"/>
  <c r="G30" i="8"/>
  <c r="H31" i="8" s="1"/>
  <c r="D113" i="17"/>
  <c r="G78" i="8"/>
  <c r="N35" i="11"/>
  <c r="H33" i="11"/>
  <c r="G100" i="8"/>
  <c r="F33" i="8"/>
  <c r="E93" i="8"/>
  <c r="E30" i="8"/>
  <c r="F45" i="8"/>
  <c r="F138" i="8"/>
  <c r="F158" i="8"/>
  <c r="G132" i="8"/>
  <c r="G134" i="8"/>
  <c r="G240" i="8" s="1"/>
  <c r="L34" i="11"/>
  <c r="M34" i="11"/>
  <c r="E65" i="8"/>
  <c r="E66" i="8" s="1"/>
  <c r="J34" i="11"/>
  <c r="G53" i="8"/>
  <c r="G54" i="8" s="1"/>
  <c r="G65" i="8"/>
  <c r="G66" i="8" s="1"/>
  <c r="G150" i="8"/>
  <c r="D128" i="17"/>
  <c r="G158" i="8"/>
  <c r="E136" i="8"/>
  <c r="G136" i="8"/>
  <c r="F165" i="8"/>
  <c r="G71" i="8"/>
  <c r="F39" i="8"/>
  <c r="F156" i="8"/>
  <c r="F100" i="8"/>
  <c r="E145" i="8"/>
  <c r="E33" i="8"/>
  <c r="D30" i="8"/>
  <c r="F53" i="8"/>
  <c r="F54" i="8" s="1"/>
  <c r="D129" i="17"/>
  <c r="E110" i="8"/>
  <c r="G90" i="8"/>
  <c r="E74" i="8"/>
  <c r="F136" i="8"/>
  <c r="E68" i="8"/>
  <c r="E69" i="8" s="1"/>
  <c r="E90" i="8"/>
  <c r="D104" i="17"/>
  <c r="N33" i="11"/>
  <c r="O34" i="11"/>
  <c r="E45" i="8"/>
  <c r="E39" i="8"/>
  <c r="E103" i="8"/>
  <c r="K34" i="11"/>
  <c r="J33" i="11"/>
  <c r="D98" i="17"/>
  <c r="E138" i="8"/>
  <c r="G110" i="8"/>
  <c r="D111" i="17"/>
  <c r="E78" i="8"/>
  <c r="E163" i="8"/>
  <c r="D112" i="17"/>
  <c r="J35" i="11"/>
  <c r="E150" i="8"/>
  <c r="D114" i="17"/>
  <c r="F74" i="8"/>
  <c r="G138" i="8"/>
  <c r="F71" i="8"/>
  <c r="G33" i="8"/>
  <c r="O35" i="11"/>
  <c r="E125" i="8"/>
  <c r="F110" i="8"/>
  <c r="I35" i="11"/>
  <c r="F147" i="8"/>
  <c r="D94" i="17"/>
  <c r="E156" i="8"/>
  <c r="M35" i="11"/>
  <c r="D126" i="17"/>
  <c r="D131" i="17"/>
  <c r="D115" i="17"/>
  <c r="N34" i="11"/>
  <c r="D116" i="17"/>
  <c r="F163" i="8"/>
  <c r="G33" i="11"/>
  <c r="I34" i="11"/>
  <c r="E53" i="8"/>
  <c r="E54" i="8" s="1"/>
  <c r="D97" i="17"/>
  <c r="E147" i="8"/>
  <c r="F118" i="8"/>
  <c r="F103" i="8"/>
  <c r="I33" i="11"/>
  <c r="G34" i="11"/>
  <c r="G68" i="8"/>
  <c r="G69" i="8" s="1"/>
  <c r="F65" i="8"/>
  <c r="F66" i="8" s="1"/>
  <c r="G93" i="8"/>
  <c r="F30" i="8"/>
  <c r="G147" i="8"/>
  <c r="K35" i="11"/>
  <c r="H34" i="11"/>
  <c r="F78" i="8"/>
  <c r="F150" i="8"/>
  <c r="D118" i="17"/>
  <c r="G50" i="8"/>
  <c r="G51" i="8" s="1"/>
  <c r="D127" i="17"/>
  <c r="E118" i="8"/>
  <c r="F125" i="8"/>
  <c r="F126" i="8" s="1"/>
  <c r="D132" i="17"/>
  <c r="E158" i="8"/>
  <c r="G156" i="8"/>
  <c r="B32" i="3" a="1"/>
  <c r="B38" i="3" a="1"/>
  <c r="B30" i="3" a="1"/>
  <c r="B31" i="3" a="1"/>
  <c r="B36" i="3" a="1"/>
  <c r="B34" i="3" a="1"/>
  <c r="B35" i="3" a="1"/>
  <c r="B33" i="3" a="1"/>
  <c r="M98" i="9" a="1"/>
  <c r="L98" i="9" a="1"/>
  <c r="N98" i="9" a="1"/>
  <c r="G98" i="9" a="1"/>
  <c r="I98" i="9" a="1"/>
  <c r="J98" i="9" a="1"/>
  <c r="H98" i="9" a="1"/>
  <c r="Q98" i="9" a="1"/>
  <c r="P98" i="9" a="1"/>
  <c r="K98" i="9" a="1"/>
  <c r="O36" i="11" l="1"/>
  <c r="O41" i="19" s="1"/>
  <c r="G126" i="8"/>
  <c r="E139" i="8"/>
  <c r="M36" i="11"/>
  <c r="G139" i="8"/>
  <c r="E126" i="8"/>
  <c r="J36" i="11"/>
  <c r="H74" i="8"/>
  <c r="I74" i="8" s="1"/>
  <c r="H45" i="8"/>
  <c r="I45" i="8" s="1"/>
  <c r="J45" i="8" s="1"/>
  <c r="L36" i="11"/>
  <c r="F36" i="11"/>
  <c r="E6" i="17"/>
  <c r="E18" i="17" s="1"/>
  <c r="E19" i="17" s="1"/>
  <c r="G28" i="3" a="1"/>
  <c r="H54" i="8"/>
  <c r="I54" i="8" s="1"/>
  <c r="D6" i="17"/>
  <c r="D18" i="17" s="1"/>
  <c r="D19" i="17" s="1"/>
  <c r="H39" i="8"/>
  <c r="I39" i="8" s="1"/>
  <c r="J39" i="8" s="1"/>
  <c r="K39" i="8" s="1"/>
  <c r="L39" i="8" s="1"/>
  <c r="M39" i="8" s="1"/>
  <c r="N39" i="8" s="1"/>
  <c r="O39" i="8" s="1"/>
  <c r="P39" i="8" s="1"/>
  <c r="Q39" i="8" s="1"/>
  <c r="G36" i="11"/>
  <c r="F139" i="8"/>
  <c r="H36" i="11"/>
  <c r="K36" i="11"/>
  <c r="N36" i="11"/>
  <c r="N41" i="19" s="1"/>
  <c r="I36" i="11"/>
  <c r="N7" i="11"/>
  <c r="N19" i="19" s="1"/>
  <c r="N11" i="11"/>
  <c r="N23" i="19" s="1"/>
  <c r="N10" i="11"/>
  <c r="N22" i="19" s="1"/>
  <c r="V31" i="19"/>
  <c r="G10" i="6"/>
  <c r="B6" i="17" a="1"/>
  <c r="B6" i="17" s="1"/>
  <c r="C6" i="17" a="1"/>
  <c r="C6" i="17" s="1"/>
  <c r="H4" i="3"/>
  <c r="I4" i="3" s="1"/>
  <c r="G100" i="9"/>
  <c r="G113" i="9"/>
  <c r="G116" i="9" s="1"/>
  <c r="O37" i="9"/>
  <c r="D67" i="17"/>
  <c r="O67" i="17" s="1"/>
  <c r="P53" i="9"/>
  <c r="N37" i="9"/>
  <c r="P99" i="9"/>
  <c r="I98" i="9"/>
  <c r="K98" i="9"/>
  <c r="P37" i="9"/>
  <c r="D64" i="17"/>
  <c r="O64" i="17" s="1"/>
  <c r="D68" i="17"/>
  <c r="O68" i="17" s="1"/>
  <c r="D66" i="17"/>
  <c r="O66" i="17" s="1"/>
  <c r="D65" i="17"/>
  <c r="O65" i="17" s="1"/>
  <c r="J53" i="9"/>
  <c r="O58" i="9"/>
  <c r="K58" i="9"/>
  <c r="Q99" i="9"/>
  <c r="G25" i="17" s="1"/>
  <c r="G58" i="9"/>
  <c r="N53" i="9"/>
  <c r="Q37" i="9"/>
  <c r="H100" i="9"/>
  <c r="H116" i="9"/>
  <c r="L4" i="28"/>
  <c r="D61" i="17"/>
  <c r="O61" i="17" s="1"/>
  <c r="B34" i="3"/>
  <c r="B31" i="3"/>
  <c r="B38" i="3"/>
  <c r="B30" i="3"/>
  <c r="B33" i="3"/>
  <c r="B32" i="3"/>
  <c r="B36" i="3"/>
  <c r="B35" i="3"/>
  <c r="C9" i="27"/>
  <c r="D48" i="17"/>
  <c r="O48" i="17" s="1"/>
  <c r="N18" i="6"/>
  <c r="N17" i="6"/>
  <c r="N12" i="6"/>
  <c r="N16" i="6"/>
  <c r="N15" i="6"/>
  <c r="N9" i="6"/>
  <c r="N14" i="6"/>
  <c r="N13" i="6"/>
  <c r="N11" i="6"/>
  <c r="N10" i="6"/>
  <c r="D46" i="17"/>
  <c r="O46" i="17" s="1"/>
  <c r="D47" i="17"/>
  <c r="O47" i="17" s="1"/>
  <c r="H196" i="8"/>
  <c r="E99" i="8"/>
  <c r="D55" i="17"/>
  <c r="O55" i="17" s="1"/>
  <c r="G236" i="8"/>
  <c r="G186" i="8"/>
  <c r="E27" i="19"/>
  <c r="E186" i="8"/>
  <c r="E236" i="8"/>
  <c r="G99" i="8"/>
  <c r="G123" i="8"/>
  <c r="G184" i="8" s="1"/>
  <c r="E26" i="19"/>
  <c r="E31" i="8"/>
  <c r="E102" i="8"/>
  <c r="I28" i="19"/>
  <c r="F236" i="8"/>
  <c r="F186" i="8"/>
  <c r="F242" i="8"/>
  <c r="AC8" i="8" s="1"/>
  <c r="F257" i="8"/>
  <c r="AA8" i="8" s="1"/>
  <c r="D54" i="17"/>
  <c r="O54" i="17" s="1"/>
  <c r="E119" i="8"/>
  <c r="E34" i="8"/>
  <c r="E242" i="8"/>
  <c r="AC7" i="8" s="1"/>
  <c r="E28" i="19"/>
  <c r="D53" i="17"/>
  <c r="O53" i="17" s="1"/>
  <c r="H98" i="9"/>
  <c r="P98" i="9"/>
  <c r="J98" i="9"/>
  <c r="G98" i="9"/>
  <c r="M98" i="9"/>
  <c r="L98" i="9"/>
  <c r="Q98" i="9"/>
  <c r="N98" i="9"/>
  <c r="G242" i="8"/>
  <c r="AC9" i="8" s="1"/>
  <c r="G257" i="8"/>
  <c r="AA9" i="8" s="1"/>
  <c r="F99" i="8"/>
  <c r="E257" i="8"/>
  <c r="AA7" i="8" s="1"/>
  <c r="F119" i="8"/>
  <c r="F102" i="8"/>
  <c r="J100" i="9"/>
  <c r="F34" i="8"/>
  <c r="O100" i="9"/>
  <c r="I37" i="9"/>
  <c r="I99" i="9"/>
  <c r="M37" i="9"/>
  <c r="M99" i="9"/>
  <c r="K116" i="9"/>
  <c r="D36" i="4"/>
  <c r="N116" i="9"/>
  <c r="J116" i="9"/>
  <c r="Q116" i="9"/>
  <c r="M116" i="9"/>
  <c r="I116" i="9"/>
  <c r="D52" i="17"/>
  <c r="O52" i="17" s="1"/>
  <c r="O67" i="9"/>
  <c r="D22" i="4"/>
  <c r="N22" i="4"/>
  <c r="H37" i="4"/>
  <c r="G34" i="8"/>
  <c r="L116" i="9"/>
  <c r="G102" i="8"/>
  <c r="Q67" i="9"/>
  <c r="K100" i="9"/>
  <c r="J37" i="9"/>
  <c r="J99" i="9"/>
  <c r="M17" i="6"/>
  <c r="M10" i="6"/>
  <c r="M18" i="6"/>
  <c r="M15" i="6"/>
  <c r="M9" i="6"/>
  <c r="O74" i="17"/>
  <c r="M16" i="6"/>
  <c r="N11" i="3"/>
  <c r="G4" i="4"/>
  <c r="K13" i="4"/>
  <c r="L13" i="4"/>
  <c r="M13" i="4"/>
  <c r="D38" i="4"/>
  <c r="D42" i="4"/>
  <c r="N13" i="4"/>
  <c r="K22" i="4"/>
  <c r="L22" i="4"/>
  <c r="F37" i="4"/>
  <c r="I37" i="4"/>
  <c r="F168" i="8"/>
  <c r="F213" i="8" s="1"/>
  <c r="F121" i="8"/>
  <c r="F84" i="8"/>
  <c r="I45" i="9"/>
  <c r="J45" i="9"/>
  <c r="O45" i="9"/>
  <c r="P45" i="9"/>
  <c r="L48" i="9"/>
  <c r="M48" i="9"/>
  <c r="N48" i="9"/>
  <c r="O48" i="9"/>
  <c r="R4" i="11"/>
  <c r="H8" i="9"/>
  <c r="J8" i="9"/>
  <c r="L8" i="9"/>
  <c r="M8" i="9"/>
  <c r="N8" i="9"/>
  <c r="K8" i="9"/>
  <c r="I8" i="9"/>
  <c r="O8" i="9"/>
  <c r="P8" i="9"/>
  <c r="Q8" i="9"/>
  <c r="G48" i="9"/>
  <c r="J48" i="9"/>
  <c r="K48" i="9"/>
  <c r="G45" i="9"/>
  <c r="K45" i="9"/>
  <c r="L45" i="9"/>
  <c r="P48" i="9"/>
  <c r="M45" i="9"/>
  <c r="Q48" i="9"/>
  <c r="N45" i="9"/>
  <c r="I4" i="9"/>
  <c r="E94" i="8"/>
  <c r="G94" i="8"/>
  <c r="F94" i="8"/>
  <c r="G190" i="8"/>
  <c r="G43" i="8"/>
  <c r="F234" i="8"/>
  <c r="F184" i="8"/>
  <c r="G170" i="8"/>
  <c r="G40" i="8"/>
  <c r="G91" i="8"/>
  <c r="E111" i="8"/>
  <c r="F111" i="8"/>
  <c r="G111" i="8"/>
  <c r="G28" i="8"/>
  <c r="F228" i="8"/>
  <c r="F255" i="8" s="1"/>
  <c r="L38" i="4"/>
  <c r="K44" i="4"/>
  <c r="J44" i="4"/>
  <c r="G37" i="4"/>
  <c r="M22" i="4"/>
  <c r="D40" i="4"/>
  <c r="L11" i="3"/>
  <c r="P11" i="3"/>
  <c r="J11" i="3"/>
  <c r="O11" i="3"/>
  <c r="H11" i="3"/>
  <c r="I11" i="3"/>
  <c r="K11" i="3"/>
  <c r="E11" i="3"/>
  <c r="M11" i="3"/>
  <c r="G161" i="8"/>
  <c r="F161" i="8"/>
  <c r="D102" i="17"/>
  <c r="E161" i="8"/>
  <c r="E128" i="8"/>
  <c r="G116" i="8"/>
  <c r="G88" i="8"/>
  <c r="F116" i="8"/>
  <c r="P34" i="11"/>
  <c r="F134" i="8"/>
  <c r="F240" i="8" s="1"/>
  <c r="G62" i="8"/>
  <c r="G63" i="8" s="1"/>
  <c r="G128" i="8"/>
  <c r="F113" i="8"/>
  <c r="G113" i="8"/>
  <c r="E113" i="8"/>
  <c r="P33" i="11"/>
  <c r="F96" i="8"/>
  <c r="E116" i="8"/>
  <c r="F62" i="8"/>
  <c r="F63" i="8" s="1"/>
  <c r="E96" i="8"/>
  <c r="G118" i="8"/>
  <c r="E134" i="8"/>
  <c r="E240" i="8" s="1"/>
  <c r="P35" i="11"/>
  <c r="G105" i="8"/>
  <c r="E50" i="8"/>
  <c r="E51" i="8" s="1"/>
  <c r="F128" i="8"/>
  <c r="E88" i="8"/>
  <c r="F88" i="8"/>
  <c r="E62" i="8"/>
  <c r="E63" i="8" s="1"/>
  <c r="P24" i="17" a="1"/>
  <c r="I84" i="17" a="1"/>
  <c r="E84" i="17" a="1"/>
  <c r="G84" i="17" a="1"/>
  <c r="L84" i="17" a="1"/>
  <c r="H84" i="17" a="1"/>
  <c r="F83" i="17" a="1"/>
  <c r="K83" i="17" a="1"/>
  <c r="I83" i="17" a="1"/>
  <c r="N82" i="17" a="1"/>
  <c r="J82" i="17" a="1"/>
  <c r="M83" i="17" a="1"/>
  <c r="G82" i="17" a="1"/>
  <c r="G83" i="17" a="1"/>
  <c r="H139" i="8" l="1"/>
  <c r="I139" i="8" s="1"/>
  <c r="J139" i="8" s="1"/>
  <c r="K139" i="8" s="1"/>
  <c r="H126" i="8"/>
  <c r="I126" i="8" s="1"/>
  <c r="J126" i="8" s="1"/>
  <c r="K126" i="8" s="1"/>
  <c r="H53" i="8"/>
  <c r="H103" i="8" s="1"/>
  <c r="H94" i="8"/>
  <c r="H93" i="8" s="1"/>
  <c r="H102" i="8"/>
  <c r="H101" i="8" s="1"/>
  <c r="H153" i="8" s="1"/>
  <c r="H47" i="8"/>
  <c r="Q45" i="11" s="1"/>
  <c r="H161" i="8"/>
  <c r="I161" i="8" s="1"/>
  <c r="P36" i="11"/>
  <c r="P41" i="19" s="1"/>
  <c r="H113" i="8"/>
  <c r="I113" i="8" s="1"/>
  <c r="G28" i="3"/>
  <c r="G39" i="3" s="1"/>
  <c r="I34" i="3"/>
  <c r="I33" i="3"/>
  <c r="I32" i="3"/>
  <c r="I31" i="3"/>
  <c r="I38" i="3"/>
  <c r="I30" i="3"/>
  <c r="I37" i="3"/>
  <c r="I29" i="3"/>
  <c r="I36" i="3"/>
  <c r="I35" i="3"/>
  <c r="H111" i="8"/>
  <c r="H110" i="8" s="1"/>
  <c r="K45" i="8"/>
  <c r="J47" i="8"/>
  <c r="J54" i="8"/>
  <c r="K54" i="8" s="1"/>
  <c r="I47" i="8"/>
  <c r="J74" i="8"/>
  <c r="I11" i="11"/>
  <c r="I10" i="11"/>
  <c r="I7" i="11"/>
  <c r="O10" i="11"/>
  <c r="O22" i="19" s="1"/>
  <c r="O7" i="11"/>
  <c r="O19" i="19" s="1"/>
  <c r="O11" i="11"/>
  <c r="O23" i="19" s="1"/>
  <c r="J11" i="11"/>
  <c r="J10" i="11"/>
  <c r="J7" i="11"/>
  <c r="H11" i="11"/>
  <c r="H7" i="11"/>
  <c r="H10" i="11"/>
  <c r="G7" i="11"/>
  <c r="G11" i="11"/>
  <c r="G10" i="11"/>
  <c r="K10" i="11"/>
  <c r="K7" i="11"/>
  <c r="K11" i="11"/>
  <c r="N103" i="9"/>
  <c r="M7" i="11"/>
  <c r="M10" i="11"/>
  <c r="M11" i="11"/>
  <c r="P11" i="11"/>
  <c r="P23" i="19" s="1"/>
  <c r="P7" i="11"/>
  <c r="P19" i="19" s="1"/>
  <c r="P10" i="11"/>
  <c r="P22" i="19" s="1"/>
  <c r="J4" i="3"/>
  <c r="K4" i="3" s="1"/>
  <c r="L4" i="3" s="1"/>
  <c r="M4" i="3" s="1"/>
  <c r="N4" i="3" s="1"/>
  <c r="O4" i="3" s="1"/>
  <c r="P4" i="3" s="1"/>
  <c r="Q4" i="3" s="1"/>
  <c r="L7" i="11"/>
  <c r="L10" i="11"/>
  <c r="L11" i="11"/>
  <c r="G103" i="9"/>
  <c r="F7" i="11"/>
  <c r="F11" i="11"/>
  <c r="G24" i="17"/>
  <c r="G27" i="17"/>
  <c r="G26" i="17"/>
  <c r="O116" i="9"/>
  <c r="K103" i="9"/>
  <c r="I103" i="9"/>
  <c r="AD8" i="8"/>
  <c r="G119" i="8"/>
  <c r="H119" i="8" s="1"/>
  <c r="H118" i="8" s="1"/>
  <c r="M4" i="28"/>
  <c r="G13" i="6"/>
  <c r="P24" i="17"/>
  <c r="B12" i="28"/>
  <c r="B82" i="28" s="1"/>
  <c r="M14" i="6"/>
  <c r="B9" i="28"/>
  <c r="B79" i="28" s="1"/>
  <c r="M11" i="6"/>
  <c r="B10" i="28"/>
  <c r="B80" i="28" s="1"/>
  <c r="M12" i="6"/>
  <c r="B11" i="28"/>
  <c r="B81" i="28" s="1"/>
  <c r="M13" i="6"/>
  <c r="L29" i="17"/>
  <c r="B14" i="28"/>
  <c r="B84" i="28" s="1"/>
  <c r="K29" i="17"/>
  <c r="B13" i="28"/>
  <c r="B83" i="28" s="1"/>
  <c r="N29" i="17"/>
  <c r="B16" i="28"/>
  <c r="B86" i="28" s="1"/>
  <c r="E29" i="17"/>
  <c r="B7" i="28"/>
  <c r="B77" i="28" s="1"/>
  <c r="F29" i="17"/>
  <c r="B8" i="28"/>
  <c r="B78" i="28" s="1"/>
  <c r="M29" i="17"/>
  <c r="B15" i="28"/>
  <c r="B85" i="28" s="1"/>
  <c r="L103" i="9"/>
  <c r="M83" i="17"/>
  <c r="J82" i="17"/>
  <c r="K83" i="17"/>
  <c r="I84" i="17"/>
  <c r="I83" i="17"/>
  <c r="L84" i="17"/>
  <c r="N82" i="17"/>
  <c r="G84" i="17"/>
  <c r="G83" i="17"/>
  <c r="G82" i="17"/>
  <c r="H84" i="17"/>
  <c r="F83" i="17"/>
  <c r="E84" i="17"/>
  <c r="H195" i="8"/>
  <c r="H138" i="8"/>
  <c r="H134" i="8" s="1"/>
  <c r="I71" i="8"/>
  <c r="D44" i="4"/>
  <c r="H44" i="4"/>
  <c r="D57" i="17"/>
  <c r="O57" i="17" s="1"/>
  <c r="J103" i="9"/>
  <c r="M103" i="9"/>
  <c r="AD9" i="8"/>
  <c r="AD7" i="8"/>
  <c r="G114" i="8"/>
  <c r="I26" i="19"/>
  <c r="I27" i="19"/>
  <c r="H56" i="8"/>
  <c r="E188" i="8"/>
  <c r="G234" i="8"/>
  <c r="H103" i="9"/>
  <c r="H29" i="17"/>
  <c r="I44" i="4"/>
  <c r="F44" i="4"/>
  <c r="F190" i="8"/>
  <c r="E190" i="8"/>
  <c r="G57" i="8"/>
  <c r="E57" i="8"/>
  <c r="F57" i="8"/>
  <c r="P116" i="9"/>
  <c r="G44" i="4"/>
  <c r="AE9" i="8"/>
  <c r="E123" i="8"/>
  <c r="I29" i="17"/>
  <c r="G29" i="17"/>
  <c r="O103" i="9"/>
  <c r="Q12" i="9"/>
  <c r="P12" i="9"/>
  <c r="O12" i="9"/>
  <c r="I12" i="9"/>
  <c r="K12" i="9"/>
  <c r="N12" i="9"/>
  <c r="M12" i="9"/>
  <c r="L12" i="9"/>
  <c r="J12" i="9"/>
  <c r="H12" i="9"/>
  <c r="H4" i="4"/>
  <c r="J4" i="9"/>
  <c r="G84" i="8"/>
  <c r="G228" i="8"/>
  <c r="H28" i="8"/>
  <c r="G121" i="8"/>
  <c r="G168" i="8"/>
  <c r="G213" i="8" s="1"/>
  <c r="G188" i="8"/>
  <c r="F188" i="8"/>
  <c r="M38" i="4"/>
  <c r="L44" i="4"/>
  <c r="G36" i="8"/>
  <c r="D117" i="17"/>
  <c r="F36" i="8"/>
  <c r="G96" i="8"/>
  <c r="H96" i="8" s="1"/>
  <c r="F105" i="8"/>
  <c r="E105" i="8"/>
  <c r="D99" i="17"/>
  <c r="E36" i="8"/>
  <c r="N84" i="17" a="1"/>
  <c r="J84" i="17" a="1"/>
  <c r="K84" i="17" a="1"/>
  <c r="F84" i="17" a="1"/>
  <c r="M84" i="17" a="1"/>
  <c r="E83" i="17" a="1"/>
  <c r="L82" i="17" a="1"/>
  <c r="H83" i="17" a="1"/>
  <c r="K82" i="17" a="1"/>
  <c r="I82" i="17" a="1"/>
  <c r="F82" i="17" a="1"/>
  <c r="L83" i="17" a="1"/>
  <c r="E82" i="17" a="1"/>
  <c r="H82" i="17" a="1"/>
  <c r="N83" i="17" a="1"/>
  <c r="J83" i="17" a="1"/>
  <c r="M82" i="17" a="1"/>
  <c r="H50" i="8" l="1"/>
  <c r="H51" i="8" s="1"/>
  <c r="I125" i="8"/>
  <c r="Q43" i="11"/>
  <c r="Q34" i="11"/>
  <c r="L126" i="8"/>
  <c r="M126" i="8" s="1"/>
  <c r="N126" i="8" s="1"/>
  <c r="H125" i="8"/>
  <c r="I102" i="8"/>
  <c r="J102" i="8" s="1"/>
  <c r="J101" i="8" s="1"/>
  <c r="J153" i="8" s="1"/>
  <c r="Q35" i="11"/>
  <c r="I94" i="8"/>
  <c r="J94" i="8" s="1"/>
  <c r="K94" i="8" s="1"/>
  <c r="L94" i="8" s="1"/>
  <c r="I111" i="8"/>
  <c r="J111" i="8" s="1"/>
  <c r="I96" i="8"/>
  <c r="J96" i="8" s="1"/>
  <c r="L139" i="8"/>
  <c r="M139" i="8" s="1"/>
  <c r="N139" i="8" s="1"/>
  <c r="I119" i="8"/>
  <c r="J119" i="8" s="1"/>
  <c r="K119" i="8" s="1"/>
  <c r="J113" i="8"/>
  <c r="K113" i="8" s="1"/>
  <c r="L45" i="8"/>
  <c r="H100" i="8"/>
  <c r="I53" i="8" s="1"/>
  <c r="I103" i="8" s="1"/>
  <c r="K74" i="8"/>
  <c r="L74" i="8" s="1"/>
  <c r="M74" i="8" s="1"/>
  <c r="H59" i="8"/>
  <c r="H76" i="8" s="1"/>
  <c r="K47" i="8"/>
  <c r="Q44" i="11"/>
  <c r="L54" i="8"/>
  <c r="M54" i="8" s="1"/>
  <c r="J161" i="8"/>
  <c r="K161" i="8" s="1"/>
  <c r="N6" i="11"/>
  <c r="N18" i="19" s="1"/>
  <c r="N8" i="11"/>
  <c r="N20" i="19" s="1"/>
  <c r="N9" i="11"/>
  <c r="N21" i="19" s="1"/>
  <c r="H8" i="11"/>
  <c r="H6" i="11"/>
  <c r="H9" i="11"/>
  <c r="I9" i="11"/>
  <c r="I6" i="11"/>
  <c r="I8" i="11"/>
  <c r="J9" i="11"/>
  <c r="J8" i="11"/>
  <c r="J6" i="11"/>
  <c r="G8" i="11"/>
  <c r="G6" i="11"/>
  <c r="G9" i="11"/>
  <c r="M6" i="11"/>
  <c r="M9" i="11"/>
  <c r="M8" i="11"/>
  <c r="K8" i="11"/>
  <c r="K9" i="11"/>
  <c r="K6" i="11"/>
  <c r="Q11" i="3"/>
  <c r="J4" i="27"/>
  <c r="B13" i="27"/>
  <c r="B4" i="27"/>
  <c r="L9" i="11"/>
  <c r="L6" i="11"/>
  <c r="L8" i="11"/>
  <c r="F6" i="11"/>
  <c r="F8" i="11"/>
  <c r="G97" i="8"/>
  <c r="N83" i="17"/>
  <c r="I82" i="17"/>
  <c r="N4" i="28"/>
  <c r="H136" i="8"/>
  <c r="C11" i="27"/>
  <c r="C10" i="27"/>
  <c r="C7" i="27"/>
  <c r="C8" i="27"/>
  <c r="H83" i="17"/>
  <c r="J83" i="17"/>
  <c r="F84" i="17"/>
  <c r="B39" i="28"/>
  <c r="B51" i="28"/>
  <c r="B23" i="28"/>
  <c r="B37" i="28"/>
  <c r="B65" i="28"/>
  <c r="B26" i="28"/>
  <c r="B40" i="28"/>
  <c r="B54" i="28"/>
  <c r="B68" i="28"/>
  <c r="B53" i="28"/>
  <c r="B67" i="28"/>
  <c r="B25" i="28"/>
  <c r="J84" i="17"/>
  <c r="M84" i="17"/>
  <c r="B52" i="28"/>
  <c r="B66" i="28"/>
  <c r="B24" i="28"/>
  <c r="B38" i="28"/>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B70" i="28"/>
  <c r="B56" i="28"/>
  <c r="B42" i="28"/>
  <c r="B28" i="28"/>
  <c r="E83" i="17"/>
  <c r="M82" i="17"/>
  <c r="E82" i="17"/>
  <c r="F38" i="17"/>
  <c r="F59" i="17" s="1"/>
  <c r="N71" i="17"/>
  <c r="E44" i="17"/>
  <c r="B71" i="28"/>
  <c r="B57" i="28"/>
  <c r="B43" i="28"/>
  <c r="B29" i="28"/>
  <c r="B63" i="28"/>
  <c r="B49" i="28"/>
  <c r="B35" i="28"/>
  <c r="B21" i="28"/>
  <c r="D29" i="17"/>
  <c r="B6" i="28"/>
  <c r="B76" i="28" s="1"/>
  <c r="B22" i="28"/>
  <c r="B64" i="28"/>
  <c r="B50" i="28"/>
  <c r="B36" i="28"/>
  <c r="B30" i="28"/>
  <c r="B72" i="28"/>
  <c r="B58" i="28"/>
  <c r="B44" i="28"/>
  <c r="B55" i="28"/>
  <c r="B41" i="28"/>
  <c r="B27" i="28"/>
  <c r="B69" i="28"/>
  <c r="I195" i="8"/>
  <c r="J71" i="8"/>
  <c r="E37" i="8"/>
  <c r="G106" i="8"/>
  <c r="G37" i="8"/>
  <c r="F37" i="8"/>
  <c r="D56" i="17"/>
  <c r="O56" i="17" s="1"/>
  <c r="G80" i="17"/>
  <c r="G71" i="17"/>
  <c r="G50" i="17"/>
  <c r="G44" i="17"/>
  <c r="G38" i="17"/>
  <c r="G59" i="17" s="1"/>
  <c r="I80" i="17"/>
  <c r="I71" i="17"/>
  <c r="I50" i="17"/>
  <c r="I44" i="17"/>
  <c r="I38" i="17"/>
  <c r="I59" i="17" s="1"/>
  <c r="H80" i="17"/>
  <c r="H71" i="17"/>
  <c r="H50" i="17"/>
  <c r="H44" i="17"/>
  <c r="H38" i="17"/>
  <c r="H59" i="17" s="1"/>
  <c r="J16" i="9"/>
  <c r="J22" i="9" s="1"/>
  <c r="I16" i="9"/>
  <c r="Q16" i="9"/>
  <c r="L16" i="9"/>
  <c r="L22" i="9" s="1"/>
  <c r="O16" i="9"/>
  <c r="E234" i="8"/>
  <c r="E184" i="8"/>
  <c r="M16" i="9"/>
  <c r="M22" i="9" s="1"/>
  <c r="P16" i="9"/>
  <c r="N16" i="9"/>
  <c r="N22" i="9" s="1"/>
  <c r="G16" i="9"/>
  <c r="F9" i="11" s="1"/>
  <c r="H16" i="9"/>
  <c r="K16" i="9"/>
  <c r="K22" i="9" s="1"/>
  <c r="P103" i="9"/>
  <c r="Q103" i="9"/>
  <c r="E106" i="8"/>
  <c r="F106" i="8"/>
  <c r="J125" i="8"/>
  <c r="F91" i="8"/>
  <c r="F97" i="8"/>
  <c r="F43" i="8"/>
  <c r="F170" i="8"/>
  <c r="G31" i="8"/>
  <c r="F40" i="8"/>
  <c r="F114" i="8"/>
  <c r="I4" i="4"/>
  <c r="J13" i="4" s="1"/>
  <c r="H30" i="8"/>
  <c r="K4" i="9"/>
  <c r="G238" i="8"/>
  <c r="E238" i="8"/>
  <c r="H84" i="8"/>
  <c r="I28" i="8"/>
  <c r="H168" i="8"/>
  <c r="H213" i="8" s="1"/>
  <c r="H121" i="8"/>
  <c r="H228" i="8"/>
  <c r="I228" i="8" s="1"/>
  <c r="J228" i="8" s="1"/>
  <c r="K228" i="8" s="1"/>
  <c r="L228" i="8" s="1"/>
  <c r="M228" i="8" s="1"/>
  <c r="N228" i="8" s="1"/>
  <c r="O228" i="8" s="1"/>
  <c r="P228" i="8" s="1"/>
  <c r="Q228" i="8" s="1"/>
  <c r="G255" i="8"/>
  <c r="H255" i="8" s="1"/>
  <c r="I255" i="8" s="1"/>
  <c r="J255" i="8" s="1"/>
  <c r="K255" i="8" s="1"/>
  <c r="L255" i="8" s="1"/>
  <c r="M255" i="8" s="1"/>
  <c r="N255" i="8" s="1"/>
  <c r="O255" i="8" s="1"/>
  <c r="P255" i="8" s="1"/>
  <c r="Q255" i="8" s="1"/>
  <c r="F238" i="8"/>
  <c r="M44" i="4"/>
  <c r="N38" i="4"/>
  <c r="F51" i="11"/>
  <c r="F50" i="11"/>
  <c r="F47" i="8"/>
  <c r="K50" i="11"/>
  <c r="O51" i="11"/>
  <c r="O56" i="19" s="1"/>
  <c r="M51" i="11"/>
  <c r="I50" i="11"/>
  <c r="D100" i="17"/>
  <c r="G6" i="17" s="1"/>
  <c r="G18" i="17" s="1"/>
  <c r="G19" i="17" s="1"/>
  <c r="M50" i="11"/>
  <c r="J50" i="11"/>
  <c r="L51" i="11"/>
  <c r="L50" i="11"/>
  <c r="P51" i="11"/>
  <c r="P56" i="19" s="1"/>
  <c r="N51" i="11"/>
  <c r="N56" i="19" s="1"/>
  <c r="D95" i="17"/>
  <c r="F6" i="17" s="1"/>
  <c r="F18" i="17" s="1"/>
  <c r="F19" i="17" s="1"/>
  <c r="G47" i="8"/>
  <c r="K51" i="11"/>
  <c r="E47" i="8"/>
  <c r="O50" i="11"/>
  <c r="O55" i="19" s="1"/>
  <c r="I51" i="11"/>
  <c r="H50" i="11"/>
  <c r="H51" i="11"/>
  <c r="J51" i="11"/>
  <c r="N50" i="11"/>
  <c r="N55" i="19" s="1"/>
  <c r="G51" i="11"/>
  <c r="G50" i="11"/>
  <c r="P50" i="11"/>
  <c r="P55" i="19" s="1"/>
  <c r="D84" i="17" a="1"/>
  <c r="D82" i="17" a="1"/>
  <c r="D83" i="17" a="1"/>
  <c r="I101" i="8" l="1"/>
  <c r="I153" i="8" s="1"/>
  <c r="K102" i="8"/>
  <c r="L102" i="8" s="1"/>
  <c r="L101" i="8" s="1"/>
  <c r="L153" i="8" s="1"/>
  <c r="K96" i="8"/>
  <c r="L96" i="8" s="1"/>
  <c r="H99" i="8"/>
  <c r="L113" i="8"/>
  <c r="M113" i="8" s="1"/>
  <c r="I118" i="8"/>
  <c r="M94" i="8"/>
  <c r="N94" i="8" s="1"/>
  <c r="O139" i="8"/>
  <c r="P139" i="8" s="1"/>
  <c r="O126" i="8"/>
  <c r="P126" i="8" s="1"/>
  <c r="L161" i="8"/>
  <c r="L47" i="8"/>
  <c r="M45" i="8"/>
  <c r="N74" i="8"/>
  <c r="L119" i="8"/>
  <c r="N54" i="8"/>
  <c r="O54" i="8" s="1"/>
  <c r="Q20" i="11"/>
  <c r="K111" i="8"/>
  <c r="L111" i="8" s="1"/>
  <c r="P9" i="11"/>
  <c r="P21" i="19" s="1"/>
  <c r="P6" i="11"/>
  <c r="P18" i="19" s="1"/>
  <c r="P8" i="11"/>
  <c r="P20" i="19" s="1"/>
  <c r="O8" i="11"/>
  <c r="O20" i="19" s="1"/>
  <c r="O6" i="11"/>
  <c r="O18" i="19" s="1"/>
  <c r="O9" i="11"/>
  <c r="O21" i="19" s="1"/>
  <c r="I138" i="8"/>
  <c r="K118" i="8"/>
  <c r="J118" i="8"/>
  <c r="R34" i="11"/>
  <c r="I110" i="8"/>
  <c r="R35" i="11"/>
  <c r="I93" i="8"/>
  <c r="G22" i="9"/>
  <c r="G117" i="9" s="1"/>
  <c r="G118" i="9" s="1"/>
  <c r="D83" i="17"/>
  <c r="O83" i="17" s="1"/>
  <c r="O4" i="28"/>
  <c r="D84" i="17"/>
  <c r="O84" i="17" s="1"/>
  <c r="D82" i="17"/>
  <c r="O82" i="17" s="1"/>
  <c r="J22" i="4"/>
  <c r="J6" i="4"/>
  <c r="D71" i="17"/>
  <c r="B48" i="28"/>
  <c r="B34" i="28"/>
  <c r="B20" i="28"/>
  <c r="B62" i="28"/>
  <c r="D38" i="17"/>
  <c r="D59" i="17" s="1"/>
  <c r="D80" i="17"/>
  <c r="D44" i="17"/>
  <c r="D50" i="17"/>
  <c r="J195" i="8"/>
  <c r="K71" i="8"/>
  <c r="E29" i="19"/>
  <c r="F48" i="8"/>
  <c r="E48" i="8"/>
  <c r="G48" i="8"/>
  <c r="J8" i="4"/>
  <c r="J17" i="4"/>
  <c r="J21" i="4"/>
  <c r="J18" i="4"/>
  <c r="J7" i="4"/>
  <c r="J24" i="9"/>
  <c r="K24" i="9"/>
  <c r="N24" i="9"/>
  <c r="M24" i="9"/>
  <c r="L24" i="9"/>
  <c r="Q22" i="9"/>
  <c r="H22" i="9"/>
  <c r="I22" i="9"/>
  <c r="K125" i="8"/>
  <c r="H123" i="8"/>
  <c r="H184" i="8" s="1"/>
  <c r="J110" i="8"/>
  <c r="P22" i="9"/>
  <c r="O22" i="9"/>
  <c r="G171" i="8"/>
  <c r="H42" i="8"/>
  <c r="H105" i="8" s="1"/>
  <c r="H33" i="8"/>
  <c r="I136" i="8"/>
  <c r="L71" i="8"/>
  <c r="J20" i="4"/>
  <c r="J15" i="4"/>
  <c r="J4" i="4"/>
  <c r="J19" i="4"/>
  <c r="J10" i="4"/>
  <c r="J9" i="4"/>
  <c r="L4" i="9"/>
  <c r="E171" i="8"/>
  <c r="I30" i="8"/>
  <c r="I84" i="8"/>
  <c r="J28" i="8"/>
  <c r="I121" i="8"/>
  <c r="I168" i="8"/>
  <c r="I213" i="8" s="1"/>
  <c r="N44" i="4"/>
  <c r="O38" i="4"/>
  <c r="P38" i="4" s="1"/>
  <c r="F49" i="11"/>
  <c r="G76" i="8"/>
  <c r="M49" i="11"/>
  <c r="F59" i="8"/>
  <c r="G59" i="8"/>
  <c r="D121" i="17"/>
  <c r="L49" i="11"/>
  <c r="H49" i="11"/>
  <c r="N49" i="11"/>
  <c r="N54" i="19" s="1"/>
  <c r="E59" i="8"/>
  <c r="J49" i="11"/>
  <c r="O49" i="11"/>
  <c r="O54" i="19" s="1"/>
  <c r="G49" i="11"/>
  <c r="K49" i="11"/>
  <c r="D101" i="17"/>
  <c r="P49" i="11"/>
  <c r="P54" i="19" s="1"/>
  <c r="I49" i="11"/>
  <c r="M102" i="8" l="1"/>
  <c r="M101" i="8" s="1"/>
  <c r="M153" i="8" s="1"/>
  <c r="K101" i="8"/>
  <c r="K153" i="8" s="1"/>
  <c r="M96" i="8"/>
  <c r="N96" i="8" s="1"/>
  <c r="O94" i="8"/>
  <c r="P94" i="8" s="1"/>
  <c r="Q94" i="8" s="1"/>
  <c r="Q126" i="8"/>
  <c r="M14" i="17" a="1"/>
  <c r="M14" i="17" s="1"/>
  <c r="L14" i="17" a="1"/>
  <c r="L14" i="17" s="1"/>
  <c r="K14" i="17" a="1"/>
  <c r="K14" i="17" s="1"/>
  <c r="J14" i="17" a="1"/>
  <c r="J14" i="17" s="1"/>
  <c r="J6" i="17" a="1"/>
  <c r="J6" i="17" s="1"/>
  <c r="K6" i="17" a="1"/>
  <c r="K6" i="17" s="1"/>
  <c r="M6" i="17" a="1"/>
  <c r="M6" i="17" s="1"/>
  <c r="L6" i="17" a="1"/>
  <c r="L6" i="17" s="1"/>
  <c r="N113" i="8"/>
  <c r="O113" i="8" s="1"/>
  <c r="P54" i="8"/>
  <c r="Q54" i="8" s="1"/>
  <c r="M111" i="8"/>
  <c r="N111" i="8" s="1"/>
  <c r="Q139" i="8"/>
  <c r="M119" i="8"/>
  <c r="N119" i="8" s="1"/>
  <c r="M47" i="8"/>
  <c r="N45" i="8"/>
  <c r="O74" i="8"/>
  <c r="P74" i="8" s="1"/>
  <c r="M161" i="8"/>
  <c r="N161" i="8" s="1"/>
  <c r="G24" i="9"/>
  <c r="L118" i="8"/>
  <c r="J93" i="8"/>
  <c r="G66" i="9"/>
  <c r="F10" i="11"/>
  <c r="Q38" i="4"/>
  <c r="P44" i="4"/>
  <c r="P4" i="28"/>
  <c r="D31" i="17"/>
  <c r="O31" i="17" s="1"/>
  <c r="D41" i="17"/>
  <c r="O41" i="17" s="1"/>
  <c r="D40" i="17"/>
  <c r="O40" i="17" s="1"/>
  <c r="H114" i="8"/>
  <c r="K195" i="8"/>
  <c r="E30" i="19"/>
  <c r="G60" i="8"/>
  <c r="F60" i="8"/>
  <c r="E60" i="8"/>
  <c r="G230" i="8"/>
  <c r="G176" i="8"/>
  <c r="P24" i="9"/>
  <c r="L66" i="9"/>
  <c r="I24" i="9"/>
  <c r="Q24" i="9"/>
  <c r="N66" i="9"/>
  <c r="D42" i="17"/>
  <c r="O42" i="17" s="1"/>
  <c r="M66" i="9"/>
  <c r="K66" i="9"/>
  <c r="J66" i="9"/>
  <c r="O24" i="9"/>
  <c r="H24" i="9"/>
  <c r="G79" i="8"/>
  <c r="L125" i="8"/>
  <c r="I56" i="8"/>
  <c r="I50" i="8" s="1"/>
  <c r="K110" i="8"/>
  <c r="H173" i="8"/>
  <c r="H36" i="8"/>
  <c r="E230" i="8"/>
  <c r="E176" i="8"/>
  <c r="F230" i="8"/>
  <c r="F176" i="8"/>
  <c r="M93" i="8"/>
  <c r="J136" i="8"/>
  <c r="M71" i="8"/>
  <c r="J30" i="8"/>
  <c r="M4" i="9"/>
  <c r="J84" i="8"/>
  <c r="J121" i="8"/>
  <c r="K28" i="8"/>
  <c r="J168" i="8"/>
  <c r="J213" i="8" s="1"/>
  <c r="I42" i="8"/>
  <c r="I105" i="8" s="1"/>
  <c r="I33" i="8"/>
  <c r="I36" i="8" s="1"/>
  <c r="H234" i="8"/>
  <c r="O44" i="4"/>
  <c r="I39" i="3"/>
  <c r="I28" i="3"/>
  <c r="D103" i="17"/>
  <c r="E76" i="8"/>
  <c r="F76" i="8"/>
  <c r="N102" i="8" l="1"/>
  <c r="N101" i="8" s="1"/>
  <c r="N153" i="8" s="1"/>
  <c r="O102" i="8"/>
  <c r="P102" i="8" s="1"/>
  <c r="P101" i="8" s="1"/>
  <c r="P153" i="8" s="1"/>
  <c r="O96" i="8"/>
  <c r="P96" i="8" s="1"/>
  <c r="Q96" i="8" s="1"/>
  <c r="L18" i="17"/>
  <c r="L19" i="17" s="1"/>
  <c r="G182" i="8"/>
  <c r="AB9" i="8" s="1"/>
  <c r="M18" i="17"/>
  <c r="M19" i="17" s="1"/>
  <c r="E25" i="17"/>
  <c r="K25" i="17" s="1"/>
  <c r="N25" i="17" s="1" a="1"/>
  <c r="N25" i="17" s="1"/>
  <c r="E26" i="17"/>
  <c r="K26" i="17" s="1"/>
  <c r="N26" i="17" s="1" a="1"/>
  <c r="N26" i="17" s="1"/>
  <c r="E27" i="17"/>
  <c r="K27" i="17" s="1"/>
  <c r="N27" i="17" s="1" a="1"/>
  <c r="N27" i="17" s="1"/>
  <c r="E24" i="17"/>
  <c r="K24" i="17" s="1"/>
  <c r="N24" i="17" s="1" a="1"/>
  <c r="N24" i="17" s="1"/>
  <c r="O161" i="8"/>
  <c r="P161" i="8" s="1"/>
  <c r="Q161" i="8" s="1"/>
  <c r="K18" i="17"/>
  <c r="K19" i="17" s="1"/>
  <c r="D24" i="17"/>
  <c r="J24" i="17" s="1"/>
  <c r="M24" i="17" s="1" a="1"/>
  <c r="M24" i="17" s="1"/>
  <c r="D26" i="17"/>
  <c r="J26" i="17" s="1"/>
  <c r="M26" i="17" s="1" a="1"/>
  <c r="M26" i="17" s="1"/>
  <c r="D25" i="17"/>
  <c r="J25" i="17" s="1"/>
  <c r="M25" i="17" s="1" a="1"/>
  <c r="M25" i="17" s="1"/>
  <c r="D27" i="17"/>
  <c r="J27" i="17" s="1"/>
  <c r="M27" i="17" s="1" a="1"/>
  <c r="M27" i="17" s="1"/>
  <c r="P113" i="8"/>
  <c r="Q113" i="8" s="1"/>
  <c r="J18" i="17"/>
  <c r="J19" i="17" s="1"/>
  <c r="O111" i="8"/>
  <c r="P111" i="8" s="1"/>
  <c r="Q111" i="8" s="1"/>
  <c r="H174" i="8"/>
  <c r="H172" i="8"/>
  <c r="Q74" i="8"/>
  <c r="N47" i="8"/>
  <c r="O119" i="8"/>
  <c r="P119" i="8" s="1"/>
  <c r="M118" i="8"/>
  <c r="O45" i="8"/>
  <c r="N118" i="8"/>
  <c r="I51" i="8"/>
  <c r="I59" i="8"/>
  <c r="L93" i="8"/>
  <c r="K93" i="8"/>
  <c r="G74" i="9"/>
  <c r="P66" i="9"/>
  <c r="P74" i="9" s="1"/>
  <c r="Q4" i="28"/>
  <c r="R81" i="28" s="1"/>
  <c r="R77" i="28"/>
  <c r="R76" i="28"/>
  <c r="R38" i="4"/>
  <c r="Q44" i="4"/>
  <c r="D34" i="17"/>
  <c r="O34" i="17" s="1"/>
  <c r="L195" i="8"/>
  <c r="F28" i="19"/>
  <c r="F26" i="19"/>
  <c r="F27" i="19"/>
  <c r="E31" i="19"/>
  <c r="G177" i="8"/>
  <c r="F177" i="8"/>
  <c r="I66" i="9"/>
  <c r="H66" i="9"/>
  <c r="J74" i="9"/>
  <c r="K74" i="9"/>
  <c r="N74" i="9"/>
  <c r="Q66" i="9"/>
  <c r="M74" i="9"/>
  <c r="L74" i="9"/>
  <c r="O66" i="9"/>
  <c r="O74" i="9" s="1"/>
  <c r="AH10" i="8"/>
  <c r="H171" i="8"/>
  <c r="H170" i="8" s="1"/>
  <c r="F79" i="8"/>
  <c r="F182" i="8" s="1"/>
  <c r="E79" i="8"/>
  <c r="M125" i="8"/>
  <c r="J56" i="8"/>
  <c r="I173" i="8"/>
  <c r="L110" i="8"/>
  <c r="I37" i="8"/>
  <c r="R21" i="11" s="1"/>
  <c r="R31" i="19" s="1"/>
  <c r="H37" i="8"/>
  <c r="N93" i="8"/>
  <c r="K136" i="8"/>
  <c r="N71" i="8"/>
  <c r="J33" i="8"/>
  <c r="J42" i="8"/>
  <c r="J105" i="8" s="1"/>
  <c r="N4" i="9"/>
  <c r="K84" i="8"/>
  <c r="K121" i="8"/>
  <c r="L28" i="8"/>
  <c r="K168" i="8"/>
  <c r="K213" i="8" s="1"/>
  <c r="K30" i="8"/>
  <c r="G81" i="8"/>
  <c r="F81" i="8"/>
  <c r="D96" i="17"/>
  <c r="Q21" i="11"/>
  <c r="Q31" i="19" s="1"/>
  <c r="D105" i="17"/>
  <c r="E81" i="8"/>
  <c r="O101" i="8" l="1"/>
  <c r="O153" i="8" s="1"/>
  <c r="H79" i="8"/>
  <c r="H216" i="8" s="1"/>
  <c r="O118" i="8"/>
  <c r="H6" i="17"/>
  <c r="N6" i="17" a="1"/>
  <c r="N6" i="17" s="1"/>
  <c r="N18" i="17" s="1"/>
  <c r="N19" i="17" s="1"/>
  <c r="F148" i="8"/>
  <c r="F151" i="8"/>
  <c r="F258" i="8" s="1"/>
  <c r="F259" i="8" s="1"/>
  <c r="G151" i="8"/>
  <c r="G148" i="8"/>
  <c r="I8" i="17"/>
  <c r="I6" i="17"/>
  <c r="O6" i="17" a="1"/>
  <c r="O6" i="17" s="1"/>
  <c r="E148" i="8"/>
  <c r="E151" i="8"/>
  <c r="E182" i="8"/>
  <c r="E192" i="8" s="1"/>
  <c r="X7" i="8" s="1"/>
  <c r="P45" i="8"/>
  <c r="O47" i="8"/>
  <c r="Q102" i="8"/>
  <c r="Q101" i="8" s="1"/>
  <c r="Q153" i="8" s="1"/>
  <c r="Q119" i="8"/>
  <c r="Q118" i="8" s="1"/>
  <c r="P118" i="8"/>
  <c r="I76" i="8"/>
  <c r="R20" i="11" s="1"/>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S38" i="4"/>
  <c r="R44" i="4"/>
  <c r="R4" i="28"/>
  <c r="R18" i="28"/>
  <c r="R32" i="28"/>
  <c r="R46" i="28"/>
  <c r="R60" i="28"/>
  <c r="R74" i="28"/>
  <c r="D63" i="17"/>
  <c r="O63" i="17" s="1"/>
  <c r="D62" i="17"/>
  <c r="O62" i="17" s="1"/>
  <c r="D33" i="17"/>
  <c r="O33" i="17" s="1"/>
  <c r="D32" i="17"/>
  <c r="O32" i="17" s="1"/>
  <c r="M195" i="8"/>
  <c r="H28" i="19"/>
  <c r="E32" i="19"/>
  <c r="G192" i="8"/>
  <c r="X9" i="8" s="1"/>
  <c r="G82" i="8"/>
  <c r="G232" i="8"/>
  <c r="G244" i="8" s="1"/>
  <c r="E82" i="8"/>
  <c r="E232" i="8"/>
  <c r="E244" i="8" s="1"/>
  <c r="E159" i="8" s="1"/>
  <c r="H74" i="9"/>
  <c r="I74" i="9"/>
  <c r="AH11" i="8"/>
  <c r="F232" i="8"/>
  <c r="F244" i="8" s="1"/>
  <c r="F159" i="8" s="1"/>
  <c r="F82" i="8"/>
  <c r="Q74" i="9"/>
  <c r="AB8" i="8"/>
  <c r="I171" i="8"/>
  <c r="I170" i="8" s="1"/>
  <c r="F192" i="8"/>
  <c r="X8" i="8" s="1"/>
  <c r="N125" i="8"/>
  <c r="K56" i="8"/>
  <c r="M110" i="8"/>
  <c r="J173" i="8"/>
  <c r="J36" i="8"/>
  <c r="L30" i="8"/>
  <c r="L136" i="8"/>
  <c r="O71" i="8"/>
  <c r="O4" i="9"/>
  <c r="K42" i="8"/>
  <c r="K105" i="8" s="1"/>
  <c r="K33" i="8"/>
  <c r="K36" i="8" s="1"/>
  <c r="M28" i="8"/>
  <c r="L84" i="8"/>
  <c r="L121" i="8"/>
  <c r="L168" i="8"/>
  <c r="L213" i="8" s="1"/>
  <c r="E130" i="8"/>
  <c r="F130" i="8"/>
  <c r="I79" i="8" l="1"/>
  <c r="I216" i="8" s="1"/>
  <c r="H78" i="8"/>
  <c r="H81" i="8" s="1"/>
  <c r="O147" i="8" s="1"/>
  <c r="E258" i="8"/>
  <c r="E259" i="8" s="1"/>
  <c r="AB7" i="8"/>
  <c r="G258" i="8"/>
  <c r="G259" i="8" s="1"/>
  <c r="H18" i="17"/>
  <c r="H19" i="17" s="1"/>
  <c r="H158" i="8"/>
  <c r="H156" i="8"/>
  <c r="G159" i="8"/>
  <c r="I18" i="17"/>
  <c r="I19" i="17" s="1"/>
  <c r="F27" i="17"/>
  <c r="L27" i="17" s="1"/>
  <c r="O27" i="17" s="1" a="1"/>
  <c r="O27" i="17" s="1"/>
  <c r="F26" i="17"/>
  <c r="L26" i="17" s="1"/>
  <c r="O26" i="17" s="1" a="1"/>
  <c r="O26" i="17" s="1"/>
  <c r="F25" i="17"/>
  <c r="L25" i="17" s="1"/>
  <c r="O25" i="17" s="1" a="1"/>
  <c r="O25" i="17" s="1"/>
  <c r="F24" i="17"/>
  <c r="L24" i="17" s="1"/>
  <c r="O24" i="17" s="1" a="1"/>
  <c r="O24" i="17" s="1"/>
  <c r="O18" i="17"/>
  <c r="O19" i="17" s="1"/>
  <c r="J79" i="8"/>
  <c r="P47" i="8"/>
  <c r="Q45" i="8"/>
  <c r="Q47" i="8" s="1"/>
  <c r="P147" i="8"/>
  <c r="P93" i="8"/>
  <c r="O93" i="8"/>
  <c r="T38" i="4"/>
  <c r="T44" i="4" s="1"/>
  <c r="S44" i="4"/>
  <c r="G21" i="6"/>
  <c r="G14" i="6" s="1"/>
  <c r="G11" i="6" s="1"/>
  <c r="Z7" i="8"/>
  <c r="N195" i="8"/>
  <c r="H26" i="19"/>
  <c r="H27" i="19"/>
  <c r="E33" i="19"/>
  <c r="Y8" i="8"/>
  <c r="B93" i="17"/>
  <c r="L173" i="8"/>
  <c r="Y7" i="8"/>
  <c r="G26" i="19" s="1"/>
  <c r="Y9" i="8"/>
  <c r="L33" i="8"/>
  <c r="L36" i="8" s="1"/>
  <c r="L42" i="8"/>
  <c r="L105" i="8" s="1"/>
  <c r="Q93" i="8"/>
  <c r="L56" i="8"/>
  <c r="K173" i="8"/>
  <c r="N110" i="8"/>
  <c r="J171" i="8"/>
  <c r="J170" i="8" s="1"/>
  <c r="K37" i="8"/>
  <c r="J37" i="8"/>
  <c r="M136" i="8"/>
  <c r="P71" i="8"/>
  <c r="P4" i="9"/>
  <c r="H4" i="17" s="1"/>
  <c r="M30" i="8"/>
  <c r="M84" i="8"/>
  <c r="M121" i="8"/>
  <c r="N28" i="8"/>
  <c r="M168" i="8"/>
  <c r="M213" i="8" s="1"/>
  <c r="G130" i="8"/>
  <c r="H130" i="8" s="1"/>
  <c r="I78" i="8" l="1"/>
  <c r="I81" i="8" s="1"/>
  <c r="Q61" i="11"/>
  <c r="H147" i="8"/>
  <c r="I147" i="8"/>
  <c r="L147" i="8"/>
  <c r="Q147" i="8"/>
  <c r="J147" i="8"/>
  <c r="K147" i="8"/>
  <c r="M147" i="8"/>
  <c r="N147" i="8"/>
  <c r="H150" i="8"/>
  <c r="H242" i="8"/>
  <c r="AC10" i="8" s="1"/>
  <c r="I130" i="8"/>
  <c r="I150" i="8"/>
  <c r="J216" i="8"/>
  <c r="K79" i="8"/>
  <c r="H116" i="8"/>
  <c r="O125" i="8"/>
  <c r="G25" i="6"/>
  <c r="Z8" i="8"/>
  <c r="O195" i="8"/>
  <c r="L171" i="8"/>
  <c r="G27" i="19"/>
  <c r="D4" i="17"/>
  <c r="B94" i="17"/>
  <c r="K171" i="8"/>
  <c r="K170" i="8" s="1"/>
  <c r="M56" i="8"/>
  <c r="L37" i="8"/>
  <c r="N136" i="8"/>
  <c r="Q71" i="8"/>
  <c r="Q4" i="9"/>
  <c r="R118" i="9" s="1"/>
  <c r="N30" i="8"/>
  <c r="N121" i="8"/>
  <c r="O28" i="8"/>
  <c r="N84" i="8"/>
  <c r="N168" i="8"/>
  <c r="N213" i="8" s="1"/>
  <c r="M33" i="8"/>
  <c r="M36" i="8" s="1"/>
  <c r="M42" i="8"/>
  <c r="M105" i="8" s="1"/>
  <c r="H163" i="8" l="1"/>
  <c r="I257" i="8"/>
  <c r="I261" i="8" s="1"/>
  <c r="H257" i="8"/>
  <c r="H261" i="8" s="1"/>
  <c r="J130" i="8"/>
  <c r="H63" i="8"/>
  <c r="R43" i="11"/>
  <c r="L79" i="8"/>
  <c r="M79" i="8" s="1"/>
  <c r="K216" i="8"/>
  <c r="L170" i="8"/>
  <c r="Q125" i="8"/>
  <c r="P125" i="8"/>
  <c r="O110" i="8"/>
  <c r="R6" i="9"/>
  <c r="I9" i="8"/>
  <c r="L9" i="8" s="1"/>
  <c r="Z9" i="8"/>
  <c r="P195" i="8"/>
  <c r="G28" i="19"/>
  <c r="R66" i="9"/>
  <c r="R204" i="8"/>
  <c r="R117" i="9"/>
  <c r="R116" i="9"/>
  <c r="B97" i="17"/>
  <c r="R119" i="9"/>
  <c r="R121" i="9"/>
  <c r="R120" i="9"/>
  <c r="I4" i="17"/>
  <c r="E4" i="17"/>
  <c r="R88" i="9"/>
  <c r="N56" i="8"/>
  <c r="M173" i="8"/>
  <c r="M37" i="8"/>
  <c r="R111" i="9"/>
  <c r="R14" i="9"/>
  <c r="R114" i="9"/>
  <c r="R115" i="9"/>
  <c r="R13" i="9"/>
  <c r="R113" i="9"/>
  <c r="R77" i="9"/>
  <c r="R78" i="9"/>
  <c r="R80" i="9"/>
  <c r="R81" i="9"/>
  <c r="R82" i="9"/>
  <c r="R83" i="9"/>
  <c r="R50" i="9"/>
  <c r="R51" i="9"/>
  <c r="R56" i="9"/>
  <c r="R52" i="9"/>
  <c r="R42" i="9"/>
  <c r="R49" i="9"/>
  <c r="R41" i="9"/>
  <c r="R40" i="9"/>
  <c r="R34" i="9"/>
  <c r="R33" i="9"/>
  <c r="R10" i="9"/>
  <c r="R18" i="9"/>
  <c r="R19" i="9"/>
  <c r="R20" i="9"/>
  <c r="R17" i="9"/>
  <c r="R12" i="9"/>
  <c r="R21" i="9"/>
  <c r="R22" i="9"/>
  <c r="R87" i="9"/>
  <c r="O136" i="8"/>
  <c r="N42" i="8"/>
  <c r="N105" i="8" s="1"/>
  <c r="N33" i="8"/>
  <c r="R4" i="9"/>
  <c r="R30" i="9"/>
  <c r="R64" i="9"/>
  <c r="R74" i="9"/>
  <c r="R68" i="9"/>
  <c r="R93" i="9"/>
  <c r="R46" i="9"/>
  <c r="R35" i="9"/>
  <c r="R43" i="9"/>
  <c r="R37" i="9"/>
  <c r="R47" i="9"/>
  <c r="R90" i="9"/>
  <c r="R44" i="9"/>
  <c r="R91" i="9"/>
  <c r="R36" i="9"/>
  <c r="R67" i="9"/>
  <c r="R26" i="9"/>
  <c r="R15" i="9"/>
  <c r="R86" i="9"/>
  <c r="R28" i="9"/>
  <c r="R7" i="9"/>
  <c r="R89" i="9"/>
  <c r="R55" i="9"/>
  <c r="R25" i="9"/>
  <c r="R57" i="9"/>
  <c r="R9" i="9"/>
  <c r="R11" i="9"/>
  <c r="R32" i="9"/>
  <c r="R23" i="9"/>
  <c r="R8" i="9"/>
  <c r="R38" i="9"/>
  <c r="R16" i="9"/>
  <c r="R24" i="9"/>
  <c r="R39" i="9"/>
  <c r="R48" i="9"/>
  <c r="R76" i="9"/>
  <c r="R92" i="9"/>
  <c r="R75" i="9"/>
  <c r="O121" i="8"/>
  <c r="P28" i="8"/>
  <c r="O84" i="8"/>
  <c r="O168" i="8"/>
  <c r="O213" i="8" s="1"/>
  <c r="O30" i="8"/>
  <c r="K130" i="8" l="1"/>
  <c r="N79" i="8"/>
  <c r="N216" i="8" s="1"/>
  <c r="M216" i="8"/>
  <c r="L216" i="8"/>
  <c r="Q110" i="8"/>
  <c r="P110" i="8"/>
  <c r="C12" i="8"/>
  <c r="F9" i="8"/>
  <c r="Z10" i="8"/>
  <c r="Q195" i="8"/>
  <c r="M171" i="8"/>
  <c r="M170" i="8" s="1"/>
  <c r="O56" i="8"/>
  <c r="N173" i="8"/>
  <c r="N36" i="8"/>
  <c r="E97" i="8"/>
  <c r="H97" i="8" s="1"/>
  <c r="E40" i="8"/>
  <c r="H40" i="8" s="1"/>
  <c r="E43" i="8"/>
  <c r="E170" i="8"/>
  <c r="E177" i="8"/>
  <c r="E91" i="8"/>
  <c r="H91" i="8" s="1"/>
  <c r="E114" i="8"/>
  <c r="F31" i="8"/>
  <c r="F171" i="8" s="1"/>
  <c r="P136" i="8"/>
  <c r="P30" i="8"/>
  <c r="O33" i="8"/>
  <c r="O36" i="8" s="1"/>
  <c r="O42" i="8"/>
  <c r="O105" i="8" s="1"/>
  <c r="P168" i="8"/>
  <c r="P213" i="8" s="1"/>
  <c r="Q28" i="8"/>
  <c r="P84" i="8"/>
  <c r="P121" i="8"/>
  <c r="O79" i="8" l="1"/>
  <c r="O216" i="8" s="1"/>
  <c r="L130" i="8"/>
  <c r="I91" i="8"/>
  <c r="J91" i="8" s="1"/>
  <c r="H90" i="8"/>
  <c r="H128" i="8" s="1"/>
  <c r="H132" i="8" s="1"/>
  <c r="I40" i="8"/>
  <c r="J40" i="8" s="1"/>
  <c r="I97" i="8"/>
  <c r="J97" i="8" s="1"/>
  <c r="Z11" i="8"/>
  <c r="Q22" i="11"/>
  <c r="Q32" i="19" s="1"/>
  <c r="O173" i="8"/>
  <c r="P56" i="8"/>
  <c r="N171" i="8"/>
  <c r="N170" i="8" s="1"/>
  <c r="O37" i="8"/>
  <c r="N37" i="8"/>
  <c r="Q136" i="8"/>
  <c r="Q30" i="8"/>
  <c r="P33" i="8"/>
  <c r="P36" i="8" s="1"/>
  <c r="P42" i="8"/>
  <c r="P105" i="8" s="1"/>
  <c r="P173" i="8"/>
  <c r="Q168" i="8"/>
  <c r="Q213" i="8" s="1"/>
  <c r="Q84" i="8"/>
  <c r="Q121" i="8"/>
  <c r="P79" i="8" l="1"/>
  <c r="Q79" i="8" s="1"/>
  <c r="Q216" i="8" s="1"/>
  <c r="M130" i="8"/>
  <c r="J90" i="8"/>
  <c r="K91" i="8"/>
  <c r="K90" i="8" s="1"/>
  <c r="K97" i="8"/>
  <c r="L97" i="8" s="1"/>
  <c r="K40" i="8"/>
  <c r="L40" i="8" s="1"/>
  <c r="Q60" i="11"/>
  <c r="Q57" i="11"/>
  <c r="Q55" i="11"/>
  <c r="Q58" i="11"/>
  <c r="Q63" i="11"/>
  <c r="Q62" i="11"/>
  <c r="I90" i="8"/>
  <c r="I128" i="8" s="1"/>
  <c r="R33" i="11"/>
  <c r="R36" i="11" s="1"/>
  <c r="R41" i="19" s="1"/>
  <c r="Z12" i="8"/>
  <c r="O171" i="8"/>
  <c r="O170" i="8" s="1"/>
  <c r="Q56" i="8"/>
  <c r="P37" i="8"/>
  <c r="Q33" i="8"/>
  <c r="Q42" i="8"/>
  <c r="Q105" i="8" s="1"/>
  <c r="P171" i="8"/>
  <c r="Q33" i="11"/>
  <c r="Q36" i="11" s="1"/>
  <c r="L91" i="8" l="1"/>
  <c r="L90" i="8" s="1"/>
  <c r="L128" i="8" s="1"/>
  <c r="P216" i="8"/>
  <c r="M40" i="8"/>
  <c r="N40" i="8" s="1"/>
  <c r="N130" i="8"/>
  <c r="O130" i="8" s="1"/>
  <c r="M97" i="8"/>
  <c r="N97" i="8" s="1"/>
  <c r="K128" i="8"/>
  <c r="J128" i="8"/>
  <c r="P170" i="8"/>
  <c r="Q173" i="8"/>
  <c r="E16" i="27"/>
  <c r="Z13" i="8"/>
  <c r="Q41" i="19"/>
  <c r="H236" i="8"/>
  <c r="H48" i="8"/>
  <c r="Q18" i="11" s="1"/>
  <c r="Q29" i="19" s="1"/>
  <c r="H230" i="8"/>
  <c r="Q36" i="8"/>
  <c r="Q49" i="19"/>
  <c r="Q50" i="11"/>
  <c r="Q55" i="19" s="1"/>
  <c r="R22" i="11"/>
  <c r="R32" i="19" s="1"/>
  <c r="M91" i="8" l="1"/>
  <c r="M90" i="8" s="1"/>
  <c r="M128" i="8" s="1"/>
  <c r="O40" i="8"/>
  <c r="P40" i="8" s="1"/>
  <c r="P130" i="8"/>
  <c r="Q130" i="8" s="1"/>
  <c r="O97" i="8"/>
  <c r="P97" i="8" s="1"/>
  <c r="Q97" i="8" s="1"/>
  <c r="N91" i="8"/>
  <c r="N90" i="8" s="1"/>
  <c r="Q171" i="8"/>
  <c r="Q170" i="8" s="1"/>
  <c r="F16" i="27"/>
  <c r="D16" i="27"/>
  <c r="Z14" i="8"/>
  <c r="I186" i="8"/>
  <c r="H186" i="8"/>
  <c r="I48" i="8"/>
  <c r="R18" i="11" s="1"/>
  <c r="R29" i="19" s="1"/>
  <c r="H60" i="8"/>
  <c r="J48" i="8"/>
  <c r="Q37" i="8"/>
  <c r="R49" i="19"/>
  <c r="R50" i="11"/>
  <c r="R55" i="19" s="1"/>
  <c r="Q40" i="8" l="1"/>
  <c r="O91" i="8"/>
  <c r="O90" i="8" s="1"/>
  <c r="O128" i="8" s="1"/>
  <c r="N128" i="8"/>
  <c r="F29" i="19"/>
  <c r="I236" i="8"/>
  <c r="H179" i="8"/>
  <c r="J186" i="8"/>
  <c r="J236" i="8"/>
  <c r="K48" i="8"/>
  <c r="Q19" i="11"/>
  <c r="Q30" i="19" s="1"/>
  <c r="P91" i="8" l="1"/>
  <c r="Q91" i="8" s="1"/>
  <c r="Q90" i="8" s="1"/>
  <c r="H178" i="8"/>
  <c r="H180" i="8"/>
  <c r="H177" i="8"/>
  <c r="H82" i="8"/>
  <c r="Q23" i="11" s="1"/>
  <c r="Q33" i="19" s="1"/>
  <c r="H232" i="8"/>
  <c r="K186" i="8"/>
  <c r="K236" i="8"/>
  <c r="L48" i="8"/>
  <c r="P90" i="8" l="1"/>
  <c r="P128" i="8" s="1"/>
  <c r="Q220" i="8"/>
  <c r="Q221" i="8" s="1"/>
  <c r="H176" i="8"/>
  <c r="H182" i="8" s="1"/>
  <c r="L186" i="8"/>
  <c r="L236" i="8"/>
  <c r="M48" i="8"/>
  <c r="Q128" i="8" l="1"/>
  <c r="AA10" i="8"/>
  <c r="M186" i="8"/>
  <c r="M236" i="8"/>
  <c r="N48" i="8"/>
  <c r="AB10" i="8" l="1"/>
  <c r="N186" i="8"/>
  <c r="N236" i="8"/>
  <c r="O48" i="8"/>
  <c r="O186" i="8" l="1"/>
  <c r="O236" i="8"/>
  <c r="P48" i="8"/>
  <c r="Q48" i="8"/>
  <c r="Q186" i="8" l="1"/>
  <c r="Q236" i="8"/>
  <c r="P186" i="8"/>
  <c r="P236" i="8"/>
  <c r="G60" i="9" l="1"/>
  <c r="R53" i="9"/>
  <c r="R54" i="9"/>
  <c r="K60" i="9"/>
  <c r="H60" i="9"/>
  <c r="L60" i="9"/>
  <c r="O60" i="9"/>
  <c r="J60" i="9"/>
  <c r="N60" i="9"/>
  <c r="P60" i="9"/>
  <c r="M60" i="9"/>
  <c r="Q60" i="9"/>
  <c r="R58" i="9"/>
  <c r="R59" i="9"/>
  <c r="I60" i="9"/>
  <c r="G79" i="9"/>
  <c r="H79" i="9"/>
  <c r="I79" i="9"/>
  <c r="J79" i="9"/>
  <c r="K79" i="9"/>
  <c r="L79" i="9"/>
  <c r="N79" i="9"/>
  <c r="O79" i="9"/>
  <c r="P79" i="9"/>
  <c r="Q79" i="9"/>
  <c r="R60" i="9" l="1"/>
  <c r="G61" i="9"/>
  <c r="I61" i="9"/>
  <c r="O61" i="9"/>
  <c r="N61" i="9"/>
  <c r="J61" i="9"/>
  <c r="Q61" i="9"/>
  <c r="AF9" i="8"/>
  <c r="AG9" i="8" s="1"/>
  <c r="AF10" i="8"/>
  <c r="H61" i="9"/>
  <c r="L61" i="9"/>
  <c r="M61" i="9"/>
  <c r="P61" i="9"/>
  <c r="K61" i="9"/>
  <c r="R79" i="9"/>
  <c r="Q84" i="9"/>
  <c r="P84" i="9"/>
  <c r="O84" i="9"/>
  <c r="N84" i="9"/>
  <c r="M84" i="9"/>
  <c r="L84" i="9"/>
  <c r="K84" i="9"/>
  <c r="J84" i="9"/>
  <c r="I84" i="9"/>
  <c r="H84" i="9"/>
  <c r="R94" i="9"/>
  <c r="R85" i="9"/>
  <c r="G141" i="8"/>
  <c r="E141" i="8"/>
  <c r="F141" i="8"/>
  <c r="R61" i="9" l="1"/>
  <c r="R84" i="9"/>
  <c r="F143" i="8"/>
  <c r="D122" i="17"/>
  <c r="D75" i="17" s="1"/>
  <c r="G143" i="8"/>
  <c r="E143" i="8"/>
  <c r="H143" i="8" l="1"/>
  <c r="I143" i="8" s="1"/>
  <c r="D36" i="17"/>
  <c r="O36" i="17" s="1"/>
  <c r="D35" i="17"/>
  <c r="O35" i="17" s="1"/>
  <c r="I29" i="19"/>
  <c r="O75" i="17"/>
  <c r="H190" i="8"/>
  <c r="Q51" i="11"/>
  <c r="Q56" i="19" s="1"/>
  <c r="H145" i="8" l="1"/>
  <c r="H165" i="8" s="1"/>
  <c r="J143" i="8"/>
  <c r="K143" i="8" s="1"/>
  <c r="Q50" i="19"/>
  <c r="Q51" i="19"/>
  <c r="H240" i="8"/>
  <c r="Q59" i="11" l="1"/>
  <c r="L143" i="8"/>
  <c r="Q64" i="11"/>
  <c r="Q56" i="11"/>
  <c r="I134" i="8"/>
  <c r="R51" i="11" s="1"/>
  <c r="R56" i="19" s="1"/>
  <c r="I30" i="19" l="1"/>
  <c r="I145" i="8"/>
  <c r="R44" i="11"/>
  <c r="R50" i="19" s="1"/>
  <c r="M143" i="8"/>
  <c r="I100" i="8"/>
  <c r="I190" i="8"/>
  <c r="I240" i="8" s="1"/>
  <c r="I230" i="8"/>
  <c r="N143" i="8" l="1"/>
  <c r="O143" i="8" s="1"/>
  <c r="R51" i="19"/>
  <c r="I99" i="8"/>
  <c r="J138" i="8"/>
  <c r="J134" i="8" s="1"/>
  <c r="J145" i="8" s="1"/>
  <c r="J53" i="8"/>
  <c r="J50" i="8" s="1"/>
  <c r="I123" i="8"/>
  <c r="I132" i="8" s="1"/>
  <c r="R59" i="11" s="1"/>
  <c r="I60" i="8"/>
  <c r="J51" i="8" l="1"/>
  <c r="P143" i="8"/>
  <c r="Q143" i="8" s="1"/>
  <c r="R57" i="11"/>
  <c r="R55" i="11"/>
  <c r="R63" i="11"/>
  <c r="R58" i="11"/>
  <c r="J103" i="8"/>
  <c r="J100" i="8"/>
  <c r="I31" i="19"/>
  <c r="J59" i="8"/>
  <c r="J230" i="8" s="1"/>
  <c r="J190" i="8"/>
  <c r="J240" i="8" s="1"/>
  <c r="F30" i="19"/>
  <c r="I179" i="8"/>
  <c r="J123" i="8"/>
  <c r="I234" i="8"/>
  <c r="I184" i="8"/>
  <c r="R19" i="11"/>
  <c r="R30" i="19" s="1"/>
  <c r="J78" i="8" l="1"/>
  <c r="J99" i="8"/>
  <c r="K138" i="8"/>
  <c r="K134" i="8" s="1"/>
  <c r="J60" i="8"/>
  <c r="F31" i="19" s="1"/>
  <c r="J76" i="8"/>
  <c r="K53" i="8"/>
  <c r="K50" i="8" s="1"/>
  <c r="I178" i="8"/>
  <c r="I180" i="8"/>
  <c r="L198" i="8"/>
  <c r="I177" i="8"/>
  <c r="I82" i="8"/>
  <c r="R23" i="11" s="1"/>
  <c r="R33" i="19" s="1"/>
  <c r="I232" i="8"/>
  <c r="J184" i="8"/>
  <c r="J234" i="8"/>
  <c r="K51" i="8" l="1"/>
  <c r="J81" i="8"/>
  <c r="J150" i="8" s="1"/>
  <c r="J257" i="8" s="1"/>
  <c r="J261" i="8" s="1"/>
  <c r="K100" i="8"/>
  <c r="L138" i="8" s="1"/>
  <c r="K145" i="8"/>
  <c r="J179" i="8"/>
  <c r="J180" i="8" s="1"/>
  <c r="K103" i="8"/>
  <c r="K190" i="8"/>
  <c r="K240" i="8" s="1"/>
  <c r="K59" i="8"/>
  <c r="K78" i="8" s="1"/>
  <c r="I32" i="19"/>
  <c r="F6" i="27"/>
  <c r="L199" i="8"/>
  <c r="I176" i="8"/>
  <c r="I182" i="8" s="1"/>
  <c r="J232" i="8" l="1"/>
  <c r="J132" i="8"/>
  <c r="J177" i="8"/>
  <c r="J176" i="8" s="1"/>
  <c r="J182" i="8" s="1"/>
  <c r="J178" i="8"/>
  <c r="J82" i="8"/>
  <c r="K99" i="8"/>
  <c r="L53" i="8"/>
  <c r="L50" i="8" s="1"/>
  <c r="L59" i="8" s="1"/>
  <c r="K76" i="8"/>
  <c r="K81" i="8" s="1"/>
  <c r="K150" i="8" s="1"/>
  <c r="K257" i="8" s="1"/>
  <c r="K261" i="8" s="1"/>
  <c r="K230" i="8"/>
  <c r="L134" i="8"/>
  <c r="I33" i="19" s="1"/>
  <c r="H6" i="27"/>
  <c r="G6" i="27"/>
  <c r="D6" i="27"/>
  <c r="E6" i="27"/>
  <c r="AA11" i="8"/>
  <c r="K123" i="8"/>
  <c r="K60" i="8"/>
  <c r="L103" i="8" l="1"/>
  <c r="L51" i="8"/>
  <c r="L100" i="8"/>
  <c r="M138" i="8" s="1"/>
  <c r="L145" i="8"/>
  <c r="L190" i="8"/>
  <c r="L240" i="8" s="1"/>
  <c r="K132" i="8"/>
  <c r="L76" i="8"/>
  <c r="L78" i="8"/>
  <c r="AB11" i="8"/>
  <c r="F32" i="19"/>
  <c r="AA12" i="8"/>
  <c r="K179" i="8"/>
  <c r="K184" i="8"/>
  <c r="K234" i="8"/>
  <c r="K82" i="8"/>
  <c r="M53" i="8" l="1"/>
  <c r="M50" i="8" s="1"/>
  <c r="M59" i="8" s="1"/>
  <c r="M134" i="8"/>
  <c r="L81" i="8"/>
  <c r="L150" i="8" s="1"/>
  <c r="L257" i="8" s="1"/>
  <c r="L261" i="8" s="1"/>
  <c r="K178" i="8"/>
  <c r="K180" i="8"/>
  <c r="AB12" i="8"/>
  <c r="K177" i="8"/>
  <c r="K232" i="8"/>
  <c r="L230" i="8"/>
  <c r="L99" i="8"/>
  <c r="M51" i="8" l="1"/>
  <c r="M103" i="8"/>
  <c r="M100" i="8"/>
  <c r="N138" i="8" s="1"/>
  <c r="M145" i="8"/>
  <c r="M190" i="8"/>
  <c r="M240" i="8" s="1"/>
  <c r="M76" i="8"/>
  <c r="M78" i="8"/>
  <c r="K176" i="8"/>
  <c r="K182" i="8" s="1"/>
  <c r="L123" i="8"/>
  <c r="L132" i="8" s="1"/>
  <c r="L60" i="8"/>
  <c r="N53" i="8" l="1"/>
  <c r="N50" i="8" s="1"/>
  <c r="N59" i="8" s="1"/>
  <c r="N134" i="8"/>
  <c r="M81" i="8"/>
  <c r="M150" i="8" s="1"/>
  <c r="M257" i="8" s="1"/>
  <c r="M261" i="8" s="1"/>
  <c r="F33" i="19"/>
  <c r="AA13" i="8"/>
  <c r="L179" i="8"/>
  <c r="L184" i="8"/>
  <c r="L234" i="8"/>
  <c r="L82" i="8"/>
  <c r="N103" i="8" l="1"/>
  <c r="N100" i="8"/>
  <c r="O138" i="8" s="1"/>
  <c r="N145" i="8"/>
  <c r="N190" i="8"/>
  <c r="N240" i="8" s="1"/>
  <c r="N76" i="8"/>
  <c r="N78" i="8"/>
  <c r="L178" i="8"/>
  <c r="L180" i="8"/>
  <c r="AB13" i="8"/>
  <c r="L177" i="8"/>
  <c r="L232" i="8"/>
  <c r="M230" i="8"/>
  <c r="M99" i="8"/>
  <c r="N51" i="8" s="1"/>
  <c r="O53" i="8" l="1"/>
  <c r="O50" i="8" s="1"/>
  <c r="O59" i="8" s="1"/>
  <c r="O134" i="8"/>
  <c r="N81" i="8"/>
  <c r="N150" i="8" s="1"/>
  <c r="N257" i="8" s="1"/>
  <c r="N261" i="8" s="1"/>
  <c r="L176" i="8"/>
  <c r="L182" i="8" s="1"/>
  <c r="M123" i="8"/>
  <c r="M132" i="8" s="1"/>
  <c r="M60" i="8"/>
  <c r="M179" i="8" s="1"/>
  <c r="O103" i="8" l="1"/>
  <c r="O100" i="8"/>
  <c r="P138" i="8" s="1"/>
  <c r="O145" i="8"/>
  <c r="O190" i="8"/>
  <c r="O240" i="8" s="1"/>
  <c r="O78" i="8"/>
  <c r="O76" i="8"/>
  <c r="M178" i="8"/>
  <c r="M180" i="8"/>
  <c r="AA14" i="8"/>
  <c r="M234" i="8"/>
  <c r="M184" i="8"/>
  <c r="M177" i="8"/>
  <c r="M82" i="8"/>
  <c r="P53" i="8" l="1"/>
  <c r="P50" i="8" s="1"/>
  <c r="P59" i="8" s="1"/>
  <c r="P134" i="8"/>
  <c r="O81" i="8"/>
  <c r="O150" i="8" s="1"/>
  <c r="O257" i="8" s="1"/>
  <c r="O261" i="8" s="1"/>
  <c r="AB14" i="8"/>
  <c r="M232" i="8"/>
  <c r="M176" i="8"/>
  <c r="M182" i="8" s="1"/>
  <c r="N230" i="8"/>
  <c r="N99" i="8"/>
  <c r="O51" i="8" s="1"/>
  <c r="P100" i="8" l="1"/>
  <c r="Q138" i="8" s="1"/>
  <c r="P145" i="8"/>
  <c r="P103" i="8"/>
  <c r="P190" i="8"/>
  <c r="P240" i="8" s="1"/>
  <c r="P78" i="8"/>
  <c r="P76" i="8"/>
  <c r="N123" i="8"/>
  <c r="N132" i="8" s="1"/>
  <c r="N60" i="8"/>
  <c r="N179" i="8" s="1"/>
  <c r="Q53" i="8" l="1"/>
  <c r="Q50" i="8" s="1"/>
  <c r="Q59" i="8" s="1"/>
  <c r="Q134" i="8"/>
  <c r="P81" i="8"/>
  <c r="P150" i="8" s="1"/>
  <c r="P257" i="8" s="1"/>
  <c r="P261" i="8" s="1"/>
  <c r="N178" i="8"/>
  <c r="N180" i="8"/>
  <c r="N234" i="8"/>
  <c r="N184" i="8"/>
  <c r="N177" i="8"/>
  <c r="N82" i="8"/>
  <c r="Q103" i="8" l="1"/>
  <c r="Q100" i="8"/>
  <c r="Q145" i="8"/>
  <c r="Q190" i="8"/>
  <c r="Q240" i="8" s="1"/>
  <c r="Q78" i="8"/>
  <c r="Q76" i="8"/>
  <c r="N232" i="8"/>
  <c r="N176" i="8"/>
  <c r="N182" i="8" s="1"/>
  <c r="O230" i="8"/>
  <c r="O99" i="8"/>
  <c r="P51" i="8" s="1"/>
  <c r="Q81" i="8" l="1"/>
  <c r="Q150" i="8" s="1"/>
  <c r="Q257" i="8" s="1"/>
  <c r="Q261" i="8" s="1"/>
  <c r="Q263" i="8" s="1"/>
  <c r="Q264" i="8" s="1"/>
  <c r="Q267" i="8" s="1"/>
  <c r="Q269" i="8" s="1"/>
  <c r="O123" i="8"/>
  <c r="O132" i="8" s="1"/>
  <c r="O60" i="8"/>
  <c r="O179" i="8" s="1"/>
  <c r="O178" i="8" l="1"/>
  <c r="O180" i="8"/>
  <c r="O234" i="8"/>
  <c r="O184" i="8"/>
  <c r="O177" i="8"/>
  <c r="O82" i="8"/>
  <c r="O232" i="8" l="1"/>
  <c r="O176" i="8"/>
  <c r="O182" i="8" s="1"/>
  <c r="P230" i="8"/>
  <c r="P99" i="8"/>
  <c r="Q51" i="8" s="1"/>
  <c r="P123" i="8" l="1"/>
  <c r="P132" i="8" s="1"/>
  <c r="P60" i="8"/>
  <c r="P179" i="8" s="1"/>
  <c r="P178" i="8" l="1"/>
  <c r="P180" i="8"/>
  <c r="P234" i="8"/>
  <c r="P184" i="8"/>
  <c r="P177" i="8"/>
  <c r="P82" i="8"/>
  <c r="P232" i="8" l="1"/>
  <c r="P176" i="8"/>
  <c r="P182" i="8" s="1"/>
  <c r="Q230" i="8"/>
  <c r="Q99" i="8"/>
  <c r="Q123" i="8" l="1"/>
  <c r="Q132" i="8" s="1"/>
  <c r="Q60" i="8"/>
  <c r="Q179" i="8" l="1"/>
  <c r="C18" i="27"/>
  <c r="Q234" i="8"/>
  <c r="Q184" i="8"/>
  <c r="Q82" i="8"/>
  <c r="Q178" i="8" l="1"/>
  <c r="Q180" i="8"/>
  <c r="Q177" i="8"/>
  <c r="Q176" i="8" s="1"/>
  <c r="Q182" i="8" s="1"/>
  <c r="C19" i="27"/>
  <c r="C17" i="27"/>
  <c r="Q232" i="8"/>
  <c r="R49" i="11"/>
  <c r="R54" i="19" s="1"/>
  <c r="H188" i="8" l="1"/>
  <c r="H238" i="8" s="1"/>
  <c r="J114" i="8"/>
  <c r="K114" i="8"/>
  <c r="L114" i="8"/>
  <c r="M114" i="8"/>
  <c r="N114" i="8"/>
  <c r="O114" i="8"/>
  <c r="P114" i="8"/>
  <c r="I114" i="8"/>
  <c r="Q114" i="8"/>
  <c r="H244" i="8" l="1"/>
  <c r="I158" i="8" s="1"/>
  <c r="H192" i="8"/>
  <c r="H215" i="8" s="1"/>
  <c r="Q188" i="8"/>
  <c r="Q192" i="8" s="1"/>
  <c r="L188" i="8"/>
  <c r="L192" i="8" s="1"/>
  <c r="L215" i="8" s="1"/>
  <c r="K188" i="8"/>
  <c r="K192" i="8" s="1"/>
  <c r="K215" i="8" s="1"/>
  <c r="J188" i="8"/>
  <c r="J192" i="8" s="1"/>
  <c r="J215" i="8" s="1"/>
  <c r="P188" i="8"/>
  <c r="P192" i="8" s="1"/>
  <c r="P215" i="8" s="1"/>
  <c r="O188" i="8"/>
  <c r="O192" i="8" s="1"/>
  <c r="O215" i="8" s="1"/>
  <c r="N188" i="8"/>
  <c r="N192" i="8" s="1"/>
  <c r="N215" i="8" s="1"/>
  <c r="I188" i="8"/>
  <c r="I192" i="8" s="1"/>
  <c r="I215" i="8" s="1"/>
  <c r="M188" i="8"/>
  <c r="M192" i="8" s="1"/>
  <c r="M215" i="8" s="1"/>
  <c r="H88" i="8"/>
  <c r="Q265" i="8"/>
  <c r="R42" i="19"/>
  <c r="Q42" i="19"/>
  <c r="H245" i="8" l="1"/>
  <c r="Q27" i="11"/>
  <c r="Q28" i="11"/>
  <c r="R45" i="11"/>
  <c r="I156" i="8"/>
  <c r="R60" i="11" s="1"/>
  <c r="Y10" i="8"/>
  <c r="Q198" i="8"/>
  <c r="Q199" i="8" s="1"/>
  <c r="Q218" i="8"/>
  <c r="Q219" i="8" s="1"/>
  <c r="R61" i="11"/>
  <c r="Q215" i="8"/>
  <c r="U193" i="8"/>
  <c r="X13" i="8"/>
  <c r="W193" i="8"/>
  <c r="AC192" i="8"/>
  <c r="X11" i="8"/>
  <c r="Q238" i="8"/>
  <c r="J238" i="8"/>
  <c r="K238" i="8"/>
  <c r="P238" i="8"/>
  <c r="X10" i="8"/>
  <c r="G29" i="19" s="1"/>
  <c r="H193" i="8"/>
  <c r="AC193" i="8"/>
  <c r="M238" i="8"/>
  <c r="L238" i="8"/>
  <c r="N238" i="8"/>
  <c r="O238" i="8"/>
  <c r="I238" i="8"/>
  <c r="X192" i="8"/>
  <c r="N193" i="8"/>
  <c r="Y192" i="8"/>
  <c r="X14" i="8"/>
  <c r="L193" i="8"/>
  <c r="X193" i="8"/>
  <c r="M193" i="8"/>
  <c r="J193" i="8"/>
  <c r="X12" i="8"/>
  <c r="K193" i="8"/>
  <c r="O193" i="8"/>
  <c r="V193" i="8"/>
  <c r="Y193" i="8"/>
  <c r="AA192" i="8"/>
  <c r="P193" i="8"/>
  <c r="AA193" i="8"/>
  <c r="AB192" i="8"/>
  <c r="AB193" i="8"/>
  <c r="I193" i="8"/>
  <c r="T193" i="8"/>
  <c r="U192" i="8"/>
  <c r="V192" i="8"/>
  <c r="W192" i="8"/>
  <c r="Q193" i="8"/>
  <c r="Q43" i="19"/>
  <c r="I116" i="8" l="1"/>
  <c r="AF11" i="8" s="1"/>
  <c r="I242" i="8"/>
  <c r="I244" i="8" s="1"/>
  <c r="J158" i="8" s="1"/>
  <c r="I163" i="8"/>
  <c r="I165" i="8" s="1"/>
  <c r="AD10" i="8"/>
  <c r="R199" i="8"/>
  <c r="R200" i="8" s="1"/>
  <c r="Q9" i="11" s="1"/>
  <c r="H29" i="19"/>
  <c r="S199" i="8"/>
  <c r="S200" i="8" s="1"/>
  <c r="R9" i="11" s="1"/>
  <c r="R201" i="8"/>
  <c r="AI10" i="8"/>
  <c r="AE10" i="8"/>
  <c r="Q222" i="8"/>
  <c r="Q223" i="8" s="1"/>
  <c r="Q224" i="8" s="1"/>
  <c r="Q226" i="8" s="1"/>
  <c r="Q36" i="19"/>
  <c r="Q37" i="19"/>
  <c r="I63" i="8" l="1"/>
  <c r="S204" i="8"/>
  <c r="R62" i="11"/>
  <c r="AC11" i="8"/>
  <c r="AG10" i="8"/>
  <c r="Q15" i="11"/>
  <c r="Q26" i="19" s="1"/>
  <c r="R15" i="11"/>
  <c r="Q42" i="11"/>
  <c r="Q48" i="19" s="1"/>
  <c r="R42" i="11"/>
  <c r="R29" i="11"/>
  <c r="Q29" i="11"/>
  <c r="Q38" i="19" s="1"/>
  <c r="R56" i="11"/>
  <c r="R64" i="11"/>
  <c r="R43" i="19" s="1"/>
  <c r="R6" i="11"/>
  <c r="R18" i="19" s="1"/>
  <c r="R8" i="11"/>
  <c r="R20" i="19" s="1"/>
  <c r="Q8" i="11"/>
  <c r="Q20" i="19" s="1"/>
  <c r="Q21" i="19"/>
  <c r="Y11" i="8"/>
  <c r="G30" i="19" s="1"/>
  <c r="J156" i="8"/>
  <c r="I88" i="8"/>
  <c r="Q6" i="11"/>
  <c r="Q18" i="19" s="1"/>
  <c r="Q200" i="8"/>
  <c r="R205" i="8"/>
  <c r="I245" i="8"/>
  <c r="R21" i="19"/>
  <c r="Q40" i="11" l="1"/>
  <c r="Q46" i="19" s="1"/>
  <c r="Q41" i="11"/>
  <c r="Q47" i="19" s="1"/>
  <c r="R40" i="11"/>
  <c r="R41" i="11"/>
  <c r="Q16" i="11"/>
  <c r="Q27" i="19" s="1"/>
  <c r="R16" i="11"/>
  <c r="Q17" i="11"/>
  <c r="Q28" i="19" s="1"/>
  <c r="R17" i="11"/>
  <c r="Q10" i="11"/>
  <c r="Q22" i="19" s="1"/>
  <c r="Q11" i="11"/>
  <c r="Q23" i="19" s="1"/>
  <c r="R28" i="11"/>
  <c r="R37" i="19" s="1"/>
  <c r="R27" i="11"/>
  <c r="R36" i="19" s="1"/>
  <c r="Q7" i="11"/>
  <c r="Q19" i="19" s="1"/>
  <c r="J163" i="8"/>
  <c r="J165" i="8" s="1"/>
  <c r="J242" i="8"/>
  <c r="J244" i="8" s="1"/>
  <c r="K158" i="8" s="1"/>
  <c r="J116" i="8"/>
  <c r="AE11" i="8"/>
  <c r="R48" i="19" s="1"/>
  <c r="AI11" i="8"/>
  <c r="R38" i="19" s="1"/>
  <c r="S201" i="8"/>
  <c r="S205" i="8" s="1"/>
  <c r="AD11" i="8"/>
  <c r="H30" i="19" s="1"/>
  <c r="Q205" i="8"/>
  <c r="R10" i="11" l="1"/>
  <c r="R22" i="19" s="1"/>
  <c r="R11" i="11"/>
  <c r="R23" i="19" s="1"/>
  <c r="R7" i="11"/>
  <c r="R19" i="19" s="1"/>
  <c r="Q208" i="8"/>
  <c r="AO285" i="8" s="1"/>
  <c r="Y12" i="8"/>
  <c r="G31" i="19" s="1"/>
  <c r="K156" i="8"/>
  <c r="J63" i="8"/>
  <c r="AG11" i="8"/>
  <c r="R47" i="19" s="1"/>
  <c r="J88" i="8"/>
  <c r="AC12" i="8"/>
  <c r="J245" i="8"/>
  <c r="R26" i="19"/>
  <c r="R28" i="19"/>
  <c r="K163" i="8" l="1"/>
  <c r="K165" i="8" s="1"/>
  <c r="K242" i="8"/>
  <c r="AO295" i="8"/>
  <c r="Q211" i="8"/>
  <c r="U11" i="19" s="1"/>
  <c r="K116" i="8"/>
  <c r="R46" i="19"/>
  <c r="R27" i="19"/>
  <c r="AC13" i="8" l="1"/>
  <c r="K244" i="8"/>
  <c r="L158" i="8" s="1"/>
  <c r="K63" i="8"/>
  <c r="K88" i="8"/>
  <c r="AD12" i="8"/>
  <c r="H31" i="19" s="1"/>
  <c r="Y13" i="8" l="1"/>
  <c r="G32" i="19" s="1"/>
  <c r="L156" i="8"/>
  <c r="K245" i="8"/>
  <c r="L163" i="8" l="1"/>
  <c r="L165" i="8" s="1"/>
  <c r="L242" i="8"/>
  <c r="L244" i="8" s="1"/>
  <c r="L116" i="8"/>
  <c r="AD13" i="8"/>
  <c r="H32" i="19" s="1"/>
  <c r="AC14" i="8" l="1"/>
  <c r="L63" i="8"/>
  <c r="L88" i="8"/>
  <c r="M158" i="8"/>
  <c r="Y14" i="8" l="1"/>
  <c r="G33" i="19" s="1"/>
  <c r="M156" i="8"/>
  <c r="M242" i="8" s="1"/>
  <c r="M244" i="8" s="1"/>
  <c r="L245" i="8"/>
  <c r="M116" i="8" l="1"/>
  <c r="M163" i="8"/>
  <c r="M165" i="8" s="1"/>
  <c r="AD14" i="8"/>
  <c r="H33" i="19" s="1"/>
  <c r="N156" i="8" l="1"/>
  <c r="N158" i="8"/>
  <c r="M63" i="8"/>
  <c r="M88" i="8"/>
  <c r="M245" i="8"/>
  <c r="N163" i="8" l="1"/>
  <c r="N165" i="8" s="1"/>
  <c r="N242" i="8"/>
  <c r="N244" i="8" s="1"/>
  <c r="N116" i="8"/>
  <c r="N63" i="8" s="1"/>
  <c r="O156" i="8" l="1"/>
  <c r="O158" i="8"/>
  <c r="N88" i="8"/>
  <c r="N245" i="8"/>
  <c r="O242" i="8" l="1"/>
  <c r="O244" i="8" s="1"/>
  <c r="P158" i="8" s="1"/>
  <c r="O163" i="8"/>
  <c r="O165" i="8" s="1"/>
  <c r="O88" i="8" s="1"/>
  <c r="O116" i="8"/>
  <c r="O245" i="8" l="1"/>
  <c r="P156" i="8"/>
  <c r="O63" i="8"/>
  <c r="P163" i="8" l="1"/>
  <c r="P165" i="8" s="1"/>
  <c r="P242" i="8"/>
  <c r="P244" i="8" s="1"/>
  <c r="P116" i="8"/>
  <c r="Q156" i="8" l="1"/>
  <c r="Q158" i="8"/>
  <c r="P63" i="8"/>
  <c r="P88" i="8"/>
  <c r="P245" i="8"/>
  <c r="Q163" i="8" l="1"/>
  <c r="Q165" i="8" s="1"/>
  <c r="Q242" i="8"/>
  <c r="Q116" i="8"/>
  <c r="Q63" i="8" s="1"/>
  <c r="Q244" i="8" l="1"/>
  <c r="Q247" i="8" s="1"/>
  <c r="Q248" i="8" s="1"/>
  <c r="Q88" i="8"/>
  <c r="Q245" i="8" l="1"/>
  <c r="Q249" i="8" s="1"/>
  <c r="U10" i="19" l="1"/>
  <c r="Q251" i="8"/>
  <c r="Q25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F6" authorId="0" shapeId="0" xr:uid="{00000000-0006-0000-0100-000001000000}">
      <text>
        <r>
          <rPr>
            <b/>
            <sz val="9"/>
            <color indexed="81"/>
            <rFont val="Tahoma"/>
            <family val="2"/>
          </rPr>
          <t xml:space="preserve">Company didn't disclose the data due to changes in accounting standards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Raul Vasconcelos</author>
    <author>Raul Vasconcelos da Silva</author>
    <author>tc={CB5C8E83-E3D0-4441-B6E0-D862C650B5F5}</author>
    <author>tc={CE396053-595E-4126-9C71-0875E5897884}</author>
    <author>tc={E2CDF95A-7B2F-4661-BCB3-C007122C6CFD}</author>
    <author>tc={CD092673-94DE-4108-B6AF-FC73424C056A}</author>
    <author>tc={62E50C66-BA1C-4031-B660-F25771E0B7AB}</author>
    <author>tc={9EF6C6D7-5E70-49FE-A672-ED08A0372EC5}</author>
  </authors>
  <commentList>
    <comment ref="B39" authorId="0"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42" authorId="0"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B72" authorId="1"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06" authorId="1" shapeId="0" xr:uid="{00000000-0006-0000-0600-000006000000}">
      <text>
        <r>
          <rPr>
            <sz val="11"/>
            <color theme="1"/>
            <rFont val="Arial"/>
            <family val="2"/>
          </rPr>
          <t>Growth with R&amp;D or with part of the capex, should find what is the most reliable method for the company</t>
        </r>
      </text>
    </comment>
    <comment ref="B123" authorId="2" shapeId="0" xr:uid="{00000000-0006-0000-0600-000007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Chipotle does not have any Intangibles in its Balance Sheet, except for Goodwill. Hence Depreciation and Amortization are forecasted only as % of PP&amp;E.</t>
      </text>
    </comment>
    <comment ref="B125" authorId="1" shapeId="0" xr:uid="{00000000-0006-0000-0600-000008000000}">
      <text>
        <r>
          <rPr>
            <sz val="11"/>
            <color theme="1"/>
            <rFont val="Arial"/>
            <family val="2"/>
          </rPr>
          <t xml:space="preserve">Usually part of SG&amp;A expenses, but sometimes can be part of R&amp;D expenses, i.e. tech/engineering companies </t>
        </r>
      </text>
    </comment>
    <comment ref="B136" authorId="3" shapeId="0" xr:uid="{00000000-0006-0000-0600-0000090000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Forecasted based on net number of stores opening </t>
      </text>
    </comment>
    <comment ref="B141" authorId="1" shapeId="0" xr:uid="{00000000-0006-0000-0600-00000A000000}">
      <text>
        <r>
          <rPr>
            <sz val="11"/>
            <color theme="1"/>
            <rFont val="Arial"/>
            <family val="2"/>
          </rPr>
          <t>Forecast separately based on what you find to be the best factor</t>
        </r>
      </text>
    </comment>
    <comment ref="B153" authorId="4" shapeId="0" xr:uid="{00000000-0006-0000-0600-00000B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56" authorId="5" shapeId="0" xr:uid="{00000000-0006-0000-0600-00000C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58" authorId="6" shapeId="0" xr:uid="{00000000-0006-0000-0600-00000D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65" authorId="7" shapeId="0" xr:uid="{00000000-0006-0000-0600-00000E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Raul Vasconcelos</author>
  </authors>
  <commentList>
    <comment ref="B7" authorId="0" shapeId="0" xr:uid="{00000000-0006-0000-0800-000001000000}">
      <text>
        <r>
          <rPr>
            <sz val="11"/>
            <color theme="1"/>
            <rFont val="Arial"/>
            <family val="2"/>
          </rPr>
          <t>Raul Vasconcelos da Silva:
Food, beverage and packaging</t>
        </r>
      </text>
    </comment>
    <comment ref="B50" authorId="1"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1"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<sst xmlns="http://schemas.openxmlformats.org/spreadsheetml/2006/main" count="827" uniqueCount="510">
  <si>
    <t xml:space="preserve">             |   EQUITY RESEARCH </t>
  </si>
  <si>
    <t>Lisbon Investment Society Equity Research</t>
  </si>
  <si>
    <t>March XX, 2025</t>
  </si>
  <si>
    <t>Hold</t>
  </si>
  <si>
    <t>EXCHANGE:(TICKER)</t>
  </si>
  <si>
    <t>Investment Thesis</t>
  </si>
  <si>
    <t>Operating Metrics</t>
  </si>
  <si>
    <t>Valuation Multiples</t>
  </si>
  <si>
    <t>Team Leader</t>
  </si>
  <si>
    <t>EV / Sales</t>
  </si>
  <si>
    <t>email</t>
  </si>
  <si>
    <t>Price / Sales</t>
  </si>
  <si>
    <t>(+351) 999 999 999</t>
  </si>
  <si>
    <t>EV / EBITDA</t>
  </si>
  <si>
    <t>Analyst 1</t>
  </si>
  <si>
    <t>EV / EBIT</t>
  </si>
  <si>
    <t>Price / Earnings</t>
  </si>
  <si>
    <t>Price / Book</t>
  </si>
  <si>
    <t>Analyst 2</t>
  </si>
  <si>
    <t>Year</t>
  </si>
  <si>
    <t>Net Sales</t>
  </si>
  <si>
    <t>EBIT Margin</t>
  </si>
  <si>
    <t>FCFF</t>
  </si>
  <si>
    <t>Net Capex</t>
  </si>
  <si>
    <t>Profitability Ratios</t>
  </si>
  <si>
    <t>Return on Assets</t>
  </si>
  <si>
    <t>Analyst 3</t>
  </si>
  <si>
    <t>Return on Equity</t>
  </si>
  <si>
    <t>Return on Total Capital</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</si>
  <si>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</si>
  <si>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</si>
  <si>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</si>
  <si>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</si>
  <si>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</si>
  <si>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</si>
  <si>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</si>
  <si>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</si>
  <si>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</si>
  <si>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</si>
  <si>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</si>
  <si>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</si>
  <si>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</si>
  <si>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</si>
  <si>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</si>
  <si>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Quick Ratio</t>
  </si>
  <si>
    <t>Major Holders</t>
  </si>
  <si>
    <t>Current Ratio</t>
  </si>
  <si>
    <t>Opportunities</t>
  </si>
  <si>
    <t>Threats</t>
  </si>
  <si>
    <t>Cash Flow Ratios</t>
  </si>
  <si>
    <t>Cash Conversion Cycle</t>
  </si>
  <si>
    <t>Net Income / Op Cash Flow</t>
  </si>
  <si>
    <t>Chg in Cash / Op Cash Flow</t>
  </si>
  <si>
    <t>Revenue by Region</t>
  </si>
  <si>
    <t>Revenue by Segment</t>
  </si>
  <si>
    <t>Leverage Ratios</t>
  </si>
  <si>
    <t>Total Debt / Equity</t>
  </si>
  <si>
    <t>Total Debt / Capital</t>
  </si>
  <si>
    <t>Total Liabilities / Total Assets</t>
  </si>
  <si>
    <t>Total Debt / EBITDA</t>
  </si>
  <si>
    <t>Board of Directors</t>
  </si>
  <si>
    <t>Total Debt / (EBITDA - Capex)</t>
  </si>
  <si>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</si>
  <si>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</si>
  <si>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</si>
  <si>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</si>
  <si>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</si>
  <si>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</si>
  <si>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</si>
  <si>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</si>
  <si>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</si>
  <si>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</si>
  <si>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</si>
  <si>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</si>
  <si>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</si>
  <si>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</si>
  <si>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</si>
  <si>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</si>
  <si>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</si>
  <si>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</si>
  <si>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</si>
  <si>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</si>
  <si>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</si>
  <si>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</si>
  <si>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</si>
  <si>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</si>
  <si>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Regions</t>
  </si>
  <si>
    <t>Weight</t>
  </si>
  <si>
    <t>Total</t>
  </si>
  <si>
    <t>Categories</t>
  </si>
  <si>
    <t>Description</t>
  </si>
  <si>
    <t>Graphs</t>
  </si>
  <si>
    <t>Products</t>
  </si>
  <si>
    <t>Product 3</t>
  </si>
  <si>
    <t>Product 4</t>
  </si>
  <si>
    <t>Product 5</t>
  </si>
  <si>
    <t>Company's Strategy / Extra Notes</t>
  </si>
  <si>
    <t>Industry Overview</t>
  </si>
  <si>
    <t>Sales Growth Forecast</t>
  </si>
  <si>
    <t>Sources</t>
  </si>
  <si>
    <t>Weighted Average</t>
  </si>
  <si>
    <t>Key Drivers</t>
  </si>
  <si>
    <t>Industry Trends</t>
  </si>
  <si>
    <t>Market Share</t>
  </si>
  <si>
    <t>Headquarters</t>
  </si>
  <si>
    <t>Revenues</t>
  </si>
  <si>
    <t>(in MM of USD)</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</si>
  <si>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</si>
  <si>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</si>
  <si>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</si>
  <si>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</si>
  <si>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</si>
  <si>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</si>
  <si>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</si>
  <si>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</si>
  <si>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</si>
  <si>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</si>
  <si>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</si>
  <si>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</si>
  <si>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</si>
  <si>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</si>
  <si>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</si>
  <si>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</si>
  <si>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</si>
  <si>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</si>
  <si>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</si>
  <si>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</si>
  <si>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</si>
  <si>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</si>
  <si>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</si>
  <si>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</si>
  <si>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</si>
  <si>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</si>
  <si>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</si>
  <si>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</si>
  <si>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</si>
  <si>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</si>
  <si>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</si>
  <si>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</si>
  <si>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</si>
  <si>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</si>
  <si>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</si>
  <si>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</si>
  <si>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</si>
  <si>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</si>
  <si>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</si>
  <si>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</si>
  <si>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</si>
  <si>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</si>
  <si>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</si>
  <si>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</si>
  <si>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</si>
  <si>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</si>
  <si>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</si>
  <si>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</si>
  <si>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</si>
  <si>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</si>
  <si>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</si>
  <si>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</si>
  <si>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</si>
  <si>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</si>
  <si>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</si>
  <si>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</si>
  <si>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</si>
  <si>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</si>
  <si>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</si>
  <si>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</si>
  <si>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</si>
  <si>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</si>
  <si>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</si>
  <si>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</si>
  <si>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</si>
  <si>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</si>
  <si>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</si>
  <si>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</si>
  <si>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</si>
  <si>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</si>
  <si>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</si>
  <si>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</si>
  <si>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</si>
  <si>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</si>
  <si>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</si>
  <si>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</si>
  <si>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</si>
  <si>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</si>
  <si>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</si>
  <si>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</si>
  <si>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</si>
  <si>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</si>
  <si>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</si>
  <si>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</si>
  <si>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</si>
  <si>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</si>
  <si>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</si>
  <si>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</si>
  <si>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</si>
  <si>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</si>
  <si>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</si>
  <si>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</si>
  <si>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</si>
  <si>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</si>
  <si>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</si>
  <si>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</si>
  <si>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</si>
  <si>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</si>
  <si>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</si>
  <si>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1</t>
  </si>
  <si>
    <t>PEER 2</t>
  </si>
  <si>
    <t>PEER 3</t>
  </si>
  <si>
    <t>PEER 4</t>
  </si>
  <si>
    <t>PEER 5</t>
  </si>
  <si>
    <t>PEER 6</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</si>
  <si>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</si>
  <si>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</si>
  <si>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</si>
  <si>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</si>
  <si>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</si>
  <si>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</si>
  <si>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</si>
  <si>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</si>
  <si>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</si>
  <si>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</si>
  <si>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</si>
  <si>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</si>
  <si>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</si>
  <si>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</si>
  <si>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</si>
  <si>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</si>
  <si>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</si>
  <si>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</si>
  <si>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</si>
  <si>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</si>
  <si>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</si>
  <si>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</si>
  <si>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</si>
  <si>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</si>
  <si>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</si>
  <si>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</si>
  <si>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</si>
  <si>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</si>
  <si>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</si>
  <si>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</si>
  <si>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</si>
  <si>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</si>
  <si>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</si>
  <si>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</si>
  <si>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</si>
  <si>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Environmental, Social and Governance Analysis</t>
  </si>
  <si>
    <t>Author:</t>
  </si>
  <si>
    <t>Highlights</t>
  </si>
  <si>
    <t>Recent News</t>
  </si>
  <si>
    <t>Overview</t>
  </si>
  <si>
    <t>.</t>
  </si>
  <si>
    <t>Last Update</t>
  </si>
  <si>
    <t>Latest year with data</t>
  </si>
  <si>
    <t>GICS Sector</t>
  </si>
  <si>
    <t>GICS Industry Group</t>
  </si>
  <si>
    <t>Final Review</t>
  </si>
  <si>
    <t>ESG Scores</t>
  </si>
  <si>
    <t>GHG Scope 1 and 2 Emissions:</t>
  </si>
  <si>
    <t>Water, Waste, Energy Management:</t>
  </si>
  <si>
    <t>Industry ESG Overview:</t>
  </si>
  <si>
    <t>ENVIRONMENTAL</t>
  </si>
  <si>
    <t>Targets</t>
  </si>
  <si>
    <t>Improvements</t>
  </si>
  <si>
    <t>Comments</t>
  </si>
  <si>
    <t>GHG (or CO2) Scope 1 Emissions</t>
  </si>
  <si>
    <t>Water Consumption</t>
  </si>
  <si>
    <t>Energy Consumption</t>
  </si>
  <si>
    <t>Waste Management</t>
  </si>
  <si>
    <t>Other</t>
  </si>
  <si>
    <t>SOCIAL</t>
  </si>
  <si>
    <t>Important Sources:</t>
  </si>
  <si>
    <t>Annual Report</t>
  </si>
  <si>
    <t>Employee Turnover %</t>
  </si>
  <si>
    <t>Sustainability Report</t>
  </si>
  <si>
    <t>Proxy Statement</t>
  </si>
  <si>
    <t>Salaries &amp; Compensation</t>
  </si>
  <si>
    <t>Reputation</t>
  </si>
  <si>
    <t>Discrimination Events</t>
  </si>
  <si>
    <t>Work Safety</t>
  </si>
  <si>
    <t>Damage to consumer health</t>
  </si>
  <si>
    <t>Pension Plan</t>
  </si>
  <si>
    <t>Supply chain</t>
  </si>
  <si>
    <t>Community involvement</t>
  </si>
  <si>
    <t>Public Sector</t>
  </si>
  <si>
    <t>Litigation</t>
  </si>
  <si>
    <t>GOVERNANCE</t>
  </si>
  <si>
    <t>Diversity (Gender, Age, Industry, Region)</t>
  </si>
  <si>
    <t>% Independence</t>
  </si>
  <si>
    <t>Average time as independent directors</t>
  </si>
  <si>
    <t>Departures of C-level executives</t>
  </si>
  <si>
    <t>CEO/Chairman duality</t>
  </si>
  <si>
    <t>Transparency when reporting</t>
  </si>
  <si>
    <t>Time taken to report</t>
  </si>
  <si>
    <t>CEO or Chairman in other boards?</t>
  </si>
  <si>
    <t>Audit / Consulting</t>
  </si>
  <si>
    <t>ESG-compensation related</t>
  </si>
  <si>
    <t>Management compensation schemes</t>
  </si>
  <si>
    <t>ESG Inputs</t>
  </si>
  <si>
    <t>x</t>
  </si>
  <si>
    <t>Total GHG Scope 1 Emissions</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</si>
  <si>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</si>
  <si>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</si>
  <si>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</si>
  <si>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</si>
  <si>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</si>
  <si>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</si>
  <si>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</si>
  <si>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</si>
  <si>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</si>
  <si>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</si>
  <si>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</si>
  <si>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</si>
  <si>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</si>
  <si>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</si>
  <si>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</si>
  <si>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</si>
  <si>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</si>
  <si>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</si>
  <si>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</si>
  <si>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</si>
  <si>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</si>
  <si>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</si>
  <si>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</si>
  <si>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</si>
  <si>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Operating Assumptions</t>
  </si>
  <si>
    <t>Number of Locations (Beginning)</t>
  </si>
  <si>
    <t>Net Locations Opened/Acquired</t>
  </si>
  <si>
    <t>Capex per Net Additions</t>
  </si>
  <si>
    <t>Locations Opened/Acquired</t>
  </si>
  <si>
    <t>Locations Closed/Sold</t>
  </si>
  <si>
    <t>Number of Locations (End)</t>
  </si>
  <si>
    <t>Average Sales per Location</t>
  </si>
  <si>
    <t>Same Store Sales Growth</t>
  </si>
  <si>
    <t>Beginning Locations Total Sales</t>
  </si>
  <si>
    <t>New Locations Total Sales (Estimate)</t>
  </si>
  <si>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</si>
  <si>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</si>
  <si>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</si>
  <si>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</si>
  <si>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</si>
  <si>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</si>
  <si>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</si>
  <si>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</si>
  <si>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</si>
  <si>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</si>
  <si>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</si>
  <si>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</si>
  <si>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</si>
  <si>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</si>
  <si>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</si>
  <si>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</si>
  <si>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</si>
  <si>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</si>
  <si>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</si>
  <si>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</si>
  <si>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</si>
  <si>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</si>
  <si>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</si>
  <si>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</si>
  <si>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</si>
  <si>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</si>
  <si>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</si>
  <si>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</si>
  <si>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</si>
  <si>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</si>
  <si>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</si>
  <si>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</si>
  <si>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</si>
  <si>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</si>
  <si>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</si>
  <si>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</si>
  <si>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</si>
  <si>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</si>
  <si>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</si>
  <si>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</si>
  <si>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</si>
  <si>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</si>
  <si>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</si>
  <si>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</si>
  <si>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</si>
  <si>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</si>
  <si>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</si>
  <si>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</si>
  <si>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</si>
  <si>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</si>
  <si>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</si>
  <si>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</si>
  <si>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</si>
  <si>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</si>
  <si>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</si>
  <si>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</si>
  <si>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</si>
  <si>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</si>
  <si>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</si>
  <si>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</si>
  <si>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</si>
  <si>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</si>
  <si>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</si>
  <si>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</si>
  <si>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</si>
  <si>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</si>
  <si>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</si>
  <si>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</si>
  <si>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</si>
  <si>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</si>
  <si>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</si>
  <si>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</si>
  <si>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</si>
  <si>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</si>
  <si>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</si>
  <si>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</si>
  <si>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</si>
  <si>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</si>
  <si>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</si>
  <si>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</si>
  <si>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</si>
  <si>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</si>
  <si>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</si>
  <si>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</si>
  <si>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</si>
  <si>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</si>
  <si>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</si>
  <si>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</si>
  <si>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</si>
  <si>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</si>
  <si>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</si>
  <si>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Sensitivity Analysis</t>
  </si>
  <si>
    <t>Stock Price (in USD)</t>
  </si>
  <si>
    <t>Notes</t>
  </si>
  <si>
    <t>Inputs</t>
  </si>
  <si>
    <t>in millions of USD</t>
  </si>
  <si>
    <t>EPS diluted</t>
  </si>
  <si>
    <t>Basic Weighted Average Shares</t>
  </si>
  <si>
    <t xml:space="preserve"> </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</si>
  <si>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</si>
  <si>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</si>
  <si>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</si>
  <si>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</si>
  <si>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</si>
  <si>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</si>
  <si>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</si>
  <si>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</si>
  <si>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</si>
  <si>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</si>
  <si>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</si>
  <si>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</si>
  <si>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</si>
  <si>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</si>
  <si>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</si>
  <si>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</si>
  <si>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</si>
  <si>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</si>
  <si>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</si>
  <si>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Inventories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</si>
  <si>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</si>
  <si>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</si>
  <si>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</si>
  <si>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</si>
  <si>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</si>
  <si>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</si>
  <si>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</si>
  <si>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</si>
  <si>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</si>
  <si>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</si>
  <si>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</si>
  <si>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v</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</si>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</sst>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_(* #,##0.00_);_(* \(#,##0.00\);_(*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s>
  <fonts count="74"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s>
  <fills count="16">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s>
  <borders count="81">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dotted">
        <color rgb="FF000000"/>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44" fontId="2" fillId="0" borderId="0" applyFont="0" applyFill="0" applyBorder="0" applyAlignment="0" applyProtection="0"/>
    <xf numFmtId="0" fontId="1" fillId="0" borderId="0"/>
    <xf numFmtId="0" fontId="45" fillId="12" borderId="44">
      <alignment horizontal="right"/>
    </xf>
    <xf numFmtId="0" fontId="73" fillId="12" borderId="0"/>
  </cellStyleXfs>
  <cellXfs count="826">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4"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37" fontId="0" fillId="3" borderId="0" xfId="0" applyNumberFormat="1" applyFill="1" applyAlignment="1">
      <alignment horizontal="center" vertical="center"/>
    </xf>
    <xf numFmtId="37" fontId="28" fillId="3" borderId="0" xfId="0" applyNumberFormat="1" applyFont="1" applyFill="1" applyAlignment="1">
      <alignment horizontal="center" vertic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6" fontId="6" fillId="2" borderId="0" xfId="0" applyNumberFormat="1" applyFont="1" applyFill="1"/>
    <xf numFmtId="0" fontId="13" fillId="11" borderId="4" xfId="0" applyFont="1" applyFill="1" applyBorder="1"/>
    <xf numFmtId="37" fontId="0" fillId="3" borderId="17" xfId="0" applyNumberFormat="1" applyFill="1" applyBorder="1"/>
    <xf numFmtId="1" fontId="0" fillId="0" borderId="0" xfId="2" applyNumberFormat="1" applyFont="1" applyAlignment="1">
      <alignment horizontal="right"/>
    </xf>
    <xf numFmtId="170" fontId="0" fillId="0" borderId="0" xfId="2" applyNumberFormat="1" applyFont="1" applyFill="1"/>
    <xf numFmtId="170" fontId="0" fillId="0" borderId="0" xfId="2" applyNumberFormat="1" applyFont="1" applyBorder="1"/>
    <xf numFmtId="170" fontId="0" fillId="0" borderId="4" xfId="2" applyNumberFormat="1" applyFont="1" applyFill="1" applyBorder="1"/>
    <xf numFmtId="170" fontId="0" fillId="3" borderId="0" xfId="2" applyNumberFormat="1" applyFont="1" applyFill="1"/>
    <xf numFmtId="170"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4"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37" fillId="0" borderId="26" xfId="0" applyNumberFormat="1" applyFont="1" applyBorder="1"/>
    <xf numFmtId="3" fontId="12" fillId="0" borderId="0" xfId="0" applyNumberFormat="1" applyFont="1"/>
    <xf numFmtId="3" fontId="35" fillId="5" borderId="0" xfId="0" applyNumberFormat="1" applyFont="1" applyFill="1"/>
    <xf numFmtId="0" fontId="39" fillId="0" borderId="0" xfId="0" applyFont="1"/>
    <xf numFmtId="4" fontId="36" fillId="0" borderId="0" xfId="0" applyNumberFormat="1" applyFont="1"/>
    <xf numFmtId="4" fontId="36" fillId="0" borderId="26" xfId="0" applyNumberFormat="1" applyFont="1" applyBorder="1"/>
    <xf numFmtId="4" fontId="35" fillId="5" borderId="0" xfId="0" applyNumberFormat="1" applyFont="1" applyFill="1"/>
    <xf numFmtId="4" fontId="37" fillId="0" borderId="0" xfId="0" applyNumberFormat="1" applyFont="1"/>
    <xf numFmtId="4" fontId="37" fillId="0" borderId="26" xfId="0" applyNumberFormat="1" applyFont="1" applyBorder="1"/>
    <xf numFmtId="2" fontId="12" fillId="0" borderId="0" xfId="0" applyNumberFormat="1" applyFont="1"/>
    <xf numFmtId="170" fontId="35" fillId="5" borderId="0" xfId="0" applyNumberFormat="1" applyFont="1" applyFill="1"/>
    <xf numFmtId="3" fontId="13" fillId="0" borderId="0" xfId="0" applyNumberFormat="1" applyFont="1"/>
    <xf numFmtId="3" fontId="13" fillId="0" borderId="26" xfId="0" applyNumberFormat="1" applyFont="1" applyBorder="1"/>
    <xf numFmtId="3" fontId="12" fillId="0" borderId="26" xfId="0" applyNumberFormat="1" applyFont="1" applyBorder="1"/>
    <xf numFmtId="0" fontId="40" fillId="0" borderId="0" xfId="0" applyFont="1"/>
    <xf numFmtId="0" fontId="13" fillId="0" borderId="26" xfId="0" applyFont="1" applyBorder="1"/>
    <xf numFmtId="166" fontId="6" fillId="0" borderId="0" xfId="0" applyNumberFormat="1" applyFont="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1" xfId="0" applyFont="1" applyBorder="1"/>
    <xf numFmtId="0" fontId="13" fillId="0" borderId="32" xfId="0" applyFont="1" applyBorder="1"/>
    <xf numFmtId="172" fontId="13" fillId="0" borderId="32"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4" xfId="0" applyFont="1" applyBorder="1"/>
    <xf numFmtId="0" fontId="13" fillId="0" borderId="35" xfId="0" applyFont="1" applyBorder="1"/>
    <xf numFmtId="172" fontId="13" fillId="0" borderId="35" xfId="0" applyNumberFormat="1" applyFont="1" applyBorder="1"/>
    <xf numFmtId="172" fontId="13" fillId="0" borderId="36" xfId="0" applyNumberFormat="1" applyFont="1" applyBorder="1"/>
    <xf numFmtId="0" fontId="13" fillId="0" borderId="37" xfId="0" applyFont="1" applyBorder="1"/>
    <xf numFmtId="0" fontId="13" fillId="0" borderId="7" xfId="0" applyFont="1" applyBorder="1"/>
    <xf numFmtId="0" fontId="13" fillId="0" borderId="38" xfId="0" applyFont="1" applyBorder="1"/>
    <xf numFmtId="172" fontId="13" fillId="0" borderId="7" xfId="0" applyNumberFormat="1" applyFont="1" applyBorder="1"/>
    <xf numFmtId="172" fontId="13" fillId="0" borderId="39"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164"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40" xfId="0" applyFont="1" applyBorder="1"/>
    <xf numFmtId="0" fontId="13" fillId="0" borderId="41" xfId="0" applyFont="1" applyBorder="1"/>
    <xf numFmtId="0" fontId="13" fillId="0" borderId="42" xfId="0" applyFont="1" applyBorder="1"/>
    <xf numFmtId="172" fontId="13" fillId="0" borderId="41"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2"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8" xfId="0" applyFont="1" applyBorder="1"/>
    <xf numFmtId="10" fontId="3" fillId="0" borderId="48" xfId="2" applyNumberFormat="1" applyFont="1" applyBorder="1" applyAlignment="1">
      <alignment horizontal="center"/>
    </xf>
    <xf numFmtId="37" fontId="43" fillId="0" borderId="19" xfId="0" applyNumberFormat="1" applyFont="1" applyBorder="1" applyAlignment="1">
      <alignment horizontal="right"/>
    </xf>
    <xf numFmtId="0" fontId="0" fillId="0" borderId="48" xfId="0" applyBorder="1"/>
    <xf numFmtId="37" fontId="43" fillId="3" borderId="48"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37" fontId="48" fillId="3" borderId="0" xfId="0" applyNumberFormat="1" applyFont="1" applyFill="1" applyAlignment="1">
      <alignment horizontal="right"/>
    </xf>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0" fontId="49" fillId="0" borderId="0" xfId="2" applyNumberFormat="1" applyFont="1" applyFill="1"/>
    <xf numFmtId="170" fontId="49" fillId="0" borderId="0" xfId="1" applyNumberFormat="1" applyFont="1" applyFill="1"/>
    <xf numFmtId="170" fontId="49" fillId="0" borderId="17" xfId="1" applyNumberFormat="1" applyFont="1" applyFill="1" applyBorder="1"/>
    <xf numFmtId="170" fontId="49" fillId="4" borderId="0" xfId="1" applyNumberFormat="1" applyFont="1" applyFill="1"/>
    <xf numFmtId="170" fontId="49" fillId="0" borderId="26" xfId="2" applyNumberFormat="1" applyFont="1" applyFill="1" applyBorder="1"/>
    <xf numFmtId="170" fontId="49" fillId="0" borderId="17"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3" fontId="36" fillId="0" borderId="0" xfId="0" applyNumberFormat="1" applyFont="1"/>
    <xf numFmtId="3" fontId="36" fillId="0" borderId="26" xfId="0" applyNumberFormat="1" applyFont="1" applyBorder="1"/>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2" fontId="51" fillId="0" borderId="0" xfId="1" applyNumberFormat="1" applyFont="1" applyFill="1"/>
    <xf numFmtId="172" fontId="51" fillId="0" borderId="26" xfId="1" applyNumberFormat="1" applyFont="1" applyFill="1" applyBorder="1"/>
    <xf numFmtId="172" fontId="39" fillId="0" borderId="0" xfId="1" applyNumberFormat="1" applyFont="1" applyFill="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 fontId="48" fillId="5" borderId="0" xfId="0" applyNumberFormat="1" applyFont="1" applyFill="1"/>
    <xf numFmtId="177" fontId="49" fillId="0" borderId="0" xfId="0" applyNumberFormat="1" applyFont="1"/>
    <xf numFmtId="177" fontId="49" fillId="0" borderId="17" xfId="0" applyNumberFormat="1" applyFont="1" applyBorder="1"/>
    <xf numFmtId="177" fontId="48" fillId="5" borderId="0" xfId="0" applyNumberFormat="1" applyFont="1" applyFill="1"/>
    <xf numFmtId="0" fontId="42" fillId="0" borderId="0" xfId="0" applyFont="1" applyAlignment="1">
      <alignment horizontal="left" indent="1"/>
    </xf>
    <xf numFmtId="170" fontId="50" fillId="0" borderId="17" xfId="2" applyNumberFormat="1" applyFont="1" applyFill="1" applyBorder="1"/>
    <xf numFmtId="172" fontId="51" fillId="0" borderId="0" xfId="1" applyNumberFormat="1" applyFont="1" applyFill="1" applyAlignment="1">
      <alignment horizontal="right"/>
    </xf>
    <xf numFmtId="172" fontId="51" fillId="0" borderId="26" xfId="1" applyNumberFormat="1" applyFont="1" applyBorder="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172" fontId="51" fillId="0" borderId="26" xfId="1" applyNumberFormat="1" applyFont="1" applyFill="1" applyBorder="1" applyAlignment="1">
      <alignment horizontal="right"/>
    </xf>
    <xf numFmtId="0" fontId="25"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3" xfId="0" applyNumberFormat="1" applyFont="1" applyBorder="1"/>
    <xf numFmtId="172" fontId="13" fillId="0" borderId="49" xfId="0" applyNumberFormat="1" applyFont="1" applyBorder="1"/>
    <xf numFmtId="172" fontId="13" fillId="0" borderId="50"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37" fillId="0" borderId="51" xfId="1" applyNumberFormat="1" applyFont="1" applyBorder="1"/>
    <xf numFmtId="172" fontId="13" fillId="0" borderId="22" xfId="0" applyNumberFormat="1" applyFont="1" applyBorder="1"/>
    <xf numFmtId="172" fontId="44" fillId="0" borderId="0" xfId="1" applyNumberFormat="1" applyFont="1" applyBorder="1"/>
    <xf numFmtId="172" fontId="44" fillId="0" borderId="26" xfId="1" applyNumberFormat="1" applyFont="1" applyBorder="1"/>
    <xf numFmtId="172" fontId="44" fillId="0" borderId="22" xfId="1" applyNumberFormat="1" applyFont="1" applyFill="1" applyBorder="1"/>
    <xf numFmtId="172" fontId="44" fillId="0" borderId="51"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Border="1"/>
    <xf numFmtId="37" fontId="46" fillId="0" borderId="26"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37" fillId="0" borderId="23"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6" xfId="5" applyFont="1" applyFill="1" applyBorder="1" applyAlignment="1">
      <alignment horizontal="center" vertical="center" wrapText="1"/>
    </xf>
    <xf numFmtId="0" fontId="56" fillId="2" borderId="0" xfId="5" applyFont="1" applyFill="1" applyAlignment="1">
      <alignment horizontal="center" vertical="center" wrapText="1"/>
    </xf>
    <xf numFmtId="0" fontId="56" fillId="2" borderId="26" xfId="5" applyFont="1" applyFill="1" applyBorder="1" applyAlignment="1">
      <alignment horizontal="center" vertical="center" wrapText="1"/>
    </xf>
    <xf numFmtId="0" fontId="57" fillId="5" borderId="21" xfId="5" applyFont="1" applyFill="1" applyBorder="1"/>
    <xf numFmtId="0" fontId="57" fillId="5" borderId="56" xfId="5" applyFont="1" applyFill="1" applyBorder="1"/>
    <xf numFmtId="0" fontId="57" fillId="5" borderId="0" xfId="5" applyFont="1" applyFill="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164" fontId="41" fillId="0" borderId="0" xfId="0" applyNumberFormat="1" applyFont="1"/>
    <xf numFmtId="0" fontId="31" fillId="0" borderId="0" xfId="0" applyFont="1"/>
    <xf numFmtId="165" fontId="16" fillId="0" borderId="38"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5" xfId="5" applyFont="1" applyBorder="1"/>
    <xf numFmtId="0" fontId="5" fillId="0" borderId="55" xfId="5" applyFont="1" applyBorder="1"/>
    <xf numFmtId="0" fontId="4" fillId="5" borderId="54" xfId="5" applyFont="1" applyFill="1" applyBorder="1"/>
    <xf numFmtId="0" fontId="4" fillId="0" borderId="54"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0" fontId="32" fillId="0" borderId="0" xfId="5" applyFont="1"/>
    <xf numFmtId="173"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4" fontId="32" fillId="0" borderId="0" xfId="5" applyNumberFormat="1" applyFont="1"/>
    <xf numFmtId="170"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7"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6"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6" xfId="8" applyNumberFormat="1" applyFont="1" applyBorder="1" applyAlignment="1">
      <alignment horizontal="center" wrapText="1"/>
    </xf>
    <xf numFmtId="37" fontId="7" fillId="0" borderId="26" xfId="8" applyNumberFormat="1" applyFont="1" applyBorder="1" applyAlignment="1">
      <alignment horizontal="center" wrapText="1"/>
    </xf>
    <xf numFmtId="37" fontId="7" fillId="0" borderId="0" xfId="5" applyNumberFormat="1" applyFont="1" applyAlignment="1">
      <alignment horizontal="center"/>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6"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6"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6"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6" xfId="5" applyFont="1" applyFill="1" applyBorder="1"/>
    <xf numFmtId="0" fontId="10" fillId="5" borderId="26" xfId="5" applyFont="1" applyFill="1" applyBorder="1"/>
    <xf numFmtId="0" fontId="10" fillId="0" borderId="56" xfId="5" applyFont="1" applyBorder="1"/>
    <xf numFmtId="37" fontId="28" fillId="0" borderId="56" xfId="8" applyNumberFormat="1" applyFont="1" applyBorder="1" applyAlignment="1">
      <alignment horizontal="center"/>
    </xf>
    <xf numFmtId="0" fontId="36" fillId="0" borderId="0" xfId="0" applyFont="1" applyAlignment="1">
      <alignment horizontal="left" indent="1"/>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8" xfId="0" applyNumberFormat="1" applyFont="1" applyBorder="1"/>
    <xf numFmtId="0" fontId="4" fillId="2" borderId="59" xfId="5" applyFont="1" applyFill="1" applyBorder="1" applyAlignment="1">
      <alignment horizontal="center"/>
    </xf>
    <xf numFmtId="0" fontId="4" fillId="5" borderId="61" xfId="5" applyFont="1" applyFill="1" applyBorder="1"/>
    <xf numFmtId="170" fontId="29" fillId="0" borderId="0" xfId="5" applyNumberFormat="1" applyFont="1" applyAlignment="1">
      <alignment horizontal="center" vertical="center"/>
    </xf>
    <xf numFmtId="170" fontId="29" fillId="0" borderId="59" xfId="5" applyNumberFormat="1" applyFont="1" applyBorder="1" applyAlignment="1">
      <alignment horizontal="center" vertical="center"/>
    </xf>
    <xf numFmtId="0" fontId="29" fillId="0" borderId="59" xfId="5" applyFont="1" applyBorder="1"/>
    <xf numFmtId="170" fontId="10" fillId="0" borderId="0" xfId="5" applyNumberFormat="1" applyFont="1" applyAlignment="1">
      <alignment horizontal="center" vertical="center"/>
    </xf>
    <xf numFmtId="170" fontId="10" fillId="0" borderId="59"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9"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9" xfId="5" applyNumberFormat="1" applyFont="1" applyFill="1" applyBorder="1" applyAlignment="1">
      <alignment horizontal="center" vertical="center"/>
    </xf>
    <xf numFmtId="0" fontId="4" fillId="2" borderId="62" xfId="5" applyFont="1" applyFill="1" applyBorder="1" applyAlignment="1">
      <alignment horizontal="center"/>
    </xf>
    <xf numFmtId="0" fontId="4" fillId="5" borderId="64" xfId="5" applyFont="1" applyFill="1" applyBorder="1"/>
    <xf numFmtId="170" fontId="29" fillId="4" borderId="62" xfId="5" applyNumberFormat="1" applyFont="1" applyFill="1" applyBorder="1" applyAlignment="1">
      <alignment horizontal="center" vertical="center"/>
    </xf>
    <xf numFmtId="170" fontId="29" fillId="4" borderId="59" xfId="5" applyNumberFormat="1" applyFont="1" applyFill="1" applyBorder="1" applyAlignment="1">
      <alignment horizontal="center" vertical="center"/>
    </xf>
    <xf numFmtId="173" fontId="10" fillId="4" borderId="62" xfId="5" applyNumberFormat="1" applyFont="1" applyFill="1" applyBorder="1"/>
    <xf numFmtId="173" fontId="10" fillId="4" borderId="59" xfId="5" applyNumberFormat="1" applyFont="1" applyFill="1" applyBorder="1"/>
    <xf numFmtId="170" fontId="10" fillId="0" borderId="62" xfId="5" applyNumberFormat="1" applyFont="1" applyBorder="1" applyAlignment="1">
      <alignment horizontal="center" vertical="center"/>
    </xf>
    <xf numFmtId="170" fontId="29" fillId="5" borderId="62" xfId="5" applyNumberFormat="1" applyFont="1" applyFill="1" applyBorder="1" applyAlignment="1">
      <alignment horizontal="center" vertical="center"/>
    </xf>
    <xf numFmtId="170" fontId="10" fillId="5" borderId="62" xfId="5" applyNumberFormat="1" applyFont="1" applyFill="1" applyBorder="1" applyAlignment="1">
      <alignment horizontal="center" vertical="center"/>
    </xf>
    <xf numFmtId="170" fontId="29" fillId="0" borderId="62" xfId="5" applyNumberFormat="1" applyFont="1" applyBorder="1" applyAlignment="1">
      <alignment horizontal="center" vertical="center"/>
    </xf>
    <xf numFmtId="173" fontId="10" fillId="0" borderId="62" xfId="5" applyNumberFormat="1" applyFont="1" applyBorder="1"/>
    <xf numFmtId="173" fontId="10" fillId="0" borderId="59" xfId="5" applyNumberFormat="1" applyFont="1" applyBorder="1"/>
    <xf numFmtId="170" fontId="10" fillId="0" borderId="62" xfId="2" applyNumberFormat="1" applyFont="1" applyBorder="1" applyAlignment="1">
      <alignment horizontal="center" vertical="center"/>
    </xf>
    <xf numFmtId="9" fontId="29" fillId="5" borderId="62" xfId="2" applyFont="1" applyFill="1" applyBorder="1" applyAlignment="1">
      <alignment horizontal="center" vertical="center"/>
    </xf>
    <xf numFmtId="9" fontId="29" fillId="5" borderId="59" xfId="2" applyFont="1" applyFill="1" applyBorder="1" applyAlignment="1">
      <alignment horizontal="center" vertical="center"/>
    </xf>
    <xf numFmtId="0" fontId="4" fillId="2" borderId="59" xfId="5" applyFont="1" applyFill="1" applyBorder="1"/>
    <xf numFmtId="2" fontId="10" fillId="0" borderId="62" xfId="5" applyNumberFormat="1" applyFont="1" applyBorder="1" applyAlignment="1">
      <alignment horizontal="center" vertical="center"/>
    </xf>
    <xf numFmtId="2" fontId="10" fillId="0" borderId="59" xfId="5" applyNumberFormat="1" applyFont="1" applyBorder="1" applyAlignment="1">
      <alignment horizontal="center" vertical="center"/>
    </xf>
    <xf numFmtId="2" fontId="29" fillId="5" borderId="62" xfId="2" applyNumberFormat="1" applyFont="1" applyFill="1" applyBorder="1" applyAlignment="1">
      <alignment horizontal="center" vertical="center"/>
    </xf>
    <xf numFmtId="2" fontId="29" fillId="5" borderId="59" xfId="2" applyNumberFormat="1" applyFont="1" applyFill="1" applyBorder="1" applyAlignment="1">
      <alignment horizontal="center" vertical="center"/>
    </xf>
    <xf numFmtId="2" fontId="10" fillId="5" borderId="59" xfId="5" applyNumberFormat="1" applyFont="1" applyFill="1" applyBorder="1" applyAlignment="1">
      <alignment horizontal="center" vertical="center"/>
    </xf>
    <xf numFmtId="0" fontId="4" fillId="2" borderId="62" xfId="5" applyFont="1" applyFill="1" applyBorder="1"/>
    <xf numFmtId="4" fontId="10" fillId="0" borderId="62" xfId="5" applyNumberFormat="1" applyFont="1" applyBorder="1" applyAlignment="1">
      <alignment horizontal="center" vertical="center"/>
    </xf>
    <xf numFmtId="2" fontId="10" fillId="0" borderId="59" xfId="2" applyNumberFormat="1" applyFont="1" applyBorder="1" applyAlignment="1">
      <alignment horizontal="center" vertical="center"/>
    </xf>
    <xf numFmtId="4" fontId="10" fillId="0" borderId="62" xfId="5" applyNumberFormat="1" applyFont="1" applyBorder="1" applyAlignment="1">
      <alignment horizontal="center"/>
    </xf>
    <xf numFmtId="2" fontId="10" fillId="0" borderId="59"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5" xfId="5" applyFont="1" applyFill="1" applyBorder="1"/>
    <xf numFmtId="2" fontId="10" fillId="0" borderId="65"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62" xfId="5" applyNumberFormat="1" applyFont="1" applyBorder="1" applyAlignment="1">
      <alignment horizontal="center" vertical="center"/>
    </xf>
    <xf numFmtId="2" fontId="29" fillId="0" borderId="59" xfId="5" applyNumberFormat="1" applyFont="1" applyBorder="1" applyAlignment="1">
      <alignment horizontal="center" vertical="center"/>
    </xf>
    <xf numFmtId="4" fontId="29" fillId="0" borderId="62" xfId="5" applyNumberFormat="1" applyFont="1" applyBorder="1" applyAlignment="1">
      <alignment horizontal="center" vertical="center"/>
    </xf>
    <xf numFmtId="2" fontId="29" fillId="0" borderId="59"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5" xfId="5" applyFont="1" applyBorder="1" applyAlignment="1">
      <alignment vertical="center"/>
    </xf>
    <xf numFmtId="0" fontId="32" fillId="0" borderId="55" xfId="5" applyFont="1" applyBorder="1" applyAlignment="1">
      <alignment vertical="center"/>
    </xf>
    <xf numFmtId="170" fontId="10" fillId="0" borderId="55" xfId="5" applyNumberFormat="1" applyFont="1" applyBorder="1" applyAlignment="1">
      <alignment horizontal="center" vertical="center"/>
    </xf>
    <xf numFmtId="170" fontId="10" fillId="0" borderId="60" xfId="5" applyNumberFormat="1" applyFont="1" applyBorder="1" applyAlignment="1">
      <alignment horizontal="center" vertical="center"/>
    </xf>
    <xf numFmtId="170" fontId="10" fillId="0" borderId="63" xfId="5" applyNumberFormat="1" applyFont="1" applyBorder="1" applyAlignment="1">
      <alignment horizontal="center" vertical="center"/>
    </xf>
    <xf numFmtId="170" fontId="10" fillId="0" borderId="63" xfId="2" applyNumberFormat="1" applyFont="1" applyBorder="1" applyAlignment="1">
      <alignment horizontal="center" vertical="center"/>
    </xf>
    <xf numFmtId="2" fontId="10" fillId="0" borderId="63" xfId="5" applyNumberFormat="1" applyFont="1" applyBorder="1" applyAlignment="1">
      <alignment horizontal="center" vertical="center"/>
    </xf>
    <xf numFmtId="2" fontId="10" fillId="0" borderId="60" xfId="5" applyNumberFormat="1" applyFont="1" applyBorder="1" applyAlignment="1">
      <alignment horizontal="center" vertical="center"/>
    </xf>
    <xf numFmtId="4" fontId="10" fillId="0" borderId="63" xfId="5" applyNumberFormat="1" applyFont="1" applyBorder="1" applyAlignment="1">
      <alignment horizontal="center" vertical="center"/>
    </xf>
    <xf numFmtId="2" fontId="10" fillId="0" borderId="60" xfId="2" applyNumberFormat="1" applyFont="1" applyBorder="1" applyAlignment="1">
      <alignment horizontal="center" vertical="center"/>
    </xf>
    <xf numFmtId="2" fontId="10" fillId="0" borderId="55" xfId="2" applyNumberFormat="1" applyFont="1" applyBorder="1" applyAlignment="1">
      <alignment horizontal="center" vertical="center"/>
    </xf>
    <xf numFmtId="4" fontId="10" fillId="0" borderId="55" xfId="5" applyNumberFormat="1" applyFont="1" applyBorder="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60" fillId="0" borderId="0" xfId="0" applyFont="1"/>
    <xf numFmtId="0" fontId="61" fillId="0" borderId="0" xfId="0" applyFont="1"/>
    <xf numFmtId="0" fontId="60" fillId="5" borderId="0" xfId="0" applyFont="1" applyFill="1"/>
    <xf numFmtId="0" fontId="62" fillId="0" borderId="0" xfId="0" applyFont="1" applyAlignment="1">
      <alignment horizontal="left" indent="2"/>
    </xf>
    <xf numFmtId="0" fontId="60" fillId="2" borderId="0" xfId="0" applyFont="1" applyFill="1"/>
    <xf numFmtId="0" fontId="61" fillId="2" borderId="0" xfId="0" applyFont="1" applyFill="1"/>
    <xf numFmtId="0" fontId="61" fillId="5" borderId="0" xfId="0" applyFont="1" applyFill="1"/>
    <xf numFmtId="0" fontId="63" fillId="0" borderId="0" xfId="0" applyFont="1"/>
    <xf numFmtId="0" fontId="64"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6"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3" xfId="0" applyNumberFormat="1" applyFont="1" applyBorder="1" applyAlignment="1">
      <alignment horizontal="right"/>
    </xf>
    <xf numFmtId="170" fontId="11" fillId="0" borderId="6" xfId="2" applyNumberFormat="1" applyFont="1" applyBorder="1" applyAlignment="1">
      <alignment horizontal="right"/>
    </xf>
    <xf numFmtId="3" fontId="11" fillId="0" borderId="53"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6"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7" xfId="0" applyFont="1" applyFill="1" applyBorder="1"/>
    <xf numFmtId="0" fontId="17" fillId="5" borderId="68"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3" fillId="5" borderId="28" xfId="2" applyNumberFormat="1" applyFont="1" applyFill="1" applyBorder="1"/>
    <xf numFmtId="170" fontId="12" fillId="5" borderId="29" xfId="2" applyNumberFormat="1" applyFont="1" applyFill="1" applyBorder="1"/>
    <xf numFmtId="170" fontId="12" fillId="5" borderId="30" xfId="2" applyNumberFormat="1" applyFont="1" applyFill="1" applyBorder="1"/>
    <xf numFmtId="170" fontId="13" fillId="5" borderId="29" xfId="2" applyNumberFormat="1" applyFont="1" applyFill="1" applyBorder="1"/>
    <xf numFmtId="170" fontId="13" fillId="5" borderId="30"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5" fillId="0" borderId="0" xfId="0" applyFont="1" applyAlignment="1">
      <alignment horizontal="left" vertical="top" indent="1"/>
    </xf>
    <xf numFmtId="0" fontId="8" fillId="0" borderId="0" xfId="5" applyFont="1"/>
    <xf numFmtId="171" fontId="11" fillId="0" borderId="52"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170" fontId="46" fillId="0" borderId="0" xfId="0" applyNumberFormat="1" applyFont="1"/>
    <xf numFmtId="170" fontId="46" fillId="0" borderId="26" xfId="0" applyNumberFormat="1" applyFont="1" applyBorder="1"/>
    <xf numFmtId="0" fontId="12" fillId="0" borderId="0" xfId="0" applyFont="1" applyAlignment="1">
      <alignment horizontal="left" indent="1"/>
    </xf>
    <xf numFmtId="3" fontId="46" fillId="0" borderId="0" xfId="0" applyNumberFormat="1" applyFont="1"/>
    <xf numFmtId="3" fontId="46" fillId="0" borderId="26" xfId="0" applyNumberFormat="1" applyFont="1" applyBorder="1"/>
    <xf numFmtId="0" fontId="60"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7" fillId="0" borderId="0" xfId="3" applyFont="1" applyBorder="1" applyAlignment="1"/>
    <xf numFmtId="49" fontId="59" fillId="0" borderId="0" xfId="0" applyNumberFormat="1" applyFont="1"/>
    <xf numFmtId="0" fontId="0" fillId="0" borderId="47" xfId="0" applyBorder="1"/>
    <xf numFmtId="0" fontId="0" fillId="0" borderId="43" xfId="0" applyBorder="1"/>
    <xf numFmtId="0" fontId="0" fillId="0" borderId="13" xfId="0" applyBorder="1"/>
    <xf numFmtId="0" fontId="0" fillId="0" borderId="15" xfId="0" applyBorder="1"/>
    <xf numFmtId="172" fontId="13" fillId="0" borderId="74" xfId="0" applyNumberFormat="1" applyFont="1" applyBorder="1"/>
    <xf numFmtId="172" fontId="13" fillId="0" borderId="75" xfId="0" applyNumberFormat="1" applyFont="1"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6"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9" fontId="0" fillId="3" borderId="0" xfId="2"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6" xfId="5" applyFont="1" applyFill="1" applyBorder="1"/>
    <xf numFmtId="0" fontId="10" fillId="5" borderId="17" xfId="5" applyFont="1" applyFill="1" applyBorder="1"/>
    <xf numFmtId="37" fontId="32" fillId="3" borderId="45" xfId="8" applyNumberFormat="1" applyFont="1" applyFill="1" applyBorder="1" applyAlignment="1">
      <alignment horizontal="center" wrapText="1"/>
    </xf>
    <xf numFmtId="0" fontId="10" fillId="2" borderId="45" xfId="5" applyFont="1" applyFill="1" applyBorder="1"/>
    <xf numFmtId="0" fontId="10" fillId="5" borderId="45" xfId="5" applyFont="1" applyFill="1" applyBorder="1"/>
    <xf numFmtId="0" fontId="56" fillId="2" borderId="17" xfId="5" applyFont="1" applyFill="1" applyBorder="1" applyAlignment="1">
      <alignment horizontal="center" vertical="center" wrapText="1"/>
    </xf>
    <xf numFmtId="0" fontId="57" fillId="5" borderId="17" xfId="5" applyFont="1" applyFill="1" applyBorder="1"/>
    <xf numFmtId="37" fontId="32" fillId="3" borderId="77"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5" xfId="5" applyFont="1" applyFill="1" applyBorder="1" applyAlignment="1">
      <alignment horizontal="center" vertical="center" wrapText="1"/>
    </xf>
    <xf numFmtId="0" fontId="57" fillId="5" borderId="45" xfId="5" applyFont="1" applyFill="1" applyBorder="1"/>
    <xf numFmtId="37" fontId="32" fillId="3" borderId="78" xfId="8" applyNumberFormat="1" applyFont="1" applyFill="1" applyBorder="1" applyAlignment="1">
      <alignment horizontal="center"/>
    </xf>
    <xf numFmtId="37" fontId="32" fillId="3" borderId="45" xfId="8" applyNumberFormat="1" applyFont="1" applyFill="1" applyBorder="1" applyAlignment="1">
      <alignment horizontal="center"/>
    </xf>
    <xf numFmtId="37" fontId="2" fillId="4" borderId="45" xfId="8" applyNumberFormat="1" applyFont="1" applyFill="1" applyBorder="1" applyAlignment="1">
      <alignment horizontal="center" wrapText="1"/>
    </xf>
    <xf numFmtId="39" fontId="32" fillId="3" borderId="45" xfId="8" applyNumberFormat="1" applyFont="1" applyFill="1" applyBorder="1" applyAlignment="1">
      <alignment horizontal="center" wrapText="1"/>
    </xf>
    <xf numFmtId="1" fontId="28" fillId="0" borderId="45" xfId="8" applyNumberFormat="1" applyFont="1" applyBorder="1" applyAlignment="1">
      <alignment horizontal="center" wrapText="1"/>
    </xf>
    <xf numFmtId="37" fontId="7" fillId="0" borderId="45" xfId="8" applyNumberFormat="1" applyFont="1" applyBorder="1" applyAlignment="1">
      <alignment horizontal="center"/>
    </xf>
    <xf numFmtId="37" fontId="7" fillId="3" borderId="45"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19" fillId="8" borderId="0" xfId="5" applyFont="1" applyFill="1" applyAlignment="1">
      <alignment horizontal="center" vertical="center"/>
    </xf>
    <xf numFmtId="0" fontId="68" fillId="13" borderId="0" xfId="0" applyFont="1" applyFill="1"/>
    <xf numFmtId="0" fontId="69" fillId="13" borderId="0" xfId="0" applyFont="1" applyFill="1"/>
    <xf numFmtId="0" fontId="69"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70" fillId="0" borderId="0" xfId="0" applyFont="1"/>
    <xf numFmtId="0" fontId="71" fillId="0" borderId="9" xfId="0" applyFont="1" applyBorder="1"/>
    <xf numFmtId="0" fontId="0" fillId="0" borderId="79"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2"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9" fontId="3" fillId="7"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0" fontId="0" fillId="3" borderId="24" xfId="2" applyNumberFormat="1" applyFont="1" applyFill="1" applyBorder="1"/>
    <xf numFmtId="0" fontId="59" fillId="0" borderId="0" xfId="0" applyFont="1" applyAlignment="1">
      <alignment horizontal="left" indent="1"/>
    </xf>
    <xf numFmtId="0" fontId="65" fillId="0" borderId="8" xfId="0" applyFont="1" applyBorder="1" applyAlignment="1">
      <alignment horizontal="left" vertical="top" inden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66" fillId="0" borderId="70" xfId="0" applyFont="1" applyBorder="1" applyAlignment="1">
      <alignment horizontal="left" vertical="center" wrapText="1"/>
    </xf>
    <xf numFmtId="0" fontId="66" fillId="0" borderId="71" xfId="0" applyFont="1" applyBorder="1" applyAlignment="1">
      <alignment horizontal="left" vertical="center" wrapText="1"/>
    </xf>
    <xf numFmtId="0" fontId="66" fillId="0" borderId="0" xfId="0" applyFont="1" applyAlignment="1">
      <alignment horizontal="left" vertical="center" wrapText="1"/>
    </xf>
    <xf numFmtId="0" fontId="66" fillId="0" borderId="69" xfId="0" applyFont="1" applyBorder="1" applyAlignment="1">
      <alignment horizontal="left" vertical="center" wrapText="1"/>
    </xf>
    <xf numFmtId="0" fontId="33" fillId="0" borderId="72" xfId="0" applyFont="1" applyBorder="1" applyAlignment="1">
      <alignment horizontal="left" vertical="center" wrapText="1"/>
    </xf>
    <xf numFmtId="0" fontId="66" fillId="0" borderId="73" xfId="0" applyFont="1" applyBorder="1" applyAlignment="1">
      <alignment horizontal="left" vertical="center" wrapText="1"/>
    </xf>
    <xf numFmtId="0" fontId="2" fillId="0" borderId="0" xfId="0" applyFont="1" applyAlignment="1">
      <alignment horizontal="left" vertical="top" wrapText="1"/>
    </xf>
    <xf numFmtId="0" fontId="7" fillId="15" borderId="0" xfId="0" applyFont="1" applyFill="1" applyAlignment="1">
      <alignment horizontal="left" vertical="top" wrapText="1"/>
    </xf>
    <xf numFmtId="0" fontId="2" fillId="0" borderId="80" xfId="0" applyFont="1" applyBorder="1" applyAlignment="1">
      <alignment horizontal="center"/>
    </xf>
    <xf numFmtId="0" fontId="2" fillId="0" borderId="0" xfId="0" applyFont="1" applyAlignment="1">
      <alignment horizontal="center"/>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center" wrapText="1"/>
    </xf>
    <xf numFmtId="0" fontId="6" fillId="2" borderId="0" xfId="0" applyFont="1" applyFill="1" applyAlignment="1">
      <alignment horizontal="center"/>
    </xf>
    <xf numFmtId="0" fontId="4" fillId="2" borderId="0" xfId="5" applyFont="1" applyFill="1" applyAlignment="1">
      <alignment horizontal="center" wrapText="1"/>
    </xf>
    <xf numFmtId="0" fontId="4" fillId="2" borderId="0" xfId="5" applyFont="1" applyFill="1" applyAlignment="1">
      <alignment horizontal="center"/>
    </xf>
    <xf numFmtId="0" fontId="4" fillId="2" borderId="59" xfId="5" applyFont="1" applyFill="1" applyBorder="1" applyAlignment="1">
      <alignment horizontal="center"/>
    </xf>
    <xf numFmtId="0" fontId="4" fillId="2" borderId="63" xfId="5" applyFont="1" applyFill="1" applyBorder="1" applyAlignment="1">
      <alignment horizontal="center"/>
    </xf>
    <xf numFmtId="0" fontId="4" fillId="2" borderId="60" xfId="5" applyFont="1" applyFill="1" applyBorder="1" applyAlignment="1">
      <alignment horizontal="center"/>
    </xf>
    <xf numFmtId="0" fontId="4" fillId="2" borderId="55" xfId="5" applyFont="1" applyFill="1" applyBorder="1" applyAlignment="1">
      <alignment horizontal="center"/>
    </xf>
    <xf numFmtId="0" fontId="0" fillId="0" borderId="11" xfId="0" applyBorder="1"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0" borderId="0" xfId="5" applyAlignment="1">
      <alignment horizontal="center" vertical="center"/>
    </xf>
    <xf numFmtId="0" fontId="14" fillId="0" borderId="0" xfId="5" applyAlignment="1">
      <alignment horizontal="center" vertical="center" wrapText="1"/>
    </xf>
    <xf numFmtId="0" fontId="14" fillId="0" borderId="12" xfId="5" applyBorder="1" applyAlignment="1">
      <alignment horizontal="center" vertical="center"/>
    </xf>
    <xf numFmtId="0" fontId="14" fillId="0" borderId="12" xfId="5" applyBorder="1" applyAlignment="1">
      <alignment horizontal="center" vertical="center" wrapText="1"/>
    </xf>
    <xf numFmtId="0" fontId="58" fillId="0" borderId="0" xfId="5" applyFont="1" applyAlignment="1">
      <alignment horizontal="center" vertical="center"/>
    </xf>
    <xf numFmtId="0" fontId="3" fillId="0" borderId="0" xfId="0" applyFont="1" applyAlignment="1">
      <alignment horizontal="left" vertical="center"/>
    </xf>
  </cellXfs>
  <cellStyles count="13">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Array" Target="richData/rdarray.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7827080005605301E-2"/>
          <c:y val="1.2444568999010804E-2"/>
          <c:w val="0.81827696383999604"/>
          <c:h val="0.77530987711723032"/>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058-4611-999B-36A98E9EC690}"/>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058-4611-999B-36A98E9EC690}"/>
              </c:ext>
            </c:extLst>
          </c:dPt>
          <c:dPt>
            <c:idx val="2"/>
            <c:bubble3D val="0"/>
            <c:spPr>
              <a:solidFill>
                <a:srgbClr val="7B1314"/>
              </a:solidFill>
              <a:ln w="19050">
                <a:solidFill>
                  <a:schemeClr val="lt1"/>
                </a:solidFill>
              </a:ln>
              <a:effectLst/>
            </c:spPr>
            <c:extLst>
              <c:ext xmlns:c16="http://schemas.microsoft.com/office/drawing/2014/chart" uri="{C3380CC4-5D6E-409C-BE32-E72D297353CC}">
                <c16:uniqueId val="{00000005-B058-4611-999B-36A98E9EC690}"/>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B058-4611-999B-36A98E9EC690}"/>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B058-4611-999B-36A98E9EC690}"/>
              </c:ext>
            </c:extLst>
          </c:dPt>
          <c:cat>
            <c:strLit>
              <c:ptCount val="5"/>
              <c:pt idx="0">
                <c:v>United States</c:v>
              </c:pt>
              <c:pt idx="1">
                <c:v>Canada and Europe</c:v>
              </c:pt>
              <c:pt idx="2">
                <c:v>-</c:v>
              </c:pt>
              <c:pt idx="3">
                <c:v>-</c:v>
              </c:pt>
              <c:pt idx="4">
                <c:v>-</c:v>
              </c:pt>
            </c:strLit>
          </c:cat>
          <c:val>
            <c:numLit>
              <c:formatCode>0.0%</c:formatCode>
              <c:ptCount val="5"/>
              <c:pt idx="0">
                <c:v>0.98213508695932328</c:v>
              </c:pt>
              <c:pt idx="1">
                <c:v>1.7864913040676774E-2</c:v>
              </c:pt>
              <c:pt idx="2" formatCode="General">
                <c:v>0</c:v>
              </c:pt>
              <c:pt idx="3" formatCode="General">
                <c:v>0</c:v>
              </c:pt>
              <c:pt idx="4" formatCode="General">
                <c:v>0</c:v>
              </c:pt>
            </c:numLit>
          </c:val>
          <c:extLst>
            <c:ext xmlns:c16="http://schemas.microsoft.com/office/drawing/2014/chart" uri="{C3380CC4-5D6E-409C-BE32-E72D297353CC}">
              <c16:uniqueId val="{0000000A-B058-4611-999B-36A98E9EC69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84039414564704851"/>
          <c:w val="0.96682457589059367"/>
          <c:h val="0.1596061868739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8383734549246683"/>
          <c:y val="2.8277260805995564E-2"/>
          <c:w val="0.60998885134394543"/>
          <c:h val="0.73875878730872724"/>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DDB5-499A-B104-6F6375BDBB19}"/>
              </c:ext>
            </c:extLst>
          </c:dPt>
          <c:dPt>
            <c:idx val="1"/>
            <c:bubble3D val="0"/>
            <c:spPr>
              <a:solidFill>
                <a:srgbClr val="FFA3A3"/>
              </a:solidFill>
              <a:ln w="19050">
                <a:solidFill>
                  <a:schemeClr val="lt1"/>
                </a:solidFill>
              </a:ln>
              <a:effectLst/>
            </c:spPr>
            <c:extLst>
              <c:ext xmlns:c16="http://schemas.microsoft.com/office/drawing/2014/chart" uri="{C3380CC4-5D6E-409C-BE32-E72D297353CC}">
                <c16:uniqueId val="{00000003-DDB5-499A-B104-6F6375BDBB19}"/>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DB5-499A-B104-6F6375BDBB19}"/>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DDB5-499A-B104-6F6375BDBB19}"/>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DDB5-499A-B104-6F6375BDBB19}"/>
              </c:ext>
            </c:extLst>
          </c:dPt>
          <c:cat>
            <c:strLit>
              <c:ptCount val="5"/>
              <c:pt idx="0">
                <c:v>Food and beverage</c:v>
              </c:pt>
              <c:pt idx="1">
                <c:v>Delivery service</c:v>
              </c:pt>
              <c:pt idx="2">
                <c:v>International/Royalties</c:v>
              </c:pt>
              <c:pt idx="3">
                <c:v>-</c:v>
              </c:pt>
              <c:pt idx="4">
                <c:v>-</c:v>
              </c:pt>
            </c:strLit>
          </c:cat>
          <c:val>
            <c:numLit>
              <c:formatCode>0.0%</c:formatCode>
              <c:ptCount val="5"/>
              <c:pt idx="0">
                <c:v>0.97627660532623162</c:v>
              </c:pt>
              <c:pt idx="1">
                <c:v>5.8584816330917505E-3</c:v>
              </c:pt>
              <c:pt idx="2">
                <c:v>1.7864913040676774E-2</c:v>
              </c:pt>
              <c:pt idx="3" formatCode="General">
                <c:v>0</c:v>
              </c:pt>
              <c:pt idx="4" formatCode="General">
                <c:v>0</c:v>
              </c:pt>
            </c:numLit>
          </c:val>
          <c:extLst>
            <c:ext xmlns:c16="http://schemas.microsoft.com/office/drawing/2014/chart" uri="{C3380CC4-5D6E-409C-BE32-E72D297353CC}">
              <c16:uniqueId val="{0000000A-DDB5-499A-B104-6F6375BDBB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78547588479925956"/>
          <c:w val="1"/>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Inputs!$B$108</c:f>
              <c:strCache>
                <c:ptCount val="1"/>
                <c:pt idx="0">
                  <c:v>Fixed</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General</c:formatCode>
                <c:ptCount val="10"/>
              </c:numCache>
            </c:numRef>
          </c:val>
          <c:extLst>
            <c:ext xmlns:c16="http://schemas.microsoft.com/office/drawing/2014/chart" uri="{C3380CC4-5D6E-409C-BE32-E72D297353CC}">
              <c16:uniqueId val="{00000000-C818-4D7E-86F0-AA705E8DA356}"/>
            </c:ext>
          </c:extLst>
        </c:ser>
        <c:ser>
          <c:idx val="1"/>
          <c:order val="1"/>
          <c:tx>
            <c:strRef>
              <c:f>Inputs!$B$108</c:f>
              <c:strCache>
                <c:ptCount val="1"/>
                <c:pt idx="0">
                  <c:v>Fixed</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numRef>
              <c:f>Segments!$B$6:$B$10</c:f>
              <c:numCache>
                <c:formatCode>General</c:formatCode>
                <c:ptCount val="5"/>
              </c:numCache>
            </c:numRef>
          </c:cat>
          <c:val>
            <c:numRef>
              <c:f>Segments!$D$6:$D$10</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numRef>
              <c:f>Segments!$B$17:$B$21</c:f>
              <c:numCache>
                <c:formatCode>General</c:formatCode>
                <c:ptCount val="5"/>
              </c:numCache>
            </c:numRef>
          </c:cat>
          <c:val>
            <c:numRef>
              <c:f>Segments!$D$17:$D$21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0</c:v>
                </c:pt>
                <c:pt idx="1">
                  <c:v>0</c:v>
                </c:pt>
                <c:pt idx="2">
                  <c:v>0</c:v>
                </c:pt>
                <c:pt idx="3">
                  <c:v>0</c:v>
                </c:pt>
                <c:pt idx="4">
                  <c:v>0</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PT"/>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ADVANCED MICRO DEVICES, INC.</c:v>
                </c:pt>
                <c:pt idx="1">
                  <c:v>#CAMPO!</c:v>
                </c:pt>
                <c:pt idx="2">
                  <c:v>#CAMPO!</c:v>
                </c:pt>
                <c:pt idx="3">
                  <c:v>#CAMPO!</c:v>
                </c:pt>
                <c:pt idx="4">
                  <c:v>#CAMPO!</c:v>
                </c:pt>
                <c:pt idx="5">
                  <c:v>#CAMPO!</c:v>
                </c:pt>
                <c:pt idx="6">
                  <c:v>#CAMPO!</c:v>
                </c:pt>
                <c:pt idx="7">
                  <c:v>#CAMPO!</c:v>
                </c:pt>
                <c:pt idx="8">
                  <c:v>#CAMPO!</c:v>
                </c:pt>
                <c:pt idx="9">
                  <c:v>#CAMPO!</c:v>
                </c:pt>
                <c:pt idx="10">
                  <c:v>#CAMPO!</c:v>
                </c:pt>
                <c:pt idx="11">
                  <c:v>Others</c:v>
                </c:pt>
              </c:strCache>
            </c:strRef>
          </c:cat>
          <c:val>
            <c:numRef>
              <c:f>Industry!$I$28:$I$39</c:f>
              <c:numCache>
                <c:formatCode>0%</c:formatCode>
                <c:ptCount val="12"/>
                <c:pt idx="0">
                  <c:v>0</c:v>
                </c:pt>
                <c:pt idx="1">
                  <c:v>0</c:v>
                </c:pt>
                <c:pt idx="2">
                  <c:v>0</c:v>
                </c:pt>
                <c:pt idx="3">
                  <c:v>0</c:v>
                </c:pt>
                <c:pt idx="4">
                  <c:v>0</c:v>
                </c:pt>
                <c:pt idx="5">
                  <c:v>0</c:v>
                </c:pt>
                <c:pt idx="6">
                  <c:v>0</c:v>
                </c:pt>
                <c:pt idx="7">
                  <c:v>0</c:v>
                </c:pt>
                <c:pt idx="8">
                  <c:v>0</c:v>
                </c:pt>
                <c:pt idx="9" formatCode="0.00%">
                  <c:v>0</c:v>
                </c:pt>
                <c:pt idx="10" formatCode="0.00%">
                  <c:v>0</c:v>
                </c:pt>
                <c:pt idx="11">
                  <c:v>0</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ADVANCED MICRO DEVICES,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ADVANCED MICRO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ADVANCED MICRO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ADVANCED MICRO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lHrZcuQ4ku2vlNXzZRWxk2PT8wCSsShCUkrK/YWmVCpBgARIgAS3r7+e3XV7artVM5aWZopgRIB0
uB8/5zj+82X9j5fu9Tn8sNrOjf/xsv7jx2aahv/4+efxpXm1z+NPVr+Efuy/TT+99Pbn/ts3/fL6
89fwvGinfsYpoj+/NM9hel1//K//hF9Tr335PD1XbtLT9hBfw/b4OsZuGv/y6v/n4g+v//yZt9vw
+o8fX/ropu8/p3Tvfvzl0vnrP35EOfvxh59//RO/XLx7tvC9N8/dc/zD51+fxwm+SuhPAqcZTSmj
KEWM//jD8vqvK+gnhFPMcyEYyVOOf/zB9WFq/vFj9lOa0xTlWZZnBDFKfvxh7OP3K/inPM85vI0E
xRmDD/w7KG/6blO9+3cYfnn9g4v2Ta/dNMLv/vjD8K9PfX8qkWNEBcKCM5zTjBH0/frL8yPEHT6M
/s+MfW37XmzXXNupREaMsqHZJlekezkP2yQHslVUE1v9Kj5/sjCE73cLM1iaIpZnDB7z9wung9ry
Fi3hmjV7K2dueEES7E5oTVTx10vRP1sqpxBjntOcQcB++4ydb7a4uHDt67wr2mnmh5Vx/TcPRNM/
LoNJyjhnDKcUdvu3y2g1qph2Pl4znowyDVlzGFPWvRMbn28mnS4H1nYIV1NYs2rCxrfSJTWdZeoz
FuS6TU7qATlS7tiHY7Ljeio46ode4l3ge09iaoqFpv5Tr9tbSLgYpZu27R2at/FDO/vl66yb5JNI
SCfZ7nMm9WrmuzkkvZL52myPxmL8jsbFf5oUEhfVrF/YaNKH4NxS4nmNSm516p2siV0/5ztKevm/
3gxCuCAZooRTJMRvo4TRaDFa0unaLiIe8qW3ZR1X+zdbDiX1++wiUD6QX/Cfpvh3e8FNStW4ZOOV
7c372Zck3jV+GY6E12P51w8k/iS9CCWYc5qTLIeS/O0TjVGtmg31eK03ffBbWmBlS1+Tg9mKLr4o
cxgwk3k7FkOri42FQ5yn47ilMptimYU3OD63qTlr37+qhFbNkh1tfk/GVS74jo150XZb0SykZPZ9
xmwZvZXLPhcLuaLwZtY36VQM42OdGtmkn6n+YOabsS86VyS7KhqRVqrFlSGhyEw8JLORZj+iZpAr
/zDW96bfHtp2KvL6avZdruZh46/19H7bzWXRj4BKhw7d1LMtBnRnxVYs/EAyVeF5gT+fBenuswGf
XHwMJvxNcP+sqAhlBGepyFBOGfptcKN2bu5HNF77RqMjvDzwzKUH07pX3fZbsbVIX7nan63vk6PY
81A209y8RW17p92QHljdJKVtan7pg12krVOJpvgRYXyY6euMUCg6Q/fSzi48mDHVb1rdt0We0KdJ
oL2cGkIKNK66yBb0tRvYdG4Fmy95P4tbTkcPRexRGXznnkjLh3O76gV2ym1H7Ibm/NfJhqEj/DGx
cwFgTSmGmEBf+DVetwang4l8urIxI6WotT4AIG03+7Czgjoyf8uXFTBcdLM0syUf1ejw2ZE1lWrJ
eTHX3EuNDCpZiHWRZJRIlM554ZiJRQ1gc1rrEX45traitP27DUV/gpKEYZymKWYZtLHvlfurhpPE
hjUQ2Olqt4UWZlK+GFXOj9Ow0WrMFnfssq29LNm6ygHFD8Lg7fjXQfyT1kMgpUgKXSdFmfhdTi2O
zmmL23hNshWQLk/MJWl3dsxYzf8Gh/50KeitGDCIwEP/Doccbbwf9xivuQ9YrnRDlcVt+qmJc/M3
pYL+bC2BqcBYIJaKf+LUryKboikbWRzGazek053NbFYSY8nDMk/LBYJBZNvsWSGW0F4blA6Vx2E8
sKTfTqLx7H6LPT/gyYx3obP4+tcxR39EZAFEh7E0BbLBOP6eF7+6OyX6fRkz5K8q1LgaG75IxtOm
k2YcsiJZSCyFyrIin8jH2mtSksXUJ+aW5eDQzo+8W/ZTknSL7PY5vVNsw3+zV3+kQiKFPaKCE8qz
lP6OCtFaNRxvZLj269Q/Whf6qmnX7obvwR3F1rRnM+78isjk/mblP3QQCiwIsvE7aaBZzr4X/a9i
41WKomicu2ztmFVia4dSxaz+33ZeCiwPWCX8QxyIyu9o0DDnw+xXQy82DeshtRpiL1xy+OuN/sM+
U0FywOoUWPt3yP5dcXGV8r3b5v1iN3QkQwinuKdIApv1ZbKwf632879I/i808l989qUftqBV8wvL
//fL/7r9f+LhP79/7b/f/64U/vvV/fDqnqbw+jrdPg+//+RvvgjL/bL+d5Hxmxd/UBy/FgT/04v/
M8EBRfyrwH+/k98IjqfX8EU//1px/PML/1IcmPyUgpgQWQ47nQPHh63+RXFkP0Ga5VmewjXOMsi0
XwQH5T+hPMVCpHAhzYkAePlFcVD8EyaQnDkIBZQLYDr/G8WBePa7fMdIYEFIxqnIgTSl6Hc5ovWo
c6GCL3gAqqKbNqnmrmc3iVD9M+kB9XFYOrkZ3shpWz+TvE+KBk/hPhvr+qoXTb/UftiL3Ojs3DVb
86EB6nJgcafXyRhtQcQI8RGZfjwOXe2aCxO5e5Pjqbsu/ai/LYqmD0mn2Tnfp+SO1W14TMbF3yFj
FtnqJb6B/J5uVx6H9+MOksQtjakWFlmJV5FU7aTHKuQ4eWcmT8thStV5Qpsd5KLDKPd09Q8Z2+gT
DcN+JElrvvQii1I0ejkTsrvTOtjpYdmW/bJOnJ3WqcHXvUF71Y+7PTDetNd+XG4xS98ojCq1iscO
1brYMXqqU5IV0FuJ3KY1QhhI/ZxnjZZpj6q1jrWkemuKfcBf68XCvStd6S4WQydughX+yNrpYNDe
ScKbGwwMjqt3y9Y/JqwLp0ax5U3canuw+aJymapl+eDCvF2dyxTcfZxes2WgR9119oR2TGRnByzT
bdm+INOkTzRaf042+rbf3fKprXNSWEWT44JUuTTkzmDKjjsK7gHUJ77d+2x4t7h0qwSP/CT6ZH6r
9Ghl4IOKEqfdcgP0nRdTO8b3E1mZLpamWytFfX6fx+YFKHGFjO2lBaCRXW0JUBtipBNT/RKbuTla
T6YHQoZcuk4lx6GOczkM9J6BBCtxP70R4/QxmZNFNp4Uy4ZZka707KwqV+rLhTXxzsf1vRp4Lrc1
LVQbvwiiH1lLdLW2IMhqPNxkm0mLye7NgVDTVz3bL9O8XnzSFIllRTeELw0OTqqo2srZ+d2MsyZI
kI7NNfFjMsjJD3ATIwqxxI73pWizc+ZFfB+FaS+oyZZLnUF0gM/tcuTWF3qz5JDOgy0VEHCjXbX4
r9hnVsZ8XyTBaj0Lf1ND+ynUSMbKr8CVA1/KbNohvE1d3/SxqVY3t7chX2Kh88yUfMyOmSFUDirJ
XtCS0EPvaY3l2IisBOYc3wCFk5SrI3DyvNjEdtTplki2dXNhGBDLkFQpnQ9ds0syYYncTmX0/Xry
WPsbPOevIaBzsmaxEGa6IGZWuZINSTWJ9baZ16EKTB1mzFU1L+Yy49iWe2RQcKSZq4W2FzJodDOD
xJdrAmw/oLGYiCNnPRByN/bD3Thn9GFNukm2wr+MSXgn5qW/Rxl7cDjVRTcNrdxmyyDmdK+ESJ7X
ASjSyLV5DKmJ0mwkLQXtC0xBBqwd77gUfMuKlPZBQiGE532i/BKajB7bLRVyZgn4DLW6nyZ4osE0
n3Bn0+PcoeV9BPpxiL2PTxGz2ylLIFYgUdzgbsS4gGoj34zV50AbfcvVSt+3bsfl0N1PY+7LbNNG
how2wI+WF7fVWiqfkvdstb6MIdOX3CcHordVTjT5mHudHlxo9zINzdt6DyWfdH90mz0BB2/HMuu1
uGqth/d0I64wfXjpGvPAHItv9Ehlk9PbhKCz3qb3vcBWamUgJ6fhqW70V7eJZxH9HZu74U7oppG8
6zpp+/rUdNrcsGGikOo8nJOund/7xNpbnJEE9EniwNXw4lCvXftC5jxctbKpXNZu/xZM35aOdEvV
d1xdWi3GY2w5wN2Ypps0ztSgRWlyMw2oO4wGpIJpOqgnPywFxW4/hi1LZbMYdlibHNAwr5ty4404
2m1binZXvEot+bIvlMtuqXExULceFRhul42E/ZLPSfO4CYE/656ythTNhO5mbsP9WOsbqtqHGvvB
VV2X64Oi+23XbkWdZ45Ih3jzlSctP6E5Nx8V09udCGN4zVvLXlfYtpt2zx/QbGiRZQsYMCbJnreh
9TKw+gIPsouyU7hUXp0zaEXV7Bk6h0x1T1bor9OEREl7T8pkQu59P+3z44Bt937c7C4x389NSFup
FHYPST8jsBxMjkfQ/PxjsrJZutxW07B+3oR7V1val4vZE1IADNzNvn1ZGvARRj3ZwieiK4GiqwZq
2+PnodHjUMQEj+911nAFj1o3qdREkcPadkJL7Lx/dDvnSTEuXZKBy5HQc5asyScyD+4K9KPNynZw
4i1Nkwz8KTdE8KsSfMp35t5MSZzPed72V9z3STlSkyiJtcVOEjWHKzGjWgpUB/xucNCkZo0BBrSN
85eYZksmazfXJ9T64T0YsuwtRf00FO3Q7EqOneP5aerr5NlHHR9njMNTQjL3iIdmfAIqkkm8OF50
PI5ytKqWNSJemhRAq8/Zes+Z2G9nP8abpu2GI6v39l1P0fvea0ixaPtLPqzkRu9hfYZ4NNCAOXg6
2w4Ont+a+E3Bh7ay0yMBU3BVoNAVBoScldGAleRN6449eKXFOrr5EUdWeTAGCzCOdanq/MmYWYJZ
d+dD/Zi0AjpxXxdxWswh5t07vnX1Nx3AnNlIchrH7dixr1nmyiQVx4nOZav3Lym4HrVoy6bR1Mg2
r7d73fX1NWvjVMxmOVM0P2dzslppASgKrJPhy3e6eCF9zN9YNU5erns9Flkjoqxj/+znOik3FYfv
6XvLfDzmAmp00dC/8mkGH1OxdxTFpQQaQW7TDuA4bVd1cKKRGSZ7hVIxPswG8XcByskC+K/+yQiC
q8zQ/E2j3PisQ2SFjtBm6g77Ku4tl9aY7Nww3kMKAvtT0xAOU77wVy7GL1sn9nfgxi4QHBuOQxrp
V7axpgLuNUIHDbaIAUja6NGF9Xv3xNpWHHTtQxlWflz6PR5Fg74Ik77PCRh1YWTurs8DPSnjAdX7
ev3U1fqUbv6IoS5Z4q4q64+4FoCSuVvlDq7Aew17HKTbsLpAE3Kvs9mApexLgMuDOqa1Xog0nVFf
/dg+iyQL99iiygwruxLSukc2iFaCGdS8QSTFn3yY54tL5v6d4h25X+I0nni3uXLkKyqGZaVH303m
ZXZ5Xc0jnuTeEvJuUV0PVMD57BuxHYFSZZ4f8QB0tu9VyagtGtTJls/3m7pJ29iXzh7ZIhboevxk
a/DLTdJ0b1Qfmpu9x+G0jlMm89Go+zSbo630bodK4JiUSNWxYtBhzw7rh7hv4gMjTX637H6XnvVb
I/WM+nci4+BT9naMqWTNlg8A45okFe3BokwVvIfLxHxetvZEkqkSqH7Ku6vOdk+kWjlUxbT7YzQZ
WJqcZPXZdDP61tJxPA22uQhNppugNLl0g/LSB72d2maz5xCGeN6jwB98hmwxAxHWMsE9TAeY5m0q
rR8zme1aV1EEMF9BG41y7lh9VXFsDdB7o/IK6xrdBLpOY0V3SmopZtFClVKw/xXeFAwBvue57rfh
c1h1UoF5eFTa9R+XqaOQH5tebAmJr8o0nbQEFoWaAqKMSjy6+mKh0JyMbaApKI+GVGF141LhZcmt
9CJP3uYh2fZzIoTqgH27TJqckdMw+glsknEdJB32+GEJ3hU+I9oWlIeNSaFj+taBKYxhIT0vcjcd
QWW3pDUELs3eo2lsq6bpfVUPRLzdQNWvxZSr9nE1xB6TrBYH5fa+TDfqvdx4QmDnLS7mISPFsGk/
yLFvt7fdIsaCgw11D/ivDkYBkRunkFZ7Z/V9nXh9IIqFZ2xWKOjEtP03nIz7c9szJSfFl8Pa+7fz
2Acllzwsxe6AaNAJ2Bw2CBe49uQuaU5s3/jVMuhJpA32joYYbowburcYZAAAE4g6aCC0sARuYOkU
/QzRiWfftLxs5o4X/Zgsh2EQ7FqP8dMA9knZZVMCRnDU7MTQvJ+jrQHyXModWGUan9YmTpIMKi+m
YICqkGS+QdCcb/zE92OX2BTM/T65LEmmwODi+yGOWXqpofNVtg7k7EzjT4bRpGqMd0kxiGg/jtvA
zmbI9jJmYP3vHG3lIOx2gregoaYBRMtxXFr0gS/z3sLIzjymPv9iIX8l3pzM52WT02RVlUy+KzgG
nWyVB1nUrClAz0S3+yZTpGj6JZG8TZLLzMthfNob8rgEepONhlUTR29AMHyO+VeyqjM243GOS37W
VgPHRVrCPOuxB8UnZ7LkN3lDhFxrqs+QH20xTcv0EW70Uz07BiZv/yFZdC5bb6Zn3tLXxTSX2Wle
7ODnIbsfYAh6u/o1kaYerBxF840wqIgkHXhBIwbBkM+sEsZ+WLNBXFca3+djgqs2DjDZsvXt3rRz
0S7R3gVCHSBQl532bc3qEnQxuxUTYNVWs9KIJH03YA2SC0SF5MAWy3QVNbBDIlfnBpkA6x13Q640
uqN2yF087goS2sO6O/YUdpsckrrfjx6xT3PdZB8BCNvTotvPLnW8KXJmGnC2NUrep27bqwH37Ahb
35c1Htlpqtu3ywwKEaBNA73IJ9AKIOglBob02Nd1skq010srGRbdUeWpMZVPZ1GotK9LVHNzhC/6
as/XJ232ly1TU9kkE22kM7E081C/8YKB3vHiPdEu76VgtTnT3MQvZkZpwdDEOgmlU5FhPajcDHLG
a3InxJw/4nwGVRTq7NaDMMridKtb290zcG0uxGsOI67ID3yiFWMhk4vwQ7kSUEdk3G7rTXQyZ0Aw
/XSX+/zFxIwD+XGztN1YrQm+EO1x2XKfl1vm30WWPMF4MhTYMw8taPw0TXw5gaiEfGWwHT7PO+ln
Pp88VRk8ITSkRd3VCNGbmW37PVq7zztN50KQWZymGQQoiJe0iHYE5qzvcBLUeQW9LAb4DZzpIwOG
LtEWhgLMFRiMKXvUHJUD24DwwMAACAisPo/oWU8hArDiz4b5rHKLLsxOQjnMMDrJwVeqYPcIMOKO
ymy2U5VlMNTtu/0BRffkkT/7AZIsYVsOVjwDEKZoOCBFr9BvZZ3UTy3+kuBlPtKUbYdxDfrLqsAl
ApvrppvFZzHOlwnoukeoOy4BmnHfoifoFeN97OJwY0UPNoXDoLEWeqlrvJ9F7U6Y16pgtD7MYXrj
XV5tU5B2ybdTbOdU1guXASEAHOXcuQG/r/ATm48o7dhD4FQfu7reYDY7bCU344clZ/F+bF0qnc4+
5hRQxfXm2NZxL0xb37bAx09D3YVi2xWWxI7vFmsOJJhrb8PXIctElfYMlCo813Fb9X7jRv+RIJi4
2VG8nWpmJet64LFLPh0dzea7DvyCYmfJKVI/nkGih1aKfitrGlTRUcUPveGTTM20VdHihzxoAVia
oC8g375wkbVA5i0+Dx0ZJR73svV1LRVYMBRodGXbAepJNa4gc7pK7RkrmjX3RQLtWc4qPSMOf/RN
qi/Yqvt2QJLkalMyWDD/tFaloTy9HTpbl4yYd2tN7tJRpacsRAqVBxZPPgeQ9Hxby322zYtOWxdl
MBN7VkTDULdxTwNenycCEzlr8yBbZyFGCo5D6GH1EhlwMcIUzp6vQQ6uzsGhSB4x9zfK5yA3OW2L
nqiT6sDRg4mWLs0A7HVb/Yn3/SYVSz8haDz31Ga3KRDrfN5KMyFftClM2Jz7EAMyp4SnMERkQV9R
ZiFtYrUAotzhmrP0e564E1khyxtb58dtyh6AeKQVj/kG0B8Li8RaQqXfrDA6kXMPAjNCgUqggN8a
IGWv2da8EN1zObcbzK1VFmAwOeyyT7Pt3nty8hkUJ/ApffTRJWWTT49sDgXf41gAZE+PdlplrruP
BM5MnHdsbWGbrIFbu6bJ8MAdPwaS8G9ZDTxZ18d22D+FBeiEnkFg7JaSYgfDQoLmgVMVnH6cGFaf
83xWhdjrguDuOszNi4CmKCOBuAmgZB+RhcDPoyp4x4odzfNDv5oLnsYDHbogQ8tiMa0EPANdDM3a
lUo495a2tjmudL2MasygcWzLYd/Is2/5ja2nK6o/ixnyiqz6tbO9LpLvGUhnMCunoUJhAI7OmJsu
LHJRhoy0l73hD+sM25UvoarHBqiTtcd62veqEQO02tYokJyuwvVBc/tW8/yM2g4DDIHu6zozwJx/
2kDT43wj73hDvjGO0LXZEJW+YeSQNDxcY+yTazZ+Tv38MaFTmSsD5w2C/yq8mw/DOHVFBC1Y4d3Y
slmGvJF0cV+gzxpg9C2cRSDh1Lr107qLAUbwq4OR+GuguEJ8vQMTWoq2e4nj+hEbxuXEc2i+tiEn
E5S51UuzX5HH7O2uANwTSiFb6Ickmucez+SUz7fR7vHkB/XS9navNp+u12Ub1zKatTuA/w20ZZS5
mK9Ip5clQjNZx+/HA4KX+8DvrOW3TdyqvGl3iN4AbXrB+wEznn7SMGvIVsyqCKc4TmSzxZq8jn01
Qv779Q3FolpQOOL227a/j+mnucelht64t50rLWlfN+YO2dABgZycecP3sStjm46ST3YGC6v5MJou
OauE75CPVwFo/jZN6C4dSbqvTcS8tI6kNwKH/QHsTFKaZOrhLEfowMJP3A3Q0fq6QGXpxD0JU99N
CV+OcHZL33ZCDXD4Y3231MDQWXNplALsj0lSZmsSJIwMPmJqYQhnxqrfk+ZCW9PdQvjXQxLZqY4U
brRv3NuQr4BUA48fY/KR5fMBb2sVOsFlSuxccFubcqMoPFELZtqS4RuF9nMLlXgESvLCE13Vrbqk
ARcxzl9d3d9RBEkJ8uhrDnMY3PtZdl16gcNIxy5XELHdwDR8AIODV0mHW2lQX9K02WHkyrKi1h05
7CI9xrVGl2ZlserRQD9sQJSkz5YZMtAuxdiMQfZ7ut+qus++n14YDiCnOiDaw/iAZ5OcNUwMvKSd
A/eWT9C6M/o6su77WZwCresLEXA7YqDrpxaKHQSIKfblaVPsxDUkYS+nDo6etGdkdDVBx2UKBKz4
NLSThHZ0EJHHG7U02+0Ok6LDMKNqtq2ctCjSDRwVsMUx8F/I9/gmCnLYcvMUotnL4JT9PE76YuoE
vK/lMU4MzirVC3TlML6Doy9Sb8CbQ/BzYZkQN+sMYwuXBbD7tXhZO8oLDlRiS8fkaIRnl8ChU4EJ
Fi50c5Va4iZ5DwaCF1AIuacXD8Ysga6n+16mYucpdEbX0yLAqJ1JvuMtyjiLHn23/4bbdQ//l7oz
W47byKLtr/gDLhyYM/EKoIqTWCRFSqL0ghAlEfOYmL/+LlD2bbIoi+23246OjrA5ZCGRefLkOWtv
dhe5Pq7UTSaCykh1zo9idUmB9LFuqi7QopbAa5D57VZAnat+1N1dkWiav9gck8Bg8eki+y4kWbsT
g2ad9lrZ0so30hjCg7zHNuQUzsnU+25Xe5eqHYfEHzKPfV05CZE1i4qghU38IGbO6WnwvKAmnTob
ReaWwdq6SRKWYqguI6MmMHEGxTu97eVJtnB1Ntp8CRnOuwacsR40va3J7qTSAr0um71oJ2r8a61/
tWuQkNINI1mlZ56ykk+m05vh6BHmx7kdAIba7MycvSiIZoZYjPG251z+wcttd2Mlp8wXcoz9Ms/0
T1qh9O8JuU3jR1GR/KjbJOU2SUVMDkMTrEzkN0fZ+rukEPrXLt0Yh6qf7msxzx9zas9BUVv1vs+b
4jxxKe63aeBQDk2tz6ZtG5eUhJyTrCPRHAiEV5GXfijXPno35151k3C7eRh11Xa+xz0hdDytCZfB
Sj72We3kfp6N66Fqy/yy6Pt8b8yqDTLDSS+XaWjuBziq80kroz3VKUVWW/ShpSLzspq7LizX6mvc
dtd2Sv8g0aklKafVzhKViQMLYtgbHv0EXphe35L2NRdDWjqfzXopR1L6ePo4e1l2PpS2QZ0psq+W
ZgBPzL1JP/fq1b5wcmO9nTPyEbcwZvIOGEeOWjO+EgX5cFHH0EKFlL4mOvlpsufu++ioISwjWe/r
yF12U6ev+3HNbN+wBo7FCbwrLo33di7rM9Ns1H1lOiCvjl5f1Okafe9MSifUgKrYcKkjdjaruqy+
T4JCtp0KK2xW9aHXDJ1wo8Xr9yGtS19LjeiEUql1Uc8fM5VrX8XcR9yM3P7ULPXhRsV2HMp1pidX
pcXJnGdZ4Cqvu1CRmjnCSC5yNW2bp13yoCjnQI3kReR4rRldp9E4nerwuxdGPIhgmZ2KDEEU3xom
4HytaL1SYujnQIx1T38yz9933PB3/8dmI3elpHq7ZqPwy9GrLqJVOdQ113hnxbEMCy1OCDF2d/3E
IPwrHON/DrRwQJH+mez2u5TrVPLHx5RKYfXHmSq+Vt/VC/Bi+wU/wQuyxz9Nodu6BLCxhAFt8zd5
sX1JmmDb4NYG4IVuQT38xV4Y8k+xgcl07S0LQErypb/YC75k6WJDNqSA6PVc49+wFy/hHMcBFwdT
5WICCS115xi8WAjmzaxcj84Kt18bUjCoFJn5ejIUy+OzafqLzHlOlr/E0X6OJYUtIbzBNnmIl1CT
roq1GFUWhT3XcX+N42zntlBnXqI+/n6kIyjyr6GkdKCoIKjcDaN/zk9Rl/G8iMQ3XKckqCzvYpQf
q3KeQmOx833Zdak/j+OZm9OpiKbmfuHKskb6dZLG9ZfSehzj95phZztnq9lFi6+ixfMpvlPPtAHf
k+wNVG979P9A9z8/L+SL4Rima0t5TJplNB+caTK8cFiInqtq9cCa6sYX0yo4EiOOK2nau9/Pkr3N
wotRXZBHC25UJ1NwDct6OUsFtEsxLKUXNpl0AtnWN3E7PhamV9xwwbycoqTyS22qL5NUm4PZMnb2
4nqXo11T9LSdsG2yME3lTWL3ecBapuAz1nSfL5vx46zl0z41jCVwHdfxl5VmIAxsG8jY+7KQ8Bd5
U99O3XaXIfbRmgZdSVY7GFyZ7ByRnuSOnoRRKSLfaKIl6DpPEbSbHS384pPqtMCax/QtKPEXU2Kb
1iZCAJt0+efllHTTHFO3670wkcMcdoLygLXk34mtFDjh28JBxfclFSkI4OidHnnnBeoNv2k4gn7/
doxt9o/eDgc2b8Wz+EjCPaLzljoXdjk2Xqh7m/JiKlW4NDONNEBOUpys33Jnb5dSO0u4uRmq74PF
7oLJaT9No9td/P7zvIoUrvn844gjXNOzB7LGsfZCEgeayVYbh6PVeYE1fOymNftXACQbgtFYl5Yh
QNDAzzZg7BkAmc4xt/TRk2HbRtQPp37cwdmMb+wAYuXrOXZ0j8hsAf4SBV8OU9rNUhjp6IVaEWX+
OPdfrHkuAtohl6U2j35MTk7N2DpvEhiFyHDOF0ENbPVdkTinyi10iuawCO5cvm8sE1yiGE+rSny3
KlrGo3c5cN26XCeder817KPKHHdNnZ5otub6yaI0KjAHa03HoE28D51jXA2Rsi8at2jDVeXcauIk
o9TR1LuGXHJxy/5A+V8aKa2KuEQpkdTkX5o4qWQCnj2rLhBF9FXTs+85oFUc6+07WZCaePHK/U/v
fMcjpOTpB/J9Lp9ua3AdUGvAOMkur6QKPOoRb8zzL9cykiU4UAO8mul+Oc9UQ4C18sILRVEsu2Um
W48hgCqnPu0d7Q4cq74w9IQq8pJovohDV5pzWHDnG/kx//cr+SXW+3NtEfAQ/0jHhfo+gg2F1wy9
jCIZki0mvqUofpZ6rfv6N2/yGzUpv0l6/Y0F/ctBpWEgB6Epi67q5Qzo61QSJBi0iq/Hvvf2sTtu
l8X2ck074cucK0ecff79kxq/CmfuhtXrUJWE5KNwVk26sMc243h3hjPlEcHlMucnI3Naj5oXaGr4
AoetUaYTXxY9Ty/K0TnlJpS88fhHLPrPSXdti0zIcuCZxVE0i3pnrZsh9sK4g/JfSsrztDgSuB9w
RL1NtvuPJYI2nrvzqMvmsKWZvDOFdmjISs6lG2o19+557rLT30+S8+rwJdawLgXJAoUF3TqKNXla
xDHEvgy98rMl2uKqWA4LN3kHcgJq1mDz6M1JbVuAjrTfouXSHmj5jk467LLS6cMcMsRAM+EvZkfl
ofE+q9IC7VNJGWTW+xSqPuAy5J3M6KdoK7t6IMBKLOr60ZhdUrmQu6bUPs/pEsZe19CD++oiwfA1
CgjpXKCMyk69iXK1pcVVMNQQX71GR3Vyk6/0LgCbVpoFtUEpKb5qRTWDFpYmlxd1weV2CKdSy4KC
iY7jGYxvaUWYrnEeGG1xk+b21e8n9FcnhTAB+4mqpHmbTvJ57HYSOKghggicMm9EaKUFsex3Zp9+
SCFsfoaWf3XB+C957/FH1w/djz/AvdUf+6H6/hVgpfpfIL919vU/X0iu0bv29R/v02/1i1vI9lN/
30KcP03TsFgLJkIX55niVHPFnx4XACIhklRC8xZD/nML4Vsdm4jN0YgEgqD29y1E/Emaik6TQIqK
w3LFv7mFvAqOjmeiALRcHT0mHPaWCj077a2SAap5TXaFNLSdK7S7CSQKdC17BJ6m7ZOKlEaclb4R
lZ5Uf89zLNeQSE5dC5mrxX3KPorKVTrGY5GpckeVABpjhUmyFUydT6M19YeKWlOLEO18McWt1Ifb
FP5m11hZcl4Uq+7ntpueipRCWtJTfqCyKClRJA9L3YGEJa0XqKq9MIachpI2elexaejnbbH0b5yv
ryIYR5nJPgfjN23Uxdv8Pps/gFMD8iQtd5Bb1N+WgUw5Sq+dUleB1o5gv5kx+c/W2H93m7MYzDXI
UQF+nuQ9z8aMHU3rq6WKAUL0PLS84tEU1RdPL6c37kZb+H3+jriivhjoKHcYvHlNZVTEiM+KLx29
2UCW3t3vH+ZXYzCILlBPo8m2t68/e5h+oCue9CmERKNJv5vUBEvZNW+8pqfb9NGjOByy3LTZM654
OomeDeMmjV6vRHoaOQMnYVFc1KX3KUqdE2/o7sdu+NApYyfy3thnq3FTyvlnOeaFOOb5FfxVaObC
73G3od1pCEvoR0m8C/3pNVmqhRtRCf+VX6692fr52BvhCEX0xv4ytt/36oElAQflgY0M7ejdpc5q
qbWKojAZ2iUAi3xIyrgGbperHxXiqvIcBYxj3zhD9ji67e3vXytHzusP8CRr4RrFCYz+5eWLtaqZ
toodIXbwmvPGaQ8FKuqdTWCBT1xvctfhAERiyEULKkgUD7aVPVopDUB0b35SNirMt4J7rW8AP/fT
68GWhzZ1bkpRvpOae1iz/FFX9oFOeB7WS8E1dgLYqIc2843cic5LTyXXuWE0PnWg72OhwVLo/N8S
WTerlcMHr+mtY7Rf8si9U7CQdefcSJ2RbRF/yKwJZMfJHkQjlN+unQq30aYeEGz7GGg+YMvAZ6e6
tvxmNm7sIX4AhrB8j84U6gOP5I4vObnp3OrR3O9ck3Zlkcju1FWzGSQZQxWqovyzmHmoLfp6Y3e1
DFPFr27G8l2amQhhZfXzyczMvlzGdrmw2y3mpRqYtUaKpos2hwxR93lV81Qim9fLai2DaZ4kyVtv
7jzHPbQWacjquJ81oapPwJmANnDsQW0wc1qZZIGTj8B8lfIAJ8H+qEk/uIU4zKM8OIBDp7mqN7p6
8PaLI+/cyJ0B8bL1Uja0TUVCJulYcbqv0moMOfEOhgODbS5ehR5AwNgJ66bJy4d8sT6aJCShJ9R9
VCbFrhR8BCOtlg/be41E9S7rhfSLuUiuBtjJIhNGMDRckZyastDYwGnZSWf5tlq9YN4m+WkaZ1tB
K8pW0vWMlw8ihlvVayZhsWoP7WJF1zzRvUCm4uAlhXfidMty0i6u5OKRPthVmgVW3tO0MpngmLbk
joR83U/KWk/r2rmBgXcuaslSmNfZuZiYhsSFmepyRspWD+omjma/1aw8dPLWDKKSf40qjri2LR5R
6tybiTh7+uwFXeoTvRLoWhCQ1/P6dRrNRzfS7tp5aPZJxnbVVx5ybJNHd4nXfR5PJqqRxcOKQIw/
hnQEc8mW9jQfi5vSRUwg69ncpRafO/dSUK5I3a9ZpYdO5uZhangzlYtJhYZinjxKbnsrQxxdKbag
qPr71WEBaE76qMU2/PPS3fezyHezdCt/0oomECUvs+pmjleuxkHhGTee0ZgB4KIZaFnLT0fVu23T
6CO/eBr4pqjhP2/bfUjyDnUHV49Rs5VvJxG/evCAwcr80RnZZMVaPqSde0gm49KMpqtW9+7KYYCO
nlV+2SLd2q3E7ZMUessHs7lZI+TSrZplKKV7qCpj2lVFKvy+8ritWzdFxkYCLnuwPCZmqQ3GiLp7
x6zf2Vpzr2nM1CLST0JpQ6hPvDD4U1gkL9HustRdLhORLL6do/Vyxm2LivXbaBluMEt5p68wf1Gp
3SHlQyvDf7FifFVU8VDFbFlhizuVkFVtwbfvIb1b1d3j+nDTwZSc6+YmUNgWvk4pAeY8QtRIsa83
J+p7NZoMC5x1t4puPm/Sfj6fy0aGJXgnBVy99zFbSA7A0GAT+CvQ7VK8GkfxIXVNyy71lc80FZIt
2hQPTu/yBGVCt5brx15r2yHoxrr8Bvt2ltuSbljDjldZd9+J5AGY5L4ru/ui3ubers1AwORzY2Sd
yITPXcvksUjbdf+0T7VG3JWFTuU6k1Azy+AFXd3VYJLjhnSh2dBGFgks+9285CwuDUoRbH8v6yV/
P9pZ8XEUEX0XPcpA5b3ohz4xteYMf6zZ/FSkmzdFXlo+R2b0FSZy9p0t7dtUHv7SzsY7C6Fa6qPq
QOiqpnZnOmK6Mnre5RoP87UEYdplk5GjE7SsM7tCSgfDle+itldbYc/UTuO0oxvTaV+RAyTXlgSh
zYjfp4NJwM+d+t5NK0B9T7rGO3vrbBvxar431jTaFvTSXYxiIdJauVb6faLBd+ZQc35uDNppafOR
DXdYTmJ94UMgyr2x0YN3iUlcnIcRdqQBk4lSGK8OucJVrlXFzumcr+hK89A2qEFOnpKhmVj6/Wzb
zoWa22YfUcYHLJLziay4HkO/SSfUs+RBxVr+PtW1r7RchzRIs+39ZToFqahZNcBl3E/GqbW/N01e
nwI6gGzGbJaxEOzwOC5282KqMDImSVt21O+nrHigQveu2YJTU7OCLQ5sSVWAk6q7fzoWSSdvlqkz
d5XKmkDp27kIkXZRbslGKR0KbqzDSrANGgKGtY48UOnQIDcgL5WarpyxT7/UoPHhU4zIUxeUq6lu
tSp7iIsmOm/ixPD72kz3hPjtTCnuirFGPu1Su9ri8bwOZpDX6ePQmNeNNVx2tfhmJ8XnSuQX+aIl
PmTA7CvESH5dld4+G3Uz6MA5fJMQtx/SeCHpQFfmpHkKw1wuF3Or5++WTWvaoFYIa53SOJvuzMzH
20yN5d4s9CHsZ2e+NifOECpZ83nVENbJKO9ltT2mCdtBoCIC5+36ZUg9XJCShzRm/vIufWxivtto
t027JRhP6UJldPeLmz+0GbMJmWXtHDnWb2SKv6jEorOnEaHrEvGIcZyozUulBmXEWghyepWkIuz7
5BwQ6iZCR0QLpCrICVKKdF0Rkhdcur320RDtfWYnJyKvaFTYnKtA96ROeRboXburhnafdettPFGt
iblAUYRRZ1Gvf3MAuX0r0j5x2711mu6iNWSzb2fnPNHiD4YavmdmcWrEIva3fHBER9PA6dF5Ts/d
uCVdKsb54Gh9fl4u7KkqIoBSwj+bthx6Slm827t3MvtgVez+zFogvAsiFWDw1SKp79Jl5PyiZkr2
hsYloK2+BpMEiCubnPpNs1o7hFXnv0+IX10UXfrDpkneICgGCsFd//k9p25E46pUaqFrkgyMiHQD
agZnq4gfIczJkFT++MaIr+72DCkMlyYnqnPbPi79moNV9dTw0TNuM8XLsc/wuVpvkH9A/qv18yDF
WZsR3cvCPhkjedjSOnMlsJbeaEKOk4iDP6fBlrvoE6nI9pY7DuXFyh/mhCOtZC9DW5wt6RgCHXRn
tVk8tk13bzVkHGjAb5zMuplpPSFPyZsAGoFshOPXTNJiN/b2jWmTwm1pn7Zygpckw0pnl6QmwVoV
7MVk1HuyJy4PT7nV2DWg+Ka8o1Z6N2mcE3neaafGxNtWlXNoVr6TC839nBnqrvbMDYqYsgqMjrNx
jThOf55Q3H3iiQA9LYgAZhyZcj4ibRVzaghwNO2DwiQ6e96ibQmWCrkyPAzulIdb2gM6fZ+7a78j
iY3O48xZvzy9vn9VXrurS/53XCd74aXw31XgTn7UmzmaOv5V26f5f74M/3+YLWzdtn+uuO3a4Wtf
d+nX4o/NYejH1+d1t+1H//J5M/7Ebop6N7Il2vxIRP7u/Tt/uoY0NycGys0e9z4KT38V3aw/n76b
LwnT25olfOmvopvG78OHhB/jLkulzjDlv6m6WQz/7HbO57EcnY1Oc9EjX6Au8DIaWJBx2lQtwVhF
NBK1Dv7/RFoQf1x80wrkr0I93syeddkseomcY2jRxJaV0XeXCKjERCKIbQTKsYli2CycROwiGjb3
lRKKTG/S5wLFuTZ8S2tyAKd19OICnE81/mrpNWvZdLRh12k2aSzKZTfw9MnGhyBNuqvIzj0TxcNm
kRBV6wAQaDTJPrKT+czeem3vBqGhxkRBOU1nz97mL2pbL2MWE0M9izqphwfOU93iqEyCfHd2Gkf6
woumcz2tcYcyhvIMJXLyrsg04yTzMifxsSqIP/1+5JeFqJ8j0450oTIogxrHVbXEGGyL5/KXOHZp
hTf9YZmN5vL3gzwZkP2nLMPvpR1E3Y6VaW6ORxuu8vwYWKZ26QY3DxR1wTiwAN4mMvLcudE1Y8mt
MydDb3ohYA/zG23Ux5tMq3Db8hNtGIiH0+p2aUgGBnnro5qYqOisccdlBhsPSLKlVL5WxBZ1xwI0
c18udi/Q+gtA+GRSdh/YTis+GN5YD37fIUrySYZmO7BRI0PKohVy9n28GQCNGGYACtjfl6ZoUZcl
1Nem9zkJ1/thMubPXSuSQ54k5mNXz+j/GjLb9dxm330FQMG2KzGXsfNNY4m4zkjyhGVpmwcPIvdH
U0GdBzrpSHteWrGdUfuYtQzEFTUfRh+WtyKrLqc6UN1IobPdjPbybLJR2ijZ/ZDuuPTBnK+Siy4H
VOvXmULtgvYOn74aUYx+ijRCLTcRq/3ai/ElIZrXY7azG9O4N9UYAQ5qgwE8Go/1j3Iw1/mUfHi+
Xatet0/KxjNxw0o3OwAnM1JqhnoTkUAivpyDCZwG5b3sjMVv7BqhxYpEco6c9sF2YkSKXCCVequG
+bKiRrGbThhRDTMZ4hqmMkctRW3FarBQ37l71edO22k3dM0hGhNpzOGEx9jaNi3UvF5/njBL8gtp
Hcqq0MOppZ1dGEl8+rSY/9UJ9d8dP/9rHNpmbffPZ1BQFzV1iBdHz/YTf3d83D+lY9O+oabtUoF9
xp1JA/dRib0nHR8as09f+rvj49DWcbytraN7pImb8dTfhw8gm+lZm9MoFJuxhcZ/c/i8PHsc/uFU
JN5tqaG3OZu+DEHUaxuhJXW5TymALda+s+Kw14c3mhTH9e4nAEzgKwl5h7/VU3n4WcE9lTPFh0GV
exiQfSXzd9MsMDqcD8iC3z+b/V+cGa+GcgFINiaPbhguqu72wM+GwiLPGvTcSfeb0qiBYvCKXaxn
p3Un39iCL88IZu5opKMd6E56aq8dI43IM+3bYv7w+ycxjm8JyD3MDQfzWCISZONoADlkmD106BuR
XSftp0WNrrnvq3qqP0nqCu0B99bawShujdpH6kGze+sqx8PpUKEx/ojuoXWFL9Z6URd0O/rxtJ4H
8GV7wXXgI8U7y9rZYxcN17//4K/WlEtjE/NYF9TB0+lxvHwFOiY2SPYQmqXjh6W8dvFvqJo3CLHX
k8+Cpa0NKOBxOzumsooZ0fSoGGMYh4ALo1OrN9assS39/5zO2/tlIVkuSaEJm2ebR2nZIPrMROid
7pE6fefmu7MMbud9dD5F4wdPR0yGHw6+O6FWvbGGt9/8emRBesnIFkTh0QR2lC9GDAj27mX8niry
dX+eXs8n0xtJzpH1399PCPBIAMLQ4XhbOkpVXPgwSrH8L63fvKP6GEzBGNaBt1tP4jvvpAvestR7
xcI8TasAdTR0OlEslZcPV3kiUpVXZHv7pDirD85pfxrt1/Ps4J5qZ8YbGaRJ5H01lUjrSe+tzZrT
2Y7RZ+FA03LaDrhB7afAPbHPtav60J3Zwez/6HfTftyNuzWYdxAdQefT936jnPKEbh6/SRJ6dgF9
N4et/HJ4EeUiortBferMPceO53S+iM7cMxn2p+MpesVL8d55j6J+qAOObNRmQfYj+6F9t67lwT2I
M+8sDiEPL8SZ88bMvCKBtvfw7KMdR/6JFG1aFTMzxzgK7GLWtzrtjRNZ4Ebmk6xh2rXVnhq/RNpE
NfitufnV/iJ1AZQHtv0JPDx/NaJCt4ekJt1jLHJq7YH/9vLcDKZTucsP2r12n170VxEiDdwSrqMr
e29eaGckMO/qu/q6O7dPF/+tc+p1VBGwaBuhBRBOv/vodQ1UMgVi7GTfq7pKLnVHdu8zgxbaGxDn
63E4Aw3SAkMQWsxj3rEGc0TdmxMh6wGF4lJgnwXLaKXzG2fU61BMIHIcLP02uh1rwZfrb1Jmy7Ws
ZaDY/obMCZCPvRIM6yreeJ2vzl2YFSkBRYEQSP6Pe+pAXVolG+prcaudeKW7M73zKs0Dq3rrhDdf
LZxtKGjcDcvH0/KYl04of0e9GrSd4+fvl0N/pT30tyisrvJzbyev8utq116tH2YKgl/0B/nGgxqv
Xh46AhNIxgaKFeaG3LwIKQ1pFNLwQtv1++asO4vOkyAJvaA8M/fNoQyb4Pvvj9Pj8VyTQIlTNjIE
diz84MvxDDdd12XbJ1Xa7Tp8Bh0t/P0Ix++OEayNRyLXdOAwj21OkyExqyHBJBs2IJDXxWn983Lw
j7zDq0eA5Oa+AnZp487IYnz5CDGuk61YaNjFM1XkxFk93+6nt7iO41GEQ5uL45K1TjnFltbLUXD2
6jaO3ggXrI32VtsmF7lM+3/5LNy3ePOkzCQHNhn4duI8O1EyzZpYnHmxM1utuczwvnkfl0V98vtX
8upZXDJlTi3ciXEvtyzz5SgejdmxX+pyV2XK8KcGh5VWdtEbL/5Xo1CEhrZ5Iu2Pl1bTruPc9VWJ
NaXQapyU2N+B2aOEeWPTHMchznkaCsBrEuEuNqPbB3k2af3keXFkdjwOhCsABr43q41GNC11+42h
fvVMHithA01Y0VyPXgw1FgUlQ42ZS3BS+qANenMoqnh9Y5QNr+IXPT/bcWk12I6kn4bJkUER8MVA
UPipomVA1zeKi4MF/GEmV65CFCfTsC2brqQX4YgyUI3NqnfyeIUUQMqi+VqfTXcF6OcaFmWn63tE
FuDgGLqpMaApGS94zkzuY7801tVW1D9zqqLXT2K8Lx4sUPdkpy+xfp25VlOHiYixlF5kQg8V5Wjv
ZzZCS9/GRnrxi5qSRNAPuFn6aWLhjJMso3PndtS4/KyTxmmM6VVx0a6ah7q8H5x5R2syK0l1BxX5
bpbq64UooanDCgxhDWlvtejqWotCYZnTS79FSboanp8YGO/QZEmszEeZmAiazOU88EHy8UYlmmGG
Kw5d10XuDvOJsdre1Tqk053MFz5ogzcu9rA4yPSIgroCM7i4030lC9Z+HkXqvTvEzmUb6dg6FaK0
BaZGwhhDdyiUccJkJth7uUV0NQybhTJvr2rCwhqNJuy1EfWsozfjdytucMShwCkObjOMFX1PjCcA
HlL3ZmwylC9rtur4vCbGWAD0jvWh4kM1Ad7v5idKs/hdpEls9X5U6y1qlK5vUNjMHcW2BIM9EeDh
khKlRTpVeEhNuMWuq3MtGyzUg2TBGMsHsbY2G0hajL5dtlVzvhQNo02IsXq/ZMlagdu4FZoAvD6+
tCjfsTUyFoFuINYL8Wg6FG8xScjoKw9igJIfM1X3QCrZOuH8YGtLkGcdmucq1aLrHPlpjytBhyv9
WYGXTJyddFPTfsXCvSxxC8RSbic0b2mDxbRwYjVw6Ln0VC3pM7deD16Bk1eMpN+pxQ7zPw9yrRvn
z2j2K6yBZr1ASulZJIoSh0hUKUM975Imp3VjIqgvwqaa0IrigLpEPj4R3Ye4GdPGN+3BWt9RXMyU
Pw1RA8XpzpHcOdM4F7ukYgX6LQWrvWPU5slSVhPuX8pwbb+wK7S6k1fhH6b1q/VJGFX10bDL4rsp
S+eroC3bhHU/YDjbOzU3N0GEO52s1LhlT6/OaYf7FXZufPfX0i0zeE0h5DdasQLtlBLjI2trRf5R
RbaBCtlbUuTDPeJ2ZSq6t95Mmf2sxxOl2MeWpeFgNBfYfwGiZEu4CJqo4TBRqfScemZ5e42nYeUm
lfzQmg7bC2eXMg6w8tHxhWmBOtBPE0N9fUEtHyZ4sF7gkIyxCRY7+hAsVdOtl9ZYNVcZMLD0dbzK
cMbU5i45m2Mu5LjrWPo3hUfpJrIutFvdwncAU1ga/5jJCdp+7opiG+FxghlY67a4wfZeVhQnqZXR
josAMExgd6wpdzj46Z9zszYhecQsPtDJHj83TtbEIX8KQ99pWomvUxlbxUmlFcNBikXHqJWpf+eU
218sqJ2+/zBY5vhe9tVoMI+uN/htqc/qpLXxlMVSt1g3Lkb/YdLR4E9WCCUOWUNJIbQ0Tw1BrLXz
fJvMgxa72CvFToIvGD5BQYbX6iMoH39Aw8xt0DXWG2dji0PSEhojDiE7/KAXM6zRLxm0eAE0KJDX
lJY9fcAWKSrL87k351unMrQbCsCb3Vva41s11prDH/uobO+sySGzTqXXu3BwMcab4Uhyg7VobxZz
6FabC2vUlabuc44aBwzbNvOKysMcYLODS/zcaiuUFf3cKB8osnLCoehY6Voko26PX1+77mTdlPHJ
Ehv4ivZZFznomMek8rskIsG1E/6mxJnAB/hExU1uhL2ZUlCmZ5t+6dbUy3eera3lIRZ5eVuwo3IK
++2y8icxumGCWGl7gmldpvyFkbHBcXRd1RwHwGTqazwMtrObS7uwLoYlqU2K5MZMLtsk8seEHT9b
LVOYHWdZ62aBpFUxgvS1+CqMqbt+8lTjGUDOXpsANjTNu6Kjmo67kywYWRbAjZoxRtPlNEZpvoPL
aZLDEEtjDOxyGDVs1Kwm8hfYNMWjm/Z9XGG8G1hwYo8tZnvujp0eSX/ojTiH0hkl3j6yI7RPK85O
wYJrEZTnqKsfDdgPBoYUxTeT49m6xioXx+YpstmRdF5SF5fVJfo+yBJvM25M2NgkNoBI6CYQCb45
S0JrlQ4xx55dOSubWQzEJ7rB2BaoorEDqrEtLYjSq/8vdee1HLeybdkvQgdMwr2WpSelKkoiXxAS
JcGbBBIJ8/U9wHM7WlXUJUM3oh/6vJ0dexMFIJFmrTnHfPJgIjurxLGwpk3RAgmF2GED2Sls/5oJ
RTMwGnhu/PMgR3IDG6AN9VPcO2ONVSWYWAjQUPabJpJL+4cW57da5Uw80RDXP8E3xRXLWtlYV8no
BTMMrsz0LyzfszM60gXaVMpexznUAHhmjpk/s7Dqr8NA5TmsPkYUMjdCm1gJyuFeBzAX1409OD/n
Jp+b/cARGKoAXlq9sdIWxdJY9ukRXQ9aWaN1HLEJHEh2K2eIxffSrfxfEy24kUsnGN67Jh5RteqW
DYSfjNMegAL/eOjd+kfoz2DFGnPZlnTWZForRw0Ts5fXgD1Pys6yEMfz6V6M1cw7XjueNp4UeS4R
li8rd3ZJ2FTPRu338pUvC4REttk3JVpmXtOT7DngCmTPeqyZfxACsLPiTppf2msaHsZgqvkCiGM9
rqWWMyw0Nom/PW13EhevwMTQUWqN10gf1FNbOmUPgQKb0Ipjev+lsPH5rEuar2Jp9LQH2osowT0z
04cIdaK5Bb03ziCQmOd8dovf4RotHwd9VsHHUKTTz8wcaf90CyEPAl5QwEVsUz0Ge1bfukNRZKff
27G0ZhytbX/ZtxkAVSZW92uRi7QHe62SW6lKhJ1+G87AjuMKK+RgeT8rlQwvqTvYLepc1VZrlbnR
57oYI8Z3NPgwhtxpY8ZOkOL5zV21E11a2RfoHDQ+vySlonwjw6R/1pIH8qnqTf/3TN0h2XaOV9qA
JlXZ7zsNQxyM6uB0+5m5wtnWgyNISpHsB+3WdAkcStx03poULx5DBS8GkH7sfoNVy6GbjnKS7OrW
i9xVDwF1ITzOAcLJzh8fCi2Cap2XQr7EUzerTWOMTbFxR8f+TRoY/JYR1Ei19YbIbaGIZfqmt9ws
XDVTSZV3KFymOOmE6rrgwtcMdp1uLC+Dp6HnJnR2Q4xteOsW6IWioGm9XdJX0bZOibHZFYLNkKkj
NjETkQBfPKxf1kM6ZUYeX0Ro1eRvJVNjeqRW7kzZmo2ReVWZmfEylxZ8GdrlSg84Qotw2OMfW8BH
Nbb9J85RoIwSog+GW12ZQXPngCnOP2nVw5zoEmSc+xwsJJxsGQ3fkpSS/7YLDNoTHFbQxkqQUmqT
5Xx7eFelyU5hgLy5ztPcTz8FRsuucSoq06SdYeGBz8ooLze2E4PHinXwaxxn1qR4rBNrb0APEV+U
X0XNukTr9ST4ufElgufZvHVIvbGuaA+kAogXvVAYh3YHIZR2byTHmzTKx9BdgxLxbmYKV2zJiwxS
xdZHYS68DSyS3GqZU6Mg3OZeOv3QcFec7Yz29Fm1sfjiUK5v9jlHHI2KO5fGLckNbnARqgFTDFO3
a8WwNFjnR5qmigSuPDX6dG9mhaW+KlfTnbVTNJUps0trfcuDPoAiC7QgBos7w3zTGrTlBYYCZmv2
+H65hUEMxdMdUR5feWHNXG5NgTdcCTgrRMQ0JMgw3xMyx6wahUcV9HP6rYqr6ZtBJlK4B+zjz1dj
ZeA9nRb4Y5mZw3DhRVrE665wW93BvE0GuC7IbVPAb6aV7CBfWcCo1DihADId7d/ZVS7DrbYNZhFT
tQIPLdiZYuNXhSU+Z6UJcFp3mOlBvpWi+2XHkLn2UIRGFIKRHRVXZD9Y6aaqWJzvRT6W9l5mru0e
wNWBrtH4DsQGwKabY5HN89y9DNgcek+pyWuBsuB4yEbZh6rbzuyZfXHUdO33UA4oXik2gAjKvUp6
u8KuRPwAQTdBXMU4HlDVmznU4L4Y8605VJHcZLNtsJMsc7QJleF1fDpOVxdrvEhI3jnC5RHHPDA7
6zabJo1fjHnnqe+jgmALRd/9M9Zot7hRqVMHNE1kZq290qjFxnMq/1CZ7fxZh33wMPadU+9Lz2xf
3NKf+yuE53nxqcZz8VXGCFf2zAZ4glXYou2culJZt71Za3OLQhIon+GqeHiyh0nEaLPsGtl32UtI
dwL/xWeVp9UzYRaklNlBFP620hlwj5g5H911Jq9q4/M6gXzldunthraNrXvtQ+a/1CX2CxALQZf7
gKMRvhSb0Qwku0QjRDtb8n70JkiQZ64zPxc/IVMY8ko2USIo6c9DM1xj6sXmo1LRsBM0NctsPFFy
ufOcVhHygVJDMgXABtuirU3c+7pIrfi6y5KZnj2ytwDKapqCvowol7PFMSMLWg9E5z66ApAXiC+1
MFkaUcPqHyLy2ISkTvAlMiaSmlLp6UcHWNyirsRssS7Q2/9qIk7MuzmU3QsQXvTJCTDUqyLAQbJ3
4n4+1I1uJDjGJP6F+mFoN8KATP2z7GodfWmHrPw2SZh9m3lOm1ucBTZcMygJi3R14KQiKB/8DMg/
yS5Ls0p/A3mUxrpKGlTTdm0iJ3ED3A54rlrjCV9kFl6OsoYo6uLJ0pxF0t67rvoRj4OLZ+9RVAr0
ej7YA2ijwE4eC7eI6ysr94scu4TKDHzjOvgqq1l+hbGq9I4jqoxWyjVlhBcAHhIuYcM2ODyLcVh5
emDj6XmNjC+WGaoEjeWxxtpIaKx12WpOEdNojzdFueAik6xwnXXB6sK9dTm817CqrcekZEZYG/zx
Q26CT14ludupW2GNXnWAPFulD2bYVvYVATiqu9EGh5GWWBcZxjeNIeofi3GXaopqtLctK44Mm7hs
Zphmtj9Xu9r2kk8l5wWFL6CmMy/SOYMOwjqYrbXbGouJZAgkJR89sa6QAGLf5hX0wOs05rD6wv4s
Dy8mzEEx6v5Gq5sJC85Dj+NIAxjNPU5ys9eLfNVPbfXStbH3AMGljPaZGgPJ5sMG2Q1vFEB30Kl2
L4IsSZBW4y7fzD3m8q3DMquYCRDXrhrlQBskzGVMbsnQ0M02cSJpXEAInZNV4bFfwQww6GwT+JEJ
c42T58Nk1+18U/QQ9Vxk86WXPPlJ3BwnMA/ZhY4NDlcTnyrgksk1uys/VtGwmowmBqNtT55as1vX
ehU0cQEZxcZdsvGzGCHU0giH4BbofNUa7CtWY947X4gKmp88lJzfBl0sKQ5+BrLDNSc+MCPOjOEi
i5MYbqTK5+JhGivBF+CAsNLuDG2lEAmkQDh9oKV56FOxiQzPnlcF9QrzMuYUBapYyeClDh2+31iW
8a2d9k4OuKay4KFK3GwXk87dh6g1/OdoTqLPXhZF0bVIjHyEgSOz/ZwYAy2vPufLy50cAS5nma7a
t5zdr0Jhj+qqy1XykGIFgkWsq/kqicMGQKdX8YI4ZHBcJsV1EAval3Le2M/tMdWkMlKKq8yEfXTX
PWPtcg9C+/MhKvOZH26NWKrssLOQB2eD/t6IZvyB4t0luZEapV7pMu0u8aoL6IcWH9HWimr5iH7E
fHIi3t22s90O0QVINv5l3+APpZNWHqISHtBN0BbdsBobmbUrO5isB8dfpP0YhVgVO+RghwFp2Kc2
Tsr7saJTsGqVmX8DjgkItqvHSlKgRkm1MpPIf8D9C8l/dPz4M+IzP9vUiTEBiPG6YkWskneb9wvx
0HdnSnrY/L27FDmYuycrJDF2XdYbS5YE+o116LXtw+DCvd8i7afTOY/GbzJPOEsFiRNj2Qkm/Gme
LwroxLkZUGAN6JdcRi1RFltSEyvO9wkFAjYsMZWZrrGacc05Khyu+HzmiZdkMbN0lcA/TbEJzHDf
4VDIzaIpkdJPTQsCJPXtVVuFCecIGWfB3mbXwMbHCxPkHsnwbJUOFHqYgPGFmGt41l1riwOOaf+5
155fb8YMUSd/aJC//dhg0ssq9Gub0o4oOthKxb8yLbqXsJVYass+SX97UFWpUltD+aiacHySiVne
h7IYmx2RcOp+tCtQraxP3a+qdYwnSOMSiXWdTQXFalxcNZ2FR3eha3LYh/S3au1+JioJsSnTgzcA
6hTFkEzX4Brqb4qKq4nzrDCv0jwCm4ein72aDQTkRQ5CU01N0/nakxLtDpYyqD5O5xpwTJcdk6pm
kihZsNl9zE4ffqNSR+U2CLvi2esEMAajreDSWV4bhGuR97m1LuK2fummHHUtey+LmWKM5LRKiToA
W+wt2JUsmDBC+aOufhRDHaKKFxocHOY5JJmYDqPtPFXVpyk1S7KAVc1WueWknW50PLCHNnunT9aD
xbwKJU+XB9unftFnHgu+NBP/mMViOPa9XU4riKqwTNlbWjgGHU6JjipDeDZ1oX8mCUh0QyLmrXjD
35OU5FUk6EZ2sEpyGQtHiiuvjeOddKqkB6FLH2oV12GE2zHyhq8+WzqCDoYsuy+DIHxSVCB+N9HQ
Xdg2zJstlWXARBgxjfVyttzaCegTrwd/ETbDfc2J7DgD3L+nzhbdKHeqXCC0hX5GkT93O59V8mom
6uyna6YF1OhUOPW1wLgjqI1m87ENlHkdV4F1awxmo9YEQs4/jSTgI6JE232L8TU91f0QUBwzsul7
mI+ETdiQnYxVKlyA1KjqEW1RYSZewikGlBCoQ78DDiCRTPvO+Bvbqslfy/rxEe6ug/6GBlq/Nmcz
/CGU5sPju4OeNjJFzpu56epnYaTFvLaGyNErqhSYhYQc/IPTc4hlVWsWvFAyV4xRNhMrU/tewYY6
EC1Fp1peFuS9sJ/WbfkzMGG2m3TYER3oCZqv2VWPQIcta2OJET8WuTGkq2g8unqNoLtMNpVQ5P9m
eQoWdmo7l8wHdsKrpKjC5zBJKp/qUEQ9w5kt+dnxk+ZHzP4J1lCbLWUKI6t+zU47PvpTiElxGCu+
TJH8ok7JFBfR+qohYIr2hhyc6gXDJ/eBIRaHqags5zIjx0huQ1mlj1lCjsfarG3/s4gzzsGQFcHY
OgqlHErWoLB2rk9wyYrkMd9fgct0mm0DRZ/Nb8oeAbOtQPkb22pe+01Y/pwpd/CtDv6MuarJ4iUh
I6ky2GCJw6cU5d0LtIdxIXTq+tYvXMtc2ZTxjc1MwhPMOZsQ852EI5vtjJyHsyVOpmKHk7OWG15m
8815tn4YpMWuCBu+xdffluEnvw7Lx9lspCCGxIp+jD3dyxVGs6KnreWHnNKgC9wTmOU+CXvZlLGc
9R7iFQuG6kA3t8PEMSSo4+oRtPMa/KmQS48siVcSnTccIkEtb4vOPJq3g10DVR77AcNTTR2BewYS
UG5gN5O/nlY9QdJh3tmYjkoE95vRm/APRhr7MNlHZtRfqBlz6joQHEdumf09+wORmv2msYr+wF8i
55FVLl6G88463S3XKmWxbfxgC1Ioy9zLWd4LK7vqxKNnZXt7UjvUA9taBFBtYA253ba3rinI3Vlk
LEi8UZT96HZv3LjfufpSU9tsxXgJm3wmZ+Nf+9qOSWcbOoYd+giyzgQpMlCgD3pVYN2V0TdUI/6d
IGZq9/5VzgUNPmdNj2YzFVHXpsSxPLU/2s3Iv4VtzS7gQFXMR8xK+pYygX8ZsPXbBrk7/KOe5/V6
i1wQOaIpHPe8FawooLADymCSoMivJgCnyK/cD172X+8KYSX/JdoXFMCnd9XTckXqAw4RUTraMdto
LoTLhhK9/5It4zgfqAOWsfNng5uGvYXCPEBpTENdeGdN+6mZC9fPHXzGy4wzCnFnDmQ6eUsuH761
e7As8Qe3eD6cuWS4jAsTYxw8TPPsFrPULhJII+6mrtPoojZKSswKQqpjVtUHd/f2UoxDBLYmCwiJ
p96ZrIYwm8nzRmJDDTus1kI2dN5jmpcjcUIf3NW5JCGAnQcXBouPDd2EMXL64phWvElxuxsjSqiK
JS0YrVZaHF/eH/Z/u45AEM5w5AMgb/r0OsXk1DG8TbHJB8e5cMlWgSTg2x8IYN4OC8CM4QI+ddAl
IbI+vUozdbSmERRtqP07n5lwfbZVhl3u8H/kz31R0bBw+tH854cIIpMmC5J5sm6DV1nWn980TKKI
JFSxIXuz2VE9sS6lixPpXx8hWrmFgoRSAsnoObE0zVgE/DkXgCdbfeWmAgXk0P7rfPGqXFumQCdE
C4NU5fQRumOe2EWYiY1GnMNJGwpbkbXjBxqi8/mCqyweJhwijHDUts7pVVLFoaZXjbPx2nmkZxFZ
uzQkiIiysbspzVQ+/POzC3lqeAkA22A2PZt13UFiNSN1dWMVVr9rjVB/9utx/PX+Vd4OP4H+CNlf
iEKbte9sVpprVN/UHh2Kqp59n7q+s+9d2R2jyjce5pwmUBIEbNvev+rb2WKRqDJVYNZFKRecPcuw
n0MQVYnDXGjNqzCmbhoJgpDwLk3/udT/CyfN/7cotVcF2H9vqvnyvcLZ2f9p53z9L/7Lz+mb5F7j
naHYAbX5D5az5Xn/CzkW8geX6RS6IzPgf1lqDIvsbUYlzvYQmBqKQwbO//HU2PzBBZ+F4x0hpMCX
9i+emiXF+4+Fk4IiCyZlMEwoOFFMkM6nH1422DTEy6A9aHf0vgaRmGD24yMzpqS6UMESeZI6zk3X
5TZBMn123Va5/d0vPXs9gv9HXNHJWzfz5/tYhM2GGM/5Hmi0vwdLVG/RJ6kf74/u05niPz8YlTwa
PaSGKFvPFqh4NtPGTfLuEE0RkrSRDBNd482u7S7cWTTTN+9f73Xq+b9bi/+6II+GPSsb8lfr0+kG
ze2DuTC7g05D84sgLBpwzkQf2hi2/Rh8zengXinqHxchENhN3g+IeYUutq+IkcbQt7mKO1plQ7TG
2NTf6CEm9lsVcm1OAbkZYebvxCT8PVq48NJJ7OmDVXDZ0p3eAaI/tiqQRB3k4ueT3cyxQpCbo2gR
lwndnJ66JCehdeh0xZaMy4OZtd0lYM/D+4/uDF62PDobLbBl4gx6jX0/e1fGmJFRVo2Kys/UX02G
ne7tuIEY2qv+KqRRvhp8o7+s42i4QI9tEAuAjCsIMLP/+y8hdh6sukvZgBXmbCYuLLRiEUmeqGjc
7iIjFeEmQDB3k/ZSXUyu6B76QFpo6c320kfvsKN6DiqDk9RHv+QvLyNgB+f6rAkOXtqz9bQRY26Z
IDYO+VQjNojQyJCWPTxKRtDen4rx2I4dPRy6N2sLJdUdX1O+LVMXoYaW0WVP/+DTkA/FVxsdwG3R
9fpLYBTFnRmHzger8pnrZnmBDtMTowYNxoJkO3uBTulbaFRz+xDIIb31wXS+JEg21i6KotvEGdg9
ja2376OpOmSN1155umKITXNl7cw6H3dOvUQWRlMKbThw72kwfUTJPV3tXn/iQmxn74bcnDIY0+if
n6fRx2S6VZlzEHBG9px2J87spJNkIQKxD0bR27kHg5vPJ+QzVwq0N6fXYhuUhCY1m4OWFAFWKHQq
uM51MqQbVdICW2dozY66opuzsmLT/IzNfSQQFo1qsQ2bdqE+WqlN1Gdo9ePOj6XrXRtpaH3VjnR+
vv9r387syy9k48H50Xcx9Zz+2M5t3VkllnMoyjndtzqad4nQzd5UaCelzuxrWczTZWoQ71vSfvxg
oL9a505mncXOgWXG8tiEuCwvp9fvRdH0hfDDg2Np96mYUEteacJ/CYCphHkg2XzpBVWk3q9YdvD9
ygJfFD2RwqkomXTucxkumbSqsUijihrSBkdjjB4dFMovIZHSFEI79zonPIx40Hyi+pt4wViBlU/8
F2hcghAaJFMgQ8qgv+XyTr+awiHrLukf4dQJSZGXCLRoGq/KURPwgfR4ntE4VcSD2dEojjpk346i
zpVqhWA//ynJVv7p2zHqkmgq4eEGQd4dwRjwKcBgmH/ljjciyhw8W24agbya1q7Kzf2UDfTLaG0W
ehdSwLa3aigbVNKBRWkHPUiFz7sskb0Vjj9uEfTOMMdki2Z7wu3d7eK5za5Nf0ArZhL8SUA6J+L8
NquzvF33fge4jYpP6W6Aoh0z3PYQn/p4ITC1jrWbWtsmaISQUTDJOXKmy8YdskskSC3VLbtM7mnb
UGSic+ma5DkMhfXBOnrmUeRDhR8Qkq+Asfh1Ujmb+OJKQDPJev/glSPoCMQJyIc9LKlGI55r1y4f
6LKTaFy77oHDafJzTIqPBPdvPuDFhcyeH6UExVhMEadj0qrrpExq5R+wpOZ7e6b3URk+pLq4qi9K
3x4+uOk3kxPXW86BII1DzwvO4Tk+Iu1J2UlwMIx0uCjIl99QNPZ3QUiY+Puf+19ujaOTw0TNtt/z
z40xzLGZAVQjPLR14q8cQnJ2OWiG1djZ8a4koGH3/vX+cmssY2wc2RexbXSW3/PHGbcCpwUxMAgP
+ezGhAsIdF1m/qsyC/uDmeRvd4bK3IfHyaTLmnl6JQrJlogoUR6GxqovzSGkG9wY0YVmQdgMbfSR
4+1vI9UFLYVVgg3f4p06vSA0JdMnfNs4CNALF3nXOludFvkB4lO1pj0371LV+yuJLnArCykuwjxr
Phg5y/b/dNPG1p/iEgsbXRwTZPLpj4hCS3ctCt/DlBpMfdLAaXaZS2m2hL+jykWHhiznso3E3K0i
B90UAunQo4Fe+c7jjLCf8jaqbPejH3bqJXn9jpfTekD5DjUPVaLTH+Y4JeR5SZQ8MHN4gmF02URh
RbPVsw5OlfvXNbFiq9CJ9MY0/Jrd+TTcaQ9S//sD8O3GnP0cVQ+SYTAxWb51Ni6Y/aRXg1A9Fqo0
XsgTS7+5dSjuZeKonz0PA4H1pKiHy6wYvxMdZ4ONh5JmoeUKDetb2IX5l0QRA505bvwlM1LabZNv
RNZt3jXmo0M/3NukCR3bNUe1yEfvXvKYm0I48TptGuoT79/S25HOGMethdBzIS28qZq2zSLA7qOD
kQCbbLzaQZrjWbsuqfrd6LQffcN/ux7PjXEOISiwXmk/f3zDvVN4Zgme/hASxV7UXbRJSYCa0/K+
RXf2wcD5y/uijWwzGzJuqP87ZyPatobOTlASHqpAFIfaUem9vajdBqRA66qf4stEEm9BhXLp4qth
A21ouHB6+6VjZr6NFfrmdIr0vrDd4iLMPLR2CXCudYneHkfL1AWXftvN2wKR+/XkAbpyZj6Uf39H
DLelOir4Ks8jiUq2DmZvpDHbvLhCkBY962z+2Wn7R4HX4P1rvZ1jeWKOYOVgD7fQ8U8/tcypbDnQ
VT6gblbrqnSeSc1Ewu46T+9f6O1JjQkWF7HPUKB0Sd3y9EpD39FpdcP4WCdSPcupnr877kQEa40K
yVhP0s3QRWUoHTloaxLGYkt5z4NVhvOqtAzV3H3wg5bBcLp75Adhv1sseBwiz/nkCKmAkzdVfCy8
1r/ADzM8qGkmuK/1swsz69RWSbO46UXVbIMwCu45lvwbuGGZ6bDiL+Vj/z/so/OHkuAs6WBaHtGe
DpdN4Q9bFwXuB8ubeHunxBktARdUiDx49qePvurazsvlmB5nlDKYaaCopn3+Pxi2LicXDnKc5Jg0
z4YS8kA8YXaaHRUSt1VldAd3ci7pHKOr76df7789++3b4+zJEkrViwK47S73/MfEMlHuNIK2yY6s
2MSXmFUMRqX3qjUq3Nbat4ly70ShbX8TFVGZfZpp/NOTbayJRurQkk8bqumxsJvwQQdG/cOuGnHp
RWtJSDHo/w6Nm10BxHaV3168/9tPa7bLS6disZTj7IVwhkv89Kd7FoLJ2RqyI86pq8zDwiH97rEu
xLXpFi+21ZUfTPpvP/LlgiEyaiDr7DrOljGC3lGddU52HIIxZVOBEy4qehNiJyFD79/b3y5FzRHz
Ox7Q5Vh/em9F5cal01v5cWgQZifgkTeDhZxtsmAQ/vulFmoDQ4BILGaW00u1dua5bsfizP4328yS
vFavzUl4tFG2vH8p/+2ORLhcg4ogbTLK7WfXGhMLNbpQ9TEXsv8UeK2NhiPwf9D6sZ56a3J+OrpH
210lJJK6Ze5/SwDI5Yhic4uIMTKJH/FSsV/OYAivBlprL3k+E4wdGxmBio2PyGHTTy5Z93oe1E1E
kvi8YUg69N27tHuooOwKviNEJivMr+2TZzTej7YlR3I1OMh11rpVc4xiOnCR/pjWcG8o6V9myVQW
N7GnxxuziwvSgGOPHOFyaj16BsXsoAXMElySoCG9dQoKero2Y4hCaxZP5GfDaM5rDeZX7drMzND7
eY18Msio8lEqJcmz2YwO5OisbgsEyHDEVkhdh9/WEDssW6SRZgYVU2jvCxLe6JsiXpfTBHcEFV+O
V6EN2drHeiFseOiFN2kWdjeOVMa8QjQ73uEYItIyijJcrtN0XajG/A9N8r+1459hSV6/R5pCFrVX
jN+0QM8K1LZT4Mkl1fpI+maSIpa38GzVmc5Q1LmuH20sE28pp3HYaqt2DPIfkddOJM8Wbfup1u3A
jIGj/+vMnl1tevrROzuQGejjaOwu0YQ5l9UUN1+KWLvYrar0Lm+TulkjFVV3Wg59sVWBoz+lXha+
dIS9ITyEU4E2SPj5L4nGKF3VZWEH6yFR1rj1B5V9S0eFpen9Yf6qjzhdElmGKPnTOVhKmG+UAmGY
KeFULQHhdvjiVopluIXHh7NANw2qoTJFZDknfYzy3Gwac+8ZA6Y6hyI/IjOrrHdliUcQ+nnZWivY
R9GL8do0x95nE3XumE9qxI1Crp+obrkl+syiYQ+PIy2F/JIT0BetVRFbeJDwWt0pXsBKdqnnXb5/
r28nYdfidS8qE2JKYCadzh6EuWZ+1IfN0RxtY2eFFeQKS78oA7VPEkz+NSbCjw7QbydHSuOAJRCq
U+qkIXJ6TdsNWxXqrj5aVK03smmjnY1ze2u2w3R4//beLvmc6pYqIvE1tIjPycWttkwHn688xlae
bD2r67cEZ3/k+18WjtPxwlWWciXKAVJD7bOVjAKyi6lWyuMo8mTTmcF90htyG0doBhM1fa4khwxX
5x+BXP5ydKUvRXIpL26pc5/Px4TCN2np+92xY9vx3fTx8uBxTm4nXzBKZ8N6IPW62HpMfpvcy4M7
aqXhLxTb/kXaltEHC/pffw6fDH6kpZf2ZkVXWrF7LDx1HBtr3Iu0PNotwIPI7YcfoKwZ42YwfQpq
q9q1S4t2nCf9CdOSeWU3afXBxvYvrx5RDDxln84s9YWzke1loq3EaHbHQUIqLuWQbMyK3K73B9hf
5goUhogDLAYylJHzs5bEu4oUTA/HNM2sWzPW04vKazbNYSHUNqu9idQxI5akTIgOlKUbTFsIZqRL
S7MnObswCxYiRIw19VSjbwOyA2OF/yJK5xcgBujMXYj+kKpimXibebK769E0pnITRPwfaO+6yS9A
8bsvUaqsta2MMlzPU5vVH+xpXvdHfw5zihAMtSX4Fo0WaQlnO9veCnA+pdN4BEQS7W3dsWrmnSMx
YM87RR1nXzldd8MbeZwrnT2WlU00G36xVUJXbFfG2UTJQtZXY1TpHfph62ogBR5hijl+QIJ7bTOd
/9Yl4oxyGdIywC+nc0w4QchRjTseY9OfvhRy1Oup6ItiBSAz3LZdZmzywLyYs4KkNcbKZwOB92UX
NPWV9OPw3k5C9ZS5vdq9P17O577lGS7fBp8slCAkTae/q9F90rleNR1xgcd4xFN93dtQHgJ8Av+D
SzEeCcHDssg+9Ox1xQbGr0rZ07FPCbtqTFeuByT5e3LF2w9WzPNVZLkr+h6ODdKFb+Bc6mYiPYvc
0puOy8q41n7SHachCtZxJvVtVeTBreWxqXn/US4f8PkrDshJoiKExg4J0OmjtELZp56vuagUAOht
/MetGCGn43TZkFr4UYn5zfTGXTLqgXMxqaAiPq/HQXwpIEwp81h24bRz2JyMazdOkxvSDcTGRry+
N5dmwjy61EO09ajbun9snDK8HSoQvO/f/l+eOa+WCv8i8PRelRB/nvx60BF8W8I8Uq7M1zrtx881
NYfVMJTWTrb2uHXHYfrgmf9tDkBhwatGEMD/zr+roBUELTfBfHQjw7iewyW+QqRygSqofWe73taB
s3Ns2qrYmXNuHjtabxtqSQTLDwodeGFdu60wP/WNoS4Ns4H0MQ/1RnrGRwK7v3xqNMboQqC3cKm3
nO1n55w+CPb5+dgmafklq3t72V2Fu1aTzPH+uzjfADAy2GWwd3YYGpSTz+oXtQXppRWFdRR+P1/S
pZguC6TRO7dowURM2uSMAfxkjHL1wf5tmcdOPwI+N9u0XJM2N0mAZzeJlMSk9hzOR09P5pVq7ekh
yozv/3p7ZPwxb2GCJxwEatPplzaNRckRtzCPFX7BDRSW8isZ09hVRZ3vnI6gj1aW+q6MSQJ+/8qv
IX9n9/d6Vl92iw7IurNJbNKxjMrUsY/NLKaNCgzxuXQjwoaSsAeuUCIPb/Eczub3qovZOSvYecNG
AU7tyTAt/S09TNNckzPjhHyYSfNod6QDj7T+23WNjh2dfxbeEQ7TYmDD8/h7tN0SL5wRzAfsN/1h
qI0n18X5FbQoF3YMg9haE8vo/BazW18j2HPnq8mbXYztbh9ChjAH+z7q8vS5x3Bz2abIHNaCbuMX
NbmLtZaz4n2BT4WYC9Qr8oMdyWvd5OSR4eRAcMxGdEGlc4o5fVsBfk6acl7+mHWmvM4rm+ARHBTj
jT+RprpNwkLa9wYNDCA/vig/lX6Vmes6Kgtr7aQdYIZxLvG1C4nPaRUpo1Ikq8vv6G6zpX9rB+Sj
FKkB0AT9bVbpkZiUZCjra0MpFBSE42T2qiyl/jwDy4t3oa3IZg4jMEYWuRwp2VS6u6CpEug7UcmP
gnVfJ/7TB0CnzKFo7EDSEjhATh8AAuEBNoGSjzAMkuumKfsLaAE1iJjYq2ImI3TEqzLp5R0nnOwi
Hgo1LEL/ekLxaxgSI7rAVNXi3AN3Acj7Ih7zcFtoKAmrAEKzuxH0PG4DbJT40YnrazaBMSQ/BC0q
8rZaGI56poyyRn4IgHCwKDeW3gw93wIW88G5ffnCz+72f7N3JstxI9uW/ZWyO0ca4OjN6tUAiJY9
xUaUJjBSotA3DsDRfX0tKLPsiqF8ZOUze5OyGubVlRCBANz9nLP32vQzOXBzTWqPNZLgzT7QUpHm
sVc/DIMEIMNGYwb8cslZlPrWnqek3pa21x30mCj4YClz+cES9FtLG3bzylbji8P3Xdm0bz8BpkTV
KQ+ur48D/QB3Xm5rt88POF3szRKTbqyNebevPcG+XJh1ONZOdpu45bx/f7Uw1tXgzb3wiWL/OatC
jbEqsd5+kkGfUhOn1ARheOy/uLinEc/1CR7UPPeyIoxBEBOkIhrxtOgLNRKMnPgaRpsYdsVc9Lcl
hv1Qz+fivxDV8f8mCF2sPNT/XLR5/1wtz9VbEvrPv/KnatPS/1glmexcFh1MwNy8q+Nr1//Hv4T/
BwNolFCU0/RheLb/rdrU/6BhvGIvOf24qO044/5btmlAUF8FhCD4EC+QIf6PcjhO9lcDswhaaVDS
iAvQlJ6mMQxpLhiHYbmM9Ckvtz64n11K0kb8waN7cljhOpRWK3rX1fECUGe9fXJnn+DnMiJLLc2a
DJMmwKNvmOzqz5z9PjrI/v6dXIOhJ34A6iJe25M9NRetX8uayPpkFu62aiSRH5EqPjifnhzPf34j
QL50RpiSIa89ORPRaPdLRpR8I+SIt3YnKxX4IiW3zFuSBmKbXn5wOP3tHlKFcyJGqr8m7XJieHsP
c2F1Hi5W7p4FXQVSQjptwA5CXEqzeDr88hjf/Lmo/JrW+tHFTm6iJMpinE2czdIgtp1JaW0+5LGp
Q3mcYvnB+fK3X4yJkVhX2ZVdSW923QN+mfIkwDcrRQMpMBup3WaNW23i0W4/uMrffCWGrWsfg9oe
jPH6579cxSjxzosE6DA8gew8T81+3+YuMi32nvD9u/d3X4gCyvhZTqHYP71UWphqnqBJJYjOjjZf
JuSFHj94qf7uKhYkLxYLZv1A495+oaJUdjHPmHpbQpj3uYJibUR2dvb+dzltnAOwFRQ2+EM4HyM+
OvW+CA0Xma7nRZDHidfgR5+cAk5a0yT9vrRxW4Db74fushls+Ry3OF0vclVJYz/JhplAucDzv8ee
utTowTBn7qBKgThLh6q4nCu6LoHRR8pgeODFUDun3rH3jpNPKmQ1QukYuTpnyXY04h8MScxo05sL
SBZ7yPxn0lnRWiyVmS5hZZfdJz/TpTziqF68TaVq90tMW1N9cAZdn8df9uGfd4QHde3wGqydzsk+
zGoQg/Zk8OPPK6rAnh1sy24NvqXt808OGICg6BVyi0m3QXAizPwg5v5vfnk6A3gz6FVhdDn9AH03
4F8bwULRKvMCMbYQqEzG6+//8n/zwtB8XQ1jjHlBaZ8sODExgYOru8AypIJPNAj73Ox11Dgyd769
f6nfVlOWNDodEGxZU1cfwdtHmRlfn9o2Ukwrb6vvGNNzECC2uTSB05rpXWVHwv5nDdT1R6Qfy+7M
UXp1QJz8iFqD7SD1uKTB1C9Q1jTs0tSbP9gmTn8pVOJrjsJaWK6ZFqcqD85rbWoa0fqOasRYKjvt
pqB1RwIR37+Dv1+Iphu7wroh4VA7lRS3udNBg2CGkxlOcoYR1Ahcq5vu/vlV/jwwoBDk0Vt/x1/W
0BVIkSTAtiAQ0I9Sqsk2pjekHzx4f/NdqO4QTaCsFOss9u1VytGw+kooAp5GpzyvazzNC+HVN+9/
l/UH/vUtFgxH1u2GoTkdFGQxb6+S+Wj24zUv0e+W5jY1ynIDwWH+bpTfheoo/xKxff+KSKZPr8mZ
DaQ5W916Wee0qVdNTmyPTodaGBCQE3ZYPMlgKCuiyDxYldXRU77z2RpIZyJqUpLAykrTI3ewhdwv
ZaMsqJqFKA4J25faDrpBIqp0Yg8ibStVuYVRMHrEZGU91k5Vzi+db4zweUtA1ISCtvmPRQJT3AwO
zZSNV1tttnPMhSGob/Zdu3GQWBRnNhhQPDhNNoyBgfbJYHwstGtRLKQTVotLjNZsmuOd7U/W17jj
B9rR4BW4ymPooAFwtPHQisohJxcP+4g2to3aLdks3etsNEiciR125jAaxxpxcuOaRYhMcUyDiU1T
hyVgSFhfUZE8FZ50lu2aHE+TwYOasimk0SpAckk5BVliAHiZxQhDz0eenJ8tKiYGs0Bc6X4tJgPS
ZA0LUt+Vw0SD2Fmg9KkUiMmlt1jui4VZRJJrojyIiv1oxSZgCtBDddgaVQbDN64ctZzp/lzXEDn0
2v0skgQMyRTRYmHfq4h3TmfDbvZJJUHwgOQZ7xc2ojK0SmekFzDQKS6CbqwwpAjlkX8ZNa0OusUf
JvcQd2ZSET1cmd9MHoJio3mD89IjLh4f4XlHMH0H4NYo1rQsWIcrn/zC0b5j/SAnVdGEuB9UZmkv
jaMv93Q1RRr2nfTKQ+0Y413s2UN8bLKRrDTQVuVC3p0vtQfpVZONfzU1wJN0yVdtbvQ6bHzRfJEk
nUbwfnu3gzw6ji5JPCJHKyYrF6AsltfRCmGmxt7OyRI0TXA6lTTP8mEeiDdR2vAV9K3efGWw2ltb
bbCiZJcVlAZ7ICnmvNMciELMegdT22ldLEhP7ZZoBuE5ZmJvJUyzIFUDCtLIqlZB5WQLI/Ik5jn3
QQV+KvQEnGmVObL/bqUaQoaujEzt6NkMG6CPFAjcNF/vi12OPv2G+25kn+l3G/q3toiK/gEmbtcd
lDQKuKKNVoHOj2b3KZ6qyNnE4LDvyhUkxjC/4caS2iKHYzlHOfiFcoj1na2POSThOcefksG/dX84
JcA47hk2dRSGxaRdDbWeoZxIazM983zZZxdSqbWvljhD89IB36TVVLVqkT6o42Q52LzxzXeijFOA
FvHYOoj1lwltt2OkzS1mg6TaRlVJwvPozOADBzuxsYgZhUOXS1lM4ROprG4j51I+GCK25MaGs1Od
+9PggRn1iVnd2mYK4BYsJmfgeh2tXqIBF/hv0jQvK7C6LuzTfWeWo2NvOgpawrhr4hN5xv2hmOZt
WttWteFO56ROgJnNNjGlXhfG/VJ/pZcpjmXmTuqGJQejgRhaI5mDFYLWS/BKwC2/dK6p+v61TRWF
jBEAhV7p2pPjx15+SNqKJMDHDH5sHE7jlEI9RHISGE0G/EcPXCOLY1J6lnwNDRwEOPf+fHHKGAUH
qMRnCCQZwYlNq6Zt0wgfuZ3QSbFnduAG49zLx8kbYOSNJexo/AFmAXKM3DiyBiw0RWFbWlobWpQJ
RDVopkHv1G45qfpJ6y5BZ2j6GHo55cJB630IUczbHPV9XNq5CM1Bqu4c7p5IgopTKkaNaYijSyvm
nLpt8nS2wwY2TrmBYyfpsw2Zbh0mR9PTrT502ZU21WzZtjnaI4a/2G6Oqde5VQgeqsFEMpr+TWHF
S7ORoIFtdnmDNbuBfH3XT7Y3ftKdmDJG1gAt944dSfjlwsIMPzdoAkMHFcetRkI5+dHViGeFRy0G
pV+U11TkWsVpOkrv+DccUCH42JdN3qZdfl6ToUdVMXc13EPYRohTMi8xjkunT9XOaGrvjjsl4Clp
Y/lUz7EbhUbtFK+9lC5O4VHYVKpLRMowi06VnoFFjF40z50BAVNJQBHJXEcLG8wbL5pQAPV6dGz3
xE71KJXBfelHUCgSSrCNAVIbo0rs+47IQqoRj6gehGg4ElxWlcfe7fWG6O9W3E9TRQ3ZGEOClEfG
lBJdiT4fqtHiPEOkwY1a6iLVw0QTNaDE3qiDxTTk0ZcpVh7RUQkFOApZrV3DWB41BLzmTvTgMMPU
6cdzXg5b4lOomksrc1HutEpHareIqLPDRJexE9SNx+BqZeTzJXs7flBZZ0MZrcYWw+YEfuU1RQLb
PvAx7frYloNb8ABpmf20JLCDz/tSd9V5iqAWpqnhwjtRraqqUFUiib5a/DW1MTrpNkejQ4gFicZb
xo3vgLgOh4S2YJhJXcR3arLsZAucFQgtgDsyJe2oyPXLLtfcbpMOjFfD2tOGjgc0F/UZ+N6aLmEj
ydushdTU3qejou+WJI2W45z5/nBR5bWZnQMNAps+CWvOtnXkz/ZXW6S5pQf5QKv0WLbsyTvXl3P6
qHRLRlvZE1+/HSUzjqumnPqKrJy8avULv3PlxB5eTZ13a8eIZl6ipHbaH2MWqZ7Be26Xh5jdYcL0
NcPMXzpop8GYNwJ6O2uLcaB3lTy0eRxJflVnnEOCMqN6W6SZBpkkAmUZEmyesqTC5qJTPPcK/o3l
lEUAXstGo1k07EZuL5DmJ8j7o8CuIJ6HPWcnE/iRqcxQTCtLriqo/Q+VZfkpW/OwmGEpbCWO2ah7
3F3UTcOGAe2492qTNTSVVIPbysnZwyiSa84waR1DWvBrlntiFPIfc6LZS5hUPsgeSf8PfLKNGG7g
2AKAa2Hf2isQZPT4J7f+AQ7R9chDT+IH19CIikhZKaJzpsmwf3n3yRxn9Fj7G3Y6/zImQg/oPo0i
JuSAtRAYzk72kKAeNIGKdXYX9EVepttmVuv9LaT2WJYL7whAc/JBM7vQlh17w9KGzEXsvUVs6gXD
k4iGIcEaKyp5Ako12Ob8qLpBu+6AmTkb4bfOD48fTQ9smNX1tneQvG8HmK8prjeaBtMPACL2l0jT
neF+SqZJ2+sR588QiBb2yyG223Y7cvT7bOaRDQVab6qLvFGs8oteeSxrpjnNZ+YIRD20KlietTOS
61raadWFNPW9PLSLxB5D1XT+Q9YWUOYLxClaAAxYf8JEpkGcZivl/Dm14Dy0Srl0HKLavLPK0myP
MfokFXStUbqbonUp6l24oLCuh3Ui1ndwitC/gDsEB5rYiMyz+sVyozHbyzha6DCxojJ9Io3CYrYC
+XOLt23ybt2Kvs7OIdzEvbKrjD3QyIl/MFWaJ2FVCHkGlRvmWY2+697p6wbWJiPf5wHGMfenn/yf
G3G7ooyZhvN9mAYHLcmJU0BNALaJboz5XckWwl6VEh0Brq9Eb9epunlqxxywKnzhkuZhlftzmHr4
8QODOR/SSKJujYDyP6d96nrdrTJ5yDdiULMeehUq2Q3pI74MBp5JcpKdznoEcgcgktNacU6wQOvt
7K7RC/I+BoyUuGvm2/dLqZ/KvTfVG4WhWJ1cqIJ1ZrcnNaJuczg1FpRECGDn8oy4SKQZeg+786KO
Eczu0qTXiPds8DVtyCUhtkTly3yzGD2+Spm3zHbnlMVkk1TFYu89BnbkxzhNX98UWKWrT9bQDV6Y
ULEtOw8FrzjGmF2/9LVWkaA3sRreUmpjfy/nCg4iDmXnCzK9xL03Fpcg475y3I2nmvjREhnhMYsZ
+dczrFt9j9UydvboXTXU0yCmkRC3oxq+vH+PTpsqtO0YhKIId/2fOpKTpkoiEyDQFRIGrzKMBw0Y
yiHyMwE/ExzfQ2HN6v79C542jH5eEF0cLAodVfjpZHKYM5fhEjPnCdnXt0Vryw1FB+fkekG69Y+v
ZdHAYUKC1J0pyUlzKnfMoS+sFCtsq1tgYStvVyxLfFycvPqgbP+9aIfJBYEAdwUyOP2UN4ZoNO3I
LSGVz2ueCD+aL7Hjth/cu98v4qwqvnVOtE59TtOiMumXEv02B5NEZT/KTCQ3bdl8lC7+d1f5CQRZ
3xnHPe3fwOegtKHIQV/A3BcQcBoCESg/aEyf5CzSiEJf7a4tFQxwAu3GSZtohRb6dtc2wfojgQun
gTxxRDScOnS61tZC9GAVh7IiW0FKzkRY211GLYflagI6H4h5tsQFW5N0jriWZ/eYkIfhhpGL5Xfz
/oP0d7fEM3BGIUtcPQ3rn//S0gIFqeHcXG+8238yGwOZHFEMH4xT/vYi4IFW2gqt9NM2oAEUEOjx
TDuzow7hYNu0pFc1DREB73+b315BlEtsbFzIYeL2m2osr1zG5H1MQJDT9wBNk57oJulpRI9Bmv2n
7yAdOnudta0zCLx/J+9gsig6VzaSMDpI7XYptC4slPfYilr/4Ef6rVfHArYmtmLcxQNNx/vtjySs
1k2ZScEAhdYdWHM9HtnOsus0qeNLEsn9oF+TKt6/l7/9aOuqiaORNvs6wzmV/cUoYkSH/jXAQBZt
0PvWO2HxOP+8yn8H+qh5re769vW1v3xu/ud6gW91M7dpnPT/6+1/dn/+d/xab5775zf/sa36tJ9v
1Ws7f3rtVMFf/dNDsf4//2//8H+8/vxX7skY+Y9/fatV1a//Wsx2+Su+6Kcv6J3ZOfDI7nR0zm/w
F/DI+GP1Mv20LeJlxSL5f0bn7h/o69nTeOgAlpku29pfvCOTP0KmiMoEsTpoFIu/8xfuyIR2xIjR
XmeoaGZN+x/Rjt4OgFy0WqzRpo5JiJhKhOknh49sspYJDy/lp6GXX4tsTM4WK/U3BBgNdyMQlc3c
LtONW+njOQf07oP19e1Lvl4eJRyKeLQDmJ8YZb59G8C1gapNLIDZdaLf1NWiXtIumu4otz6yj/92
Kd7wdeiHjx1vPhzLt5cqtciaupEmuVllxf3UZw7h8IrcKYPs9Pdft99uqsWEUccxxx5Lk/y0H2+2
1dS2kw+T1iYHozdgvAS5P5Toq1Gi7RYuiQzQQ/5JZIr/2o0dxsP3P8LJxsWd5VsyFWCyhr6fUNeT
r9uRhjTqbV6iGBgyotNovHVAagqQid6SWn5gKk2/68DrfLFjS+jBYObNo6+U3AwjDExi4Cr1yMgO
aZlDu1tsKffhXb//Md8uTOunZGFCZrmqv6Aenqoi0xl87eKgBCDBg7mrlg1ncCjKDwa/J5zVn5ex
udAKS2Am/9v6J1XW+NLACpRrNIUDmCizzY4OjS60W6F/cac4vS6BiucUX+W47Pshsl9b6Oc/xjJq
k1spdJDtruro/sih1raQtuhxuwQn3rGd47+KI0+LyTTsk33uF9VV6bsriTU23WGPicaed6jUhgzn
fWN9e/8mvj0do3lCVg1PBgkh001GdCwjv+77uIXKmTetDITK850D43wneedoFJbjtiN16INx0wkD
6ecF4Y0hSGHCSSf+1IRNTiEo6HrBZZXoe8vGpYe+ZzNEiklP/pV4tLvaI2yFzp1fW19G3TnTMZ0D
U9nThqCKz0Nc7cMHTzwr4i9DsL8+lEN6IDIkfdVGvL0Lrq3pNNYAoietnd41LGfbMppfly73zicL
Z0khu48Swk8f31Wag8qD14PXnFf+5CVbyHqbYsuHK5N7NUZOPd9VRTdcvv/7/t1VXKxJPLq4h/Ff
v/1mKkUVCFWZZ4e8ltAcezOMnO4jg9nfXYWtgDEyx3YOkCc7wTxZBOZU61WGIj4adu8w2XGLfzSr
5lcC+mgC+EPtsU6t1y3v12dV+rT+yYjiTUzlc8mI76shW+v7BzfstxcerBkdfw7DJPNhOziFmzEu
6+DF299aX7Hi62T/5AcY237z6hgFTcVGjz93hBTotOIsjeisfHHtbWwQWrGRY1OMV6o3a3FFFqiV
BUpHnk4olN13h87JZnr6y0oY760+hnROIkxKP61LkYIwNbFv6XXJ4lwgLjEvYhHzdy0l5+YsieyG
/YdgNTyqXZSpAybnKt9UuL9BkySVdb3IeGBGXDSIriKVIHrNW9/fAwJXhA/xg5AkhVQl30Cjn156
QGjZBjBEVSEYbTOaY10zxtfNEJuHaW6n4rNGL8sN+9rVuosiKdXySZly0R8iYmvEfgDBjWPXN9pv
/qRh+G1bgHN0H5ysPLiIf8gLSNtkgIqsA4vHMFvKTV8zbdqgzp/LnWyIg9mT8tF+1gH7lRulIx/e
lcCprivZ5vp2bj1PnUVLQ+Mlrwjz3PRFF82XVtPJZDOKqZ43kFpp4ELcSu49Z1F6gEvPN3bEExKM
aVjkZ9P1w6O6F72qcMjXLSQr3ZQMnpmt2cZ2NApF1tNgmAcGyTryWtp05tEziPvYMOhYjl5OFzzA
U6x/JTWhzrdNainmSbmtyZ2B9rQEobPeQbsoi347O3Z8i5+XHS9l476aRcqYNOaWxkHW9EAKgbho
eEsZ6n2ZGE28tqM5dFs3zlAg13z6h5YY3HNRWNYno58N7Zp/rE3IwjUcIq/yoZz2opkaZlF5tHzO
RTrrl1OdJf3WoDXr73wCTHazVVbRUXQswmekbiB/9lrSlW7ocaMhNnKRp0TdJTkxRIbSngza2/NW
a2Qpg6Zoyy+eOZQvUUo0ABJ2uvuXRC3GmFcNfKohK7eYiPpoqUY4BVavWoMDc9tPaUEKTVszd0+9
TGwQAMrv4NgYtvkiHQ6E0xXzJpYOOqixK7pjvaz8+JqAmink4ZoNgvY0hNmDh+AqHGSBdn4wy7bn
MGmbZlilk/lC99jTtknf+/pKjkzULnEnozhvjJxZvcsQ9WzUVP4iZ7axsF7Aa8B/sTp6Mq7scaLX
Ws1CWMHhDNPajZ9nV/rWgVxUq92WSBlfvCmfOpQJdY1QpZw0C1x+2V+VUIrcY0Pkc3uWkScx3NiF
D7BJEpwlQpGLCK2CbGnKrqFmuM4H3412w5w46TauGjGGtp3TX4eVpfVXWCGsaV8x5HRv1NAJjO6y
aW6ibo6jB6Pv7PRMqjo9W3Q5YDwg8E6GZTdUBIDk02phHxMHnlqnTV+ykXlqmA/TUG+iyTVIQvK7
6uvsp+OtyYRaEAwZEbq29UbJMAoco82guqMZvW3IB3WYmc35sk/yxmrDlEZtsRfEGtUbAD8INVp9
cM0D2SeM4TmcJneanAmZc93KGomldycORiylPgC3hHDUWsWmQ8fed9UW7Y93LhuQLoEoSoDbC9nL
VwUkEGLHObrDoRtLa7kRpL2hShTS+q5nZmTsrWlOE/xFIv5MKtFghJws5XfGVu4lOsy03pqNzvas
Jj/bGpXfrUQVrzl3DOkgPnCjS8JPvDqo6kpEQZsXnbmZCikPadEOvM0Z7iXaw5Vzl5qtdQSw4Y8I
PwrrMkd6iVeANguJUbhh4g1xBcMSMgL2z0RS1O0lWmYOSVlituZR6E10Z7kL33gozfi7Hyvjiow6
VwLSh9aEYqPo9A1iZrXsMSYyvTTtZpQ3Q9QvztF2GqLmKnv0ndBx5iICDtDJ5xaZw7lOjGcaYsBx
jXAYkuLRmEghhWVRt/slrUgwKqrElMCdPVJzyRYuw5hw7qDncHm9TCl5wA3UfyY5xPbQzMb1skmU
ZZx5KcmXF46PvQvFhli4EX5zS+qVyHdN1ToyiHHlk/bjimIMRGbEKQmsWe/ABBDaD96I7mnGWv9c
N7UGd3SRph245SoKGaa+h9eYNMR5uF4khwCX/5yHSa5RKjZO7JNIATUVbVHj2l99KzdEmCSD1+1q
d+izwP6p9dHiUruZyc7KQ33U4FwuXPObVY1dtJNWnRqBRpgx3bOUGPXtSB4JDEDTjJ8y9qzqzIoF
cTq2Vks7aGuQ9XFU+v6mVHN9R6eE+XRmpAkPTqHS+7yfvAd/aqIfpfKzLtQkZ/YLKq3JC8x8TiuS
mZr4R+cNiXUEc10+zhzs/ABwIfqDZFpLHieNTNz7GjwJJidte0kcXneh8WpL7Khuc+M0zshBMhrE
QxElPb5JvfS+LL1sbm2tqB7qvCNINBeE14c0mRrJLKVCZ4gRap63wClN5iUN7K0DsEsr38/j3Gr7
9YZcEapXj2dJJ4l1hV6uGMPYcvxGGm3FL+GgVGRT1Rigs9grAjUzm9SnkrTiyOnpU5cM2Dyu6bOY
CEPp2sGkGGD3Ujy+aIGgGqiQmSWvlc/ILnCHSpZX1mJU6cbx86kSgUpxZQZFO2vGbmp0N74xY6ua
7jTDyoo2NBy3d89q/jeVBrMRM7TMKnfmLROFE5OmNSGYwBTd1TZdg1rgYO2v5s78oRJAC5sJA3ZV
bnFbOc5fevL/33j610+p6n/eeLor6uH11LSxqlv/6jzB0wbqiL2G1ib9zRXb96dpA5w29ZvFGdwE
l01JQU35V+vJcv5YoUu4Z1eFNIRGGil/tZ4s+w+qK3rIf9o1sJj/I9D2n3yOf4++aDmZ+mp+4/oo
ZbEErT2bXzrWC59gcFCSou3Qy0czUt6L6bUa6idIWMgZCSsfSYoeZm+bVj5EQfbjkrn0QuGAGqYa
v3WcLgDWkC15SGYlDLYqV1zp1kyoT29b8bcuJlYt1NxFu2qMZJgPehGR1s0YVYo9os2y42FOWzKF
+xaz2erH6oB6oTkx91bjd2JfJXn6EHsoK7aNVffJbiwluU3SaqJn0WRYzQbgo3WA8dElwHEh3BiD
4jSR4Ej5mIWRrPFzdYXZRgGZkyOZOGaUXyv2fOR0ttkZh8SJeI/MyuSjV5kgL92WMvQ7KNvoTOz2
HMMCRzpAUP7XNueIjIgkS2Ho1GxFR445cYXwQZ+/t0Y3EeMVdcZzhnnuMov68YJEsOHCRV84Bz0H
/ins5gpWSL8w/wxaw9DcdWAea+emxgKydxXRmYHe2PR8prbqn9AqGSRzC2eID9JvXCQByCyfxGLJ
TyY6B3hQSmcsknlCPdmNZfOae6QelbFt4e2K7Uc3nsavhKvKa9btod+QsjiWtF5MwtwaCKSIg6bs
ymz8MB3YVFYqT+Qvhwa7eN/4KBH62nv04+68RoZvarQ6KiPd+Rogw0a7dqOncrrB1nseNSKM5niT
cBC0yi1ZqaG00mOXtSmisM2cil0K+JC4o1vduABxEAze8nlJcucgmOxdLVm68Rk5CAY7vcCUqpvl
y6KJBy8CZWyXKmwMeW3PJao5dUmNvAd8fj0pda9H/lmiGY9F98o2diPjx8JJXy1JhFSsP6WquigJ
SKsW7xrVWFhoE8OM6GgMbIqjZe6jpHuSeTEQkHUlx3lPrtEtrx+dNyoNE2CDLOfQEPV2ZAmeOO7H
CqmYI3ZlyzboRcm+z5uLxSvbvaBmy9zyokcwNqeQzHvvmCFbKoO4F/eYMM07xuX1N3jCR3PiEfTG
CfuNW6DLrE3jPkK9Q/qVsR1G3b3LgWZisu2TdkGdYlvbwZi1JywcKbZT9UPknKO87AZdcnMOR5xw
y7Eb77vZC1sElypSpBsO7ZU7DIEVu0E8UDX7F61IN8Qq3TidvktN4r4s/7NvPOvz1WwRFuqTytWE
o/6Z8p6YwnnN1t7i2z5gkuIIfDOLghJZD0ygsdtU9PBz2fBRWft6g5SJEM7lq2MNt8gW7kx33Gn0
ehviOyVpGlo5bcbsqnDsHXrGkG3uuvO1kMVyQ6bxLmemlXrOObmwu2nsY9Sc58juMGZoO7J8L+jE
kOCbhIVeHWwzV1uLz2I17aHu6zulPSQA0VR0bgLIjOcngeYz8OU3N2Oin56nUbHjlUWhQQ0Vf0sc
l4+VbN0Z6y6tg+FLglfbiSOEHHfU5PcUKvU+sfwXTfOfeerOB2LoRI0UzIbcudHy29G3VJi28h5R
1cAha0I/UZqh6zW3JZht/NcoVJ3RRAD0xBjtYsDq4c2OH+ZTtiv7Rhx7p9kQQrm3UGJsooHuL9+M
4wa5skaoMhE60fhqo4muA0sJcYvAaNwIE2B2Hec3yDC30VhcTKU8rM+0twJHIjvnAIALb2ekdn4+
FRAPJi4D3+UL2EIDBeVwOWfOlbnknwUemXpAdOMKbd/l6mgv3h1pAjRIxh1jQSzM1wClzvxi2dXk
XddMr4KhA+5epC9+Ql6jsSjK+BS5hykLGiEs8v4O6RFKXkRES8Rb3D2Zg/FVltPBrcrsroKAZc3+
xirN28ZNr/Xywk71izj39s3AbKB2r9yqtci2nt2hQUzW3rnZ8Elo49Gi/DK6G430c0RYn0ZnuGhl
flb1zwOQcwT4qr0r3OVy0H7QZHuYzfaTGM/8sd0NrUtMY75BLRaUUViJfo9E3AzSZpzO4+WCOETC
TlmXjSy9XjJ5AcProrDng0UHqh673SxvE/JROAhf2Aig/eKqEAeUPRdjAv4MN29KRiXy6CF2QYYL
qqPexd8L3AH3gU+6mj+0YpfJxkMPP7PUFGUfLpm5UyL60U32EbnqgVi46Lyq/Pa5tJ18ow/ewW3k
Nds0vQ5twZ87DA/WWKL2kDSlg8WO0dblThl2437KKGn65gI5w96Gts0+u/TXaW9fdBGaZf3CGFtk
N/WuH8ptTqKxnU1btP1hmoj9kqsXmdoX+uzcGIjphbnsrHHa2U3BevyyiKO/VNfudE2fPVi6G50o
x1E/x5vO0LbbGE1y8NGZ54GjWcmzufR4wrWxrUOVd9c5wXqKQ6xLG+s5bboLTrkvsOl+lKlxrubc
oT2ybGbHAuKW7mTfs9pOLQqpoxyrrYqd+xHy8WcP61Yo3AsN5VKaN4wM1uW3NssH1dpfvAX5knS+
SVfbZHr/srRqR0lfv+RzlJ4BiKIyNgiT9bA1zNYOQHEcRG39lCB823SpfjMDu9vMC6rjI0VM0OkZ
L1e90eokbNjBZnM6mOXCKpg+p077LCKLX7m7XjxxKfrpIFnMDaMG2u5YJADHF7GvbVYXwSF2dQTs
fgia7YnoWn6k/CIepYGQln9+ftT1ntJ7glxxBVOdzR+46VbrdzaxE+yl06FC8bXvsGkNS3GYzacu
ir1zBoNHZ7QvJ7f9YbPD5caSc84XaKXgUM4j0n221fwG6e210X5GhkYx2TwskziP0fEv3uzf9tEN
cdKfpyw/St+nxKGVML14RtoxEpzOEfdugfuEWpzsJRL0DB5rhlcnEHCCyiXbKWJ8QpUktEWrcQvy
7zOT2G9AtljH5kPbdjRyjSDVeH3q/pjPtCcW096ZvvoeA5mlyEovO/qTY5PfOGZC0fy/2TuPJcuR
9Eq/y6wHNGixBXBVaK02bpGRkdCAwwE4xNPzu9VNssSwy3o/XJTRrKvyZsQF3H9xzndQQKXzaj15
PsF6itCqkzO6XRoO3hV9+ckJuA8a/BfqaBD3elPys/lmOlbRYbK0eZcprnyHTTsa3fJnJ2qfexs5
PoIRt2w4c5fPxvfjWvMDro91SSRo5SV99eGUIZ/SvsvMjnW0PoR+nzjrB1hDAsOX2N8A7g0lWYuY
D6t3j85v2QClLMUNemRksldIM5H0tokZHlkH/pz87Ih//lRp66ruqGobZiB4T5AHJMAGkmBw9qgL
915j7SwJqtxY7iLCE0dDIGUlNxbh4+Z2L35H9kDxvsnXvByIk1awkAvD4o6ykfC7+2xdMe0Tr1yv
A0dEdzM3E5pO7Y42X5l/EeZYWtxmyI6F3Z9K20xX5lsMRooweFO99zjbpnj1JPcx426qkqPyrFjY
xL/6zAe3FTzbF46ANaXb3cvsp7bddGNkyXoOSsGQnC/XBT/GzF9k2bpdi+sDrR2P58hdZ27P9EU7
wJHuPlT3M2X4fVGurKvOJotNEiwpzziS3rmWlf2i+2/DZaDd3WrzspHjLhJtGtVDPJfuvpbMFJed
n18F+nPpdmsUpsikebysQwNQp/0WJDBWze0g8wtv7C4HTBxvzPoOg17Seu13uJFgWTbMsgxGHa77
WEcUW2N28sfhAMZx+gbtzYEzoo5nCt15JdHOBPmRFZvtnIxeA0OqT24VPPGhfnN6i3K4vSvKOW6J
p35BHdifwIIm+LlTxV8B67hJ6JrF9oB95GPb+FROaVv1xzkYE4aiSQ7g6tCV3mcwHDxUfEWZtMs5
gSX4OfgqXQ3zyZu42chjIEs8H7m5QaPawSjRb9M9ESf6o2BquNjOz3HS833bYH/uuXSEy35bXLjB
txuuH726cFbK88pkWHGJ9v4at9GxWCfvvkXWbm6XeGC+SRwgLdpIF5XT5FAKtRHdBAr3BOxHIsR2
JNI2Ccx+R9Dq7lzvkLQeD+dIldzeE8D9VCx8UV5zypcfM4OWunSuy1wdAhkdhpowWvUNfBdqMcFq
4kvk8+3ozPsMbltJtkKJfjbr2sssqPegPpkO4g3QD0NwbJoH/q5RTJmcNLn34nPTTHVwb0cNbigr
6ez2umyYooTB0c2q/aZ/OQX9BVgvNfjX+G2uQg7LG7eZDp5DAzqrO6vskrIpsZQ44EJzQvmwZtyv
fv7JMB9jA6pmTzHkZ1VdjAmuMMI6mNRtAvz15sWM3q6CxftYVo2kvAyO2JTFiWj4MXU245bBLeXO
b2aTtzp4qEOd1rmZWJWXktnZI06o1afT4qAIwrv2rP6sLqxS3QlhBlBdUY3EdZO1F22t0jBrrx0J
IC9nzWL5655/8Rcj+Ri+HTd12niMz/LKvBHZy0rqK4mlhVPLeOjL62wzEmdpUDa6w0HnZHQX6Mti
dsgfech5brfqiAaAxJUxzszPqio5Bpza3Cnbn84IVgR37ZPNm97QfwBLjtIZ0gQpXPqitmkI6W6u
bMU7OBbFsSCc+4hkD7uEVz82KxP+nW/wAof0q4m7WCmLsnqPL7NghLn+DCrUxp0U6sKat/GS/GdI
yuwWvo0oVLvCMq6qqv/qB3FwbMhXdG6HaHbyHZm5a9r32SVzbjdmiRiuiURmvIX9cmWE/S5Qdct+
bW/5s46nxbn0NvPkThHrqPAao9Nru67HpmrjNYRys/V5xi1nJHY0fDaZPgS9baRyXWzmoiDxSva+
gMWHZjuVmaMfeqf0Y9tOl4JdSXDEIcUW0T+s4dUowKUE/pTY1KcMD/0Tvis5HKZc+kjWO3byJ3+d
fm3F6fz9TfstlPwhiOqpXmxVrltMvbO85FEkBtCm4fBeoHmY42IS4y9hu8I+rjO5JTHxQxBBoeyE
eHWrbQpZ/0vTj41lMii7toj/aJ07pBaVtbq3U9fQT9U2qdksAhkJRi5Rxjck35iKA8NarsfV52U2
HDDTkpQaYJDUrW9CYNI7Zt4iwLfiBsTH0PfylgUaW8huq60rgZeXqoOXF1eZZUkDDfoa3EGzpjVw
ywmjgz2N9kdpBZl/GkYnUrQQjpsfIAzRHDlOad1TNNEHr5um9ayiLX8rm4I/L8y6bVf5MlJX/xfa
kgkvCp0Hs0617Vo745/Nb/+MZt1vu9/22P9/rvl/wH78bqV/Fuz9U4h389kgxHuu1GfRfv9Bgnf+
L/6bRYNWDVt1BEfNBH+B/uqfLBr7P5h0Ir5CmuJ6LjzJ/x5rejYTTx9pCBpe/ke85f8z1nT/g9hQ
CBdEd6Cpc/jz/ktKSG26ct6jQvxf8cx/0lGgs7RBM1NlogkBSvNnyASiZ1bVExV9CZP4IgtK96LK
BvXvCaf+8SnoxfkRQY3glv/j5DQoJFFbEpeUIcC20OtV43EZcUn/7tf+zx/u9/CUs2jm9wNafiMA
loPfQlVRk/0Zyzt6jUSmy/7fD3Cj9DnmWtFkxjFCxXoRTO3wbLTDdtlVVvl3aIo/K9j4EflAuBSI
jAl9+Yugp8H5h/i+02mX4X/5UfcdwjUKtTBXsUGo2rYb10Iuh5Lsi+UcYJK9jJay3ls0CgK5/kDl
jJ+lXoCWk0/FAMns2hvLIwio+re/DXY3SGZ+E4nzzf9pjk0Pqit/YtFjEbTyMIRFSVKeO/Z/xxH+
k8aJXwnqRQShZ3QZ9+/5wf/9vLwc7HCe/W1BQlGN5Hs49uLdcqD283XYzb5iEDLprXzLo6xgz/ev
n4W/PNiAH0L0Oyx6MDNBUfnjhzO3LC2unTANBoPWgMT2S7jn/x7bBpHemVtoAxkHUsaL/OfAl97h
xs6s3mKGWQ7v0EGooTxHvnjF9vavf54/yebOnxQEADpgWiBiOy8z/vDL9NZIUm2aVlpw92CF8wWO
NS1wumDfuqxZnP+dpP3/8RuMeJYRa6BoD2De/fETi2lihOaXVHWMORn66zlZ/M74G1DHXx4SDkQT
h5xH/4ov4i/pCa3nKrfkUxyW2g+lTzFaB4WZ0iqeF939i9Ot9d9IAv/uM//0YJL6R1wns6QUkY6I
7YYcUrKIviSt7usYMuWiyQ/+RtX5189E/czPSmoxai/Ern/8bbJTUONQasjKoUGOXrmNdxAelovK
6Ngb4KqCvKLrYhb/uJX/1wP+r8+Nj4TYQ2OI1yJixvzHz83aGZsm/s+0R+X1oD2Vf+ILRioxNsGE
Cb6p/oaRc34Q/3AIcwLyf2ilGRmenUl//MCuCsVQ956XWmMobyFI9BKZVVP6aR8SW/ev3wpyNv50
6J+jZbjAEJlTeaEr/Q2j9LutnNX1Ei1NpXHOi1ofpmEr2wtZGuP2Wo44D4no8xuxz5rNblFk1T4D
OrFuNYZEPzp6luqtz6VeoOTEWcUQ9mKQdZhdrCpYWfeorQ+SzlnZTaOIYj6t8M50O0I3hL9rdddq
Ku3FonQMcFUfpykgokIrBpMx8pJCJY1aG3mrKIXdy1UHVnsxb/ROr+GGMCgdMV0Om3NC4BKxDWws
wb3VZpt9JKlyGX/gHV0IAwgpTK/mzu/9ozanyCLXRBhfFogPMy0KQ76hOAm8k49mhN7Xy4Mg9jSi
l0SMHQDwzMTjziCj4mnXKtIHBCkUzoKJAc0vMY/VdWlGrLKQWiKzywyvvJt7akTaZTvUdxhrc2ff
24F8k2tlGPtyKz25X8beDa/cgFhYFvFmKBNLmfktK1SEbX5mDi8C7liQhHiIVB4HrVyzL05Hd3F3
0s7sNadFHnp+tUgpqnmIFYST55GATlQb3brxKxxbVhLdKGx7hysBO+2GJ+JlXZo2O0R1xYBy6WoJ
/8MOanW5sb892iy4jJ1bBRAENscV95EcZ/Ngrlb0IcJgnGTcrbr3L815VoGKXTQX1iOhD5Z17zJJ
HA4kaDRMeHt3lDOaj45hhhFV43xEXrTZ+3zR2mCMvfjYfY1G209B1ywtZruMrA6uiWzedePIOAg3
fT0xHBr96s62hnY76X50G6xfNf+/UL5b0llnxEWGZWu9lqURVqmYK+9yGPjecyih5HhcibKInrJ1
ZBeRYct24lrq/gXhMjr4HMMI0wy6uurGk6Sn7kO0DCfhcgECUMjP4oZR+o9kmZxjxJ2q7y451yk2
GhllK23YQKqar1rvU7WIz8AFhExEKunI8I3Jsvst2rxY8VpCnt6bRs3c3m7MHkxrufQvenSMJ9vu
F4C9jHZmXMzCkvHKGM/AR1wSmUnI5lwm58fmF08+uFS/gzoQO4MQL9Wke8lmcFIjkxHcWekmbV6L
QmTFRbd5M7MyPcr7drKydgenRfQpbCwL4zdaWecQtF322tUtjrelMmius8F2zsu1tf+B3c6Kboqy
Q8beQL0JErJFVlQ4LIxd9jR5MCfzLKyfkTHB6HHxhC08XmRWJ3zO+OU19obtNqi5jAb3HBgyGWrt
0mZ2WBbw3VXrschJn9oPIGTkfnVCNsKea2/TraSwmtMgr6W7M1femyfCprPsgUuwLPaTr3NouIXT
36wiIvbUKsbm/eyAeDN0X96SOey5h6lYiA3MSjQoJwXNf4mjyLDDZxu3yAWvLlkfs16znZKG/Qil
eIs+KnsNmdDmrmcg3QzRV36gEGjyO2cwWcHH2mo3/pzGrIZGw/nxeubU2m1gfpmzerXcRg13TjCp
4bKorelRO5mXn8xOnSVZ0yhyRFVmxaW8D9fazk6OXZtLUrUof69kTZW3BxQ92OyTi2B4mIPOZrIf
jkgkjg16LZQPLVzlnyWxPcuT0Rdle+TdbOvd7A5u+J35WyH2NbUphJhJ4F+fVmNBDjHPDGUg7Qb6
rvMq62qFGFLvFzD0C4vbrEGZFpgfBRTnNoHQX/F39obqHnguSXQkz1YPFNHmSw4ql8FOKL00CtAf
p+Zc9xdQ/sz3rrGWb3+q118tVYBz8FRPouoSFvIOyEz/ozRa+eF1znwPlCcaEjfrw2dzGr0XUyFr
ZqiRmbsg4lxMECiED2UdGT9l1G1vw+x0fbrSIoIjGb2BjbhY+gMaXpK7oFswiVKm17BsdrLyyASo
aI6OrOWNQQxk2m6lvSWscWe9V9BAFnjweRTEsogGfoVAk+tYhkJeVcBSnqDOcmLBE8bjEC2bu8vQ
kjPh8LzmZUYRjQk/GDdxgKyAgDkkqFXFXq2n7zkqBjIeImW8ZH1l34FEMhwGNlOdpYNy7O+lKr12
b/eE/l2Uq62PYcZsjdFLx9suxrA+dhV4p9Mwjf7nXIUk/dn5Mr0NVo3vGb5LOaayXJebyZXbfT0U
AF/I9g2gxHh+bsQyc0xmE6ZAZWdhw++Sri2776b2yk+nKle2CtFQwtnJJX/z2nPxsOjNVuahNicn
23dGGd47Vt2rJyJxCT2yJkd/nr/ar5o6hQJrnH1W8AY/Kfq0Yi4Oq1dN1zMG2ZCx0eIeGt06zLDL
IbsDQs7lU7Zr/rZip3VINC+HdsctbMJdWgjbSfNKMYTNRFvdsWjsVToO4xoedYMoBTWI23ODB/Au
03ErjB+qFTMSAaOLrFTnaGh31eq0H6MdiOgGDno1pb3LHfJkrto14gbsz3U7T5a1y9tQ7tqzPPUY
DG3xnde+ZOQNQSRLnNaTX37LsnRfTSWm+4Hf6C9EkwrYFXzKmZO1dflGHaV3nj9m4rDUYG24fNdb
Ec7ecuiDaPPBKa65R/yQX7/aS1kM+1ZE3lkHOGN9CCvoQEk5UjIDure8fG95M8o+w5qxXwSwNO4W
JZ0cyHdnfaJYrxUkgwKFjVdVPnq7zQg/67oVbx3iDjuuZgT5iXAXQk5ny1j5Zi308ds4dZ+G0fp1
CgCSxT9cCI0EqFgQEvtqWD5CGy3UXkWFemB8vOUpvYucIANF3XxokZ7AY5cyWFKg1vWyqwgdh3Rl
s2fiDekv/MFp1p2yUNMigUCqXXAoPoRczr/FZ6MY0eHsD3t4DDlkDqov0la2c96XlXdseCE1BM5+
cDdzPGljDJoE9bD7zqAamW81bexswWqVINLEGkWx2PTABS4nc4uDygZMXo3qaWVrZJ4ExrYwQYpk
LmlUbNK8mbO+NdIC5S/brHHMHwLqUiOdRSVh2dhq1amcCrlzFHS7PSsW/aMMNcuJrCvO4C2/9KPY
h46EgKvw4Qq5+RY1ydog8oZOUWU3JWEe8xHdfVmng+c6TryBsjkVSMSpIWVFckwu2uW9zl2fPUzT
5Po4I6J8EMgqxwt0ex430OzmL1I7FGXhgqIsNuzcue3l1LoHc4ZidAycphx3TtlTABfWULzOOPo+
lQ2+aIcKKgxSl23QLzIDWeINDhlnieaY/oUsOkLpM0UX5iz9Ml0GqV60Y1Yvo505qERzwfOcbw1z
82iAgY65RCASAv4gE3da1csMCZg7Ppjkj6XLu8e2YPePFx6DiFZSHoNu5IdWsvD8pPKgqcegVaIy
XV32YlvjojhdKr9lvaMR5PYOmNW4b6z+dai0hLaB5eCiA+bgo2e2mAEbWgYvBvJ1jUcGz/IOb2A0
7+xG8zei26M29RhvmDjv7V7uXMVkijctIlAxaP15Ilc8DC7thgaJ3HPLud4qA/U78y0VYHCwPEQl
Aa1wrCjjRIzEeQCD5WkU4YDTtEZq5PuPbXBW5krMDNceyT1v+C36cscCgzLRHCIKOjIjXTNxtn4+
BWPevopVoJ1quqa54etk/63LcEQAzIb0nr3e+pFvrWrTVtcgrqBlPdr22j5zA6G/cOZRfOtiIU2d
xJ7pLhIw/eM+rOChrM0a3oRiHJYkwnfyEm095oGsrzu4gEu4fGl4izeus5x7Dr5YZEFbMQw7vRg5
BXC2eABkIN1yao1me5JhMdIAeB2oZ0lSESvzYLFfDXfy+njyFKpg8In88vGLtiev9Hl1BAXr/cYJ
CU1s0l25j6JCPK7uxCVSL3UWn/EGPWuSSf5ixj8VqIKW/ofr2wi+fKT1t2CPaAmQFjRh3A8bMGsc
H/LRshu5DzrhsmSaNsPfFcvgEHKbjWaRFIs/vxMxLxFPtb0HLIuzPUUQ1D2W6BQ5nDHv0Gdk6DvQ
+LtZcyEc0InQ9Wrw+rLMf4RRK1n+wQi6bdEs5Jcckc07PtumO4zzEj5C0MNbBKts+hgVaY2xkc3O
YUYH06Ru14mXkAehOrl217xGpmZLMIoSCwor8uCKsQKjSBWOxbPFu8PWpnBc8G5GGU1JSTqFG2M3
MYMY7cwGklzzTFKAue6vs/WjiydLZRdjjswhzqXqCLLlnyx4BxnxisyaAxVkrwCLCWua3ph4Wfe4
WR0hhpnR12ex34jCgXjms3+nQFHkL25NGxQsDSp7ULcHt+bQTbqBBM1k5u+cA/AxtIhbnKJPlttx
Ontz6L1TuLg2etNS3nbCQvPEWh3jKnNryDs2pcBlryWZiiV+NURqszWIe1IRzSaZ/Wl+14gTnyq6
pZqjtWxvJmX5/Q1zwYgTRpkUH0ragKnk0vlyN9GjsjfKhn7jMdjQMLJe6T8Ke0HvkRkR3My8Gad1
p8t5VIk3hc2TlUn3yUTRDueR2MHHvEKnhUhK00P1IVUj7fkQ+agppuIzDyokHC5isc9mi+jPQqK5
qXo9HnUEl9Eo4knY5S9/8fIHOq8p3wudVR+9V+hvaU9YrsDhcDepWsGHwtNXQm/yXE/E1Ml5Fc+j
6f/ySxOBQLs67srEcCM4tHPZBeNLQ3SXlvYKf+n8k37DutR5koOXPFj4nfILmFDmDknyzJKRBgPn
EsSx78JgS4aYnxqY6GAb8VuQuZWPRIPiPrbntb46a1DepqnGUDiYgZE0pqTjzEPf/rStxrjSahnf
WTLjNA8U5wmipHJ86EckmwCuzZygC9sqzbTyPNQE4XnpsfdHCcEOLmibUO2vNLMG0Rpx2WH1iE3F
CxETZxTeBEEVPBpeazxPQd1/CgGeBj8Xgc8TEt/8VIpumhPAqP7jQhWVJ1FT9OK6aevIOUQ64s+h
OmBssdKV/LQHN3+TALCeRWDDmxvJbh+xOSIUj0niteS5gUKbAhBoG090qdSXylZQK8OKsuMg57F5
qviiG3bnnnesss7tL7Qb5R2+xWxE95Fh6IDqd8lWwpM7ezWL+ciRuuEihP9tJJktHaR7VW/tirHW
iL5ar3+oqhlzC0nmG4cKYCEqaTA8IJcmkEzx2mdUoEZVqftWbBEKSpuHgEqdg3hnsMIFu2JoLztM
8KJuXcOw36NxxCxmS4PqkYMZ9m84TcyXJEOUK4i2nXEQATlE6eTmFrokt0XD2KjAVdCNRBF+tiy6
UApszYpFbu7cV3KqOsgr0Yxphh14Du/R8UoEyJAsd0yxNjJNo3HJ075polOxjpGfqnYFrxegAYcr
iHYqdkdtfU4UqMBrhnXLMaXxbF60FrDKo8YdggBbG4h3SaUC0FVgwsQVh1j0ssGuwr/h0aKeoRJv
8yIzL0FEpIFEKTiCu9Yx8s8eKR+pr1gco0s1RJ1xVN2SNzGRqjxYrp74hHmVIW9Gm/ve0REbv9pp
xRscOypCgEdLOFwXJmCU0xwNDnvvqeGSG0vU4CjC89VIILPN214VYxftQFOGdtpETpZmfH16XxIP
U6f+wLOyMzHdyDeTaRWK1zYHRLkYyxjGS+NJP3FoI9Ge9hbym3JAmIXqi+WNksJmnU1w2DNv8IZg
bGBokneTVx4VPZS/b+ECRGgMJChN5fnLd2V1zhvdBir7zhu3L3f0vQvb8heLey/z3zx3DV5Vaauv
rHEjgsBcyEVEjs7eN+NjLGMjmX0KSqMTrDDqbHicwYIyiUq9f49a37oNR5kt57V++My11QUgxnlO
D1rr7p4lhxlck/oln0enEfgNzB7OZtBWbww2RIXkIwfdN/TnnMLBGhDM9cH54jeWUHXn9btC4g+0
FcYW7cXXJiQzGYQzKBNlCadWLCzyU3s0M7nXsPB+OKUpHpHO4WltAmF611s4dPUegOH6EeBxBrY5
1oybDKUdwmYw7xV3A4mzcPe3HH2eEwyBfSzG3uCJ5phNx9mRLTk0oi1ZcPH+3tmbzRsxsX3/1XbD
pI+kiFBGLJlTF3gfcjhppbnp5tmoyu55xfCF1G8blyepRjdPJpzuLS4QutCjxrzU8xIBekqXpZRX
3TJwnLuzhpHYa1YMDP4kbDofaTUlEONPktRrUIs2wgmRZgagYJr9orhXPqNzxNAZON8RIPpnXgt7
2mteQqDAhYdvdpF++Go20YKmwz7f6ROURD64K1eKeAiet+tGzu+xdhl98BDl2WtkMN1JsLbZADzz
jpnbUATuT5YNykprToMaLjbGzrTt6hJFRl5QYQ7IqDBTWIgxOnurwiNHs34LmxaMtbl6gKkWk9kT
RkBPWHG9tDieoSrKV2JFum9XmNZjCZZB7Pwpn/kymV8lkIL6Z05MfWPrwBtp5WvMYSUH9C+nHqof
9uqgCMRGYSCTQ5Hj7NxVW2/Cy5YymSYVDomei+na60MzQyUb9f7uDOkDodx5yJhGtpYI9UxXCHx4
1GJJ1ZC7iRLsDGdeDex/jtP2d1FtNArR0yzu16p11ji3lvIuWkrbZW7X2sfMqXS0dy3d3BgVfh+S
my0Rxasrwmfswytv8eD0YUKWPO0nHGU73He+GHJkddZGRRNMK6QMBM9XOakdqJHJ8wSe2cjuTTBn
7XdC2PkvE/ZuvW9tI8/Ptln55LJ05UsrPeNDjJ7ADMsvodtLZn/ZLiA3D4tKF7V3VH7h1xyhPE/y
MGteTd9YBdhMq3oudKeanWW3LIyGRWOSHgsjeNY4O7j1OR+WfQ0D/AskGVMkhCgIg5Sqve2qqypv
44mx2w/0Qw41UmE6/Q8t3U3sxj5g0sxJGWV3nfbM+tTNxvztoN/7afUu+nxuGjVdFCNrmXgwZiMi
3bO2bkFDAuWorHkwd97UVUva95FHp8PY4hpWpAcDpp/WY+ASAX3lcj+/krVgYIulXDk5AP9GDg/l
fgGUDHsQKYLBreGH7WtpFqA/hLmGt6UvvYeVUc+XySyMgdISGD/yoaNVcr2gCA/4cUdmHFYgfw05
e9GUXUB2A7uDzssbHPvIVruWF5gYw8sMwufAxF1SpY7Mbr+jaDM4nyajuTIMCbx3nByvO0szyx/o
GjpcT0CfGO9PGH3iDqV5gLEGVyfKTodjdqVE1Anh0CSC0LiFlICh1Y3HzvGDC6C8/c/SA9jNOcry
gFNzLrCkhHxLe3etvBbSZaswDilhFZcrAzQ7RUJXvFthz8NCywasFk8wb3EghvHW9ez1Y8ETR6/n
RLy+lKLFFjPGH/qDwbbWYOKzqqdc2u633W6FTks5LDd17xAWbwoHIf0Zyh3BfzSsBydH7RvDhySi
3Fhzzcwj47FIHA4OvdPsM2HL02mXJ9Zs3u3sjHqgV3U0446Z0eLOVyEjAkeozd5RO6CKRWXrhPxV
cni8Jlqup7lpkGOCBXYpC6kZ/Uvpw3ZNpwgd4GkcQu9m7qR5Z52fbUosLlwIz9JiJls7TJ4ztsIz
uyHpXc0Lsejgbz1Uio7R2DB9HRxwQHBX3uhaEZe5swxc6JQDhggPec6ech9NAiLu1C7VvJNDzWwc
ugwq0S7sVHkQyOLklc8rSxlpcz1eVwxGEYgxftsIddPtexP6BoDmiIh7ZLuOuqceMbod5SbVV7Dq
+pn4WQDD5eoh7uSvFBQ7izelOwzbFtR3s90X8y5skB4lAdNgE4mrZAIiamY7e3uzBpcJlsx8PF+q
FEnIF5zF5xcFa4qB+ihpAVyx9ZiZeSX8V9Ev0un88DAGBmhJ1angJMglaU+a5vTa6goEfgKREacX
9DT0j7Z26kPLDkSlOhIk0lbSn05jTqIBwxNce0UegrBQpiM6MmeK/BswB07Igp1gjfyZxno/5AO6
dzNflAXguoRKPiq1PvHeNsYOWSSX8rRxKuxlYIpbECDujQm79YdmG7AlC0ObACV7JensxEKWDkkK
2Flg0Ptd6qGwFXHds5TaR0IaK2fcKh68WkTqANW4Op/iZefEQebQupq0t0eqYZxK9MmMcTQsI+OC
MjiwDmiczfzJZKI9fhUm5dge6H7O892IEPVqzqdWt51sfXWg2GdK3zH2bC7n3GT9SRASSv/Wrjs3
litt2d6hj7hce+m+cmeONhuBnvu2LXxz2LPOr8ujAw4MLb83TTcWNkr1kFcUvHHHueXHWRboNzQB
jJGRkmss0HYdWivQ76rI05pb2t0XLB3C3dZNzp5yf7ESSAQogmVrjA/IloqPoSvOVrKaeW3c98PM
aV5QrU5e1Dw2YxRdo3lZs2s3cyVy2MjBHTmwFsj3jQVzGUt7G03xuvT07o63TZgtaOHGZCijWnAY
2djZrVprXCJ5Azd2cbbmHeA34AIyVZHs603770pqyFXUdCZpkXbHYMIsm1Gd+OT6PcKQeKnxcGeQ
3s3yF3ER1dtSIKzD3lpPX5E3SfWTLgY11j43C8997zitGrypNhNkTGFj09Q7UhK4IrbaNbLUB4QJ
dr/s1HrBcKybdsqf2CAK8L8DvQySghhoJSeEU7NOjEnJCfWvvslzDrdBMXkFrJ2JJ3YR+UhPNavP
2UV9Hht5AALfLoXvHuacxUxMrwkfso/E5iU1qoJjZpBVwCg5KsKdqVAv7Upuysc2LKl/GTtNpyUK
2iH2IH28bPk0tFjbom64DNn4O7tos3qAX1wQ2+NaWA5R6XnIa1/2ZrURcFGbK0N7H7F/p1hGpiNF
UM7w1s/rVBn8S/uqnkh0kLMX3YUUe80ODA/8F0ZjhAgcmctA8U/sjBLrM4rGaXuRGWbkU+fnEtsW
Tf2ZGBbgMt5rEeK76EtcjmbAu3GeU9dZEUdKMHLVW8MoTA04iHlvp25EG+ZzrXhtB/HaKuaJmMxa
+fPFPJMp0OqmivZCcpmxKIJixDXi0zSAwTl7G42o62yWhNs5EHJrWSiHNSYfIIEMRfjFrRYGlyF3
u/Mxrbftgl8XnpzaykY6mo6tOVwWtgWxlP7wc+SaejS2M6u/NZxVJ1a+SDepV9c7uWLGpAb4eGLA
2IqlSS2GvYpJron71Rkg58Tor1sGHt3CEtVrVThfGjD+Qc9Eo9wO1lSUESlB0r4GhG4Djglqa09Y
KRgLv2r66GCXjQlUu58w1hR5vRJCUpbM3ydcqAcEaUD7mVV327PMqqI8Amt38nSy+kgxdea5XE44
c/2vLuiiL6sf5y1GiW3P5F1gZkTZb/L7jkfEC30cSTNonj2G/PldBgVb/gpbVx0qUmyamxn8UnPS
DEwJN19YCmAACfJbRkzDuGOOgq3NMpjXoZFmbN++rLSvQIGXbQhOtZEV5r2glP1P9s6sTW4U69b/
5dyrH0ASoNuIUCgnp4dMT3Wjx3bZGtEAGvn1Z0X193U7KafzFNfnsquqSQKxGTZrrze+bukyRRl2
cwJraA39ANTOEln/aY7xtAvzRsLuaBHiKG+R3yJZiCfF8vWmqyhJy0iMwyeGTbF7E14IKsd4g/bj
iNQFsoBhxcd/C8P+v4T5/4Ah/ZOy6m8S5uvuz6eOoH/99/8WMCfiX9HFrA8qPRZTWOlB2vxvATOX
/8L/BhoR2k4CRuzl3/yvJWj8L+wvCYehWRQCcHn5V//jy8AB0kQaA8ofJGvhypv8I0vQpyrF4OLJ
iDrqMHYkxRdrJ24Q5ynMt6CUsXbfP5bQkPwjB7j/NB85srla4JK2wnkpLfWoNdJvlhSPBQq2fvw0
zL+QLD+V5/23fcf/L1G4/84NNGSXS5N9O1AFYylQJaElgC0k9uEIWen8/Ps/9sxYXexZfxbiGk54
vQKplOLVQkLdSMICxTE4y/0bR/us1vCpxvG/P+byI3+S4IE0QeAssfN0pkP0itI1Ug8rqQm/2+XU
bTiXW65RSTYO7/x+kCOGHSQZFnH5gwuA19sN6nzy+RiZuaxeUE9ePvN/xYz//UWXkfzpF8nKQkaA
KxlyAUasN3wPYbM1NIaVd0is1+wVBZ34Ygw5dsiRwMKJjmfSlYu+8vqBFyuUJ3+/Qyq4x6Utw93Q
hKjfTL4PYHSNx983/xdi/Ve/z1GjDkKZJjZ7jGJhmBxcKiwzEdIfQxOOoGeOxbrAi2cXwV2/FmBv
zwz2Zx0enSRTL+h/n5uTjky0LXa1tPGKEZawHwp1/0PEa+U3fJdijJ+Hr8dCsMJ/Lk733YhPpL+k
vgHsekHp+lzXnaWnlcgw4kIWp01YVd9Jb/q7Lqjwfvz7j/NM8xcQ8pPOB2s8jGUcp+0klg90HfE8
l1vht7C5VG3dwrhqYCMqZ3HWsinZggX0OdiaCM/uO1OXbQXItbhfpUDtQMiFIqkNVoyw6XzJQP6Z
pZM5sQlxzBrjYVVkqjVj/k6AxjZ/gJFfQm7Aa0vEWzwXhf/Mb/Q/C0HoLG2s3gMkc4cg6/pdcKSE
YRX2QU1T8MPvYzsrmZF4K1y3WGa2pyrdC5CwDlvVGP3C13iqyv5v/53BSvomamfcarM+kFadV02H
BUBAmAidcOGOEs8/Ez6ds3hOhp5oQK3+NM1suupQhg0qUwc/MzhXImvqF9ehs2iM8MDJoW2A8QVr
7GOj9xKUdZ48/v5bPDdWzqqBtK+kK446GQu2Km0N9D53BTzvx4/QizTbC0P1XHg7qweSqwNeFweZ
aZBArgNlyeukoLo9/P5HPNM8c1cPFFgRDA7PZjHCL5PAM/0zrC+HFzbG55p3zi3zIvoLhIRnC0xo
H6e2UGk0B3CS8uu9s3jM4Lbu7V7LLDJLg2+wyw3MILIj2+j3B5x4bhJcCeG7JzNkX0aoTCCcuRgx
CPuS7fRzA+QEtMCDA8qiN57Bd6f6IKQxb7aqACzZr/9OoIldhwmqDEU2hKgJvpqQjkpQyoxCAL8Q
Y+xpJG/VPvKJaYFrIKQM1wZZPFjnoQL4pb35MlN+cfRgTpTtBSymFORg2Zjvgz4hESrEGxUg2XNT
IDfepBsqA7pPrZLhH3NXrN3170fuuTMPcwKv3Ypc9LjYZ3D4QGK+DEwucHGAcrZK5QTHBMigJxjk
wt+FD+qMRyBY0/AI+t2HBRbDs98AUydA95xDINwEeaZEMOMSu4oMIvPwhflBL8P4i+H9Wz3VAkPc
kSGRAEGt7lNL82VK49zCCWUArmh/XRjV/xhgVaeuIiu7+H4LQ7gBoIRV1p9kw+L4ha48EwkX076f
zzEtBG9032qR6WBYs2KiqHMqQln8+fvv+VzzTqBBlAQrr7qIsgI67c9AMQ73hgTKb51zLblH+O3W
QSCSLG5xkznOVCpUmlfQYL8wDZ4Jg8v1/OfRMdW4x5ASI50OUC27lpHW5Os2UIREyVC5CmeXGalh
ZvlQfBuUNcxv/7n4L/78hwFtQ+KSofqey1yhBHNkBsDnOQo8l9i/ZuZPdycbgRM6cy3SeYTXNQef
9GQv72N+n92JYp4n8BwcN5uZuZgy2wkYoeqhfmGReGZSESc4oRcvgw1nSZTpwjaHTUCu5Xjk9ptU
5DIXfhoZXEt6iOh6m+HR+uLzTj92BcyPvQbmb6gjPnQRNI42K+DQ9gqcJxBO8bZBa8/2nXAua9i8
hCgbAz4Nah2G199TDjfpzK/3TjSHwxKjGA2to9YrOq6QWxyMgnmCX+uXz/3TwMuOWbkIfNZgYqiM
CfGsxRsR+S10bmlnTQJN1tzYbKRVezZJB7JGHNnz7/t+GYFfLOgXk4Cf+97lcWktDdZsDeLvuBc2
yzmCorKDMFT8s6Lp/9wSXDJEuMBgt27yNQsRuO+SqYdNMTyg/e7LLlZ+6nBWWS1fsx7F4tdQic2n
eu/8lhtYGTwdHzqpNpe2nrPCtBHqlpR4NWytV9eBiHzaOHbSHMVK4ZSNPaRCkE4xODiVW1N6rWZ/
2Tz8/HHjvIBBh0UeBsoA1AJDEHiHd+PWK6iYW52O/GiwQPA/nTWKy8xDuBLZvo7xeF56zXyWOFGL
p2m8CC1sw5lttsdmiD/vyd69MPF/vRajvvfp2Md10ERS5ks6tpAOhmbGM2SCJ8Xfh9VzrYdPWw/B
tgakRC4Y+eAzCtzCQ5dsuedndWK2GawOAsP/p+vQnKN+YIE9kF/XnRM0cPSwHi7pkiYrksaovoQJ
lf/AOBtsQ5YhB2Z0STeYBV9qXGYIKKCD9uq7W46O0kTZE0bQesS+jxXK+Iqq8Es9wZbh6TeFXXEr
qwKNJ3ZWWStgnAOz3M3rbMCkczfdplDkLSpb03iCNGSjwAvQIZ+8tijIhZ/2XUE70/UhAa94sdCW
lNX3GdVWnqPuxKmxehr6cp1T1ZTRgUfxZyA5mGfjTpyislRD6hBMqRhJdwLg94uZrfFs3AnT0UBC
h5PwnKLAqTygerY94CVUeLbOng66CGu8VAYJup7M9JXB88ibXBTtC9YPzywx0onTbY5YF6HlzFIN
EbHtJI9PwRRAc+gXTE6oouwaVIMB9lsX8AoqksIhhuCcTd+8mne9gWiVM0ih4QBXwNHhJqkNPRnU
YqZ+rTvBOmuokYo9nlHPFf5Ba/bWROFbv6bdSDV7jRr+YMqqMrjH8vgZJdh++TXmIlaTqlIwcRBT
BvigPM1l/Ng3eN7367gTp11jAp1Adp8FFQzf2lrcCTYSv8kunDjF8+0KUR4oNl27/Vnt9CPYHLd+
/XaiVFbrxTMi2DM0a8B4Z1BEHkBTKPyWXuHEKYDkc9lEespAriSfoFWHqNFUlvqdNIQTqPPYMvjs
93OmUGgEDZ74WlYobvQbGydIc1mNYqk0fBR3DR8FNaDrzUsvr88sMdw5/EJoH1VDoKas11PySpqC
vmqDfPjo1XXuhCib2KTBGcB0LHPUsqr1k5CV3yflTozCqzWp87KZMx0v4YFKVJ6O8o1fv529NFoj
CF5hd54FtXlEceirODL/iHL3vzcl5jIg+jUHMCwsUKiRQ50Z1PldZYlffoBxJ0LhBTgI+PcHKSfJ
a7WLz1KjpsVvTJwQDWBsj9UcY9ICJ9AX/TlXpd9Kzp3ojAYUPG5Ieqe9Xa70ym6j2G8H5U5gDju4
fv2Aux1XxZ3sQa7Sudc7KONOWFYtCo/mGZ0e1Hu7oA5SfPAaaNf1rE1Q+GAbfMSobL7qLXkrLfdb
p/7Gnx2XZttXPmW7qenjRUCW1TPcxP067kRkCEFbB6eZKTMB3vpZ11wlefLJr20nIlFNY2JBSQAn
W5xuA8K/gNjtubG5AFtM7HFsCbbksuJQ5JsoOCUJ5PF+XXeCUhoU40TxEqQjf0AhkEQW269hJyJh
ND1GY7lP2SyhtlhRTnugI3/0a9yJyRUP5Pve5Sal5XC1tnh8hxne5DlTnLDUMxCTQYvGZRu/Cefh
G+pC/5ll5H8W2L/puqJ4J6NMTKpV+Ab63W/bvHi27Yq66FrBWw+g+8wC9XM3y6K+QZ0J9xuVyNkt
SxMtLc6zmCgxPDUsqd+3vPQ7YLkKri2Zo7VJEPmwDp/qI8qRoF9nOAFVfktL5ATosKoox1vNlEHN
/SVYl494fHjvNRUj51C7oNhf8xDjMs9FfAKXEfUFkgm/c0TkhCdon/CBgFlHVmzbm7knNxsYS34R
GjkRWitBoHkNTQZPwFctBIepFIJ5jrgToXOB2vMEpUgZGdq3EUr3al36HVJc+ZOOg24HgslkF3u+
46ooeGhR/cPvczob544XBSMVDOCXln8uzHZTifjBq2lX+QSHxLyRLNDZDnP5Q9uLEYWrtZ90gbnK
pz5euwTuOjrDE5KFs1J/L0Lj9y4PRPjTTMI8MNOUAIZkPfQpAGXNOrgNAHV45zcyTniuUKKTMZrx
RZf9T4MT3GbkV7+mnfBEHauB13ZvMlixv9uG4Zoo5TcPQyc2UQTQcPjU68wuY5kuK8rMwB385tdv
JzgrG+VGb43JkhIW2NF+r+RLx87LT//7kwtzZUYoj2HtMgiU6qgFriRa8PrVyOHsvsIreT/69d/Z
ROOm27qmj3XWVuEfcN35GAzNo1/TTohukCS2XOQa8b+Yq8VomGotkd9THaqHn051YC7jCp5g6HhE
P6oFMKgoGD549Zy5eyiYAA08JMF2YFW0goMxw5ykky0qqfz+gBOnUVkUcpYtpuQWvK0Ue6xGz7u4
6zjcVjFsVic0Df+ntzCGeZ2H3O8ZyjX/beWeq3HZdQZMJcsCmFa9pcVaeUlxmSuoZGIh8VJhJubE
ovJSjxnoy36KLsacMFVbDlSXAdKigzELaugEapgLz+ywK1aadAST4gRDjuXxdtnZbRtvfjHkypSS
tWjneiyA4siL7iDsfpvoyvPdzJUiJZglZAONLqP98iak450mk1+/XXkRalynnK/BmKFu8mNF9du2
Gf0uca60KN8iBYNBULNg0IjqIajED+OupN966EreJ3iGBXWfjHi3KcejZs3bOUj8jqCuFIkQ3LO6
mIxZUcGf7LAiUZHCo4d7DoyzhdY1jB+XekfcJIAtypnzd3ANtZ5fNHq63i51zHOI4cbMJpodUbZ7
j53U8/XclSHNQQcbyK3HdOlhsIwiVLk38K2TydL45XDc13+gIIUE7XDIQl3LPwQyfVdzo5Yrn/Wc
uq//Ewm2HYisPmthAg9njgUeITsQoT6tw3X96dBD+ws/ha3DvCnKVRw7JP6yPI9GzzcQVyq1N/Ms
tcqHTAamGeFEMagfcyJQHOnXf+cgQBUj0ZoEQ6bL3ZxUwesDvm7sd4NxxVJCbJskCxmyGYN/JByi
dfiPe67trlgKRt0ULwjdkJlIFNOBWtZ8afatK/zGxtVLbZXmet0wNqC0wnlhUu83eEt4jTtxjuvw
L11VACfCTMO+82o3qNpeQTXzmvPM5Tcs4QI/8nYdMlTl2o+kzwtA9uTwzzAR/8nAEGe9CbHGw+8B
nzXpALU4i1mGEXxY4D7uOfLOkQAPiU3fDQtGPjTrtdbyfQkssl8+wJVLwWgLjhuTHjIRTQ9VYd7C
WP/B76s6J/Yi39ewbYsRttPJH12/0kMJWLTXoKCm8ulSA8Ij3uhbLGTxAlpcTIebpntJxSQu8f73
Cw1NnFPvWG2Q10nWZwBjFoB9KGCbj0RUW3MsVFI0V2rY14dZmfY6NGHAswmMwvgRJW5ifAOUiNEP
cEzmVw3eJfuruukifoAxNpLx8E+UZIUbWD3q9+vIArDR9rFrvvRlGYxHjoPlxa8PufZUDPM2g4mN
LNmR45V6u55HsAkyJlBefJ33MMGBMzqyCZ/gxVID2hXWRpxCsaHNta0mey7G5OKN08Ji+6wY2+zJ
LAo+upuIovzNFPGg/mouMOpMWgabexSkgwo6TDZOa7LE8gjaNm2O8AIv5quC9kVyB9cXFG6R0bIH
JhOYJzOur4fKaJuRPpHg9ClYrp0WDdeudBFrhBR2Wy7RsQDECr6HCzwxjrCqCAUsNStNb9cur5Nr
OK1MUWYx2usR4N3l2tpA3TcwIlQZFKA13IVzndsH2O/0wusUQl1pjQaHa1kG+H80spg/aAnAk1bw
S/KboK64ZgRpEvL5pM8S5PJgWVHflRYGXz6hRV1tDcHIgf8+9EAZDrk69WSts22EG49n+86CTLuK
2iCsh4zDXGpLmelm2PIGcTOe/H6AcwS8QG1yeJb1Gd4HfqxDdBPDG8ez886CPMyrXsZdAK5MEsh3
JiO29ggfHvbDr+/h06VniUcbLjMbsnZMLPyE+jHE06ZkzO8JnEr29A+sQ9dSshU4AhIaHWax1mlV
Vb5HQOfbqi2aeTOHfcZjmCpi4z3AMTjxm/WuwhH8iB0XqHbISq6+A7LwkIvKL15dfeOCF8itZeh3
POeZSdqbPKZemyAoYU8HPF6gyKLInGaQy16MMhP4wbe09xwT53NqUoS8wWN1BtPQGuCFERaj+tFr
LibOHlujrHvpBOmzeZ+He1QOVvC0mpTXyYkmznm45BWZO8ZNVsCh8y7CvQ1l1fP02avvrt5rEPCU
tQW2cLzR6CMUZeC4B0CP+LXu9H0lqGWGeWWPStS2veHhEk+wOdPcT99PXbWXqbsCQqYe0xE+2jdl
F5I/cKfdvVLB8GF9OiPh9DtauAnjprPnG/Ak+Qwzk0n4rb7COd+wEMbh1SVKQU8ojmaF084Max+/
+e5KvkBp22C1K/ss2Lvwewm1+XerYPHpt7wLZ+sAWK6rS1hUZXBiWYLrJgHKnuTrGr/wdvhM4Rt1
hV+oB81z3souA30y1I+gzy8A44mOAXIPeu0jKsLugyBp6xNOcU1yLBJc6M4lsBG939d3VTOrgJld
p3SXVXoLvqp6Db/pALuAV2S4shlTR10fAdGZ4Qh0LxZ7247FC84Wly32Fwdn7iykxYZXF677LjMb
K29oq2GzWwE34NdxZyFdGw7zqCZUWdhI+JnXUo43JTiFpefMcnqP+mVO5hrH/nUfS3kMFJzeDgrO
oe3Z6we4ujwQzyyuW5eTSQ5v0Vs4P6Lcbx/3iXj+Amc7sGTWqAQGuCsMaQUmxFqvoFA00eK5v/91
Y/qpMogb8HU7hj+wzwxqcTt/RNHEN6/RccV5LQCXUzLbLhuAVjrCB/aHnWLPjrvavAIOdMY0Aoa6
BARp1twwZryyF9SV5qkgIPBZnFBhFC3m2ICqA+dZ+85vUJzT2lS2uqDr0mU5zFdTYLCLg4oBCvBr
3ZkvUbL1Ie+IykTc1fBWk1dNBN87v8adHVgPXVHkSdVlSVSudwYQoqOY6uXt71u/LPe/WGpc3Vhy
sZNcKfb31kYjjj7EFEnaEtr38LuFia3fYd/VkMmd55LDZCuDWT5s6cp4Au2iCWDc77cXu9hIFcC+
Eb7cWI1j9jBP5F1BX2IaPrMax87cgfvDJIlG35Ghik+VRirfzrTz+7yujKzD8hs0UAWmVOj83bIH
w0NXgnr0+8/7XN8v//ynhaatQLUnzLSXxUC+HVQYAwAeS89Bd1Z6WIeCnQQLezyGIyvRj/JtAH9u
z4FhT7s+71O3z3vVQiEAC6cjig/Hz7ZN+sWzfSdo4RiT5wNQjZnV4ityR6+UKD/6jboTstFC8FqN
CkEUrfagFY2w5f6+hrAI9GreFZRVyCN0oOZg2OH1j7cNI68Vj2e/c40rKAP5ZN5giNpmeVEi7UQZ
nA2bzXOpdCVlCbdijw3yb3SdKECAFfQIx7rr6sXvEupKyuQCD0WcbAGTKPl+kgUhb3rU873zG3rn
1LyD4QWmHhhJBS22/qYmlNwzNsTzC70Pn1mPXWEZj8D1hHMwpg6fY/V6pLSbr6pmGfUZF7GZneMk
4iCSAefc38ErW9q7QdSj+gxkSQTGH7PXIgqAk08smI1IOoLG8Fp18QZQ/Dju1dEWZW6/9vlezecO
7sTwU4/r7VuoougWVJjpZq/K5Rzm84omYFJRHoiqIvtYUtS3vG0uRhKPXSUHc8KFLbL4t3o9lgTK
z/t6KAPYCFeRqV6FLO8XvxONK4iDrnGEyTZMh4uc1vdL0iR3rGKF5wYbOQtNH4BiHJGlydhGvnM2
vk1o8cZvujhrDO6auwr42mShhc62ZdE1681LTheX/ecXW3fkrDLgjarCmq3JxgFmGtfawDT3lOxQ
PZxWHFWLa57wtvTLMrgiOTh9xjxa4iYLBoCIomZtz3Zoi/de4+SK5Mo9n3FHDJtsgVs1cO324wRi
+QvL5TMh5YrkKCmqudFzk8ExtHqAqjp6Lcti+7LVNHghw/Pcn3COCCRPBHgpY5OCxtsA1TWNeqxg
TYtk+zWofzl74VL9zHbuKji2moyzgXH+aVJRtZ0ZW98Pumleulg9M6P+WpR+Oi1A/VDMC2+LFGT0
BnCTGFyOtQ7atFJWsiME457ZU1ejV5RIzeS6xTcBNAA6Ov4R65zn/hg6x5IAfibIM3RNRvFiNoXr
eQrpC+v/cx/aWStECKmoRYnvqSlGMQGgbOJzLxM8zfNiaYmXeIFeXEx/PrXFaJtXlbjwFGEkiFL6
4lMCh+MX4uGZSRQ664bZYXpe7bCDF0BXnCHploe8pJ63f1enB0NyXDlnWmZVJKPzsOzqJJPKLzHi
CvUIH2jbijaHA3J1A4f/Q9RzvzFnTjJvD0lr+glNW1A48mQ8q4r5JVxcid4OI7TKJE1+aip2K+Lg
doS7tdfC6Ur0oFoElYVXQGbU63hTGzNlQRw++DXuXB5yANGWHQ7IJ0CPTDqAXXHYkzbyu5q4Ej2S
NDqPSQB76coMtxDVfhyL3c97lroSvYILgNzYXGXtDjDJnEzdFRlbP6UrdVV6wQ5OIqjFVVbV9Xga
SnkXCG1Sr1F3pXRln0xjG3UJWIgj3m77rNa93ybuSun2ctuKC40MHp8w5+/mDhy8Nn5haXxmWXGV
dAvU+RYVfpjlZgGeJ9HHgcNR2G9QnA3WwqTHAMldoWpJ7ceuGPrxkOsu8ROkUXpZ73/a+RLQwyLR
xAkKrXrLYOWe69t+ayq/OkjqGnvNvMs7AYoJON4Wb1dvoQJ4YWT+auIXx0BXSxdxixenrigzCi7Q
cksqFaPAqIDZ5iOckvqsihMLmMS4qDjlyCcD5TQ18QILy4Hv53FOyJjagRbsixIxW7JchpXwy8C7
SrYtGCl8N6bLdUlPxXUVEjmnpWnAEPCbF85O2VXVxCUtgY3SJccKstcA9ZUxwKZ+d4+/Xjd+mhh6
AmN3yYc5nftyAD8iWk9DEvmlPF0pG85UcTiEak7pxfdrjUdUakfCS19NXSXbIEAgyic0vswwV25N
NB76lvnp5KirY4sA06mruZtTVoNcEYIieEBG4qvXV3WFbH0jJQGeZUoXBiSeDAAtGjdwlf1ad2K9
gNaURMGFug1lzaFvdHHfinD64Ne6s2lG6zCEwHtOaZAg/R41tkirPfYcGOdkW+mV9niInUB7FuCl
q635yokVfucUV8Rm43IdJ6Cb0w48bFDJZjjCRLmf6wl13b7aZAptKGOTVmLT5zifYAAeNJ5iD1fv
G64stG0zmTRcVQnF1fSI8urthTX211sbceW+8zrCMkvsJt0FtYeGNPooGr/DBHEleODBXzjDGHWr
LszHaf9BdOlXS0hcCV5gBzXmbTiDnQFuYrICgYH12O/xnrhOXxZlEGBn4eQjBvbVqPBBlSBL+cQR
cSUwpUJKuR+iOa2IBtlzYDlQc5DR/b71X9/jiKuCaWkzsqYP5ZnnoJq/KWdVqfPOWavPEWC8i1dE
EVcRky9hHtEaPyJmMjgtLC6O3QYSyu9/xHPTkj09tAxlLqaJo/Wi6KoT4GSQf/T7n36NOztrU2M5
gJ5Rp8M27MdKjfXJqNxr4yOuIiYZIjKBS6vTpZmXsyolA9IosV47H3ElibsKObd61elU2vZMTfPe
AnLr90ldQaItVWTByR5TsFnFUbUAOkKS6iedJ64isRM7GJwyH9JABRqU7KE7hMPu59xEXLevPIpa
TYHqAtF3LIFkVO1Rwlr+5DVjpLOvznRHylkX8lzXnX20ZNg+1KR7yev9mckuL//8p4MYaH4rnSFW
TmNNUY9yOXAMjL6UI3yudWdjjShFunpPgMoEQhuAr2992z36DYsTpQ2ujzkAF+IMn6+8PSwgL38A
Ccl46fmIK/+iLbhzlujkHA+qgxCx3nh5x2nbSb9YlU66aAC+Fqf4ITknhh7qhN20xO8kRlzxF4y4
xmkH+/WsImx/l4f5zk8ZS1zlFwAKVQ72WXK2F+ujZqXREVyy1W/ldZVfNQFmze59dIIL11WnhzeE
+7kJElf2RWKoW0KlohOH4Kfugruoq956zcS/Sb5gI1TqsItOjM+KZtHQou66XNX83q99J0S7gY51
C+byOerpBo/zyEQ3l1K9l/wEBUL97zddIpwgrYJmiOQKaJ8aAnM15QuotkaQokhRpyry60LZtXw1
2fz/4XL9lwPIr/6oE75iZ3m3gH2Ia+u2dhsgjlXLhrQBDI205/IvvOPYK/BkDl04Ym/f6l134rpv
gbhTZ1ys60YBANks+3WZ70H+JQxXyO46Am01CJr1btf1gEPOMN41nMrh1WLylfLrLQCHrDlo2xZg
YxJwWMPioCcx4CDUc3y6Q5yMffFl0KWaKTjXolLXoW1g93zacaEXxWkfFzBQmz2stwdYyK0g4sUN
GDyw+d6rzXQHmswBByp4h3d7c0WHhsObXiGpOIFEXul2RgeN6Lv3A1O4yAC9KH+oQeEf63mMlhOH
7jw8zBghsLqXFaw4u88bqEsNCU33pUdWFfReUDQJXQ+x5EX5uauiJvmmihkkHhRyWoBQAdcE2/rT
RS0G0qXaN0ApYV14XNfKUFC5UTiZpxZPNiwNWL6ZI3ifY50cF77usTqxxcbklsqFJ8BLzlahtmrs
9yvY+HdHwYeFv6rJXMkTqcI1PJaCjziFSSVPUl3QuNtY8LGDfrPuS/AJE9z3xREZkq24YD/HTouD
ZFygbmSpsjwSODZiLeFqvsHXAmAbEFyc7A4JBWbuNKuO/TFOip/W3W7iG4i1e3gedB8391bDgPND
OTIh7sMpD8M7m5dyLk6tRY1KdE7WmcIRwXIxt69QoSHxvYaqGtC5gtikmM8ErsY4jSnS2+Zq5+G2
fh2lqvriCJSxKK8Fih2TR0CDN7Mf2y4CSayQwcUGsp1bYLJRxWIhU4SDjpiXOd3xLfv+msVIpLFr
3nSyPDQc1EPQoLtjz7cVdOky3gOzXE6Wi7kls2nSVWONuud9MdeP28aKTmI69MB7AxJstmNflBGD
S2y5tyfca0r5WU5h19+CBouLXxmTedOHdZiQbT8kMhYMJ6hpCsPwCApcWL+ljdT8DIOVZrvt2EqR
diYTvNUsnpmnpUD9E9kNnyAp5DBZI+38lbUBamb0IqLhQcSKylOZm7j+iruPbBE0KuqXk6nj3tw3
Myn4I+RZozoDNI4yoaQHjfHGxgFr7mi5NvbPqmv7OTpFOuij+xFBW6bdUO7selC0Hj+WgZKEYXlr
Ch4fBED1wz2ZpoZ+jeo8l/shLxJVZOu6LPENAVKw/1SvfI+P8LwnqEYv1pAmsHaOefstn9aiKQ7N
2MivcchBHUd1uQWVsaqwd0Hv3u+voGM1Ev/nPoi+9bVe7LViw74/NpZQehxKRNK3OsI0vwJ/3N5P
CQHYnI2yfi31LHhKZDWU78am3OybFUJ3FuAlGr4B8nRxIubXZp267gdgtW15W/Mx3LO+r9s8G1lC
9e08JoId6yiM2GfJgU/9k65Nfo8S8uAG7zz2GyT+6lCvcXEqYBAUnLbKyvUGkIfFXsE8KPzUJqAq
noYW1YJvxV623T0t8oper30172kwlvV2leya8EzwrSFggOdN/q4ck2I4DvsUwBOxJolBMQHg0MvN
Yk2sXxliJ3IdDnxo34OskfevQYgV5ZmUTS9O01YvWDvXWOryDP001a/GZOHfWngCdMccKcP1dbkR
4ILzst/WlMf9pIsTwXPSctvUMDg+58UMXOcWiKV4LKVJoms1ANUJkHag+VeAV2uQLzvTTPVBdjQn
gANF4XZtWmWm07QyEpwm0zF66Fq7Dp/DKUEPTjEpKOwMN/SiCgqjD/UWmC4Fs3aZDjC0s839uKIw
LY0Hvf7ByL5y8M+KDr6cQEHwVzguFd9zhLA41m3J1JGrNe4/7mMYxzA4Ale2AhC6sba6XidUmj7u
4NPp/FCOk9iw3lvgMvtDPWGbBmdaNIv51tBpKt4tpU1uAXsDHhWnpS5J3rVo6vI1h2nWaZxwvEem
3cpUDAL30MVZm9CkSZelCNv9UNBJ2tt1MwVSFxv4T8kVyXccFFHOVpbXBiy04GB1VQUPPG40OwHt
OQcnQxaanMRubf1BExvWV8tk1ySbQbvPT+PK8v0uBGLrDaGmrh6QPmJ7c6jadkrOsI4vppukwTXm
fkdeTJ6jpsKmN+U5sJ6BisrtThWkbo691XQ6RoMWAYoXtMmrFSV01tB3E2kUSoO6aJreVBsB1rnH
w25938PurhoP4JACcwNz8cO46oRe0zABlzw2Y9B9YdUm2zvehgYTrStVW/4JNq/FdFDwbTNpX8hq
OeOXbXUaqyYy73mzlPmNKao6vEY1Km9fzZqBjJViTWr5CUCjMP9u4ZcMY3NT1vEVUMhFAaUtylEw
USTMlG7KetqHq6FWIRSsDIpWkpoB6MPDMu0de+iCRN4sqk0+SNYg4Qub9Dh/jGjZBj8gtX+4yLyv
YKXC9vO0a/EA+ef2ozcjWU/Aqq71cam75seAKq8PCmUY8RXH8kwPSzI2+xVdu//L3Lctx41jy/7K
xLyzNwkQtxN75oFklaqk0s2SZVsvDF9k3kkQAAmSX3+y7N572oru9ul+OjE9D7asKhYLBNbKzJX5
rjFxncEOuXqDrgYeSVsYIJCwNVsnUrUQLP0uRGDDzayXOdUWxdpdQ8Dr7QsXkMzXVUbg6nnPkc7r
r9uNrHFWIduVPXRqlMG+HAKdlguin5EmEWIZdL5Fsjrb7LOpCdoyJHfLKXXoBa9rh7nPuzKGm2IG
mVN+5fEX11vRFlmF2gnYAmnoktWxWd83xhQu7TDis55gCUg/lsYsSVzz67JrwuNsbUAvMNKv6XGE
AuughIwftqiDGUyp8NQ/hhGexUSRYMZ6aFlKCM79UNVVn2HXseMNcpLlbpaqT6cwP+k66N7Cs3e+
FRO2+Iy1Hc2qcfi8hQhVXru8eka2Sn2K/Qq3c4+48ebQcLPGqDjcMqxZaBh178aowPgoCq2Nwb7Q
wXEQXn0N1kEy+CB+JMiKIVnlddR/ljPFfh9ghulK1xba6Rqi4eJKUbfMX6GvcUhBBg26ZWFAZnYl
hduWL6Lv/L6YHaTLSQmD/ls5OkQCj0tQ6vuyxWb4TIcuR2ZyoGmZds06wVElL+J2SBojdHG5kciZ
DJojN114y7tr36EY/No7cUfd1kVZX0dFh1tVYiy9VcGY3xGt82UPYWTfv4FmzdUPMCDgJwRl5/NF
N67reiPggKAzs4A5P8awypmTbiKeJHQZx/L91JsifK5KOt/WlIx32pitTDws2O0MEmJbkEMcVWP0
4JCYGLynoMKCdzHHTgrbJucYpmjjlrM1FZWZCeKLkUB7WVabScdxEsC7+TTlqdjYvJduqusLNCeb
vvYQrdwpHLbCJLPvILUq2A1RXZ+uApGGJocsD/v3lAT1lEN+XE4pMZvYLVxVx7Wr0tz3HzpEfiVi
qfzRQ0dXD/07qPHWdKVDnJIybjjMTTziEsygWhxfGOiSdR7CpG1aswLh2KjsLaKfl1lFp6p3wZqV
pgwPzEN/u+YgReOeu12EuV+Ee5sxqSiD+YLh/VtUvc9IRr6dIgQzRA6PaLyeldgdWVB/8vdFpa5n
qtJhjPBkRFF4UTbt3KdbXYM9CsL4Ier8eEQIWGOSqG7pRRNrlU4Y9buzYSsvg1r0Jg2L4QZ9hpsv
SCsYn/GdIfn8RpdjCaeMCFawe63qdrimnfYBzgq4FFwpXtCsHka37FlUxfNt1IcGhs5g1tVjLHtf
7ucW0Ut3Iynpe2kRG5TZOAe2JKvA8Zu117nYh6b25BaEJu3fWMe3Wxa3bXSh22EIlsSe4QsETRMD
6T80kPJijjR6k60v1FWOLVMvqYzj4m6F9ClIF46n943d/AhvD8xVE5/CJjNvUqGiSt82Fhgmbl7R
jju6Ym673WMWN9rJnPZ9ZsKc6DRCkHZ0HU/6nBTM7bm4lpDulkWq5MxI1k1jGE14EcyM9x0ivmvZ
wpor2TqMCD5qjPLSp8Ly4WT6CWV9WhZ1kEY1rAexdOUyJ8JzbBJkgj/FoeBeo6gUS4hesHBgcmFJ
YjwylmgcuGOFiwnvpwEPZkoYH7NmLaf+ollwnnxgofHznoimjZCBY2CuF8UVldkq2vKzmlmRWBpt
+0lOy/u+z0uClofltb2ZoNbDjmdQ0leXtNIe3H++3sr1HLy7mY1eWSmbcCeRnLSgfEOpm5ktpuzJ
t3NQHBveM/c4tXk0v+nNFKXg5kbyvLa5nxG6XQWZbsq3apmmZNbBy9pgnGgA05OYpS4PpdMwR4kx
149ij6bb5pROBBryEbLf5sGZkBxIQ/zFMkxq5ztBrxqq1DvkhBfpstafChhZ30aAtO7KiPACMQXu
gfn5chhwMlxKX6xfIl1HT2PPZHkgVYnxgq22m7oeA2LuQg//Ydjfs2s4h06J5CucSKZwu0DZMj4V
gJzM3RxoCMzdItIpgOQiD9iTlL1N1kFeg4aExwBCcalJbFhcYYubj6uR5C1292LXkJo3SdctDuIY
hJ0Q5oO08EiAyBo8Org/k8eekVeHahLFDgsDgWG8WC83Lr9IWbj7mMTxJQ8bLDjamrQK+X3LTPc2
2trlVnJd3xehtlA6TS3y45MlrJS3SYH+bd2vCCxcD3wmxROPFn3p6lWqrO5HnnbbtC373tTscoUg
N37rAykeitZTBA0Q14vgkHdi9m2S41mRMH5Yy/BL5fLVvWWM8zWZq26RECdHs1+z6mymc2zXZYMR
kDTRqpEVPY4Wq2yp6FBnBZ+j4HKOYsxZY2Lfh5emjHJ1Y4PFuv0M54rwaeMt4ala49ldTbFmxTN6
sW5EaAYJyEFXuopP9TK3yBcu+hlba6SNfKJTq8PbkU5U72Desfbw87G8PA7BrNoPAZ5MhLCxtWJV
Ftq6dMnEKjRXyk2iSk2LqtsnOQ0obZOVrVP1eZGMjqd5GebtE2LWPAr80kmG07vFg8x0UmMWq97B
FyonF0a2VX2/RECzdkMf027vBDa+DD16IY7jWVC6G0VH6C3mlWp2BUU4jbJILUwdI0ykLV8rnKLd
7WSd1GG6qmIuL+1oacgT2MxI1H9bTdr1HmCPIMB1IELerqxtLXaisheooXSHR/+hAfziPzSsUcd4
AOlLbefFh8jSJnjuIBkA8LMMDLmboFXKFKsDlX+ST3ODBBgzLdncFUa+43CpcE/Sl6F8b+2oSJ0x
MQYoVvKeBfMD91u9FElAiKCocnLTpSqnLbmxm1zWrzEMLNovpsKg4E7WCK98s7blomChwQZzh9Ry
1iy7foZf8YWqAjLccTyf2INDas4FAuKRBODvsodjxKGmYekPtCmbsMvizSxmSFrOeYFggwEdNdqX
ekxXFKkorFH3OH9fO5SI/kI1RWOeWhsM836oA6eO1qqJ4RvblDfZSNplfm4UwzwpLxtln51vxnmv
i7ALUtVM0VU1FjlPR0g73Gmt67jAVyIqjLda8Eap0fOIDmvkMBl6mrZYSXhPjPlpKMh44fNFvhkp
WZ1NHNs2fbu2bZsYJMQmmLcrJorEPFkP+9VLlC8FQnWn40YtIIdSTSKxzqN+TtzkvL0XkRfl1xlh
PXK3NWFYZtzDzmtICovUlMPGO/ZpRTZjVSd0CFR+iYDxmMepbbc6QHO1hsHFsmEFXwjCInHpcLLU
H9VWldnaw/jkdiDW7Kpg3CaoBII8OKJZoy4NgYxjV5RuzFMYhtG3dHaQPM6+LPRRlefjCXfLRfAr
HoYqxRmouycGUirc12XZu0wHrPK7ecFoDmCMAKOLmyij6kbWPgQEVK3NDSYbpmObV7zHE5lPl0MI
6O5akcKRI+rt9lnW5eBv+sbbSzeKvi0zua5Lyhg2DoCLRf4MIxc0I0WH3bSqTXPtXKgwHAETL39s
hSxTva1I2sE8U3iohKHt9eioba9NPtmrSeuh/kjMIpvdIBvzCBiF7rqAogrD9XB5XDcRm7RdYv/E
YK/zYmAFHyYlDGUqLGIUOknrRbenCDqf0hG96pBKUPUzwh7lAr4C+6ZFOWqWtJ2AgaSwXlJLihmu
tUiiEot3XBvSphrSL4jO4ZhDrgfVOwCGLthUdyn8zMr3i5/H7bTFOOzewrhmIKeOV1NlU0dnXV0N
EsIwmAIuSxbyepiQVh7fEiS/Z/MglhqWHDkCm3sUFeI+KingmNyiz084whwvtzoPFihax3bLGpDo
qBJyh7G4z3mPsJkjaQAhJjlsT+TL4ACr4ShD44KwySWEhmJz2N6uA6kG9wC6jZiTh5EB6l6PlNKb
eIJHUyql0f62Axv6Kd7Q2T73BXPlu3IoMC3XOK1bCAG7+LEjCt0NMnvRBDQISQEGhDBI7H2zfldW
QD2AMdt9Y6c1SrBHLHmVbMCiWdYIXpbt1eoFgJMEA2bRs7G6p+kAaGW+XXWx+ftQj4F47/Oxn26n
uVLVpSwVWppdN+VNdZyLcolK7LeEfW08atrnZi18N+82pWGT3Qzj9hbMQQf12wyIqVuSBUe8OSy1
9XiyyfhEaEn3IHmiK7gr4CCRDB7nSe/5JN7iefDtTpWuRNMio345eTn1zQffAY1J0MNO8XUUEN6/
6FqpJmuG3JDHgGzdfLOGsp5v8gERb/cSkCr5BiRNN9pS2n9lvVXisERFG6ZxDKfsEw6yAod1sTDi
s5yLReoUIVkQ5qZbBPXLwwxbo/CSw6IpvMLCEs3lxGmskdkXLv210gBYE66ph9G5Ls1LyGhV3pAt
7yEoysOmP8BxPiB3GHgUfEgR37R5EDf9qvcIXvRmD4ma7lLQIWz61PvOBkg23Jw8Bi0gkPdh241o
IDgqxywyStfoXVDPdjcTgL8mxeSCs1MCN5+IXIWcMFTtzAX9oYJAYv7kyaosPhXP3YUvKukzw7Ru
di2lcswIomRck4ymW8s9CqkWHUEM7zGoJttzrhdizoasLiu1XOYOXGOKAY9CsQwWCqGFIXregYgG
hzkUl3xe6Iat2en4gH1yAM0+4ghLAKBGTYJJz63Oxq6f2n28TNH4IirWtAFKpCh2FEG1sMH5qpuu
xSBWA2rL2XTucBzGadAadcGJJutybCJJ5dNkEMFyOq+5ReODV3Edp3W00OGWiapd3gX4NCpISjR7
w7Q/21Cjvp/lNsc307k1ucqDoVlwxkDouiX1mhfF7dpFFjWZmSgPZ3BKwJlECpKEeZeEtlP952rF
lg1R3iq68MW4ORj3UyQY6kI85uj9ETMzmEurhknesrKeC5yIst6+NCVohOe69kOzj4u4D9AHj5r2
SDnmprqPUdXgaEBWYcz2Glv7+FLqmHmZuEjBZtmLeJKPETC1CrktAO7dJwUf1uZJB9MQ3A0FmJr7
WdWjxcz7KluSinmEITHm3bRpj2UHwgqLJNZ0bwTqO75DAOI0XmF0r2A+3UD+DB2cHI2oRBYy7uSV
16CATigiJD81Uxzbh76tG3MpCuqHYzAhhfyZhiHac94vHOMyQxdMSSuID05DCHud+2CyU/U+2BAo
mCoUAP1unTppbirrMELSsVDMj1sLLWIqQwt2pqJtD5MiUwTus+RW548U2FBKegQT1PN2GWwIxjYZ
halfe/S6oGuCMqPe0kgsbjqsQ6/owQAe9xdtw7fwKSodY5dVAwov1WEH5n6HQeDQoLfrgdADt7cL
C/ajIWRKKe/qIMEzd821PUNRPYPBwj6MoIke91UQgajhPbiZNWmRjSaTdVw0y0wpWHxwy6S2g46X
IOzhxUb8pJKGFgg5Q/MV1ScWGWufmIUd+oso4qk7hQC1xb5l5aQevAenkrUF4D2MFUJJdlf1fcuv
8qLtmwcvcWOuViIbexlOyMIBUAFpObLC143d1ZPoisulNqp5i3oWKBIQQ75WIxAF2QFqjmGuVoXp
hIdZByncI/iqMxB4Qqp9Ax3f2XtYfIB9X2ijVCm4P3a7DhyOnY6i8wY31olam7vF4KaB7MRKQFw4
EWp9oLjtGFtSrGy2t6A9AGzNeJL3atvECb0CD65IkANBTHgI2zly5t8kuQhrzvVFU4uRnbZ2wMh0
RNbBffDVpADdNRPMJ/YOCdNrmUQeGCzISQK1VDhaOcPdznT2uZtjSe4GOIRYsj97tEZo3RaG2HRp
NjXXqeq8b7K1M+coOGf5DTN53B9jjOD6w9jriWbFvOr+RCwMZpIlb8LoGG+a0VNgoyjYg1Z0VdbK
QqGu1qPVQMZoV9GPi0Ay+1W+FfXyBoBy7ICUl7nZvtCe0eKTboawPYYU04nHsPLreI1Bf+MeW7hI
l2+HnsXLKYoDu35dR1brUzVPndhtE5PAPhTo6QQc3QQ6pLIW+rzRxddT2FmfuhVZn0eDS6izaSOk
SSFn56C54/isiJ3lXkGMfNPOCPN9G/qmsNfGbVF/KZBUh4oAiHeO8QTlVqStWxHXnwCaBECemAy0
BTqIEiy1PdZ5twOP1ABowBZ67mP8uRJRgZlpugZBZPCYyNFgwkGz871TGm16kQC0VbdWzG0Ah4BK
VF+m88n4RUzA2TD+zYrjOCgUISF2uvaBGkPclMYFkHuTTG0MDwZPEe0kAIWGGSUsgCCGFmN+Q0rh
/B77J9wL57av5hdXL3o5DZvo2DtUATxeknqsp8sVWOTyTopOz7c4rgt6sKhTkg4+KWOC+J5iyXoK
bB6HLSjHO1TFSlzaErMBN2A1OoyoI7BgQ+s+NujKGaImY+Y+TlMwygSzOsQDztQNAAszlm8gbIiK
bJ4Ro/ymhhYRByJSMeC2qGaZqyehQwVteB+CgQLClZtxcEmFEbo4GSSYf5qCrTbTCxrlAnAYGtLQ
fUQ3tlVBwh20D3XCsL26LSnaAfMZCWzltS/2CwY6EefTLzEvP2AmGqB0MnnEzowXHXqNqk79CMdv
f4lGeGFRZmgJ8UX29zQur2SRfI37buhtuwvV+zp+5PPfEqWHrx1hWEvnxaI339HqjUTPU7G/N3oS
vvaDGeD2pvJKiD1OqRCtqprDa4vN8meR8n9g9BS+9oRBw00clFyouwM8BGM5VO6q88EADzULVQvg
sLmGnb5QI7lbLACiFDG4QZgClUXP8edfy3kO6HdUOq/NY4oFGFsVGLEfkALaZhWGQa4huhtTlEtg
7MC2yZ9M6P+BCImfr+A3OkQz2tXGlPI9BulH8eDWIZ8yXaDMxNQ1OjEg4GXQoihc1v4n08V/IE58
7WNVQ1eFzZywPZfIsnCwa9mNQLR+8oH+6NVfqbY0kvCsKBWD4qL71JjoyUud/0Rm/Uev/UqxhSp5
7HSRsz1oLtTrZj1WU0v/5ou/Uma5KHL9MHG2B9K1g+AR8GoEfOPPF9QfXfmr5zxfwGEwVfF9EQYW
R+qco+/G4fv3Xv2VppI0mkJVg/uCTg2etk4hnXEbHv78xf9ghb629OEGRI1eaiyXUijyxfZV59OQ
rwR5PJJ0OtETVMwHDAcx/bdi7cLX9j6lLLyA1wnbI0aUvYtHY2/qCOjMn3+gb1N4v/N0vzb3EfVK
+bwW8b6TqgTOpfrVA8LF/17WyPGnGIUv/qaPo55fVLp+rLfqMcJKY4fcVlOJVqEod0g1/LLMtNQk
cQIV0fer+6/Py/8pXoa779dh//3f+PPnQa+mKkr36o//fhw6/Pff59/533/z42/8++JluPnYvdjX
/+iH38Hr/vq+2Uf38Yc/7FAWu/V+ejHrmxc7te7b6+MKz//y//WH/3j59iqPq3751z8/A9N151eD
h1z/z19/dPzyr3+ehfP/9duX//Vn5+v/1z8vyo/9x9f//OWjdf/6Z/QLLPE5eh9Cwlgqdp4k8i/n
nwT0F8KkhNE0ugbFRXhOieoRE1rit/BrIpYAwsKQRyFl+C07TOcfxb/AS1kS6JkEXi2mmAb5n+v6
4Yv5zxf1j37q7gZQoBa//W0s+j8LiQlOoxD/j0TIcKXi9XpljZ7bUn0s9SDrpNRhvCZ84JA5RbQK
3hoIC06dVaFIlnLBZthDp7Jh9hklXLLCK/jYlZT5DNBivQLSDekH0gR1fTAYDhgvo82AqKtL3g/J
tI4N5EB5NSDjuRvZfGmBz0GR3MFlB/Hyrqr7K1svS3NacYZiKHdsmvkqnyHQyjSfHI6yYTjTrBqv
BryhDo8I2VHzJS0YOl38jXsMhIjuyxJkYGZd+EK41gW8YYDGpfm4lPUFgsrGd00NciqJVSTcFSkH
3Ry2Wlv2sV23NbzZ4EWtDwhgwG7HC93pbInoNKQ1ieav0oRi3EHtMIfHoa4sPUw5bkwGKaRQST3N
MjiAG2UXEPsAnkECenyhxQyFodyEG5Kx7Y091NBeFfCxbvEA6miCvoYUMz+BDKc2YXPOXvqoD67A
lnBgVS1d+dlueAROEG7srbRdDNGdhUU5POFrlUg9q+EAL+UlxIhjOT5voGw/hpCJYKpBjhz50QFo
OVas3Ru1+c1AN6TKIFlBs7+ldVS/xBiGHrJg0NW1DmV3L4RGMxduIcIWq5CV5rRsBfCNol/zl2nM
R5Dqlgdvg9yVBV4NTXuqfIh4DNAsgl2Uw1ixNFSIQAo4JhT2fa7yccdd7CANjAEUADYWD2F05kHC
ikAslyPnAbzVQOZuh2Je5AdMIcDpgXbSZciPRcMJsMR8cgBizoR4p11KVNB8gHC2e9YiKCGipcij
SMZqpekcLAv2wbAEVwVSpkQPD9hn3weRPyJoD8gOWrR4yqqmD27RUUImsFRghpMIK+sKHVNFWmg1
qvIIqTWAFj5PuNQ6sLh7UQm1SQKFM0BK7iw48q3pIWuAIKe82zZVf6JzVdljEUfiBUqYeEtXRtwn
nq/9e0P5ZDESCU4t82GZo4EuR3+lcep96sRQ053rq+Ee1tu1SGFfVL1MXPMbKk3R7pqoW3RKuhjW
6+uMsxjSzKL7EjhRrum8Cgy1Vi1mIVMoq8VbAb9kwOstlKcp3DrccAVxX/SuZaK9GWK6QWITxTCd
MkUPHTOqt+ZBG8vmBEXjALPoKb/iM7OfAPI0YLuaOH8f1oXnmXR8xfB2rasi9c7QryFIwT6RIVRV
SbPFVQzlGyPQW/B6Ki887MW/VEg0wdUpM0OBAF7bpHPjwMHPuS0QvMmn4qs5p1qmxUxq8Itbhy+0
Cu14goptCy9gKb2VR181UB7YcYDjBS8UmhnVEIXHzczmYRuwhyaytETuAeCHVQIRj2vg0bPla9Ko
6ktb9zCcMDDtGfaYoJFtChmX36EfA3/t5zwA3+/7r3lxxk6CpidfcmTUNw9VKfxXISr/tRxDK5Ky
CQZomRSG/tKpl9F72cTiPZs8jF0NMMknA0EN2/lQtM8xq0HRDQag/Oaj+mtV1qTa5zDI/7hy15fQ
zfbllADuU9e8yIsXCvR3eZNrgvvCsSTbFMx6d9mNIcQ1U7EEIM/xtYBYmBpgAGBrgRAwFTxvAQvu
ETOg1iewAfI9jvlwzrbZgKnuY5DidgMhJwoB3W3qHCytIERalu7Qd7C/euMo4esHYAbNeCkhVz9i
1wBDwAYx8xQUFZXJsA3inciJbG+omEKxRwqp/NqgGy9houDYmsDsn15HTRXMCG2s1CfIRWS/L3gJ
AEdhEu020gooj1F1v89L4LsJro8mWI4l9rQeb5ZUG8QUOF0Cdye3vKCpgOqtSUB5gP5pJnQTgCUb
xNhYM0NoYRfBHxnIjCGdUWbfVnPuZUqX3Lzpg3YVkF8gEHSHdKOhg8lDG9/rul8UqHdGCPDrDQ19
zWwvskqGQkMs3hI8L9B3drBjA1pTSwFTXqCQDVw/bIQZaZb7b9/7cALDZSsspW78gsNA9FkVsaLD
3aqbFRuuaWwKe2G2Qc0Tr9NOo3hTCdQaCFQZVgzqZyoYcjzRtAJo1ULaKd5jPnLELinAIV+vXePL
Y4H16Y9WDxset6GradrAFqfNbD/GT2MeYAhjguCnufLxOr8TZKFTWs5QIu2bCILHpA11/ZlDFjZE
SQ4SW59mzA5ET0vTIYZiQW4CA/lV0u1em7wOswEHzJghb9O92+p18RedGjZfJFwxyIdEAF+5hIbF
fCqaEdsypUX5XHfgIPAJNLkvnF+/ghCEYj4uO0iFMOk1ds9F3ZJDFCHO/KaPgqh5v+Cy6GMbBVuD
VQGSJIM5G3TQ0IvSFzh5QVHuGapYvtT3MMvb4kSCELEZnrVT9653NIbIBa6Oj1as2FTg4btUJ4M9
V2eqHc+cmwP4kgzRtnzF5C8uPa49aHtC86VNAGNLdZS2zts0gpTn3RAW7SeoTYFMlsGzkGt/Zxyk
fQeM8piHvBx1cArAZBVpO879e3jARKCx17kQimZRbif/tSbb+kEB3/rSFcBGLjzMi08FU0ha7noY
l+JNTR5975z+UrV9XX3G6MLw1b2upX8ov2/1Sw+xz8uLu/6oX//L/w+r7rP/3B9X3Q+m+sfpI5JM
flt5n3/le+Uto18QBvutsuUsJuqM9nyvvIX6BZ7ekuMR4hhEPg9//Vp3q18kBbaqiJIi5CE7ezL+
WnezXxQqeK4ExxRtDD+o+K/U3T8OW6O0Z0DcGKhVTiTFqMCrAVHd55zkqCh2EY6Je8WX8crxc8tu
a+hQf3NXfq35f1vj/wgE/fpeEpVwiA6EQJ7+I0xTLW3TV6JfdlC1lVlFg/5607o75LMu7hpUtT/p
5H/vswnOJDoYqCTC156cAirPBo4qy84OFpiojztItxqoT0bhf/JWZ9P6/zQv3z8aTJ0imIPg84G9
+PGjxaB+LeGAYmMkpd9Bt20+Tfk6PQpPogi1NvgRAKvDCiGqsT/LJPu9N5fQe0R4a0SUvrarXYJK
2XUMll3D+v5AhZVb0m9hf4vjfbhGu2XvQlLLIwZI6s9//pX+CMV8/9wqjkKGj0Ewso9F/1vkjRQR
DSBHX3Z5UHfXhHfNgeqpyv78XaIzsvPq9kZEYCadoRONv/eOvwH4RAt9N8iYZddGS3M5zG46ST9A
BdyN5MGcl1RR9XpIeLs2d9yi9ho7t95BbjD9NWvab584IhLrSSHtSMjX5jM5God66cJlNwZjg0aF
B6lHO/gTc55XwO33t4HzjgjhNEc4fT2NX5BhqWqJ75RIv237Dq3LaUM2Fip/WIk+o4/vUE94SFf3
DspODhpIFuBiWxf95Ob/CFl9v5IY14FdBwWbfO2FERdGAXfDlajJ8gP8Boun2Pn4KkAb8hnziyVY
AqLe/Pk3/jvrKophSk8kvnKhXuPX6BV9oLd23YV5jS9XFS8RtHQXf/1N8AVSRmMFavD1myhUPw1y
6+ed11WODqFsUuxHf2PBECE5cA1IHLARvcIVDaSPkNqcFwxV5dXUFXWKXM72L1nkffuWCE4QADQK
TyLkGq8eRI6xjjkaMabSwNQOakKdGtKpn+zgv7MWKCHY5KSgSkSvDUCMaGcWR7nfOSvpLoqKGZ3t
VA1vMfcYZmxxwQVH2tpPVuDv7OOQNAgUphTbDNTsP3422uQQUUECvRv92u3jFppCtGbLLuyan+HW
35y5Xu00WAkxQFfoZDgwrx/fqx01yCR7DgWtMOubqB7cqpQQH2dyw4glprXisb+A4LepLiCC6dt0
EGv9Elltb5GHno9Z34zFcpRD1JQ/Wa+/cx/g6BqpCMc/FtTr9YoKmFYFgUmSYS667Lzq9xGY/Esf
k/InX/Tv7D/4ImOcaMj6ZNiGXtUFbg5niym8dQdsEF2fvsD58ohe6hLWrSfmpzJhtdh1urxqAtCY
f/HB5HhrhdMEOywN6Ws/j3nKozVCEObOC7izbCTvIOmLi58sq/OZ/MNXzSNGcaDgPWjM5Guv3nlR
RjiM0u3OeWDpoMc1MfCOxlw4RKdUBrs//1Dkm5Xfj2+I00vhbhLOMfv32obTTwNmQCCL3JFVQJXZ
Li30LyFqCgh0Sswep6UsyRcdDGdTx2YB2hi1oqoOocYMMRR+YQk1ksVq3EO5uBaX5BxhhFFpPp3a
LgJUqNw8fIZFOGZ8JtDI1b6FdkUmXWMbmkArHcc7By3kmoJKwZwHkKHiV0XhPu/hzHABREwAQ2V6
/L/sncly5UiSZf+l9kgBYBi3GN7MmXQOGxOS7sQ8z/b1dV5Gd2V0inS31L6WGRnhTr4HmKlevffo
GoqkEg+p6FVOsqHSf5Ezt+mrPJm+YU6H92FmXMaEqwH37sbSo3wbkCeNmNH9YL70vUZra6S2l0c4
/DIRYVzP0/u6aJvtrOrG8e671ZEiJsvHJ7BYefpt9hygsesU8qvNZ+3XoNLshLUpf6NPnp6G1cif
Ck+uSWga64jYoLl+9QQLAP9kXk+m+BhAAVhBq7nssMGDzFHReiTyGekbRJuxXJA/n2xcjWzqK1Dv
mqK9r3WhkeWcnO6zlCXmKh0RG2HQ5W8jti7pwW03/5TjUM5BL7Ptz5BUOToseNI/0tBNxBAOX/2g
JRbBSkCl2SXHerMEFd+5HWvCRCTrIDXjv6FnbNAOVGfdmpNKmnNni6G52G6rJhRvb4MpECSdJlDG
kt7So2nGlheMZITnUHk5dohy4gKJXLs1BBOXBu1l1uSgY/bV6g8UZwbxSYZpGpNY738lzWCkR9rh
wo0bVaERCKmPJ8szzFtTrO7rOLZ4VHvblXmMJTD3HskWzvnJxaf/AA7MMaJGXvUsweqjOUL0xTVX
9NQeITlVAgIr6Z95h9krm3ARJP5n67A3aN+vo9MiGns9UUiym+QFis5y+fG3aQxr7A83Vj1v8rzN
lH5hp0rt1PEht+RJcivf+dYom7OY2UESmRw/U7Ru0rovkkT0J83ssO4LPs3nrVRg3z1Uny0m7NWP
58a1pjsin6l1dRNnSbS6WovYvm4Ak8sk1eMacMFVn8kua4k9LdJI3vxQC2yvHHop24nsdHhP8Bbh
uiDH1AWjif1ulxayS1gu5OVVIBiqf4+emy9BUW/jp1W2tkE0iyI7kOyS+Sk5CfxoKNvyCeWAP2Nt
u9yM0zxV+cHFrrizB71znlah4TbrPDZdRmbDVxv3Fsnge7UqYkeBZTZGGo3iCiPAH6ldDS4DvkSs
UQOTbW+AxKfPFhqR2RH4D0YLveXYeA5rinUOhwVHTtlpt+NWttO3m3Rp9TKsPi5E35nal5Yhy/qW
Ept+WGcQf5iVxfXMSAWJ3KqVSu40mycdPAMB65AAMU9+4dgEvXF5qiwg7jJeLH+UrywMZb5IgYPe
M/mJ+Rfs5n/khf8wrvtL/u/6ws1n+blkfxcX/vkf/KUuCPQAw6NIxnJGme7q4n+rC8L8h8NV47m0
+HSHNCv/JS9o/j+EQzXvw3s2uYiwcP6XvqAZ7j8Mbl7/WrPatnDpxv4bgz3T+KcX4l/3HukhSgnX
0gU8Al0HHnHtX//WvVUyz3NlXtNmK69LKH0M2JfBJIkOVKD5ldY6tBV+B4K9ntXv1tKzjylV2H3m
T05UMx8/D2ZfPnOGeLu10PpTZ+gqgjhrXAbf6ALbYbnqlbs/BBZG/lOyls2xbcctcvw8rJfu3DvL
2caf+AdJ+r2aiZUq+chBiakQZkDTzB5RjOucZW3pbvSNn2RlFtZZp5K/vWVqNy7LnehXO8Ke1x0B
SZZYoEaSpQWspGUD8tojITsGoW7Tf51w1CZqigctNY6bMRCqJMY1tSyNXTWnPbXLQsowzxo86YQf
5wH3Z9HL56773DYRFGtmHyYzX3eJ5fD3E5xNqmLni+Z2tDRrp/TqeXVKtt/UEQiJQyu7w5iPkd9v
h8ZwinDSCz+el2HA+5PeXY29vRxUlJpWOGXOjaUVL1KLh6FiA3Dp3wHQeU31IuzEel2wGzcFJ6fT
fkgHRb8ifxzkwvzDgZO+g+pA9UZgP2w2Ke+qNRSBkVIc8aV7OBb9cCXd4i5JdUAzFkFWpwVBwvRs
cVxSQVfnwqe2woYLErJDOO0n/VuMrBgY7d9p65xSndFB9WznaWRXO2B0N/7YRFW5LJ89heeebi55
9Iz+tsN62o6vdXGSGz57dkknIc1eHphYgZfReOOJIgjszWfCCI+1WV/ahemLmE1zX07Ovaq3P73r
55EY6qM/r/MB7f6LZPKhGMkrwjo5UeeqsFfV7yybvhPLvmPtxZk11QQn9C4L80yTYbUtP0TokOhx
cla23Ilq2QgPKrFrrCk/rGUZaS4Js577JyhmJvQBF3N+l+sJOiyI+lM5qItZu9a+XpYM57187J1y
h+sxKHMBVFlmBUXgcDtgRg2ssvtmNcM3m+6iaduOophOucvBK/2SaxxdG7mZKqFN8vupKP4Mmf1g
9OrHXOQUIPevMUnsP1Yvdr65Mlnd/NBuwSnUQ/biWeNLQYg0afUnLNA7v8KP7I6bEZlmV0beKmJX
ksVTbKdz6i+c1Cp2VeJ8zsxDrXl+m31RYAHNDVIjxFT8/tlvRCQ83LRaiXUxZS4rx9/JyMiUtATa
5BOLAOv7DgID8n3dIHpPxiFPzO8ivUbANXzR1H6A5ZrWidh7cOoK+9NcRNxXimfHCNR29BVu1+xe
JWc7yUKX+5xtKMFmHCQVF5CI35BeTqZM9u10olJRpKnnFTjKpJmEVxtmp2TOnKo61v1euBppyj5q
ernb1v7DEDwzC3AjvmgKTkbpq9Avdclt99SsbtRXENhQFpHa8oBXnonI52Lth7IM3fZ19pzfKdN1
hpoUOfxLDgPjjmqUVpIAg9t+LHjHfF7PutGMoGAYx6it6POErERjTykOWZFuj56+adtpJtNM0SNI
P37b+Wz52c7i1CEMXmuZZx19uerph85ocalC0gBF/aA7WNzvXAOl7J2hemUc0oxZ4cnvO4Nk1IAr
1T3Izdy2cBrZpHBGdCmcAG8ztja0OCLL1pxiFHPGRHz1beXdsXoYbqmhafPDmBL7Dk3bao8rwXk/
EKRc7BCFjGG8N+Zeuk87S7yWRbmasFT0tt8PnXC+Ez3RiWvWuRLxkM8zp3OuSHOBAmG1d6j15N5i
5l/dEJJDzyEFzZtWxeOklflOcd/Y0WDCkm07rGx+wAhG7wMLE/69Mm03lkPv7dPSSt6rAQvaVvLC
e9gAjDRheGTN9Y3shyPrfCObaPlbqezyc1DGbZ2Xd5aXazfNUItnRrsJ9gCZm4HlYCzHeBug1I/v
Te/V0SrlL+FXeZgt02/fstrD2K7VnTHOvDokVwizhJ6/HuBmnbQq9U+dIiRIzmstzqO93FjZHPjM
cCqnDZ2JQ3QeDnOex0kx88E394sYAnaK7wvB964ZIcydKuak3Q6JOsH9GEOZ7Aj2Vjezv+bkj8dn
VikXrDiR74PIYl+27mVBpwim4Y+yysO1iwsWJz0QVDos/RR02IKiNc8gGrhEJXKm1ILmpNSWEUls
kictLSNJcEHQgzCHSkTARI8IMFGMneItOjrJ9MshJ9fPswqt7DQoFokWnQSGwCtp4kdmD8KN1yY7
NZdPUrf1oHU98ZxsaXVZt1WEMHkYn68PZaNVR9gA56qnLcusVeKplzNUB7nn29xPDTYQqJuAdsof
r8jx6fRGdmAZQkv8tigPgAvLcHDduC9tAl3tBiSVdw/fNACAtLpfKvbIz9VPP4HvS8b9FQ3BqoZb
L30X1jbskiY7V0N7P9Y2noU0LMQUbFm+n5I7Ug9zjHviV6qtl7ZVj07ZyID6Yo76ni2zujOHY1vs
y1YdXL3/0bfxnvhaeccwr4pWS+0HA5CisWqX2Z5u3R7Yb1/Q9QaT02TPvrV+yuVOks5DVNH8/VIZ
O3LtIfDV3gFfVs/RTLnEVerNvxt7/GXleUZ7yuE/EnSDS2qOu3QVOzet67jduhfah5NKZ3Urterg
sCjv4ohtZ2fm/WgnDMh9OG/aWt1XdsF+Hyt/VhjL5jGuWEA1q+XoQruLNp30YdueMKm8V4owM4w1
rcEXL+E5HI0xP6OLbTFJD36W7HEgUd1P6H+cy/AlDgOLTMOMVvCsFemPK1RMquar7JuD1/AgtUa8
rGWEGBCCYarCHqv7kc6w2BfZ9qs1u93WXPFVxiFxq/dE9jdw3Q4dPWqCB2zT6j/kmNjxXcVXFY4y
RgVZU7wKewSQw7so67uiZFjPjmpv59lrfRT2uidse9iGdbek/tdYuJGV3Q/ykmY8Wx1wBkBGC0DK
3n8e1vaiVp365mW2oPtBwhqX104MB31zyl9Ti+tK3flK9/fV2ByZfR9MIF6r5oeiGkLsbq969zlX
2rdfYHPML42c9T9Z1ZzNwgyhwAeopVEp4SrhbquMSsZsTDX3deFVv9rFfyVTXz7xTrJm1uWWa5L5
prExn5QOO7ZFDNzsse58mAMwEAKuyjWs0/4xg3uzRQPrzwO7fSUh0Ie2BIGxLfWejVqSGrqOkp6j
8BpQ1kF9D9otc3x+5Q9oC0zuh+yhymyiTVfERMaQuslUcr+0zavtZbdTrheRPVp7HjU3SFJTDzM5
neeRK0NvPlerPbejd+sXhnbEDw0VJe8PBfI4+TudqC9habCNJdnPKh/U25LNNTftR8sOwSjpjARE
HdKru09AMoWzfmsRFwxdU3gHaXbyJV/kwc8Obb2+YdJ9wKawMoKx3v3uay67aDLTw9xsY7xJ98Ft
syXShc7JAIMGDFpKnHQadrkj3ShdljAjr20RK2EdydVpeOsb1j7x1RBltt5RE1U9wZi6dAPdsdR3
6xHm5fTa5otYZ8Iu8DNg0ZDLNEytuBnqBbJeaz0TWScO3Nr3DdDEd2UO6gedLcrY3casJ73JeYbi
frr3x+VFgVcE33pyVXfEytEFOX7gHqA2rsMo35KLKN3d3Dq7vsbjA78eesoIRsvVHhSOHegd6fyr
TNVzRVqSp/fckTIn2NlPIWm0EKDbqyadMxGbg6jmIyYCokMIf5XrX4jmXvIMlJaf32q19zpV6zdx
0du0fiBc/yWz7Hq5vHWrEaWVF8tpgoXC9bTIHpMLpkDi6uDNBqs8akl/cPB0Gbm6MXNggOsVcdlL
M2QbQTzb+pPhmHeQanarrCNl6fQJNK6BqXf9ofXYRj/Q34VJ3uAecu9bT9unlsXatPF7rhoHmCuI
9GFsw85JDsOQh63VLOHc8uENtkN6fr6SsLz1RegTzRwLIYATFs8+lywoqX1vyqNYphcKwRN5wGYn
BwAILN47ZVeSlfHaeZNPRt427+rB+rYRqhbOL1lXX37tpjEsFBCaGdLpA9fKM+JhSMpxiYur/a9H
sQy0q345E3pnhfxrIQi0YS0B9wmoojd+lj77w/ro3ZTkvyZ/ukypTlLGyN6sYb3BJ8O77R82vhZH
HkbIKW3zATkn6+kJLMrbJne4X/V4LFFYcXATkC3r1w7h/1eOkHYRlnewKncNu3LaMaq9AwcAlMNF
zm5zekKSka9EgD/q0jIi189uy1H77FQW93X1knYrqJbKB4xj/J5GPyxFR/hovutMVGK3P3R9p4e6
1kVLa917bto/dVa9y/tyCZRJddq67UPZebtFIXAhGf0kqudXlKyadlPyXaPJuQqUSzA+nONuNT91
WUxkuMRvmUKkaezUDnucX1qx1rveLiJ2TBCLYaUocwFUNneuzsY6UCVan5Zbc474Hh2+vT2RlP9K
+uaZ9t6wQD2484q2sCP9t6tKZrND4UK9TR6XqWW1gfm45Ek8m25ss268mcTveugP3rI+ObJ9Q3wN
SwMvDnll2ASocWefrUr9WL7I5lIPGFF9u3tEB46yeT4g0F1LnKBNv4i27LPlFTyVe9N3Hf4l5eQf
BeHumEnZ2gRa2j2CS5noFO4n10+/kzTTZ47tMv2TiEndoHVKvKdNbRx5orQmHlmYwuKlJgsgJohj
Oks/3jLPfB4Q+e+J6usXgnDMuGVnhaWeTa/se51C2/IwIrts2Ow3mmep1E1XUeJareuEA7a5HfU8
1Cb2BIYZk/vIcRfIpmrC6QvpAcDil7Su7jgdIOKRHBmarN2tB1AZiLmz/NDMtH4xtF6joUvML+YX
3evgGu4+7at55yduRqKs9QL8TMPRKqbmnhbWeCDEvhzYO4/xv5tTPvuqE7s09cSLSGtyvlqqg+vT
ks18tJUksE71S5ujITQ9S66yU0tOKVBabYGbTEyOeZyBVPUFlgBUiqK5cLUU3d7NSRktV5kDAuR0
k7apcVc7cjlVtccmAcKH228HR03YE5I9cgI1x2RIt+PcJNpJjTW9x2iFzdAnCAaZudvIBJI5dNfX
wlfV0S7M9W1oXcy3agaBM/FjPjp4e38k9VSUMcva12KWB/KV690qq+13Yfs0vXq1xcSAy5YcYwIz
6hpc3Tf8Zs2lyMlAAPJWe9zLa+hCat9rPA+fCbP2vW9vxRcHObp5mcadmvWDp3vjGnFTrX8YabVv
4zzbfmgWjngGj7iFK9HPi4DvRWhQWjiXPSJfemdBtqJVH3LAvthqBYPuuqX/7apnj/sQ0lyWy93E
h39T1ej6egLzb2JNMSKSCxcruOqLLUeJI54QYTC+gni8dczR/VrNKn9mEsvn5QgTX7vearvW1OUz
eJHm3OStuFTZXESVoTMrzIAaKUevY6FZ/DGL3owPIGL1D1ZgTe+pa+qcqeOoHtysoyHxlqr8wttB
sbEOjRaZVLcHFzNtQTheHDoLz+B1a7j9u9bLeQuyTiyMa+RYHDs768/YHouTrTX5Jac8ehuLZTvm
kwDck2VJD5nKx7/RmKY8Cf7WQHljxw71prcp15tOvNI/NUyTuGQkNtQsq+OR9ZFYmx4MnJUR85XH
dWo+TezlXS9PS9Ene8BVM4McPP0UHINXHUc5wm7ehgkFoHHZfBuWlb2d26zgGJEzt3+wipTIeFr7
e7AHc0QjPz872mJGPf7XLAAhltYRAUyb3qOW0I7I6lm003sLAZe0rOPKx2ap073OpwL3aIbSBf6P
yXlSRhPrTIYoWTS51/h7dj1Ahqga0pIQlbt8Ysd+nYHX3Wv6alEH1OdSLDeM0OrALMqRcK4PAJj0
9A0T8cfGqoj81A/bOsx71scQxW66bmYqskzuzeqOXRX15TA9JXX7UUBh5U1d0vFYgZS0QkA6RJa1
ts/OnW7aZczaK5eiRPX7drW+2EBDZshAfL1JACCvwVZWzoUK2YhrXLjcG8KsgY3OI5GO676xiXnJ
3un9q9G8rdvfpanQPJWLffnEW7Diie4fFp1S2zTppShGpvk9basNAslUKk4/SWheM9dOYpjVLcgQ
df+iDV27BS5/7kkmPel/xokX6DHzITeT4+i7LhRPfbpZzNaLhTGbz8JS19JDefNxsQxmj6RutxNc
Q4PrtWiHm1VaA1AGy76YrTQhsc2GvxMLHSLvljIQVUZWV/ZdnFW0gfVEfiKZ9H3vztOX0eGogts5
B9eMejB2TewTctVSsZ+65dJM5vJojhXd/ST09dstGz2wS+oQGubCVvTXsHNyLvEj7VX3x2a9xE7h
Ny35KRKIOAy7btYqXc/KGZBL4GjOXdhOV3LG1txjU2wpfoguPJS+MD8IP5P06Kauhn+5WrxteXIW
Bic2IIb5znTxB03dS9EMCItj8mDMgF5rgChRh0sVug5fGJQlPl4mZw0u3MAVT6O5V71c3n34Fxdi
JiPMhvLEPvBra5N9CENLD0vZv4NDuGfy+zxL44djJFz4KClL6cO12xmLLIUFoFKLjWC449+QwPhX
Nvk2SqOMndIDzpbnPEsN4PHGCTWC/Rh9X+0yUTylsrp07rvZWE8oScaecDQY9lLcL6u7BfrS7Ktr
6r9otEO22L+GDhNjoqzxAZ0JNsK6y9BWc/1ZKMO9wBb/Wjn/jBLkHQWi1V2mWuseNA0xfbC1LFYb
X2QwUpzMvEks1AoMF70u3ZZdakrzQ25Nil3QcsJFze4L9LCYWR+jY/15Q59n6urdrQOVg+1X36Vl
3kJKbkMq7InhfxNi9t92ra033zbPSsupHIFWu9PBC8fMtGMP+uniLk+lYwGH0ev2cZ50LzYBAXSF
+Vor8Q2w8XPMX9hrFeqyiTM1i33pvjYlE4hplWhOI9tKkqLdIsP+VEAMAkLNL4vu32xrtQQaAkBP
rh8VUQVwFRFT8gFf/hKBXQvtpLmfUfkIkB/Wlu0qubWzOREk05dq1Hf0zb/WDVMCNO+Z0FR+8pe6
CjLcdwiu1qPb1VBQ6/55maY76eNIoYG+LErsM7I2IRsBdLZ8lX/SYe7RIt3HWe/yQ0GddkFvODCo
zm4KgyLP88QOL6q8F1eKq+H3f4RDQUqGo75HIH5cqfpJ3dAry8V+wkx72lrE7S5z/XjUDbrk5cBM
x3ojhkNX0P4qnXRHX9RFo1f9WeC47cu0HSNuply/I1ymvQjTq4+LL51qLxztHeXgDEIIu4S3QAme
QuWu6wEHzkO3Nb/baYKCJRdKtKb6wbKBvKX/rLXx6nVTHoFlSnjiczIqLJTa915a7FBUXpYM1VxP
uitQ8OqZdNUN+zcgCy7JgImqakPXcaeoG8Sl2dYPpyyPfmLwyaGGBUvVPKPGa8FQ6SfpZCPTfAsQ
GZD3G4thxtHeqrCxhs4NTGk3N2R+BQEYJ1KDt2dNHMQ8o+OTk0DwwdzxOdtoOevbZoObrGcfeIsy
b7RBJ5mjecsD3B0tHKGi048COiR3EdMZbME6jQW/ofK4c9mq3pUPss28eE3MZ9ckLmHkufkxsSTt
oC862aQ6IdLh+1t+5+QQH2aQOWBx2A22jr+9frCPSiuGp03NxTsX+XpumvRLaTJ7t1Ti3cqBzSET
j0uiObQn3XU8kidh0nYnuiLZFTLOpJeFxFgTXP6Cd8Ibtgs2Y20nBFSTsrlIEJ6TgsDk+Z8rDpTf
yB4k8WwGY77Ybkab9c3r8sfkXGb56RvLP3YN46FwXgn/oeJwosmwNBs9TtPJvlpqRdSuRjxYxW/8
M7t647emzAvcRe5KUbx0/egciTuEbLWCjlaIeNE0viSTmpo+ToqXTCNxMJGcRY8ef/Khe1OFn158
N4+2xDVYLsGlQoURiETle2w9eAjyU93px8GwUbU5olM63MxQ84fdaVCcJaAsWXsvahHfs5udCVqe
jNw95GyPZods4BKwcprhkAI7tfFMXACrd7eLbsiw8PEctSZHta9LFTHS2AAfJk0I6ZJDLeeXRLtq
2ks3qaM5eCVV62QfDP9SW3Z1YEFKcSqkpiUBGIwQ8MXzJqtXTaw/TLH4ddWdY+L60a6hzzZ98xGY
pqlcI1GRdJ8X/SnLs5e1x3HR1unR6tRxW+VZ1saN3Tv7nCFWwNTvnFnLiYsRKmhm5Ow6uzaWLIaM
cujjsO+w4RYCxVH3z1ihwH4r+3VQI0/OAh7JW23jxDjkWfOrcJ5asHFa985eCStihYJ1U/Cb7Brn
6uWoHFj1NnWb+NXk78Py0w0MOzQe/dRQJNlUZv8ZE+ejB0/Xu9ahqYTBAKtG8CWS+9LYojrZgFKY
19yKWT03WfbZ6P27DhMkrFhaNbF1YkluO0BTVA5wglSZWjuQ3R5bFnhXDC0wxUSSi/KMsiEx4oa/
1h6Mh7nD5VLxOeTZckXvB0hUYafr5zGxqgO7IqDHe0gNoGVoIDScKrUe28ZuYZfHkKuDX0ELISuk
syNCjhFt/221Yk0rbSzxRbaeVnx5e+K53ovL3gSuOXwuWuEOd5YjviemHTO8seuIc9aw5pJTSKMu
NepoaNUHUbaHPL/ASo+rvNUjkE00MGXz3PEpXFRhcIAbzrNR8PNtOVee0vsIuxLjtF8Nz5096z+O
/p3P/fLFehG8OC5u7oKlQRph9gaUqctqhB77YeGKu7xFB1qAIhYmcT/LV1Tc85NGrXFQesOBM30S
f9vyoPSXXyDWAL94iNSj86CbyUGNWLV1lgYzGnMwJTEh52pfOcd141F3MtKjvKwklF86DGEB2dsf
R+3qgd84sLqmiOATv5l9vltKj8mimTywlpA9CKvBTln1KClBLD1l7syIJKl+EhZFomhn8I3Usrcn
ylaumruOQ95ta5yNbO6czKDxsdHVuTwnS3UWXUX7qZwpcovqkNfQ8EGWszJmKL+5UJJw9q2WzOqw
J6LVQsFv2FxodugzjPF0iHF3vFqYARv1SC8UwnTzA9koK2J1RhM1JD8D012eUYCRu6b2IFOGwcZv
Cv9DlWo3dUtvn7vl72RYbpyyfyVGwasH+npO75kIkc0EyY+9OWggIRLKvtQUhdVruUxHQzJIER6a
mjNlvyqj3Am1wZvHX/boFe33IspHMPpkQh39aDmwEtfs7LcYBozkrQCRALGx/amgwtFiJPuRKyQ0
oP0wKtsQ/ckqA7nJbqrU+JoKp7kxJ3Y3GIN1Bog0RaS5Ym1OY79etg9Hr/rXTAHaXjTEPxdRCKKY
exg37X21irhOOyQ6Uur4QBZIO4r5a3GyKtKg8nasWeiy4aaf1+cUs6unL0+N0cS9Of6gdTLP1CUv
ltxeFi/PPqa5vt9oVhdW4ejtHBdQ34LJ687eSJa8ne5r9c6GGuyPFd4BI8BK+oBstxeptZ9kFl+d
MdDNQyl67MyId/iYOZ0HbydKcJsjZxIQ7aias9sRgFU1z/wPb7wdWq5m9lVgV7hjPHAExrxbG/FN
GoLTrx9v6lm/9Jzxfqchpz3M5kCdiaWjTqY7wS6xWfyqpiSA4RH41lPtNqdx009pei0FrEWG3Nl0
gHrk1dyInvamdRVzZWM+D+6C+2fbG+JqLB0ueSN33LKRN0/D0SBBqc0H3asoInn2Mm8/bun3NmzB
2BAgbxqGLbhtOePKxH0GVxEAZiz3E2g7q+VK94tHc2CRzNaFY5Hg0oPvaqddxAWZ/uCFPdmJaECQ
F0d6fNbXOLFijwRY7+QIfe1mMDLeLBNUfJG86vikCwNppXqg3Fx2OVPiNQcpWOWfdo8709Kex2qI
9TmJW2J4GqFQXdBb9AZjA/M89daxddQY4UxGxa1GZHZ7B2auIhGpp6E9Z4da4QRYSSIOak/m71Tl
OKuUE8iy+rRL6xUi+R2aWxmtaPtOfZ777sAKkUDZXfrAfhMJhVDfyGIBhguzvN3+mJLWSW7Wz3UT
Sqn4oOz2kZXwT8o+wTGNttJ8yur5FqduxcHe01G1Q7z62RjnRYEtotkzaoS7OWv00URVTxv3Yww9
4VaUIDcHylMOyBTBFTmFCP0JUFfsTeB0FTtrBgqnrC+e/FI9ecMCQdtjTl75N7nyuksH6fYWS5K6
a+b1vJqKUkf+/pur7v4vR9rf82nGNYrx1z++ojX+aVQzDXHVSYVvkq77N6MaGCYli5pHQzaufbcV
0sESTSL9d+325Wu3LgipWb25l3VuZyrAdBvNeCkZ9f5/vOL/FnjCzXd13vkeGh6OcYCx/2a/zzIK
bQBhNe5Pe/j0S8k3baAJEqGt6uKxqzTtN7K998zSmOHJG8WyY3DJqg9NOcWff34s/+O7/A/j/wlT
CZpxWP6Np3L9L/7yXZpYKF1GED6RO0z97r98l4b/D+ijOiKg6xqmpZs4Mv9XrPPqraRuMC0y9Fw3
OrnLf/kuTecf4Euu37dJC4Ws4v93fJes5fg/Q1Q8RDYcFYMnRJB04Me8/v9/810u3pjoBMJZSter
Fa8CawSKL0opt8BExnw5tKDRDRjdyPvcaRuKiA82cfAmxr15ljFx1HB+NWzLK5F+SefdZNA0ryL8
ksjdLMgHxeyqKKdLMiWFf9IxyF+L33kYX9zV57oVqk9es4n5zcFB75A3/pKUn/pCCjus59Twg0qb
PbbvVZwo8LLvoW1bn24ugAnLoXjLXPhFDp4VjtW0eMe4Y9eRLRnM+eTe1coCOQ+n/62W+NmbXCUw
YRzprHbxxatW2+VHNpR1bHVTed+XGZNk+FQxAMCKT2DrSzwkJBK8jXECqHYfoXVzNCj+nlNwZbgb
F9ikWc8mxu27vtJkFZVkCR4Ivnnnys/svXLUeku6YQZowAInsCuEO410FrfGMrKgzSPh8Fvvhnc4
2EbogtdEQ+CQH2AzQbJdZINHEBfqJkGdBshmK1jIosJO0knj9J/sncd25EbabV/lvgC0IuAxuYP0
hkmTNEXWBIssVsGbCHg8/d2Q+u9Wqbulpdk/uEMZMpOZQCDifOfsA6+07VcYtH0IhmHyAYie2LyX
PznL0aWMx+iJPq46XzHnjw6WO/hbQh/+M0gYfg4gJS1HfvgDufeNPRRT5Y5IAl9td2okVPFhGhmy
QRk7QkbJ90VUZ88uC4kxVJu4svGrWnMkOZ3mxga3n7ODy0E6GBPZni/M2MxW0zxnrZJ3cSgvmC+e
aTZh4jf5OtiY0OJf5kmH5yJqgcRgfyg+dR8nG0Pn80FaBUhto8njiztg7V+Zrq6YjHg55x7XLhjL
uvVd0/TjCYsaEYN8RjKk8TQGJg7qkeyQ8YgIGq+DRtobhJtsW5dutafZat6pmGBNNwnnRJyjRSDs
p52VmThFKFRxh+YWx9GMWBrjZcrSfeTV8thYk8dWwrqUeqa8CHsOMhGATlVaZ+AoaK/5ZKxjah/2
TGKjS2gO9VOZegU45zb9nO2ZgTwaf8HeKen3Iya9LeM09eKWubjOpWJ8HfjxNzy3atNQq7Uvy8rZ
0POT3ipXcgEa5lnzsd0nFuMzoLLeOjYwWpZTRmajKDjUFPWhjPA72z4+DI6aNQcNk805gl3Nl1Cw
iyPX1gCRgPDggkblnoqbJ54y8qqYJuxTfIUc8KdnMwkQjVg4VkDG4wkFvjx1hSPPMzVDGyrSvg6W
nR5B3ERX5F4MrfTzOISk3Gwz5PV4x+4s3kLJTjdsdpx1Hgi0dFHctYZT7jg5WpdQGsFdE5XzLbon
IorlNOc5EdQC1UVgf1aRDbgTxO6xUWzIFWCTnfSaV6lxgVSAMFeTN5UXNunt2rPcl8j03fEcRUGO
6ydIW5zgfPUntpE40gI11UdgZE8AJzULVAx1MARQ8trOOLXmBEWRmd/MmCsERE8eAtGaH2uRD7l2
xhblPuLeGmm2xKR258dojEkWDwx4zAifXdkwJNA6PWJ+UBsXBO6Xwe2skxqkfc5GI1vTaG2dKhlu
hac/zT77SGTt3aupi3cF8Px1U0+LoaasmpexSOdprwMWxwBeD6PvgTNHybDIGLoP2jXjfrnBHFzP
ehkXrRw81PaG7ZM8BL0o3zN7Av3Q2sxnkYcvdK7mYpPmwsIIlCh59cCIY2jiU9MZ5wKP5LATsd6Y
8FwA0hZ8dQ+0wo0ISTRzrSwyRJw6ODdV3WXsY053oj6Yuj7meXZnMCdZhVxwBzOa5F4iR/1q0Ip6
XPgmJz2d3YgEIHfofWCCPKWMmGsPhaEV5lrZ0wGIxW1kFmzsq/yxtdAxxnAG5642QmG4z2PccQJV
MuSfq0Pujgylpm928ihoZjZ8503Ncj1GYichlqImXnxT04Uwk+QptrBvV1Xqn5fDamHn576wzgzd
91XBm2aoNMcMPdJ6HzflrQ9unSDdGkbVtogsSFDz3WRNFOh1IIZjFoyeMwSJH9k2DP3QpNc43k+G
A7dcWpynSTperXRkOTAPGY+ergxvhhxalT3dtwZep1bYTyxpgWR4DZyQ55ZNCyMGrbVXZqPDgdCd
HrCHWzR11NbWLOIHNWDZ6/2SxhN02Ih4Gz5/neu9hhSwUQV9OY7I7dscKPOnYdrzDDp6kDi6ebzG
iJnkI0L3WZmRDjghZ8+e58WHXA8sezApEJCw8K97ls8djmwOR0FuMHSrM1hLnrN12uCHWapi39Or
wlBYorJF32qXRYSu43lhCNvrfpq7YzAOHzgB20sYg9gaO20dM3o479yxKjfKs/S6tKrTuLStjXHb
bU0HCmSQ2icWQqqWBmWukrrBkaUxbOLki1DrKk8vtuMu3iACVxtlRfW2Im21Hfzl3m37z3CuLjIZ
jzQQdB9zaXFHBHeUppiHcAg06Yjq0RHho2MsnjtlMK5wqZLSPZmQnBgEQLw1q+YuztVuSI1bOYr5
knuUNaX58NDzJAwcugVGgPfHfIy+4EQmLNZ7p25qTlHYPIjIulGDybLY5we/s0Kwk6L4gjyeUF/R
D4dWZeVFcSbA9B04pzwgHRy2OFYRhcZkZ2HKWQ1Q395iZgu1y7KNNzfqtl7BWazoa/8H9DTzBvN5
sXVUgiDcCeNtQKzn2YGfv/NxVYdVYH/nSHByS2EeW4WrilVvWJeOjJij2V9h0/n4IglfOtgGh1Xn
5TBfYv9NjpGzNrzwccgDc0UJvN6Q1EZsmfq+xnnH6GCwq+LeNWHmiK6lLpZHUVLPX0LwputA53cU
V67q3jG+0iHCqmcB9tXWTU9zDLkFjaRqvEnMYr5QsH78BiOqytdpYz04c2Eu3sKbokvsVWFKA28D
yWoa+3409WBfonm4ziK7UhYAjBlDaCbrc5u7O/DxmzEOsh+p4CFhzIa7CS0s1TCGEdEgzGV9j4eP
jSm98JPLNq6FZaTE9NxQ6LfC90nR4UTopZXWmy+LHzRjmTtVpP5hquuz61GSNhTqi5vChot69AGd
evR8hIXeoShbyaa3yXfs/FjXF5rxaNbI8cF58/Bkmmya3MJ+p+94xG7QzEciHePGY2Rq9PIaN/5d
mjrk+UIlpxtA7M09rmS9y9pYLjM/XIKh4e7JgVafkTlrmD/M/J6laINh7eoweocARZudny/6clQ0
Fub+6aYax/ah4hPDM25jyTJG8ULvcrBy/IH5P/Gq42QQaYa6rGbjILMAYwR51AzapkPt6ZI12CZ8
pxzrFe1Mp9xVEy0nBVL2FCsMDmlZWQ9lY8EJw4tzU5mzfxcy0mVkQUqHBtSQ8zd1tW2dz9ahKNU8
rOvcLS/NZKqvgthkDDwQ45AnOp5GY39UGExXE/MhILCGf2Mw5lhpE37SxTMya1/4tdqx1fZOwMtf
02JpSjGZhe+b3pZn8Fb2K1gTtjh57q4gv2IfTBBN/JikR4xp0BnHj3EgLUKwkwgJmRIKCiEE+v2L
HH0DOkgbeizahjucZg0/YC/6tLrVUzedOykNB51pnNBg1k1Ves0+HatZfo4gvg5GkMTjRbZSuJui
8pFY4bXiPM0n6DFUJT/HvuCGcdpSvhOWjV9yK5zhtOWjc4NUbAweqYkWXJUXRfrTIkPr0oNi8OVP
0oxzzAx2asHNL8hiIaaV5Zm1WlOuYUYUrBlJiQdeJ0sZ80Qkh8KEvhX0qYgJIX2vXTpbdqbXYDar
KGUIvpQMmpprHmu+knjUo3EdsfrUB5t0P5OYsTSTjpvddRWTs8bwTnOX1OZrNtbSPtSunxhryuM8
Z9PFZfOVeaffwIIrSHlkPQ6lo8djx2RYS0PMqpinpiSFBESTUxlet247u5Ruc8NGsYDu5zgfNorw
E8BO3R+pFuv7R9UXoXnL0ZLHtKfcbLgpMQJHoOYmqpp4zOr+vaQ5xIh5MtrJAy1fRX2yYsOpjrOG
OHjoE+YX89QzNsj6rO7ORLmSrbUoYpq5Ler5tKjRyHEbjUy9stIq+T6VfXS0Wpl95FhrNvFs9g+h
0TpHkFruPbZWsa66Odnx/QAH9Wh0Dns3HhlcB8iKNG7ej5Arn5KIHgQvXnNZHn3HoFsnRmiDwCio
qzGey9y4w167MzPpHkO62Q8KZ7mVNtUdjw3mXCXn1wL3EbnYeut2SmGB4+rJgm7nNYxJuyRpGdhX
wW029MVrVfnvYdPg6nT7l3K0SB4Znt50diXvabGLyVG4jzl+jRVxnOe5i6ttEcKjC9WJOr9gnXbD
fZuAvq5riZhrnCXJQt6u9dQsDlIKXVBP85cBJOmOyvmMCKKSZN7th6my3nQRnDgXhMwKiRwYdbU3
s/Z7W7nbsZpehiG4Hab0S9hN+F5VN2JCdtIXvuq3VsX3cUUtm2GQowfeiwfLKdtvqagOhTvdEGZ2
Dn3avLkpX8AYrAuaT+0Y7qI7UI9Yq2OqQPiksfFiluKqGrGLe3nXBZrBVVGewmD4LoLapaoqqG5N
o3m0c5LuuSjuI3u4ZrO6SMUAtekNvZ7rHstNcw49874dGRZWov0RkK1y1DI+HCdMckT7qp7tezVi
8IFXGan+Ya7y1ynwv3IeHygrC48u3dsMyjkTcRu6GK6WhyB1ZoX6QZndikHHPUOZS2RZW9KgOxbf
HlOb+zVv53PM3HG1NEyHc2PvjDDdzxwwotz/aCc+D2c6+qb1BoZ7RfNu8jbFFLXD8ztOc/iW++k3
EMrmWYryK4oHJYQKg0NBme8UzVuzKl4Ygost0509+MN3IySrY1Blu9Iu47peDDAkrOqgeQrWUXvr
1Tb22N6c31sQ/URJUt53X6yHsrOPHZ0NGDRcugpnC4mZt2zymyjGfAOfQ4spR9WV7y9VcMaOShmB
Hm/4a1Om5zEXN75nbACipytjrn0C4BJtVFjXwUufy8x5IN+1V46jH5Le5Izv8yn77hEn8tFkd+vj
vJ3598BNvb3f5o+10RxaGrNrr9xHqfko2LqLMbpNs/FlVEP4nHd49pNw41GsblEwYoGWJHRwinsy
GbWxpzX2wCjroDWRRY2hd/TybQSuYC/MgahCeNB4s3wYBFT8PmMTWbtMmaUdHZF+H02faWo45Cec
SRvZ28lNIOSpreVeJPbRagwMwR3NLV3yfbQbe5spHCfCbgmhltsIEJI1hQy+J25wnvOKEjx7q2RG
DROaRD5pSJKGTw+EukM5AZrZvKZN8gnsEKc3vEC/pcg9sezuRgy9xOFfvel4shhYmeVBmOQNY1aM
tC8l5UfTsEm1EdwPQ1mvqIlmJi4ayuVV9cJw0FrD07EZJ0LpwFRdPORxZCIQ1GdkdmuPt5k4qsjv
8kI8uo3aknvDYNZc/CR8cjJnNw80jncRrOLSyPrVRJ/hKBXKBpEXSjeIktqnubZP0ouYSCxw09Y4
IOlgcsxNjETOI23Dx8mu1zzbog0j8DOES3uXTShICB0Yg7sTchbnbjTJw2ygxhBKTlKCuGVR7hVU
T5PuYgY4zsdsx6+NQVQioxaSXjHCDZ5c21l5a0Gh1CKgnJHlKmvaVeR6Jy+fcTjBQS7rIz2t28jP
D/YojIuhb3WlbggjEPWZONMx7FmBA1pcjhSXhp8lDGSBidmqR5/dRLtJw6l/0REoRxV9aSqLK7bZ
NzyyASsDBLXvWa9XpdKbwYF0gg1vW3iWcTGd7BriGshLdzu117z2jlr5z8BCNv1cLLMmWHH6uERW
ciJnBm5rwJk7LDkdrhOGyoCcQYOGjs3ZfGYA73NFka179+N5G03Rkx44iid56u5kRMeRQxB93QhF
AMb8XhbEM+QMJDoBt0EEMCVQzD0dLi9AwUOLvTTx+kskeeuNYgedu9cYwPrKT/1tgyt7ZwgqZEgR
fPaqxNdKh1oaX3I8J60cN24+f9F1/sbUjHxRzWaF4HYk8F10xnBPUHBbOu15KtUFM8DW6wriu/bL
OIctVqDkS1pkd70Eytk1ZzLgt0lqeBcHVylNfYgYmg5arLnRltju26Ttu8zRt+VEWhlugceKTwhG
t/LIRuIFWjh99mzFu+oNBe04YqkKuyQnShtZxzAcbkTQiLVyEXdNgyPh2JnPUVhtMDTSmMWvIW47
MmOiq9Evk0dfFG9ARQL6ysWuGRgfykQUpAEd3Jyl3GH2sPapKt5zWWC96wn1U4XrHykAREyV9ps9
sqEklTrschtRu0w4CtJqqU91YfOxxGW8RtD76PgK8IwP3n5wmwP7wbeswdMrY41PETMqW9J63TfB
Q5Hmz2XYBcNrwDGKrWxiT8FM/jLPh1zxW5MKGMzYeIov8+AXkZGLR8y9RS63hk9dUUcyItGWRcA0
LjOMn4VZ46PO9LxjSh1em9ifrF2CUbw62+kMtQqCif1MvopxgMMI0dvagyufijqPcbMoWqM5wlX1
m2avnu8AcxEgyLgyPitig/0uy1rnBxB4rMJzP1yV8KlzovQMtDpVrIu7wq9ZI2jOpnBqrunP2rqR
rt8GKyL5VOvJwL2DIsKTrhiy2zkdjKsanPrVmR24jTrHbrw2p3h6xSOAVyvAw0+pX4QWD+CddWKd
ULz2bI4hJvGG5kTMTTCo3TVY7zk8ZErxNZKYLbkisBBptS/j2WuOaVC5csXXbo3bjmZCJPySJNI4
AfU2UzwWg6/nO5BHEU4ByZ73N4Tk3xqz/SkX9SeC6n/lrC6v98+eg/8dnQXS+tM52833j/fy55aD
X3/iH3wT9xeaAf/JNHF+WYB9DvUAdMMyewM4+Y/ZmmX/4rIlNYVNmswBj/qv0Zpl/SKgo1CvK22Q
Aq79t4gm0mGA97s58cJUgdzj+QFxBybFTNl+HqxpDBEVPA5kSZyRmqxkFn0ycmIaUSBUXX7t3PHS
NqNavpr2hjdp4iITzb0eTW3+Nk+j6pNop1xCbHn+nLRD+JGBKLQ3GuLkfRh6mb0uSwOfUsGT8GuU
kYowKQVFo8mM7CZg2wPKGgICu61GdvQgGPOIE1pz3/A7F5Jw5Mqh3gC+H37kKnA4pQTpE/uG7IlC
wLgHEGp4j5U3oAWxC65viqIbnkAcJLdG30089vokuulopXd3uc6xXlkubhaJ7oA44UxkKSwZhmR3
dUAywemi27iZgVZ7tDU/dz3j9Y02ypKBVt2huch+DLcknZeZBDYtWqWdjr28nobsLUow7g86g9g1
VaSmbFNvGVeIfNUXwofdpQJgVmY0iK/2PFkXD83xixVL8NfU4W2pM5agqMJs2vlW52E46NpoR50C
03C/RXdkCJThtQKcKpl5TDDEm1GIU01wGOcvKuxXJxcRJEMSJHQYdLI1lqci/nkrRoZZy4hGhw3/
Vr2XtqGgD1I4765jmQ+PPe7z26ZxxJ0lDDZQMcoh/OwqSLO13fJE3cSTFOHeawbnmjTl9NX3wyLY
Qw2jHywEBUWOC/PQtsgrHn0Rk9R7G74spfYSIBdTiHoQi74avxE0Cad1Cf2bU/I4BKRXfbcivuIV
6kBYx/yWV322FzMFBzv6oLMfxELdT2olU4UA0tA0ScWA+53Pa8loqE6EDE5iUBzeVBA9Gw3yrUFX
fOipIcPjihQbqw0pagkSRkGx0wnodpxvOLMJa2Zs6GEmNCuaNKzF3euHT8Ka1Y/Kquxybfdei1vd
yZg/1XPxiJ+fMbKRmvAyXAtHrZ4d/3WcBofUbdMJffj/roV2WnwqHsvRf4dFbds4AeTxE4t6+Ynf
VlPb+yXgUAlcUVoWZTALi+k3FjW0qIAGGJBQrukHoEpZc/+xskr7F9Y6n2ycAE5jcwP+07Rg/QIH
1LbxGfAfFp+B9Xc8C47/B8AoWVVrsU1QySBt2letZeX9nWWBGesoWheGf5TJyjv1hXbuzRpl317F
jDhOOm0xovogQGlPyJh4CW/TZ7Px1mgUPmRc1o5XFWubcUTgRuDzCdCY+pxw9b1ZQ0AbO6AEptDe
qBOXWndYPgzs0cCQ1dM8OWluMkInRUoYPJ298M1z6vC+qZjTEbNDoN4YzkQn9GzK4rOty+wrAxu5
xEIaol9pLufHRJlk8BON04MbLqv7jevX3sJ7HJIHS1ntPfNDSk8cN4JIIByN+ZlfQjh+VsPiS8Rx
vSCLIueU0lmN5Qcbh7NXpVNLBO50qI8qNRIaPyfo8vz5TA+PumqDENma9PluLESUnSyhAnFX2pOh
l+CKinYZkMdxNTNJhari6ZJ8gDR00UNmwYob3KUVlQkFBASRsESGahrAvqRLTGdoW91ssaSJZTrM
hAlnQcWenx6YkvnpRo2pU1Os07ENe/TSKmqe+kxIZz4m2Pgb/8MUyTh253I0WtE99B7hM7zE+HrT
4LZDL2lIMBlFOaN1NXHFEH0E0NMweUg6u1DzFZ2Rkgm8gULhd8hQyPt13zMDCdYNQSW5EkTxPKqd
i4bJt6wyb1Ug3UAjcNBMzjScZV8lS3e6qAGx8u+HieV7NY8c1Fci0GX/GOXcL1s79RZhdzRleWWj
aWUXq2mbbA/5FmSAlXPe3lC4OscbUll4C/A6hOjI0cws30pMzzxSj1y1LkLoUHuQDBW8gskxuyOq
6dhsQDcGFPsCxMSQkzoLMTzSI0WATK+5qqJeWCc2t4JIxTQkiG5kDp8CYGi/Tqfb+6jv+Ulpcc2t
5owdQ2PkaNdtNPv3cQMgc9MMHPtXLr/qhm8ovaPMuAQN2vkcdRhtjK8eyEKE+cofluvWDfuEtR43
8hHi65LZdzukHN9v1LAd0n4y96ODC5ZPJuEBtcDZSo66ejS/mgbTr42fLNPxyuoxhwTopSmadWEy
hpMhNb8P5Gm8ayBJzBzGXjQOmnEYglTqtdDyGdCPQAyICVTtEq71ekfzctUdI3YcJiTNvGd+BinC
SS/OxDOUB2IS2u6rkFFVRmvLpcJkm7a2H7/2TLpbmpPdNt+3mHFsBlZEX6gNyR2D5tQ2MLxkDX2n
Cu+wQw0Whn8/629jVUTEVMrWqb7JtJwJ0kexey+oVoDlEc/htuszThUkMfSt5Phwayg52Gtybf6D
mvEWHfKx7umLrhrjHAfeogBWllHz7Ab4tsbdIKnWdjLxYEYOpzKBu9/Z+BG+gZUnsiICoRX6jxBb
nUMAlLZbdTIZ5i3M8/ghGq1sz6sWdNUEGORXnR332AJVgdLhov7FO8F8DYleVfaK2Dl0tnSAlrNn
/1x/OFE6BYRWBswPsErYlLBJCRC/pEUOh2vkwYWVcYVEF7vYObjxV71sYo7mVdY7oEeczN4WlPWA
ASMx9ZxW/fTeQNXIkFcok11RCCvHnbLDhYWQJTmFZkGhmbpM/sc4S2VvKqHEV5fAqtwoGfpHO3YC
Yi5Ub5/CUJCmUWiJ1qqfHAsPxDQyRgw5k5rbKgjNfpVnjBqxB8XiNHNM5MKBIffDM8r8DM/Cfgb+
ouKjmIswrghqq4GE1rKOTDLov7uO6dG1bGGqQDwN66cknuzbWgpA2W5PHdka80M306uVTrcuibps
a3aCyZlPyQqOaxY6moJ6Vz/MOHAY/satS88qRjqGg+C855uMNQ+mrZc5sEdLbqjI7Imc2Hkg31yj
HVkn7G4iSFBHBu6sKLRT8kQmRdyM65IeylceRqCSBJgaZvUNrLt1HYjRYaSYWXwFKIRuvaVp3eZJ
B9Qz+MJmbKxhvLF4rTzTGEsMC+QwVumko7FfqyHA/GDHOsaPZLjuQ5Ji0aXO3s3ZOGbCmf1V3qTi
i8bY1RLxhEK4IsoNCm0I/MJbB3T2fZqC3fvW8TBOsFEeU6gApsXTj9YwAC526wWEDFxLQlEQ+CxM
Go2ZtY112yF3ZAkMB2vMl7ofgnXnOsP/RKbMJ8daZpl1USZUQCB5tV31W4NiFmul0Ci65yGwu8eQ
gz48mTxX99wC/K1YCUmEBtroiRGH/NmBJasvs8m1Qb9yXLHWUKmbbUnnBt2ZdGlmIiUlysl+lHHi
+UeujXpGmHYsiBVj3i9vctKIsvg+ypKqbpA+ZJYIvvVd3EVPRuwY9a1IWlt9pITU+HRNusirTRY6
zKS37awzn0ELaOEENOHMPK6O28jcom2M9BWntSE2TcoyDUtOpu4qRww30BVDTfl23JIKnkU+3Wd8
eLAEKwOuPw1mxKOcPogx7RhZ/s7/N714fRtcpxQjGAfAcXoaaNG9HfBZilUwKPXqyIFwZTmOnnWa
B9OvmIQNwQ+DAE60ybKuvA3EkDwGk93e0zmLsFnCuPkCrtX+ylvt31JDzxdowQA3PJ0A83Bj/WT1
9YxF3xozWBrIlHAK6cvCUjJpjm6ME3vedVwFLpIOcRXknWapy+TszVaGiO+4dgK4w6t8LGyCM8U4
3xAZw2clywKnYtO21LsTqdy5iYqKfUwG9YSZAToa3d/6ajjMddeJJaobSrV0BY3TqV4af9C3fURv
EJ1cdXqFhdx8grh0riDvC0yAxByi7eQDYQelotj7tTGR99x2AhwwJQSkuRgG7wgU3CHMhOGAsfLo
FOVOAI57dkRSnwwdab0xm6H+bOfYgUfHPPWVHVpnsqGMrW8ssIuQZdMuvlJj1hIM9kN9F5OswYs4
94CzuU5yRmxEmWEoxB0ekTKE5jVgEbuZLDjMZANr8c1VcWas+mTQMAqdgBkVyG5CEPQUlU8zxpPy
PMLS9VYpg/Kc0rgKPF5H1UODydHHmxrr3n0TMsOsxKTHLW9ibtCaSsQlWDIbHVZ8LOR2vcVjQWoK
zzJzzAaFel7ldtO/dabN2N2Sil9bxBOLHt7xbC3YwDAM4yDYbXpjsd913mx86s4nEwPpMMkWCB5O
dJ1MxLrgRUT2CvaE/7y8/rBtRkZRGP0t1Yp17pUh6ac6dBDh/UJ1EKsjA45wTTmRPFTRMBa7rJ5d
gBn0bm1aAHOU0qYjYZK4KoxL51Va7nE2EG11A0q40OzshWaAT+YwYuFqmFfBJ6pyHfq7ojCG60DU
PtrDFOdEzopt84mtWnO2QBiTJPyOn7kVj8PYUBGcq7F8qahPyjHZ2HYS4INKOUfQszKLqzSF9J50
A2dx41ZZcxNWeQ8dsm3rB6OVZPtyb9BfAqoUc1LHgU+wdpoNeJYI55VBDIUu82S8YCCqc8T7kq4r
MK/c8kBVQWc6u8xXwYOeA/8u0lTCrpO4o2/NJTTHhqpG1S6lC5FesI2UG4Ohn8XKLmzGucxz2C0o
u6B4j1rMbhf19fTiR3lSn8vMgApXxANcNLdw0bDTqo7ea8tHLxq1P93Zgd9/mOOQuRsQDYSI60JH
7W8U/78laP5XmfL3KuX//VPZ83+joLkofv/9CH551038nuf/59jk7+Vn8xO5efnR387i0pPLYRxh
8n+O3P9zFpeu+IVzOJ1QBAUWpDMtFP86i7uuxLjho2aid1oc4Bvg678WstK0swiTBAgW/ROo9N/g
Nv/cjuCjokpT0gfrO4LXcuQfijAGWeSYhZLiqlH81lLhvhD+Y48BbIXDy/+LaoslWfOv5M1vr0ac
Aj+eu+Qm7OXd/O7c71LmOOZGXVy9pMl2xYM5R3eDlXIXtBd0MRgRtpf8phBxZf3nytn/8JqEM9gG
8xFTOSuW//671yxSjhhQz7IrdZV3Y4KtbGzHfd0k5LIqb58Aw0uCv+qk+g8fqy0sKmcCinj9f/tY
e7cH+yrz/EpieD70LbrDGHxpDf+cJ67c/u6y+0+BJufnRBOf66+tXi4vuHyulEP9/De6nlX6OIPd
a3Dn9GAQOaNu/OxTMEqDrdGkn4nr8Gh57aJHCZG4u/XbO6ukwRVeNBSgjdmuZ/m+nFhDzEGffvTp
V88jMbnuXvTHtv9h2Uc/3dKJ28a7PH2ymzs3Puf+WjnbpF9jmtHF3m/eFucQvG5Wn7X51OljE2/s
m/ShireAwKbqye4f4/I2j+9mj20zmvHe9/ehc7W8DT1+wr76cJ2xhMEsRa2oH1ph7LN403mHZD+a
FC+QHPa9tXX1Yb3tvZNVLyIOmca74GV+d2NimO0aHx9B/y/Zh1mvM+N+dr7l0FMTgtKcEhXE1SZZ
28V3X7xN/qPjv6s0ZHTXrcr6wVQfKgUpRuy2Nr/DwqJHY4UzM+p2jQVBqlylzBwt9RrODzDuAKwI
zqpO1/MXM9ydXj1oK5JQSnLW48mFlJGT3wvkWcACZ0x1X5ICDlcLjIj4aRTsuBYYOevsbGN0GN4Y
4rnopMYmqY5euf6Ly+Q/XSVIboDipWdL0/xDRZFKI7pbh8C94hBWS3iXLHczhRBAqb/UYQgjo0ms
G0DqJGQM9VS1EDn+/D38233BzSCW0Y2UCxrpj9G7yWvbLJtc+9r677RrsncbmnntQsJcmYQ9Nn//
1SQLJLc9cWeJavnTre8YJobIWbvXvAueKf/kIOXC76FI5Gbk3PQXr/ZvC43PsuxTqAEbhFAf6/JP
rxYOXm90HIeeRqJkhDZBsrXes1eHx5botRskzxMk5L/o0JE/S6nc+rwqHR64eUmGuUiqP7/qRGoB
o6+XPWmm6K13iIvef2bfD0fWz9RWoqqs6P0ct002HAitcS3X8VNSIAkw+Fw1nW8dizarkKBQMMf0
+udfwaJB/7zkIyfbrs1Uiwch3ug/LL+JiWk748D2WNYXr9vzbXt0wfoHx9wEzFwSNjqHKTuQLj6K
gZjspqftFkzMd+wMjGmA03I6th/bw1LsvSsu+kwc/uicPGCNWJQ3sVoT9un4G9fLMRpNAgg5XKB+
JdfYXdlJGSd3t2xpsT6tjE/jpjnRXY3kedt8RI/xiTjO1/wU7eJ9uFVb4jglqAQP5MgmvDpvf/5p
/LoQ//QA/PXTIDAoYEDBPfjDNRJRdo2unAWP/vMwra1vkaLAmpZbLMGrJaX9wztXzzlTwHtCDsDQ
CoBkm1rvFI7faqVfYC4baq0e68twTr9XH/wdZEAQ4/78fQb/tlT84X0uV93vHpo6EsMw93HwmB7r
GyraKbiNj3oH6O1gHEqW0R84c61X5va78KF/hcB3M52wuwOxv83M/dKlc4mPwQHJzbxaRyLVDO+T
Cn2SLfwGziRQpTrezNlNaq9BerYE4jkzKMIVKweAiYMIssq2McrzwTuHx+FePoxXTkPLKQPtWm1G
Z5UAiuj2uIat+c4Ga+XsGqKH1f0UvovqrV3IuWt87PZrfhuuqh0e2H36UF+qOzNbV4/6ku6N3V98
bst26Y/fr2NbFqI31Z2MNn7+3DKcKyhUvf+YvIiTvJPH+S69aW6LWzwWB+OL/UJ+5aFTXK3/j73z
WG4cXbfsq3TcOSrgzaAHTQD0pChSfoJIZUrw3uPpe0F1TneKOjcVNeyIjqook8oUIeDHb75v77Up
4lHUWGjQ6GqwC0vQ31Fj9y8p6YeZDdmpHjZVf6qqVSIgRLCr2ubP4RhpiV0IgaODXHczlGQQbltn
jFamZnsU5zPcOLQ6bIzzOzCb2QvrjmG6QrAtC166ZfJSXoRtuzEfoxf9UTp0x3QpnFh4SCCIbqPB
Ts1Fz+RxacGEqBer2wSaw/uAaUdRofAuUVz3k2N1bhK79KtTlNvfpCJ+OFa/3kV2LeiqFI0g0c93
cYzY4xA5b168g3cIH9otdMx7AA5Osi8Dm4w9AfFZvgzob2S2Bb3koG/aZbLLduGqdKzbfEOg4lJd
AouQH2fI2CFf//lBS8r1vKsp4DqY7Nm6c0zU5j7a728IJa2BEnc53ibmCqFbLm3BpZkYC3gf/YQY
+WEXF3CXZxPSxve3RQi081bvbqNsI1pbvd/VxbNq3ZvNtq5dw6fwbYuKM3proN/lz8LkqIckbtu8
j3j+HHxHyPYpvpIuQHv7F3xF64d/Kt5l3W3ze398MitUKy5fx6OD5C9CgNTbZktxz+5nAtuyyp1Q
JrPcqUtn7Ld5dFRSMOqORyp3sAz9dQMKUOEGS7x2lnKT5NtOvDdSyR6j4xQfinJFpPc8G9fgrehL
ZKSUEEtN+pGcYSk9oqbmxezaNy6+bFaG6FK9oYqD2W2h6Je43WHPyOPbjvjA8XVkr6hnAA7oliAE
o/ftxtC9qJFQt+BH5GLUHKUadq4e5kG6EJgjFc1miFJVXNC2Xjcm2ixHn90tgQQ3Z58OZyM4de2h
NsNlZz6Exp2cDfAYuFvfZcFeb2U0lWMMczg4Z4yVaE4+DwAvlWt9mgLxnKkAgfoB16A+Km5J4Qq8
oPHNyvHl08gGt3TSgjkNsuhfby7IRlOByFM0g+jzq67YupHAAfirNHAD4iz6ZnjPnvHf30Bi60wL
P7g8Hw8NTZy//tv834T06sgb8i+RnsIbkcrJgc75U8Gzyz5/G0QqRHBjk9Gc2/tl6cS978DWqtZW
YWyrXPG+2TfOveerC6I1KXJQZWtFa3qWGv1+QQJRYfDeBqo1pvdY9YG2ZOO4CAziruHdLQLfg1LJ
oiqkt2C6jmFp3MKMTjmNiLfGqCb/8CDLDo9tDUHa7LoMDuNXO0vmpsHHtAeVh9wEoJB2oGLF08ty
SfcGz3SKH5VbrH2zLs+TyufHoqFJYvuAOElXoVd8vgtDqDSGmbciXgKYHCJ1ZbuTfHx6BSPvz0Pg
ejdLlg2bFHYpBpmwomlcDW8B4V7gY2A4NyU6mdxzm8GAIDwFASfLF0WJqClJ6jfrJ1vlLz8hkbs6
f83aK9G8hhkMlVwoVVHIFHu3uWmn0SZQf0FnBD91nBJbjdYtzCb/R0a0gdKh/J2YFIh3EA+aRdE/
f9bKO7U5e8VDJp6GgVb0ZSwexvq1xGUTDJcg2ffNa6jv1GbPbjnOdvG0Nsc1GtaRgCXojKoLl4BD
HB0hDOpPqYGGtLOjjVGuYxn3PiFPknkzVYAS1+Q1DgUMW976U9YeNH2dis9zZFCpCsdyWqvjIRbe
ISGhfdfsWg4Riy8Nll71SffPrXU28ofS4CS0NrgQ6AwImhT0PQ8aqfTDkTjrXl+zxnXGbSJuLG2H
EUbK3kG6sR8ASHcDfoX9kCMkyNZJ0SBjCPKX4FrCoxndI5yXgzMnbGM21uEG4C4KW1l984hX6n5I
+TFTbsPyLuF4qzfbSFoFaMk60LncK4GFtnIMYR82VFApvVam5yjaYcyX7c8APZKZ/ZDorQfaSx2E
Nj7zQl+hPQpq4E232chhZ40sOdc2wFNlFeP9RjfuuvYu4LeGMbBz5QKzbDCBpS8lxZUV6HmL0OPg
PM/VdeEq0a7XvsnP/bJqsy0Du4FiiqAx4B1Xq3YZZj3NTk89B6GfcGAnz6kozGaBKY6SuoalJMTQ
/c1b+2U3PQsZeWdBdAAeAtFx9akBSaPtQPwk+oZfWYdxFUvKhH6fXkC+i8t3whno1KsDi6l/q4A9
V7ZeBu7noJYPTbpkQqmHZ8FcJsYhHQ5yegzx7GC5MDkKaLej9OKhniMOk3oCm8ZqSxiKT2lH347R
qSbTVoG2HY7bMl92ltNtZWOPoFC5Z1c3oUK0devW6mYG9gKPoeYvO2UpY9MW7NrcTnShC3Gbiduh
fvMzsFYQ6t38l6ev0EvzFeu2iw/HiWiJ/iaInnIoXVpS0eejN9LuJ/W2mBEY1QONK7+zw+omIcCE
ine4+/N8JX/IMT9PjshFJcSaHIZNKn5XZxaUDAVRjop8DpVtHM4nqm6fbLST5yZ2/w7wLz9M8DKe
6LBKNJ9hHYD3G+mEe7fitB3ADC9TjqSDcSiCfaK+zv/jA6cO0wePDmdHU3RB8I2sLPIBJ/lSuIzH
fCKU6xBkh5ucWhtdFYiNmqpuVNZmZXwbCFuJlSdArfTV+Rf+zk0qFUuFTKDkxQp/jNHBouZD4GK+
GsNLELrysBZei5NU4550JH/nd06mP3jjfdcCGpl7yOMPX71Vio6D0oHQGUG/KZSFwj5AlFIbLfWi
qG7G8YfZ7i0IwY1xFogTE9t95+Sl7TVnEfNFh/i63ZK5R3fL8bVFNzlgEQOFWMc7iOXkQLwiTiCI
iy5QdSdaoF9be+Q82BJRxjJQQaykFc0ZHv7cTKYYFrrhjA/SvpUPpbKCkKUT6xGeqx+940snWPTF
hKJLOACixYJ1o3lHL+qh7K80nJPMbQHEtWEdNjBge22fVadae5B8hNw+x/HihlSMHxqCRK19zXFf
tk24CRS+IfF9xfAaAbo23sQZIAMHhzjZpZSvMjo8EP+M5ideZ4PklQgZqJHPRyE43uMkw85gzqRB
DfwFH6I3brDQFC11vbY9+cqItui1SH5pyp28qDpHGFZaTI4Le+Y1GZ408sEsKMMSX8g9D3OVvTzI
rwIu9GmVekD4negs3LeiI/3yoyXOSczpSu9auW3FbjUcUOCzHnS3zXEAcjAsO95yh4UmWQWwDJae
scqRruepi5VtJEHnvol3lFUJ+11MLpwoGuaKvxGdfZGsejC7dsZbXx/C1gWxoa8tBw9taQfPGF/y
F39nLfNj/EM44bRFmtmdUb9v+jWEtvqmpZaKU4u6yzl4gVCBYEVclxA0uboRZYtqh5tiFz2St+HZ
iBxUR33MvjnzSV83uAbiQp3apGjInKCv6kQ5e/k0tjL5HFV4U7qwgMaJZ5QDIlgBRQ2dVrLcSMxk
XlDqWn7SArYEy6lT2AkhuAQqqjnB2Ndi/M2a8WXrSf3QNGTS4yWN3IDrPGerrFICAOnYRQHxC74m
ow/IuvCf7ij50RVOEQZGfvK4zas1QmmA9prRKJ6jkF1FobUPYiCeVLHjkI+bT5xOfWR9M2cSd369
3aJWSdESzed85xX9akOp6IYAKnuUzmhJwslGZpmKawpRITIKf1nOFKYFaYC6tM7kY0RgC+N0ekiY
Y6nCFxvzTQqdV6afoplLFm2yM6QzAS/2IDwb+DeG7hhqzBm7MXhriWLs36T0yah3YvLatacyOuXR
Q9a9T0Q3IQ2KbMxCBsBcgEzw6BHTw9KoFxJVeOzES8bABxgX2LRtEW/ITirahtUmM5yhd8ApJzAq
Q6RKzLwLOg9BsjUpKy81W13LOwoaazYit7XLYdKmXuhQulpJS9zxbresXf9o3nov+bt3H78XT7mr
OfmOPgq/j67RsnQhWD/Hj+mr9EwOyUZ+GW9x3LK6gDKkYY7FWOQUmjv8nYEClZbxdO6E9UgelbEf
+ttsZSrrIn3t4p9jehjknQjZvTuI0U3Tb4QacQ/dr7BYd9olKvdi/pQ6WbnnBZ/kZQjjNt4Rtyn4
mwQkIIGN8WpA6h5wvFkQMsI/u7N4Vz7Ds0oxmLLY2Ab1TgAlWKapGg0L4zl8/fOCy0H36+AhxU1U
5LkC8vU0MjYmJ8iknc6B5CjletDXoFpVdYlSjCgTNpX8uqo7cogwR0YVAwpzob5YpVOpbgdVyXht
8yO1eHM6NGysRwx6K+AARQDGlRQzEDYL6uU+frdz8iw8EXaZH2ubzTUVAlrel8ZzyS8j2km+8S7j
EzxUvAEAtrRb9al7kN6Dc/YAOEa59fcoI11/Wx6CZcw3sF6S3sFIAcb5BnO2yzVusofih/YAemYZ
A7zX7PjCdP+uATkebarKkk5wgNOi9uMC18GNsYaEL/7I4Kqt9U2BWky602/0ZbENXvDHEU4O0XjT
vFMJZOGEHv6sHciY0A7oEV2SD910Fa90h0C6vb5gMbHFZeVyghF+RBRoeKEiW3mh1iJevD2C+556
B1Uf8Ze8QX5MjSeyTcKNDvm2Pyrrbq3/qpmtXSLjX+XHaIfjUbsFL6HelaQ7P/FOZYUb4WiP3X7c
atRQgVRgNKVn1f0qjNux24zKJSCgRBv2VrCMapuvgfOYFwVMemfxOXuMD/pzC3SER3JI78tywd/Q
Jvi78hwd+HW+HCQb9m6NaYKQ2dzu+Th4CvWuE3Zmd8hh0VkptIctCDOD+f21W2MGTu1momrv9sGK
+PjuNkY/dN//0t66A2pDktFAhkFbTulRztovXps1ijP4UB7A+3hVayu5OcbJQTSXs7Umt/MYi+ci
eAPLgx5Nn6GcUFwcsV16oMIsBLk76MogjD1lI0lLM98G/S02n8pf6+27GrKfuii0iLt1WK5q9ZB7
tlLf9BxNIrdpHH4REZxZrICNInBitZwYLmhLieBYZD1dC9p3dCK/OUV8LYHoujJ3ejTAgmxxrav9
LR621DS8dDqnrUF8Uc8b7oUDMumOfgfW2m0Tn6VqD+PllOWuqaUyHn04d6kIhlpA4vzn9//Lgs3l
sGxgBpBl+mvXrTzUkUMOQls6S09WZo2uqEFSKnLaGoP5zTpFq+/LVIOGk52BhQ0LGuN1NUJMPKVD
lT+dByddl9v2OOz7ByTBS8vtT7wauHnBR6XBth3uZuiR7KKnye/lk3oHrtk8USWPuhO62IiKOXrc
ipPwMrQgddlyuDKDhflzuh/Fha39IGFdwcaNkB8Pau5Qy6wZ2ycSpdLmJqltkuuMdF6g2ghWglNx
LGsW4il6n1/0m/G57dZKdOerx7FzFabn03gqdvJztfY36b5xp62/ClfWOV4BaNqNJ9UhCvFQPPL7
bpjeH7If/b44ysueeUk5qigmo6PBkMQrihqf6IUK3uqqiQ9TcxriA4I4dD3qaYhwRdpqOU+HnkL7
yxWMW4klB/e0wbOx+5NwP8+NB/HE5fsvyIj9e/FEf018Ut4F5shkR53Y8Bfe84RUtllwIGKO0U/K
WXd0J7elBWbxPfvbpbpgvXXk5fQOXFG0FsAxXuEMA0DneuP7nvfOXJRv3Oh5qllPW/0pOKNfC+/y
O45CwnYOE+MF7eYIooX1C2u7ANfeBmLAr9evHZMWrSRY0fKifc9d0Es34RNlk615hOW01s/Rm8/6
3G+rPZjEn+NWPsSvlkLheGHgS57/LQzb6F4hgdIC5cIRetFIO02ZX9VJ3yfdbe3tzPrYW46AnWCb
dOtxgPd62zanEM6DiuF1SSq5AJVfwjXLpMP04CTCykKXpzhCu57CVRgse7T1OLTIdn2hYK3DM4ic
GVIVMVoW8SOQ2VlZQPgp7vBT0R5keT22S3k8y/Dha7S1ds3Pne2F9pA0N0IDm1k7WOFD4W9BYxvf
1HX/wztLpwLfjyLLBmDSq8aK2WIZ8oYGo8WUFjfApQAGp+jPvG4AX9Bo4z+eIyzZlCRaJCq9El5e
XuvfyshRjuy47wUs8hSU7Qb3MaTwcpuL8a/RFPTvisRzEfhTBYDiDnsOGbaqJDJPXNUsrajAnhCY
8TmqvcKZxvRVk7P2pBgkQ5AyOGM1iQpx/aAhWgfhgxEMIJCzjCVVZ7lqUrznrFa6NQorMEUB8kVY
WZZf//xnUyd3nmrQXF0XdU2V5avqejm0YtREaXguJgIxhaplmOp643DYsVH3tps/f5x0XcudP89U
FHqSswwCMO3nxxAXVjoVdRKezXDqd0k57ocIGWVcByRWhtNPHPalO4JKRFY70WgJTCCNEu6+XE2q
GSlNPdRQqzmmxlvrlkDupEbqMMlW36xx1vUARfOGfgIVBasK90a7ujN1KpReXCnThbgPPk9aQJRP
7oQbdaVdvJW5Td38ln5pcPG3+ZvyyFRPUzR8STA8gHJUEasu9eik5siZF5RrEgQQxBFQcIH+g3sc
qmXsap4jz+GdIev/pVWPgPOtcxrtfGmXocwud+zyZrZZtchGGk5Ly7S7ydXMbhEk5OEu24pNxJLW
J3neggq87wC/JTZvwQb2bPfJkYL887FrGXf8J/7S8DV3x1vARaWxgBTELEElo0N1TBOF7RJ7Odaj
x4bZD42VAabbxoBZsQnU7KL/5hZ/iF5+f0nmW2zMY48+gqHp6tUcEOuSQfkVesBUVPusTaGGGEAL
k4CFshAG8HE5Qe8Z62dBajDBMDcEHL5HVpwjqVZPfx6a128sxGJFY103GdrYrcWrPQ1H4UDnlYXH
IocSXRxyudW+W3nhT0nG75zdj12+jnowQn/+3Pn7fr4JfK5qUi+kgQvS+GqmyBTgpHodZpfOEkBd
IOoqBuTUoe5BsAvxVRl67f75I78ObVpXeNY5MNHhwIH5+SUUVHiTklKmlyiPOrcydiP4JQ557OYB
ZSz/8YfNL5LKG2RR7JauJt7BR0hdaBr3NSqfwiBjg62YaKLb+5G4k2+G1PXmjG9PEQFpw2wqZVm5
Kt3gdRQpbvs9jo6YkltWs9eWadn8+Uf6WCyunpkGgRtNLPGHqMeuBm6kKkMtlXp3MQ8U3Si9LkhQ
iMBvAlLh9WfTZ5scesO1mZw0pOOklLDfQdCa3eOcyrNdFJxh1RYDbkE38la5pdlaskw0V06donHb
wenLo1LdFbWT+I5UrwbBsdR1HTtNSLTorpFcjH+ZtfNVd1TdiuwTzO4aLWpHeuc4Sdd6YKvUkGXv
hHfpnfRAXKuI4YoU7+MMfmY6e4gJKc4XwDWk0vbZfXY2hCIiD6fkmCtug30uPUbGsv84xE++bQqE
Y8CUWZaK6xuraNcQ9OCt4n7VHYgg+uYmf1kpWCP4S0F8jBYMpd7nQaqKRNiHidhexHgCq9nd0ONb
TBa8ra6pnlotxwKRfzN8Ph7c5werWxp9ZobRPFg/Nv+/7RII30XCrunihZ4kycPB4IwpQSz4N9B2
dbXqYESjJNQN60xofLfMi+/ay19/bINjlYJEWyNU0/hYln67AtGf/KAnPPxC5tlDEqahXamBZ0dl
VrpNJMtOlL9jUUi++cm/TglMwegxZTZkiK9ntvzv26MaWEQVAo25jHpVbxtCQdHizUm5Kayfb+qL
/+Euk3CmAJbQZXSC6Mw+f9jsyAVKnvNhvXkpCVyvMwIM8/I96E+5AFlKIO/KJt5t2CRF/s1G8D98
OspTxZDZfrA1A6rx+dNhrpAqG47VRchEi54FeKTMPyitVjpaGB7GfV+SOi0r/gOduac/zxxfb/MH
IF+BRSuLnFevPltWw8KHmFFd6rTelbXMuUbE1VG1+Jqs+tt5ip/k82jm0yiLqSjqkZxfF7KtXqyQ
+Gn1BWlFs6aQ1TebQcBn1cr6gyKTvCZn+BsxjZnfDKcvWlBdRhQg84gp5KJKUeTPNzngpzGEgg5Y
mo6I3CrxLkAPnbWXthF2WaXwFsu0pIfGAK3OgmCjEDVdNdzokDfWEryeZTOJS2gh+qWmz/7nx/Bx
nz/dGcr7JmQWJhZGIq/b58uLikRAjOuL57FsTDg943vQlfVSz4uaCFK6+2wGICqGtDKteGBmbjhE
l8FjE2IQ1dRUXTbQsdwUh6NdKGdZS1q3SmdKW/TNpX4ZMchVLTbnEou1yU796kq7bOr1IdOLi1Wg
355qOiZWAT3Rk+OfQYmi7M935ssCOmuydfoeaC4ktmZX84BVt7WUge6+jMagIClHt5J4bfLNO6jN
C+Tn+2+qSGio29AIQIl7Nbnj5lbyWk7CS4lYLVyklvysSMO5DqZNUIb5XldRq/kjbEBNLeHnalyH
JSTKYWj1G0/0rROBWfHSm5D3DBhuOwifx0ILlR02dSCJ05NqYmDOqki/sYI5p2hqSTGTf5oIeYXA
e7X8QNhwGVRLKQrLyXC0So1qd2YRcF2NqA1ENiqNKmyF2MvPVorJWWl4AKQCrApDrG9bqqNeY8IW
NNzEk60zsoIRhPrJKJvx2ITfbE+/npxkU0WGiD+G5YnF6erJ1KFqmm2dRJepIdzHh59hky+ZO+Ds
iLIDI+mEUeNtW9zBTOZ38DagEYvWm9iIB0LEXGVQu0dVBgBfUQeoZGDWKtLgb1btGYf05clyrENO
wz7M5HD/+c3CZ+u31sw103qBgKK+U24kgttcv2tk8skYTq2XoyYoOBKR1ukpdBfFinefBAXBKTBp
O0LdoQb00uUUT+FmssJ9iil1E6vtKkzqeg8teEe+qrz+89D/svIyEPEDWPPiizVAv9qIKwT34sLt
u1nXZa0UhsaeDhuxUQjYTavPF4k5tM4//0ymSYldh4HUSL76zB5mnySbXXWWo+bnlNRvaZA8Jl68
SU2PpZDul0DO2p8/U/pwUn1++9j182Gzos6a55XPzyhWlErWk2Y4Z6GjZAddvRhWiz/ngYBdHxqA
Lz1p6QE3EqHHqY5yB4UmydgkrEkhWQjgZMmyBpjySxzJzcCZQSilo3Beq/F0Gt608CcEGfKr0SAC
ftWH2Vu4qyj74QCSu5uO7LlEJfNtMYIlHI4dGp8CbDRM+8QxwOPHnDg5Dj3USQlb6j6VXvvSrWni
tdpGtZZW8I74F7bkAumHR109Ve/1fG0+ZrrTZ0+Ksuux25AySUjKiVztdpyZ45uaZqkODde2omjR
Du9CcY6pkROOkQ0wpA+qfmNU9x5VPP1RTVTXjG98Lrg6Q5Dq8mVBtOxAPfY4Fg6JmMIzcy9tr1Db
eMbSmMWmfCs3zrBYsKgjh1xJxTeT89e1wOIYamKXofjOTu1q1kzEsR9bXWaeVGD0ktAE1j88+ohr
c2LDvxmazMRfXmU+jjfBYk2w5v/8PExCjYDnsIR02xL6Jt/mRH1NN3XNwxNLW6tdLaFcoD0Z5g+r
OHg8xNy7BM1TQNqL8qyob5L6NvQUuoqTX7wlwiHwQHEA7Xyc2hXKtzbfeSKdmHvJvB+BoqjRo08e
QtOSCeTpy5BmmRDZjUdfA2lFh3Kkjzdee+6DQy6vfPOpBeI+Fr/kGvquQhWDJ1QTXCsRcNmUBeP5
0fK2Y1AtNDw9va7ZY0Z1nXrKUDebLhBcpc9ssiqR0al9SwGlpzRHeTkmeQxWfUJHzYLUDl1mpkRg
f8B1TBewBcMoKG+S9isUCvyyJ+tp4EhV4f4SkPNn1Az8pzIn4YBLH6lqV3xVxsjUewRT6g9oYxYi
MB0ws04EtxlLvPaCgaCnIg9R7aFDspTYMlmQxTmKf6m0kGPZoiqwMYOEKCQieG7D6jnXzyK6meAJ
H72l70qL8y62IuRuaXT2uBjV2lj5qi2eEVEhZh5IDkRDwYhtVwI0ENTp1KNLiMCL6SFn5bNJBgdJ
SrWFblp7L79LlxkmgRWTCLs4Jkb8kKu2wQUHbosf+ZbeYPeq4Bm3qdKHqxwEV4X13qYepSLmoGqD
hk12cvR8LJWgq83XXn4QLDf3XTpCaeB0PVHxrg+7PnD0dmVEkElXYHpzbwsYwOhfrJrC5EY2NuW4
jKolwFPmGHIvhH308cvDeNNUSNFxydXDI1h7unLPgDkHurlocfvAMR76X5NBgojbmisshrRpK/nO
AgWCO1ve+s2Tb26S6cXofkyMTBMLCxTWj451SyYU8xjjhN6otcpbVyH9adihip/DJi0gyvtKuMTo
o+INJ7NB3sYJ8gHiB9yoOOrIRbL6NZ67ygMEoU0m3ZIBBeH6V0fWaXLxhktEy7HWYJ7tzGpD1DgN
w/ssOGTeUZFWsk9W6Vb1V15EevE2SrZlOx/ylWmNRjIDDZntdMnJ1GWqncf+ETuf0t23yTLdtPnN
aK4GdVmEd1WMQfAstaeW9r/3KPN6TMNGs1zL3CNnx9UN6NeiUYoYaqvTlsy/KTepX/cEmINZ5mYt
nMSm78seNm/ysBm780QbMERhmkQNHKeG3GVJvEQkY2ymUu9v1KZUyX/299kgh45neQERlNRS4B5R
HY7JGohldHNlzCbY6BQwcjrUXpOkF+jordWRf5jdNd7cxZVzNzFENBCzHCxDstWAL1+Vg08dpivE
ZVezTJEhBE02gE2hSNCfgdqlSBgUNiN62ZDnraP6nPJV3CHQ+mYN/rIBZmeE73A+DVqiqH1okH47
5guFBqwjEJKL7In9SQ86skgyR1aJfZo6icUYvDEkwtehresFqJb2uzP4l2fCBcwuwdkBOZ/Br0pY
WiuRz036+YUjnLr3ixM1AeLbG/U9rBEQNg1U4KSiRFyNA7kf8fQL6zidp4KB/ud7MT/9T7uR+UpU
i14JfDID6c/nZaYnHthKoi69TIn47GsTa/fIuStnw7vSYfhbzOt//sSPbdWXj9SBgyDk1zgEXh3D
M6gG9SSrFEDrvnHMPOuJ4DR+KoVlnlKw3J7eyhu9IvzdzGuPVK3qBvzUncJiuC3NEV2fnt77csUf
M8eKLRBJqs0cAyW/GQOLFh7o4Zu79KHt+nzNeA1IiJyJdSjTrjfW4eSFcKzLGDEc46OTsmDVDSQe
9V4LnqsnExO8JNwin0OTjmY3As1/Angf+zQdW0iTS9W3pNUoiu1KblW49DXolJa8NWJn9KWW5dbK
NGYnDCg6d4JBtqqlQl+POdqrIAh/jkRW7EcpXfWjLH7z06lfxgCMPwq2SKFVzBwzJPBT+WksBo9c
uvgiY61Y9GZ9B5hk/c1T/7KfUT5/yNVT93wtlmWonZehFml3TEa6DCXCgT7+AdALzpwvL3U9oSCb
6ATW1tZT2d5kA5CwyBCrZcK5G/rNzQDzatF3CL/oPdnkgcXOFI2oXdH6kt1CAJeuYvETzHWh+pgT
CsFYWg5PV/luK//1LZ5L6jK1LJPAYe3jnP3bNEIyvR5owSSc9QZ5U25A6i7FmeJu+v0mKDi06OwL
Wn+vAVK3fbJBMNeaOjKt3vzmEX4U8q8GKP0LHcnk3MjgrPr5GTaW6o0ck4RzWyYrrVFg8DfcRWFS
N7kmY1WQixEYNLkTsWbL0qjcQIlik4BbwvU1NmFaSr8lMr6TM/7HC5Nm0AO4B1EBVfH5wrKiz6Kk
qoA6W+NkN35/Bhq6YX9AOMrQYwHOmucO1Ozg8QwJh96JVBNAlKKV6oShthUhuOTp8PTNcJzPdtf3
iwMybzLPjSP91dmvarswGv3CvySemR0nzrO60q68xOx3U0YOhGdVThFDox3gyNsqv8uG06LvgMq6
kbAb8r1Cr1QVM2Ht1w1Mo1R/hxg0LssxA5yPO+Ljgv8/XeW/DBYg6msUVai3cyYmiPe3Z+n8aH78
j7esYYdy/JG+/c//+l+v41v4O2LlP/75f4e2/huxIht/8bRhpcxP3GDZYXr6N2JF/ItFGLq0SZeM
btLsBfkXYsX6C18XqzTHdUawydv1TxArV9JmA5s3lBVxhrWAs0ZBfLXqk83l9ULRvIzZUOiu2pHJ
VNk1HmuFFlaM2wsMn06CQVB7HtS5sdoqpaSiZiXTrDLPdazBScTW2SVF9ZLXeYW5rMcLSEoE2y1C
0EsxUI2f/3zg/T8H7DE4vP/3wJ7jWxO8VV9ZPfOf+nvgGH8xStCy6XDEKQFZIl/5Fzf3L2rqTBmA
x+mc441ktPxrIGnKX9r8Ff7g7JZjrvs/A0kT/6Kya8lgeLGIKrS3/slAuirzzZnBKnRzqBmyPgs6
xKu1VCKSYqBlhGytKIW7sdZkMh4akQm090qUqHHDEhmrdePWRhCsMGmiBiNUCJt5j21FFgfMAVEv
b03muecpGrLHchgS3AOQaZLlhK9WR29reXeqAr3FKmZt8WiMf89p/y2RZ77M/zsHf/wYNNto9iE8
V9iHXr0PojqaJWFPZAhHk7JEs9MgQvNnM4XfIHNL0vKcD2qw7gUrBvnItuG3p376+5N+DwBXPp8D
/nUBs0UIm+u8A543Rr8t4CMQzbTqqSfVXhLtq0iMDw0UVkJtyyYCYaDgQ679zoPZYgpro41HJ/CF
S6L7nCeL0e2mCvm7Na25yvpm6uLyRraGetVXpbUiVavazFOC6uY1lYsgK4R7lkgBPa1uPUdtPakH
tQIXaI9G/NEf8rZ/3+oUpuiff9SrltDHjzqLomi9obBAhHW9DPuG2OGX8CD7xZTeakC8UNG1ejlN
haUvg5xk4960YBfGcDFpRhdDQw6G6il2Ylqc0ro++WFUHm4qkUiYGhyz32Nv97WWvLk+ihhx31yy
OF/T5/GhM0/O5dkZm0VH+vPjIZK2S6QGHkTDpuYoScMbSZYTAHhFJZIi7nZp3nvbxhou8qBOawOA
1aLxG+11TLv0plOGLHHyLMcqOQTlyqvgzR5DYrh2aiz191MQmj/9uhhBNE7A7eyxSst74pkF5DdW
j7pSaZeKjn3UZDWPvEwlBiYql0JKmSoramU1hHH5Gg9NdaDQWz3GsjJCQ7fY6kDT2hohmDbPK+Rj
IdTIGnNVcI1uIDu2iutdQYTHDblkoOzaPrsYgCB/5d50D2iSglBbZo85qMoHwUh0B3prjLsqKXeh
T2eGWObxVAdZMtphmGeIiNJhm06RfizGoj7kU5bdVDL+/crrlEeqzd5ek+DcWlZ8NrqpPnpN2Mfs
V9FDxRVQe0URgB0BT9yUMx9xMfHNOOKP/cHA94kKudn49RQeh6i+6RJrCeMIUQBVJqsVn+WiDNAK
mSYZAsNcY86g7bgAUcVbKRx7XERZp+NS0HwnHczo4AeAjvQuJDvOIhe0p+s3LsqZM2nGxSOgQ2sJ
Nas5lUYNGJMiWxmXMAuG9LvCyFUbklUdhCmHHtVUkchYqn41/RS6Hw65RrZubXZ9tdAHYiK1vO6I
TC6K6r0dZIg0DaZLIQrHm14kG3HUDeBdoKtBNXXViDNJoAYkqV3k6IoPf8/KwzU6OWslGynwPwoQ
3yg3r9oHH1fNZlqlaIH2SBWvW5IZmdWGkc/ZEzN0FKWjif6MEpcsjtaaqF1ADWH3Jnldv0p8/LSi
P1JJJUDr+c+v5+fCwd/XwWkRHSHVaQh2V3PnoAj/m7kz241bybbtDx0W2DfAxXnIjpmp1pIl2X4h
5I5dsA32X38GXffsLXM7lbfy6QL1UsYGlSQjghFrzTlmQY4K1M1u6KqPpKOHm8Sp4g2JCNpOryub
HACt2b7/R/+xjP3SDKAinZtjmN+XLRt2aqGutL2yykY96rZR11f4OOvwW0tfpeX0HOa9byVIfdKU
IzXpzhleGCJ7gs9dNZqrJvLMzxVlnWsFDN6Kjpd7ZWN9TNUsms4sYGhlFgsYTVx2BDObDymqp877
i7ffl7p36MUpNdxRD4mz1Tp3/Piv0ViiR051J5jJntR4qxGJX2wVaE3tqw7wPb4p4YJukfGsCdZf
YWAW91Ysapg6IzYVuqZUkYW26c2g/pobyj5WivjYoc1ZE5LxYoxEhpoaB2Zg3cGjDUWFZLtMBWtu
PtVKSBl2coPR5/iibcB2u491EHmbog8xqJCDk6+jxgEOp/J/1myNdYC7iul7obgeIrwYioksexhd
POZV175I3ejm8HPvHokfPZs2IGoiDGx3N5H//SX2nPFYoPrzUbzVW+mFAfk9BBLRRy0s8ucrVAZj
oe4VAob9NAPjYcU2Lhh15lJVkfnZQpQTralQhasp0Wwq/sokINHQSjLHOV1SUUxij2x5rHu9vreo
rnxolLz7boYxjedsSm/VUg+DTWB20zGDugnhriRdLSwUwMtDZdxEFj0WmfR+qRvlJ3iyxH5QsyDE
so3vlcSgWB3kWEfZ/B2GRARI/juxGgq6aXqK30Da9XSshd35meGFd1nZ0aqx1RBIUdAXZJuUjlXs
OSSbXwng0rZNaANmVlqys6zEoMPVEjnt56XRr2pKUOvRJBdvkO64dWP4yps8r8tXKOjlpqH06qpT
csjCuL0d496GyR4M10njHlwCanZZYH0i+8u4guHybIcJvtmaNGDZxTfuyE6xykAIq30ubwWBm9cm
1SY/tSbvK7mTws/tCml+J0gj3QxhWWyQUvOercK9adz6aRpFcCNxad653eStSSMQNw4xM+tAKy1f
OjgJpPIlkjGUpnpC448Eu1+VXadD6BL2VgbkXGs12fQaHmqZBJ/C1Cg+9L3t3gl7BBvNXugJno72
zDZaP5CRbVyRb3AwjMn1tTEixs9Nx49ZBQ4pFGX5QHcovRpyd0T+Yb/kChZjm27SfW2X4z2yzvio
5K65nzK2s6IAMwjanzy/xp0B2/hey66log2rKWeEeXKTwAbYhHJovvAO+0dhNV+CkqgIrxkIRe1i
69rKZHHkM+d8qlKaFQkWaApXWbAhjQuTfSt+jArK8axoB/DagwHAK8mFfpxoE+2ohOO0T4J4hZz6
R2E2sKuTDJLTkFoDP0YjsGckkzmcqhtiUvpxV+uF8qFhwnzotSn9mhfhjeaaIH7MuvjGXkyN1503
jyDEkkfDzPQHmOt05dy6fc4r/TEpQ/MIpUbFAGhA8dEtBvIUF8AAdDDWm6y1xr3gBdwSyGq+otR1
XxQbeSFqMP3JhVx4V0q9+MRWNdpORjJeSyOELS5TxUl8O8F61PSiz7e5jKN+Z1VOEq6aRNNhsHlR
8ElpbHuXJkn8o3ZqIwMdmeU3sST8NS7M/iBCXfcZY9VXZai+OVWOHKmGTq5QA0KN7Nnw8MPximhd
gh1ETBNUr60rxxoQBjjTixHbPwtm/C6BlMyn0duFqp6ttSS514mOXGcw9jeB0Gy/BdT12sX2vvCE
vlbLgZhZ4aXOs+Mhe1l1uJfYoE1x/+zobWVsBs8SNKOEVu1iJW3u+qoIv43p3IkyCfEsZY+RbyKt
z29DMHO1RbHaI4R47yUjJk62ArdRZKvMvLRXbvuqyx+jhGzFlQ101BfsHdhfq+E+mAjMM+wko67c
xDlc6OHr2IbuFfmo+Y1CoEO5dgkI3TbdICB4InaX9ZS9uDncsJ544K9tMLaPUauw8KNHDaRCU7gz
+xvcDPWeCa3dpl6JQ8rxeDOd5RCwDbk8t4/dkJvrMHVaNC05ykuk80NNelEvcIsjMiNkrxpbaFR2
Xx811rGEcruuMAPmuV+Ws2BLxANCVDW7i0WqJ9vS0jB9doGhj9uYKOLhCeYopzs1J8x0sFp1WDeG
qn3v26nQ7giIjct//6WkT+w5WDXEzjZPg9F1w2NWjaq1alsyW+b0YBrhdWzbxGl5dBALfvFtVwQG
hlDTwCEQ2irkcTJQNi1zbStl427UyeIDnJBv5ZdEctz3+UjwLwnYMQnQk3bruKW7mWrVOCQWi2+b
2Ri/+kEb7nOn0FmIgzqytmUZ1uVO1nT9d30XVwTbC/YoVwVRI4zXJuPpqmns93EOoTRz3Wu+494z
f1xUD2oaJcnXYMhD4960K71dm2xGUnbBSO0wGAWqXJPmV7arIsqa73TIoCYQAXJb4gHf//qpqRea
uEub2B/1XvtYqllNaqbQbjPiqffkbWq3NHjAdWl8jDm81e5mbPhUBXxlrjWg3faqmO8+HnpAZGY6
PtQw4tlzw7l/KqY5jFMPR7ZARtEN943F01Iax+4eBiXTbqOpUOZcGs18TaqCoUGQNgYxU7ECbZdw
oJSoA/rYp63HhdRc1Hs51N61ZUGumQxDfC4D+p201fCTO2pdfvbauqnWdeGWD3rpOdVaEyFaQK9L
GLBFREZt3HIjMp94G7JMnGajK44982BKghmSpFBo0vOSRM2JqBVKDwo+6kHNSN26K9gnYugB2U1b
IfeKKzGoI4HuluI9A6rn0Q0pKv+y1uV3s3C853EiFB0dF6JZdhSD9SoCTX0hUkKOq0IjIXtHoCW+
QUoiPyeyxm9MjyBKSw+dVVHSFG7RKrt6dizrgJJeS+TFfe7B38kBwmx6x+yLbUpQyc6LlWgru3Hc
RWr+Qa0n81WgiIb5Vh96Jde2cpL5B68aomOoTP1t1JKJvJEdnkYxOMFHQ6T1QDSL9W1OFZjh6lF4
NIQY914t0jvHSMoPrcBSNnlqsykEvEDRGDMIRsNXS/oBJzU5Kw/YSewwkTpfNVlBrzdoVuwrKQhu
a0Z94wSx+C6d2ZWgw90lSOTaGF12KmWb7TXNyX/mYzHcEEOtfiyjqE3XJGRTxLSbGjdNXpUtBGAx
b1VKIkz6QuMLEqQx8Jms0lA8GPno15Wxp6piMvCcEhFJXkyCznoUjHxBjfhKr/hMO02hHRJhYp+z
S63maWsB1uPS1oK9OuTOFSmaww+TnHEiOHTydQ11OGpJpz0kJiorPHVDtKe1Fd6YKTN7TeLbc6Cb
L+wxH50o/FBHerxWKgKY5KhqvmibB0SgiEzpxlL8qb+GpJutG6ewVhEjHs8AG6nRypQPSj+yS3fj
GSCifIh6wp+o/odrxQbZJI0ACgEReOtGt4a7sOnaq6JIijuZTQN668T9YkS5fp81UEDUPjXuktDN
t2adaVsNGfS6J9vjRgqygW160B/yqEqeOgWfU6Gae0O6xa2Rt69KFxTPtVUS36REpbeKkzjeCDL9
8CPI57Co8GkPCpFJZA6R5Qw3YZpcyTjAe0f4CF5qvXZNX4dVMrkxETdJ03xoolwlWauAGBhBQ0R4
oZu8feN7nFtPnj7iN42QlIl6+19xERZ9QlkdAo17y+El3Ba9KQjocZ9ytp3xqN6paYcSdODEZmj1
V2k3D25rfSM7/YVYQvxVavlQB+1jqiQfowgUTxq/6pH69OvY+B81Tz4WGf/7P7/h5X/x0v9Kz/zv
/zd6vf+jmDsRcnmp3678/0kS5yz2OF0Hv3kVr6P8PTsO093/FsHpiv0LdSRgOzTs9L5Njvj/LoJ7
3r8oPcwgdeonNkrTv7spzr8MKnUa9XFcBtgvZ0HB/+2mqP9yqbPO5QJK5zRh8Dv8R1XwucLwd3lQ
QcwyZ3xSU//9VJ13TiSmFM++grAFssboVODUFGDyY9tfNd4IMiJnl/JiDwjJSDrA0GaVVXqYQlf7
MExKcTScpr7mVIf4qK8sZDhGNgQrshH1m6DU3NeylXRwVepg28DN0KlptTmhU4vBDfW4RTdvHvsf
CtH6783xv29lUYLyiHKAEkUkeymo4q/GxC1/SIfizSqwFLb4wCAxDdmxrbSb1JDWNbuQSl8Hrhal
myFqyx9FHLvPE+Fn7aolls3l09iQmpF7urgJMkv/3Cuue+txWP/Cu4YpFBu5DbJlyF7daYrlZuiy
6vPYN+6udVTlpe1c83qaKQLv3+Lvtf6/7nAp9uj7RrIJSqxDis7EWZnu1HzTzTxT10miK18ToxAv
1jRhJqpDj4JCFpTOOavj73Xkv//2/NTflPcHK2+q3i2m+eyo3EM6htniyeBTN1SgZd6/v7mU84fB
6M5lsjd/g9CXwbJlPzG4jOGbY4z517hW1EdntKIrjgCDOFPJX8hn/r6bRTEpTxyDrHTTOMQ8vZ8k
hLqsnLX61HBYkuuxc8Z9mbScr2y1Vz6IwXPuUg9hB5CuUH1yvUp90roWFWAXdXu3SpEruo2JXR9V
EQcQRZXj1ixc7bumxP01SgpON+8/oxMTduk4KtQoohDTNf4UWz77oqOpqWfIEKcuPf/7m8ff1j3l
7XFq/LF3VmGU77W0PDNyT12aheztpdOmzs2+bxs/0Ks7TY0QfIYXPhD990tz3DSSiMAcf8RTmI3V
xiheL3vUi7XRMcdQRujn/FTEAMhICs7rMzXYU89juVbZwjTNrGjYL6hb3WAzpZ4T5J+4tLPoZ6b6
oE+O2zdw1dRdOiZbAFhnps2pSy/WAPKUY/h9FrCGyvgQ6ckPkLmXPRBnMfUlvMiJs0rjF673tcBD
F9rVOasOA+EPq8qycMx+yTUTYx7WCpYZO59gvGS6kB+HKg9/XjRUnHnVfDN1hlZXNSgyjd9E3RTh
q6q8V8Prs81ll59fyJvLoynU7N5jJGajR/DzAGKvrzDLXHb1xeTMPRc2NNHzPul4VLr6LVta/7JL
LyanFAQsUdpofPqjG0Rb6Woyq8fLrr2YnpIyika6HkxsXT5mpbVJwH9ddunF9HSJXO+7PG58Y3AI
YaSrBcT0/UvPA/oPo9FeTE/O9J2BxolFJe3Hl4AA3H1Qp96z6KimO6GVPIRe0Z1pdJ2YsPZiwtbJ
WKTRxKzqM2qYGg5q0IPv38epSy8mrNlqfQjxgUdEIyHvTR/W2mWj3V58nDsmKHWMWvoR1DAXkXdW
XnjlxTTNysDU41pKn1bgc6N2n+jm3L3/POYf96f3Oj+nN1N0jMzAcZtS+uReWjtELQgfiiA/xF5c
YTVIlf37f+fUc19M1kQn+dItAtbgcaQ4H1hgkxxluPCtLuZrlPc2mYW8VVreH+3gR58r95f97sVs
DQjQm0Yd0E+l0+sNguEl67DKXHbxxXwt8xh9S8NDEdQpyqQkuNC5bCmwFvM18uI80spK+rWl1sAE
TUBkHQiBi374MshFayODvjbFdkqLRBsM5FJ4lz0TazFBhwIJnSXmgWIRoE2dF4Q8hq7LfvdiikZ9
K8aiQFitoqR3bbIywvayXeisCXs7kSRVuL7rWulbWvZMSt9Xql0XPu3FHK3QdpFRjKZIB2KRuu66
1vvLVhZrMS2rtijMIOdFpoqyLfXP7mhfOAAXU7KgBx1FkjXLzY0DnJCtHB/OvMT5M/CHNctazEkl
c5H1FIxtZBDGpnAJQKBzPxFtEYkP6mh419KOKm9N1i4Vagrv5h0lzmSPtl7FOTB2KRguLbSAMA/u
Z1S76kpktrFJPc25RxJDYk0al84rdUjlAbGQvVcGO3lSaXmuvZiIUyslc4bK8GEyGgVkMmCgukqF
33ZVtC+jGA1SjMnse43DYSfTcdz3ujNucP5na2Vm0ayMvrAPmkzaH7GwXLTsroSlOPejPw42xD5i
sNUHkOQFFkdXaR70psWxIwu7v2yHs9Stq6COa6/jY0Xm/DoQcI7rcwiuE0u9uVh6MMhnNcVP6WPm
eAgK9UElYvzMq//zm18aIo2pV0iqYrgG8SHVBRGd4rKJYC6WHVuEQVMSdEEOHS5/K0ai4aiXPWtz
sepoZZHZqSOkn6Tkx5EJK/FXto+XPZLFuuM0+TBJRHy+UQRXhRkfCz247Js91/7eLmlT2QYyy3PG
SEu8r6TETsxDGm4v++GLpSeacjdvI2axg7krscerSZ5DuZwagYu1hywW16Pux8tsDYQAtLvD4bJl
zVysPZGRkiYvdEm/190OIH7oep/5OC34KH9Vd5Y0LoUOPvgkFdaQN0avwSTalWeO5oZAeu+jYC1A
uzS53a0mEnkktJbUCzWoLptay1CVQRIh3NKKBYCp9VfI0UEMj4a47Ou4NLwnssxNh/om225vA1e2
Ly+cuEstHN/caCwajRcixR7dI+kT50w+J4aRsZi3cdunVp4xjDQz/ohMCix23F/4QBbTNsjUtBUp
33TNVO7iWPXRk1y2lC1jU1IAQiD9Cunn6KDEnLZe8225aNIai0mb0dLVrPlnI/hbVeFRq35cduHF
lAVlMU2N1fM8vGHT6NlqOlsCPvUaF1O27PI8kC2XlslNFdZro/rPcG5/Tdhf2vI3hydNU5Segd0c
YGh028Z2lY01ymwXOcYAOFiEl52Hl9R5DACTFVW8UTeSqAaD7gNq+XOvdLYm/Gk79asx8eYudHhP
rahC5uY02dvUGaYttZWA+h65HWqJBBzfmHqs89o5Dt0ACxVBDB1QW/1pepV92cdGX3yAywHV0mhk
vybEDZ1xAVnh7D2eGAL6ciYbJc1tlS/ZJOz7IYO+qkVnDtALQ8Zfg2BpbgvTtvbQWfKV7BEB0hVN
oLchkaQNnAa7eLZc0mgtq21pz50jOBHbaiiVgxtL7xGEXf15jO38WJXozjChePeOMoLo7XkUVTig
SCCpfjuZoX5Nvnh/lSHAv2gyY9BbfN/RySV529VwMjL1aE1asLGgRl20DGlL3ms92jJN67bybQjq
QYfPu1fPfITnRfKfBwB027//cK1vdW8s3cpXlcJ9NKFJHKPcNl6rkOCMi9YjffEnRjfRK/zo87lf
bNjqwy86N+HmS/zz19O9+/3XiyIRLY0w5lvjbkfvC22Ai16ovnQoj3GE68fig5U1xrDqxiRa6U1z
ph596mcvllEodDwGJ+WoKO0bdcofTRdQyGVPe1EIQeotsN4xP+tRgOhuct+W9veLrv3LAvBmeRNh
pSfmyGziE3CECNKABh+iy374L4LLm4ubAPoqayg7oIxF8bEZwKfE9N7OrIkLEMxfa8svKfyby1ej
R9YfMoxD5bXwcAT5NF0L+AZm3U7qbXzUsFusgyRVr1rUnXexYSEmKTx13er5eEV/qT00SezutQGh
Wmf0+iYP7GQP3/dcyvmJYbHkKHBO7t3KGtvDWNYGyWPQ/kc+WGee77z6/2GuLNmlJOoFtl1OOgob
Zzh2tZUdEqUp7xrLjTdKqAP+9LTmHBzi1F+b7/HN4870MpVjoup+DYYNHrhuX3tDbN6MmitvIszB
tEh7ZzgDmDv15BbrAPrQUqkT+hemU7hHvSWPCyrjObjDn9dIxBa/30tAw9XuLM04CE+UfqU26iHs
SHEbu6j/etnMWqwIkEEIK+lcza8nq1o1Wfo97s5lAZ16OIsVweptBH0Rx1orGn+GcfkpKP6zLJ+/
JtXSOamUnVfGOUc4BVaM+kMfL3scS/St5Y0FvVGXsZpnX9gBprduXLqXrb5LOHIzNQOi1dbwc2Zu
04DNcqLx3MnzxMOena5vx32c9RYNOk5nWVFeUfIGQ+1eVvv45e97M6Vw4dRlZ0UIdfJGJ5aMov8j
+vkLG3VLBxIw2sBuxolhEuq3PYeqTVWO9ub98b1I2/h7pCxmaC2aAINVYviG8Ah9xBGyBgEYErKr
a5CGTMBnURN/S9gVP1aVjXejdpUrD5PnbgB1v5W9Exz5VAYXbh3UxaQ2pAo3ggRMv4mRCtkdQS8A
7A/v3+6JFUNdTOcw0/ly6Ik8RJBhSZINu/aD007qs2vG4un9v3FihV2GDhhhhrZY8epDrqvCB/go
Hub9LYrLsccNj3rQLPT68f0/9udh/Q/KtqWRAOg1oeGjpHxKpt4PmvTMpeeZ8c/vEsjC32dMPmAv
sntb95nh2Hzn4DFdTW61KQ632PO8MyPw1B3Mj/HN7DF0hOtCmrovDPMnPrY9rcWLpC2YU3+/dKA3
E+jVqPY9tysOKgHWBCg55yD+vwoCf3pAi5Gamr2Y4LhWfjEYtnWddLbylBVCrF08psUqSvT62Qti
454jX3ytdJNLACPW+dUUmsZ9PTkQ+y0xjTfdMMqfKH7z3RiE9W0bAaHnG5zvqB1mB5fdUBKRUpS5
gKBpTVdr0FZRuGvNPNpNhDBft4kz3uS2R+h7NhQv0hojcqNb/UVNNfi2XmpXq8vG22IClWiCqzEJ
a7/CBePrXnpF1tVlShOYVb+/r7y2YvJ2h8pHbgLoPIrtlR6QXfP+T1+YK/93qdOWGr22x4Y41lFx
oBdsH1MUodvErAhrq0Xki1GwIHiRBjveCifAXe4U6B+UMJ+2Mq/kVVAgVd/obC3za+SgwUqPDE2u
PWzIeHJy9TIlD4HEvz8Ecp/jwbDUxldUpyOcatYuynE686368wKoLevdZj/JXlGhqVeaovlt3eVb
kevFrujqc1LBExN6Fs2+ndATdvkxmUiNqvhTWylwm1iyrC8bgEshYhMnZR81ke4bVRI/RAo2d01J
z1Wh/rx2a+5ilxC5mmyULNR9XO3DbpKlcR9JlnK7Cgh+HSrnyRhk/vL+gDzxLpZ6QcjRtGh7bzoI
BtVL5xlklYzVcK+isTzzuudn/oclaolAVos4KmOhTYckVcyrBovGM6EvyUepmuJQ9gOH806v15EW
Jmdm2aknuFhznSTTuybW1APeLUJhq7TH55oNpbGdNanHMSumj3DTiVh5/yH+6hz86RYXqzB8CdVr
O3s6WFZXIF/Ia3Pl9mp8qPrOA/hu98FWE3p4jA1agG2nOrgiu2BdOjh1M3Myr+CIFNsYpxXOYIEn
WEt+9BV+j5WIYQSraZZ9DvtcW+HGbW47p6z6nWpirR7iaHg2g96+0zvp4NnJRH3v1UF41xToYWso
Szs2V+nN2ITgC6aa7OEQi9nabhSS4cZw2EZx/KVpFdynfWvd4Lf1zpSPThyrNXexUBfwp4Hmdgwu
l9kH5z4Nf9bKZKkrE/rUF2ZReMhrDXohDqQfppHGN3Y/NYTieemz0tvlfUS9aWUHZoNNrMfkBtlN
WQdpFP1sWrDXZ17fiQG6WPKTEmZIZ3O0tufDL83Pm5wwgDO7vRM7mKXeMlLpDLiIgQ9tFY43xuAa
GO9MDK8mzlAobdZlW5glWK4eO1VJgoGA2aEGLlwFJDpQ7znzKk+sp0v9pdUkhWwH0R7wpUH2DIyJ
+BarHpPL1oilCLPXAb8WrWwPhabosB6kqd42JUDPaISmIXAGbYfJGykp6fiW33/tc5/8D5N2Kcos
+8aowrxtD7nipF8NDWjMSi/cdD0UobfJMuF9SyVOQ0xLWXA15mV4DnN86mnO//5muxkgLw0KvtaH
UvW+DJV9o4AZOXNXC3jFXzuMJZ3OyzL4QmHUHiKZYY3y1KQDIl6JbyaOsl2YhWSutKpH2Dg0LhAA
toXNqOxfmyZAZPH+oz11g4v10GNbarqxmmNoiz4R6jVsaOudI/ifaKQQbvH74/MCuBxh5TSHnnyW
0TPSq8QJa53YQI1OSi1NzG11XF8FOBw39LpI1DUKRF95Dvmkq8iPfP8uT23mlpAxdrwY8oSW+1nW
EPA9CG3vQphg242WZDPig8FgmZRblR759WCBhe4M+DYyAuuMPUBssp68VYzs9YamP+5wGZFH5Yzh
mebniY/7UkxqIDrMy7jPYUjXYMyNJt3kyoiBVBfmmTf9C176h1m01JA2sin1MY+7A3hO/cUNpN4A
lLZ4CFZeWTRUOvdojOg8EhgWw7bvEo4YUQe/sZARL6XtjMd6QCF0zgFxagIsIbwiLXtLRnQLuyqe
ftS2Fz3jo9LgWddkFpth8RBROdqkxD0ARsaxj0ooI3RWITDvnIPkxJ5nqVHNZUo1po7GQ9180nq5
S4M5sHDcuM5XvXGAgudnWpYntjr2YqcuuwA8GTjQfTopvjq17U6UqXrQIhLiC7BLW6eIwzOL9Knh
tFi2womsEEhb2l5Px2ZXuVN/FBNgHIwb3ZnhdOJraS92bkQkUn8za3U/AN+ECqJNq0Z3nzMLJQYd
0mD7/sw9sT4tI7gnh8pLM0EuT0Zj7QztugzPrb+nLr1YnBxRD7bSzVD0mCQr7TAAy7jsRy+2KW7b
QvnA8+mbblEfKjmkm86bzkXpnBhISyErSuEq60hq9CHyl/0qtWcLWVzX5i0F+XEfApnCze6U39+/
mVPrxlLaGpl1aWQJAFW6z7Yv0875Hgx9/Wzb7FyGJAXYo0qxjvsYPQj/ZX0QgwECoyBmrIuyOAB4
UZ1bM06M7KUYdjJrN7Tsuvdnj7QDS9gMIbIE5/odJxRH/6SryTGbokAKX4VJt4v6edsNja/zVkMW
1kSVDXHpq20e3Cuc4lPo1HX3M6qs/lz36Fc/9Q/L9FI2K0ZEFBRMAVXNaem60Fbt2K1gyLC7Hree
fSdCsa2r/M7oxwMiyTmaksjzCaEF0Y1O+JNyKFniylWjbp0q5MCO/TMACA+NV0/so1Wdyzo+NRDn
ifVmc2RY0NdsrRB+p1mg9C2twKsZWzCdevAVUI7GW9cOzzbnT30ultLcWCXluJxq4XumIN2jBZvx
Te+N4hv5UQ0nSMwG66DxrG/Ap6bvWq9pAXHpySCPWifrM8v4L/nFn97PYsckXDPKEtXq/BEkpr6y
3DA5CpEnm6Czkq8ce0LfThPtgN5uM3ktBOfJ7z26z1FehXsnbct80wg5wIsCDFL1M2StjUfAESEc
PbIXjSeyL2YHHEfRdGiJQKiIV3pulCF4TEaVWqA6aD+sohmqzftT/MQ30Fys5TXj2R2CiDJPKLO7
JCsdfP4Vul5JttB117bWUTVh2Au778+0+k7M4198/jdjR1GkUTa2gqFlzjeoQluTqw5n6lWYx9XD
+7d14m8sVdElRnwFjl7rVyZHE4cN3xbWlrnRRtns3/8TJ76CS9FwpeimXZMd59tVB+UN5OgBuEl6
7QyRequ4ZXxmEZ6n1B8G3VJBLDpLzdMgav00tF6b0Qw/x0PlPl10E0sNcTo1APNqp/PVzIiJn8in
imjqovUxTol7U47NmZd+6i7mheTNSx+yQBoR3Vffcwg2c62NTJPt+/dw6tLzC3pzaS/P6ilIwswn
SnmTdnwFrTMf8xOveKlvZRXOh1QJGl9MTrCfhLBuoNKFxOkMlrJPM8c+19o/9fFZyl2lBlxNtliC
604WOpDvdto2eTxcmZxLtjB3nE2bF3t6FEe3fImm6sKSxFLqGpD7GHhOnaFWGNRDPOZyn1tyuuzd
LKWugdnLinoNMSpOdTtV4jVRx9eLXvtS65orMPHsvMv9PpQGX8xBPbZJfe6FnBhUS7lrCGrKLjyF
w7GlletaxCbi5ujl/Z9+YnUy5n9/M2KLRA16yGC5H4edczOZsD9DaVqPVWpoX97/E/avs90f1o2l
8tVRerbiNufeRMvoj8Apa6N1EWvEaiR2eog8LXwOREqwR2/mt6VWJldp2JK1Qyw3hNi+6V8gR7Sr
+Mk4Jg5FSUO5K9I2JlcpKr6obtrsnNTL9FWeNunKiBV3J3q1+ZFM0XSbBT27aqeNX9Vy9HaVrUJs
lZo3/cBsQcsrThgQW4NjeA41afaIGKJVNpWldN+TMRl2pmF1L2lkDB/0UFEoo+rJRkaJ3Dd1MALn
KkgFipTI8MNWTx9bCbVqJcW0l1TuZPUSjMSkDV0f3blD3VLrzUdyixor3ldmRSIBZcvpNp9MjQH5
sZtGeIRaptOaBsZevwCqJd9JA8B/1dZKXa5I+lFB6fJT9hHlXxhbMDCC1k6fRFEEt8AXh8cc9P0q
7kwzX7Uq1LEI4W4IVrBTH3U5ZBsXTeMTLevI94pE4V6zVL23dd3ut/CdkrssCpMbSHrePpAyMFaK
9PL1fCR26UWCu4DqIfWrqbZqubIKxdhDOQ0OHMqdjZen8T5MomEkSkGOP0Qa6cc4E2YBg0dprZWa
xL277kaynT9YlZetemDGtFymvLoXINK+Ba2WXGXqvJckEb29GXqTOLy06qIny8hEsmOxG3La4LrN
JxWk+8YWipIQXph5wNg0YCGJrLxPM573qk3MaJ0PLUQqy+rLVQqGGehb5jTkBaXGpu2jYk+pKd2A
u+4/JlqV5rvBKim/Z/ijrJheB+HlZV5dmbUwSt/rxdDRQyyJ6YtzYhZXgdZA6LXaNs52SVQU/ce2
0Uxix10A0gy0Ac00mY/F2ojk+HFuED7o1Amdq1622vgB1JH+A6ia+5qFDRvW3FGsA2fC7hZufMRf
hS3iKxG05a2FviRZdQ4nXdhBIbEVsAS1deWkmrZxKWaRsR4KsXKAKT8plWLduNpk7vPRLj9ORHuQ
LGoRYzV0xbp0O+JEKGTP+SYZ8ljbbhvT7zkwvmp6IIkVS8YG5EcNwrKYmopQwtqxif+ccpVI5tgl
j6iWJWg+5kRGy4C0JHeo5JoTvnbVTJDwgZmXoTUQn15n1z0+qXVBgLexq0sqX5t48FznZ6lnxLWo
vGcYvylAqGgCvhZIs92XjUFMWBLm9c5TtLCj79wNpO1VbdztRkEsF0hQ4F+2O9z+D3Vn0hs5smXp
v1J4e0vQSOPUwNvQZ5dcUmiKCG0IRYSC82ScjPz1/Xm+BCoz0JWvq9GbQq4yU5IPJM2unXvu+fKx
zIDeA8tqizGEMmLm8zCSi3UiVDQItmUnSA8LphwumSyD7D4DfnMJVUe4K4zxiGDoPtksTXadMQqn
8mjcsLwhOWxt93Ehe1jDusi+Z9YQ67u6ZaL63uRi+pYlZq2hc/X1sJuD4nvJsO657Dw7uzTLVOsb
25Od9doP4U+rytOKxDPmwI/LFAMQ663MuzfNkh8JrLI/OoJu7rXy8nvXtvPN7HqVjpoFYmA02QLk
Rj6SbUdK/FS/5kOh75HDuk+8ff1jSoJhAkxc9U/kscPpW0rCPLxgJh+rIrJh4DYAEyoXeWpyr7x2
mbqzSzpdF3Fy6SIyffnLa0bqELeXSW8TImuPNkGfz7Tvg/uGtM1dUi3mcVIcd1AlC/8TFku9SbLE
FluSGtNt03jhvTumdGj7jvjQzugz0WZ642djR/3mdxdGpUuYgmZ6yrRMN7NarU8Imf4uQ/uKVCtq
YHMTCYhi4Rp4GHKPzB5096Ew6YdFqug+CLT3URLx/x3PCGVWklbfZEOQm2dlKo+Y161BcTucN2U1
3Xd1o/axlxAznpUJa79fkJ9aJOu0q0Wrz1o29Y6Lbm7CuS0+WYqgTC8gTFADEsix0isJn6zSdw5y
j+92V1ejX7TAwQDelfVOF/kpyDl6MbFeO7t6XUmUHIspvtUqmH6EU6q3Y1OyaHdEMM8JqLcuV2BY
BydP5p0JmpS11fU2iWWm+97S49Fu2vqpIdOW4peVf4jSa6wh+WSV2bSM1BwssupIextgsgXNODx3
0Dk63lZjbZwmSN0oWdP6JW0HkLsjK2KUJXEKP5LxqAgvdr7jgYL9DiwOlNE1ONyYLoEplfgv7uzr
nwQVr1u6vFhFxRqr0+C1ZJG62RV9p0PxpLqSM0bslv67PfYOqMpeFKemqFdYYyK8dICabpuhzV4H
QLNsWpMAT+nNzYul4/YcLIHbgp6H1xuRranMpmnsriRGEucRq2VJEt2YpOmDaxdesx2zXIA+SIV5
UOlMi2p1iTRldLPa+0mhNvVs93d6TfyLpXnHqWHrJHpW1Ze1IKEzyt2+emhWh/mJWIYPRorplBIS
1UaWG+RUAJmzE2GrLz06AqDFdTQRbC9SluvOKg7CIw4O9wqOEd/V35dAFRdyCsyXLMnHsxiL5D0E
RXAIw1w+d+sy7WYXgBBjhDmzDPBur6HIs/1haT85k4ptf6TKNEdFXfE4zF5GMl6nSAC3YajCbTsY
z2+HfQl364UWmj548eAc40J0e9XI4FCTTnejQ7T5wO/Ztk0Go4fiDX2htCJpl818B5SqCz6F4epO
W3LtuTe8tAjLI2xzIExeEcziB4hToD5hYgZin/F9RcollDKjFvtkkrB4cYK4fTd4PW+SdBoAka/L
C0sq6dKxlLXZtmFYdRHrIstvmRUPafNRuA6QuIndZ7L6IQoHOyf12Bm2jkjyeuuHiXdbGDM7TK6A
9/OKVDsb1bO4l1p156wr50+LDVDaztMk3hGfGnyMsnB2o+XFwXnO5+qmbqjJIhapDuJo1gCA4Hed
dhOS2PFpyBZZ0Lr3rPsit5pvou3Fl6Hv/Meh95u9NLZ30r1gQJh04BtSWUMfQMtCuw7ro35V5HsF
aGwhJRbA5eWNJCZ6Emto/GKj3Xp6y+0w2Rk/LUrKzLzzosV32m5DjhTZibXqHhLi/eJdM43uQbfh
whS07m6sOV6OmS6Ke4NiWu8TpcRhtYWeo5l2drtJm9gcRt8rzp6eXscmcLbXbumExuc3t4RU5k6U
DbX7zZJ48ZgsbNSPIelAQ+Zx78rIdZtxb0lOgpmcg4ugmn+pFCNVo2XXL50S1bjXKiFHsOgIlEpi
PwN0SZR/1KWMNEcmbjPyglv8G1EbtIxb9z0ZY7CVsoZc6DHOg7MhJTb/MVJt76mvEJmashE3sycq
l2hdKyeIk8HuMsrVerAJnw8PPU9Xs7GdPK8Og3DCDdwvWe3GUOYrTrAsvfihNoectgs3aJ7WoDqd
yT1j4Ku/C1cjoXmt+JY5RqTbpEypZIWIpwuxT2T+p34xgQMQWRY5AnxXReTJtnKDst+VWNb6KItL
DjIMxHUzu5vbe/S2iaRn1hdn5pCW8iVZlfsjaQllC4cAoEiSdtAG4V285N1iE4RsGmobQ6m+Ngpu
Z4+6elYLa/k6KCyRwBigNfqIoGQr1re2kM5naxnGrc9ahxsdtnTHlQ0ii1h7kt8KpwTfp2aGQ2u8
S5txKgp/n9gL/jonqJJjWM3yvi7T4jCuwT4J+uKj1HMHU87Ed9SfPEk6H3dusXyQ+mfCRwzYHoGT
ba+dY5v03vsSj+24ARgn7cOQK6siPUx0AQzSXPL1WVlxl2dty3QqTeqZRxJQzj6tmapvOHofQ8MI
WSrqBIdJ1vYk9vZqtanWUinuzDhUyV1Syk3tkmK1W6if5l0IGhw3H9PNw74fhxu78jt9YOZu/e66
3trt//4ASUL/VQP8P50gf9EGAzPYHQ9Jelw6wQdboHrf1HRv7zKdjcDqgCOPgz2eXTsN3sY57yGn
NuN0ohUx7J0048zT89j7/goxrOv69iD662S/dEd6BGVaNVGXS+oE6O4Tp40lgcoDU8bXe7mK8sIX
MltHW8RetXFI5Se+YJDTLQN6g4j8sqzoOTiEKdgxMRZ7DPL5Q1Y07bdCOPElbGclItGQlx6lvSJl
ugFSn0fOsI7PdlMXr2lskmJbikBvG3aAt7Y34YgDbZ1PddFVOCQD9SWulPWJB2+8rXvOBlEWYAEa
pJl5CCc7uB2NV6zEISITbVxWUTLkFm/Jz+m8ChZ3WbAxekjBRe6UnzAQhC+l9uZngsKd59mL06Mv
/HXedYHCDuoTr5JvZexyc/led6psnYIyFtcKtK06bzOvKd9xcf3ZBjH/S+e1Tr1pTGV+6tINf5L0
OMcRc33erZ0p37/EzFTcNLPs3xiQseGjhI2CC28vjyNYBQfGKgUtnF3XgGRfm+ndyVf7WDaZ9VXT
0/kSujiqwTbYKezWon4xupdv9mRzZs2IaHfcuLtXLHTZdioYgbquDDPgyWt8OKams+4CN4m6fs2J
PveG+bUOmvDTQJrsK0fk13hmTnmb+EXxPewm99QFg/NSBaO6y/ul3K6Zs3AJy6bsqcmVR8tet/Hz
vHhuQsR00l1MmVt0QUhdZgSgsTTFLmjtLgkdkMV4N4BAry1qbGUNNwG5xU+W5+itYZbtAp0y6KPU
lbm7GTqO+Vsis6/qxmSZLKoKorP3M5SKGyxiNFgoCr66Q5p/XgKAlJEVe/5bXDoDedgoIT8QBYD+
igyx7oSYjxOmCkvx6ovBLSMumo9jl4xqjnzQV/IbW03FAe45ORjjaMUvYrCpkQjuG+8mmmdztHQQ
rzY1mSEcl0lvXlgL82rEEOaYL0A8yk9dVpC2XVb6bAp+LCKcvbsXTOncjIHk7G5nvV/t/GpUbx3E
d6gM3OR25CciuUsHUXDtcxPfuGtXn2LhqgdHEbi/AeMyY8Yj1/MeE49+Gkohj1ra5jYh/PaevK7s
BZdwQJxvDsAnaoVcTnMOUrJXfkYYObXhduJ0+5VgtvLO98jyLKj9EC764Js/582Tlc/xxp6W8s2v
oWlFRH7Vz4xctDvSVfUWSiPgEo3zjdAoegMZUwxgEaJqblSylSJpPwW4EL8zzhPf0IjO8q2O6/4W
sK08T0tXUZq2JbnX/rKhBx58D0H3PrtdO6AGtCvh2OninIoskHJTtJV8NqMa7weZra8sqTryCQH9
QuiA/4XduX+1HbV222s/4SGsRdzTq5ntOxHm0Lvb1CLpm7p62E5+qI6C05y9G9l2Q0Zf6/RbZY0d
VGHC+FnJ5byVlbJBtSS1/dNJ+ukVj6HrbLtOBq9GYWAizZuBY2Jep29uXroi0jTbd1WfL1XU+N3y
2fhCJBiskGhAE4Sfw7UzH0EnOeBPFG2bdSH4fLAH+4expj5ahpTJ8dILpno/0F102LA56vsmDl+I
P3a/h+NQ3hDZ4mWEuXT1M/gO9dJAbKBmMvrOb8fwSbXTzDuZs/Cb27vNVusgO+t18PcM91EC54FC
6NJ1GX+4VtEB3yY9dd/gKC9PU86eSgR+rUxEN9J7ZA6TUoEoPPPTpMI7trIfOSsUatchgV8E/KWX
3GS+3trLkL0qlPZ8xzK4wKdZFpDthYM4EuclI/eDk3WcKcTYC9gntmEXtKB0cfCrLCbDC/prkFKX
4JKnVkbaPUevfjehFLzo0NjHPL3WIIUGLhLYNUctN16cjDIiy2/tRK4f8J/d16LvXISeOgRgUOT9
k+orVrh0lQs/KmPzklaCaOpuWC9GxQyZ+qZcTpNTESdK/2Rh6JTaY8tX1N4j2GS3Nuz3PCJDx79i
n7wrAqToneeqNGxwc5UZdip3qOQ2n5uE0Au6rPwlLGAX25vWfdak8ZnxpPob+DVvI63a0jcshgv0
iMFzwNcgXxyWom7g6faJcwxqMTzVXdE0EQ6NAMBUaKBVrY3zUCi17nHUqPu69qtT2fboU02TWl5k
LVp+aWw8MBGpJ+hZRbhEC2NoG+YSYtBvZXdyUsd+nFpg7HXW9OTrWdWpqJaa/k6a3a7LDK43jdu9
VwMiZ10tTsukrBs9Wu29nix5TIe2LRAzlf9edrS9eQbKZYcKsGA4GDDSDkHH4d6s5Ur90DQsN+Tz
77ORmiGBonNeFVyMWSi91XONGtLV65P0qvbFyJVNs3CDOFq8LH3LvdHOONxzI48jPKF7OGHIC+lY
WQyVe4S094C2sxNBKfUdmxrDjcS6LwhwdGbznZsaABexLu13Lxyqc2cF6kye0nj2R+aggK0l5QYJ
3flSg5G4a2IB6WWlkt0C/3DVhotmqj0JCdTRlQNNZVqru7qicvCBOr1kRJcgkLa2bEnNr8NTx735
pXJDqoyGfvedKDqhoqnpin2BxfajjLX3mA2cjaxVrp/6FCY9h7KM21kuhmvkrssJN6i5+qonvBnF
rHwMb4z3cWzr7nQr6904r8m+E738MXVz9pCLAMabVyJVt0My3Rc8o181kvFmTTD2+Niv9qsz1idV
lePCSsWso7FWgp50wPmdyeKTVZUO0f+OdYRBR8QTmfs7yIEuFe7EoJ7jznuwJtmByITw88h7eiJW
vX8K7TqOfNuyv9T0XY6EvnQ7z7BuBIV+D/IieCk7C7RnWrbdFjeEije5lVqPve6suyaEBZC2gT6z
Y7Or9aFN8dGVamy2qrXn99WV4kFn7ZLtSqZ7dg24pS2dEVLlU5OFXycfN8tmhbMYUOKqeOchAlZb
H5KW/Zh5+TA+L5MeOX7E1urvlsX3T7GbL8tWtC78gNQaEhX5+B0pGRvV5YfANdKPfPASp1HXNilH
VSOds5oH/d74SrRPvvGzQzrq6nv1+6Wv5jrxtqbswJmizZopSpXkkDItk3gaE2voN7QdG/USCqhe
OzPSct45ADc2zH9kx94dxl0gY/XUpKhfck07gEYqzG6LIKz3U0A/I/LmQgbUHy5awootLEKLb746
jZz2sT2JC5WAfAIb5ML9ozfbB53ZUZ6NW5iYwaXyU+t2aQnF53AYfhl9SA+St3fMKnRrX+fmqBAj
kQiy6jtD1v4GWl/1WI4dGKNg6A5yrYrPC+fEnnpNty/LWPQPRVYPn30bvQe+TnaobE9/BjH6JKjj
93afuqdWZnhLJHvJWZlueu866mi/yyHJhPabPbDkoFaJTS6n9G00DV2dDkSQWKfli/ZobKsWlTFK
WDXv/SxY7WjoA1os42SflLaTF3oz4Ysc2nrfMyB1YMCM4S+/XdSFrgE2Jo8E2CxSU7V8KlytfiSD
6r64gadBOQ0pdPOOYORdZefZyzozwZebpPlAeGevMsvoNjtnpFGQ6dG99+rrfaERQUTkAU9vtgPR
Ivc1nY9LL3Xm7pohbD8tegggEbiiO/upbaHgYDphEUykOa/Cts8cq8c7JgPT27DHGIM9ycCEtEKh
yUSZiweZWcEjbYL4pmKUiVNTIgPAoXN4Ui4B8KUs0s+1sc3XdY37Xe+sGnlOjvsptyHHkBlnXpjf
7IGa1OlrI3R3HoWcdmxBOPzbHnYSEs8P/lu/RQepHkqvCi9el8Kc0Gm3JYw+/5HA9kUc8fKtnwQM
2o9Jckq5bw+DUzBGQnMV7E/WumdoWulNZ1UhZV7sA1Ux2XppAUGYTbqE7Z2PIL1GbHMF2iqXZAcM
hmELQyYCY/6rs27EhDDRW231nsWpBXJkMMdah95tvbTyNtcZ4xo6mE4BsdhPmZuRpuKnNBHYL3Xx
FZCNTw+yiNvT2HvM/NFumGlOUFB8otdGMmftZ4TH6llFbZX3HGRoJOyREvx3V4txt86N/2Cw/YVY
toocW1Db6Zkwxbz+AdTJpx/Esp6mcf11pkl6FBhvtynK2RqtsiNmZPFLIEdzPgnJwJ8dvqG/AP7x
wYEBOKIdHxs6NTm0JXxgvXWl1A3F5wZ4Ce876DQ8FS8nHbbyD6IonC8k6XFTrGWO54VbGCDNEme4
1SpkEIVxs9xQPpvXLrn2ENNkFecwtSie1Lz0nwK+vfu2FdmuE8tymNWYvnPozl9GJy2+BGbMvks3
ZmlCKJ+3dUqLEZHb1BeV2x03T7lO23CJ3Ytn1/lurTN4KcUQPy2TYSwYJH0QJSiQh2Fp1U4tCw8Y
XoctG1J2DAvh/eQWrE/VWuOcGkMGB7kfbhJk0d3sBACi5qK2N6Ddl+cutIfbPpV9w8ZMz2CTraE+
UIa+ceqcrmE9a0rl6Fvn1c58TmzIWUnQLBR7It/0iJGXKh94NAcZN8dUVkXBGVUGd3qYZRc11Sgv
HLnKwwrMaI+5UZ5JqVnell6Fb75tBp4kr8pIo+7SVkIjWMxX0LehtxN8uPvMJz+Ig1O9czJnvoPD
xyCm09vlqWC/CHZVUg2fgoQixJIjaJHEDR9zRiRPs3LYK+AgXBTRKDckZ+rLbHpzplNXvXSu4WxR
MFVIj9fb2/K6Y5BSFOk0lRvLpMTXF1nDGt7R6LfX5WAvc3Kwg9J6Tdh26ee7kjEDQnnCaJDI+RGt
hfktRH35ASGScr5tc1qAfp0cg0WaU4Wq3QExpSgbg1zukeLlw5TWWUTxVG8l29OZ0eL0aPgwD2EJ
BzgiVRIw0whyL+f8iIut5IhUmTI8u0CFI5rxyWlBAHsQ2N/sSHRr+1YXhfUJzrE8k3csT6Ulh0vs
uPa96+b6R1lDVrkFTjvhSvAGdYTi470WYzV8hTFuf5t13u8HN2GGNhiWz3VOC/dmlCG4w2rprSt/
rZ0uLO4oJ0qxMecYEgzX46uxyVaA1ORKrgfvVu9dzPIf09ITLjdmNW6+jienDN1rbHcZzs9VFVbb
vjZhfRREbSLzVNPjmvqBjJDm9DZVE4mMnhvcDMUIg0c1YheT+n2mCzV/dfy43LeCEdzByg06gRL7
eMCpGJMD9x1MAs1zLUO9ox3WbL3Wjn8aF4IY8RLZRwNsKaRlIhpUtinYT00h7Y3pp3G/OJP6rpyp
PjpDOV5UPSXU1m3jvAG2s3c1bdYHOXs1A1pa23c1Qs3R8mGXpeME6tgLW0K7FGp3qsPhHusk1Azo
s93rSIoOd/kC8VlnAmycTOZbK5nyMppl7Wwg5xX3jLwl4y6Da81tBTylRUqnQRxVVdPAG7Ug/kRD
pmmNVa3TfGb5Y3KZLexUeeWqN3GLhEGWYPOE60Ju3dVu4ThkgiNzFzgb9nnvBduEgsJNfCSK1kI7
YuHdP8Whqh5d9Ni7rmqtXbGu7icnzHP6DmVypgDMzrTk0h1Xr3jxiBAc9tK1H2F9waM0ZbU8svj1
J+rQEHlSFj/WcWgjhc9iM9J7ZMxpLeWjYNLosXCb7EdSV+qmY2jhezFeVW/XrO7TUJNv2yBR7gMY
3hGSXvyDkIpvia+HXWdN1L3VSAOPMmI3QLNHXa+c68M7HixmimnB0d/X2VTsuatRAHNYuZls7T1n
ZM5teV4vlHJ18soYbhiAWYJFmcX5/ExmsnkguJbR49LF8qLH0jqSwGVv7YBED8FDhGuD7v2h8Odh
GxZVeaeFl9zmflA8GtJJUeE9ldM3NBOo1UE+ZQSCx5u0Uu6mk+j3WR5kz1lVzXel5V2tty16vGH5
ePRsg2ZTJ+suNUUVHLWFgAs6pmXhJEv7Q4JsP02yFnonVvKYbpawiKOG9X9l6Lztt3WB7LWdC/QX
KRdCbMjeGo4sdqnFsc2qiPCMxXSpIPYBbZq9xGLMy/ZfPLqFL1hL4jvOBfa06VLxORbDvHfiWhwR
++ajE6eOE01rl59z5Eg2jiY0ryaci88pxoRTAz3rUhJdcQtFy70LagbLNqU9lLvES2IR0WPHUVgX
fVZA18qKNxZVr3+0x7jKtrOXhwfLZjPeEpVbO99qnehtaTU0SGtycYfV7hHEJlKcNlXZztZWD823
IO8mFcEHTQ+us8bP3ow16n4QDGfIac76Z4dcgHCfUr7lG4a/8vowtYvL70jH9pInXsP89NH9t4AQ
6glbA59uOwRhwo67Zp9tVuFkT6k8fJcYcu6l8FBdGh5PAh/8uc441/HirwOZeRcCNPNIKwHHnrnH
iGFVWGJsrhtM1N3J4Na88eiScaXBX9LiB54oNMzZwe89d9fZXlgd17iIixuKVVPMG9Iy/Dg5XS9Y
KSJAaN6WLhknaM40hBEUXYD2Dmbt0rl+XD9KJ2ugmrZluvV1GtZbhjwYv0kB4gKNJs7gB7XWaFFh
aFBw9ohQQL+yQGKe/JjDq1P5Dj+uZ4qgJfUWsVmp6UdIQExx2XkVv8A1zGZ8Op47HzzYaPM56Yqk
iRLS5MRbgz5z1DYtbfbh6Qc+HuV/rXO6A1EatoKyr8rcnB0vGYcN35NSB1oQ/nfwi4G1Ix+3QF6w
m3I9SBub+6rTUW2zVdv3K20hVBQocUvkQRrdDUrpG+MW3rvt9jSFahHUduSsgCxiHEWfiiX2nvuq
wWGSYmpyXAmCdx6XcxUwYKxginPyRz3cBCxhVPuqd1MuHW57Dpakg5UJpDYr8OA9OvA0K0TteNpb
ecKIAiN4+Gzq+SsXLNjrUTvn6jpr1GG7/jYvA/NsDpLZXexDTj5S7hprVwFj/Ip6Onyg89Zfs8Rz
n1wLbHqU46u6oaWDLa7oWbVb4a5bPSYU6PjD3fIO9KX52SkTgkpV9JoX8i6+ZdZKsd/bSXoARmhd
mH3qtz0iHZtykISHnBv7LSTxsttAp1XbPG7HN0bWivsUS9cTt3J6B/rN+mpPTRA1jjEXO3aXe+kY
D7wAaLgtTCrOIt3iPQVXtDw7h/ezHJJ1r/KmY+9trOe1Wcc9z7/ZQBa1bxXl7YcarsqSH1jV5zZY
wJhWdK35alFX/aQOzkC9pu+iyGhG9+lAlxmJwB8KOspx0zZHTDPd+4QN50b0+XCjgvQnPaj4diH5
QUa0OZMvzOeoFDdLHpSbIStgIVi577637oMqjqImOcAGFqdonuoonb2KDyHbGzSC8KztgFHQapop
XtKgyXEJuUlyw+jH+mMO0oUupGRMBUn9qQfadVthQf/hjqL6qmg1EsydtXraTNjgI0mH5kZzi+wp
orPdJET4iQcwfGzaMr7vRtVvRgq8vVlkvS31gnxNLncZ4vlIOH2TyeA/h3mbP7Siqd9nUaKArnFD
/ycemk8l5xO1mZkvc/5lrf//jan7nwSguyZi/tcAuvN7/R+X9+WjBjlXD5iITj/++Q95/Z2P9374
5z+E/1toB64d+k7o+GEQXPNJ/4WgE+Fv0OfolSMMQQUIvWuUV82EXPrPf/jyN4D0/GKoQjBzlsO8
2x8MOt/6LbCJ3bxC6xiu/h0AmHw0D//q/0Lt+27+13/++3/UHOcbRJmeP/rXNrGrGItSHodZ6buW
tJxfU7kY+2/7ThB9UnkrSLUeHfqUT1IhrPjFMS1ha0TJlJHBi6d2vOsSjpA31soeip8xT8qjwFsA
8TB2fJTfznW474e5WpmWSVlifT/MPk+uwA9J73F+K4GV+Pt0iDn8mNxi1N1IqyQ4x05YMbEPDxF1
kRW1NtkcONXMT3mDLLYYSTvRaRt2mR4VbrUlmTe1auv3fB1Wf2PF+fg0uMt28BeREX7fWy+zcqkG
piysbghFWfXWScWy79cOx5ioi9nZVawQ5xlln7Gk9RSAQKs2uW2oQI0yEymA7fjqSV9W2zTpukOf
zQZcqiXLg0nVkw96FAAcJfRzggNxq924fiuXHP+Z8RhTXFMh321OBZhDx6CgPdjb76bNhzfyldoj
kEm6F0NV/T88f/93DMj79qN+GvTHx3B5b/8HgCCvI3f/9WMYfYDN/vjzM3j9+T8ewcD/TYUWCZyh
Zwdk0F6fzj8ewQA+pO36XogdPaS45f/88QTKgF9SfhBKG3+F+/tw4R9PoHR/CwLfcTg/ytAPSc/6
5aH7u4eQV/iTVcN1VcgfsEJyVAP+lvVrwARNjkR6jkX+rkhPQYq/rEYY79Z/Ywr569jfHy/DkhK6
wEzd4Pd50T8NMCzApEO0BWJEhbhpBmtfLt9i54dj0odSFf9mMP73UNL/9J/88WouzE1eymEJ+8WH
wh4E3hbz4iHQ/h1aprfBk/slEwQ++ZzFKc/anSmsLlIcHXWQPiClvYHyekK5u6ACnYx+VBjy9ozY
fLPC8Hnoxeuf7o8/FsM/L35/jaf411sMnetXzq3h0zD660SHcH0HYxJR4ImtqkOL5LDLMg7QDog8
VBX/qK5TboXGcrVyHPj7F//rjMofL+5ZyvIY5PSp5P764taIgwz9EnKOJnXPi7nw4uvfv8Qv6TB/
XINABVT73FzSv76HP11xOTuxbUI+YEwIaERLm166E0QtYOktGs9TKrvnTtpHNxGPbcGyuIqWtTHH
QpqHt5ZtToVI+6h1S/xtuIQiQUPs79+jfZ2t/vU+4Rm67j+exQzZLzNmqXJpJHvEFDu+YuaDtA45
alRtIsLG3D4L1XxRtIeDFu1gzc0lwQiH0OsfjFMdKeDdDb3kr6nu3ua6flqT+tg0q4l8mnO7v3+r
vz6mLl4EhiS4n9l5iQ/75Yp5QZCp1MnJmLSCm3HpjzDtD7Lx/s2gqvz1G/n9dRxbORhrnYCm5F+v
mjdInOi4SA74Vz+oaNtLX2TZrrkGHLmVXx6KIL8CxUqo5BlyUZfrfzOA+XuIwp8vyvUtUFrQbeL+
VPzz17fgVjVOrYLWRKHC4rbI8nmnq3b6FsxAv4eq0YKxQyhqWZuJaBKx/JoULnMO5RjcWi5Qzo1X
ldnH1BIZscNxHWzcyjGndfHmo+TAQnvZFf2b0fEl7sK7lqDqi1v74UEWIGlyRHRaaZGVaXqjUysP
cvTux1aMBydJSEVI/PuJXpPJ1/gFFxmFR55gJbGdI2/jVlh62i2FcPexNMmzGiz6X0F+ddGjbam4
uQ+g1OxUhqjpFjkDBJoOAl3027kQ5W72iZCDox3N2Kw9z0826VCIz2IWxd4Kk3qHyeKbquj7S2zJ
QWyJnTcdHXu2d840gIsP039z410rvb88I9fLQakGRdeX0mO/+OvlQNUOyqnq9aHsYuTxHNPpmM8p
xs710eeprufsEfNkduhMYOpt2zJ46pOUdUo7x/oYM/d1HJ35fh7R+Whqqo1a6TtwekXHTgKxWSbM
EBOGeBirmEyxG302mv/Z0iCONB6PN/oiC/Nf45FNxN0mDjVZYgU///sPGCh5h9w6PrHt/BLDsODt
d9e+1KzHvXgpk2y4JGv/3I3lx3/7hf43dee1HLfVtelbmRvAXwgb6bTR3ejATJESfYISZQk5Z1z9
PKD/GbPBHvZI35xMlVUuU5Y2dl57rTcYQIBY3QCeTXXJQjQoNZhkNSk8aDX4CuoeAbDM8pLqFWH9
x2kjQtBklV9i2UyvgJGGeFC5hZygV1NOUutYQyKNM9cMAG7bN5uuTl4iltvqt3uozF1UOD+wkLIW
QylreaUUyDwRs+bxz7K2EH8elBeP2s6FlpZRBTMlVF4ROGtzKH5oyZuoYyeyV7hTZt7pLcpvRSIe
faIZxNfuQq/4+/OenRlUQ5U13VRU2VLsOZA7udOwi8/6WK5cauiCOqiJgvhEfcRo1pheX4sYzEKS
XujkmaOfRk1Z5sEFpGEZzEh5HVHS6is39bV4bRvRlejxeVepzF1o6dzpD3+QiTNlXVHZjKf903G6
tssYcLBqFj/9Mf6umf3k2npLnqXyEV0a9rzaf5VyDa0rjX98PrpnZtNQhbB4d9pi3iKnrdttYjQe
IntuPqndVp2y5xDNs3wsEmg8yhcQKLbzeYsLaWKuU5lw3NQJgSiumMZSP0NRymoaKql0VbKYX5Go
wKwDBd+QqpYxJg/jCAFM0oxib1DE2lhqFb1YdbHpGyPf6oja7YOxMC4Q3s/Pgq3yUtBVQIDLCTda
qSBzj7as6snbxmzhAFjj98L+UQ1zJXoapI2Q2zvdVtF8aqz6QlR0dhpsQxMqr3LTMtTTaTA9LdIr
+JSu3kN/sdH9TccrGFs3o+q/Rsnorz+fhHlaF/e9oaGISMTBYWEsuzsaEulIHU3rZLIPapl/LaPu
wjyf65LGduXINWye54s7zDcoLHmALVy/CsRWNF3mwO0Yt70yfvNl/wjx9PM+fXiBzAvrXYtLDTGf
UvtQZSMt5rBUI3Lct0VVROs0677XlAuHTWVmkYs7gU7qtt7phHKwg1+6Wr1JjGJnR/oARL/+3qXq
tV9KKf+/NuwiM/yD60goGje7ocyPwMU7ZCS/LGcdMItYip7NZLjutfIGXPr95wNy7hB738xiUcVt
GxhG22FnUpfyWmpmlDtKR57cX1LrnMPD5XJ635J2unzzpLKhCtKhcJp+hFq3STvpNmmN54bcyOed
OrtT3y4gU9dtW3n7/XdvnN6U1UAkdemC34ZvJK7idi75xspNbenXspXspTjZwXnMXVP3Hz5v/dy+
Mbj4QPwKXeOf0472A3ZacOVLQFCZvIFH2r3WqKF++89aWRzKeRMO4BDk0h2tziFXsBn95A8eHXTE
phOc/LqytBTIgFpC4TUL15sGxSXJ7W+m8SEjwkQRgHPICyMglyiURVmi7T1FfPm8jwuRoH+uAe48
lIcojBEDLp4c0TB6oJtShrJQ/srL5KsUxD4svB7gS/o0lPGLKMJfjQqZtImVdJUCJ/38E+wzG4Qs
gC00w+AzDGMRNOVQtY24yAo31yvPRbjoZzgpD102gP/SJXMFqXR0dBMYfz+XZFJ0lptOReVVmBtq
JsqavEZ8X49e4CpldqCkFDl53SVUMCwqNsYADzGO94kYnSoLEKgA+Gbrnb9tAAzWVVAfKdI/j9LM
fBr04zDYsds0uKqVShS7puaFjqJ18rrppX0CavZbG4Y8r/zQczKABquUGTMo2q4xDIRzr3oobhXx
sBq1+BFj0dlsUtxRFthDvg8Oga33a92EIh/06XXmF82VkKHsqVMIQ8j/MnQJ1LpYOwwVPAIr1JCc
LEtH863ISSejW6VSLK+xvKrFKgOjDWwp2UJhfTRAh2xHyTf2kP5vA+Susf0Msw1Vn+xFmWx1BS70
WEKYd+uJol1tWVddrifbUZYMh5wr4tuKgr5S3eBRgB/BnIL5lerma1jHN1o27kMpgoFS2/1KySsd
xIhCbdgXFy7hM5GmRdZdJzNnkbiXF+flYHsl9H6tcKt2uO7y/gUI9gM4rTsz8B7lMk3wmvL/IJy2
ZKI/EMSKzIW82OteRD04lcfCbfoscibQviv4SfdyHd75dvTAn1p9vurP3MsWDy7KkAQbcxB/eoSR
xB6kKCgLN2tRgS0Sy3faQN54Snywpi50AJNfGNcPKR8uZmogqkZSldhKX0o4gjdMRiyYcoLMUkU+
ZIzhkuvRY56ZDaJS4fe25DeNLrY3ha3fp2n6s8ibKz4tu/bVQqw8WLx7xY7UtR4O460OWP9VSKq2
bRUkCijbhb/nK8LppMk2bxuF3I/JQ8BcrAWjb2Bq4b9GkCrfT/WD71kXDsAPhw8tUI0xTUGiWSYf
fDoPuVLlhq+jjJOP6VU2SD9yL75KzfCCtMy5Zizbskkzq4rQlpJFiZmklu+FOem2aAWgzCkrTlnt
N1X4/xkwmxQvrxiC6A8C1WU2dFIGw8Ct6wo9E2sH/c+Jpcc86W9sz7jT8I/zZJquyxnB91MJ9cNY
mfeNYmKj+l1OJIilF2KFN5fBk7iEMSahz0Bruq4QiZ6O8VRjPuph6wwayr7NR+hVAXgec1UAUTcL
fStF0dq2zXVT6XuosBsFqfi+fomNEEEAZQXXxol/pFM3Q/VXooSXr9ou5MV1DqMrAxmfgelB8nhX
QYZStJtO1/e/uVsXPZjPrHfRTh1AF65tDfwAJDa1fG1w1oDDfa2KaiPUyv2D1nSZxa9xBMJ7P23N
B8UQmoWB5FEVruXpFnAp4jHlash/obZzYXbOrUz7XWOLgygdSH5Z+Ai6cmCsBgtERAse3/j6J13S
bIOCynwGLWLtLIiBkg8M4KDPVUtgWXLg+kSNBZRMw7xwuJ7v07+tLY6Nrht8NNBpbcrNLdgXV5ee
A/Xx8y6db8QUskpNmKhlMXBeZ5ZJiui5a0njRsruZRCIcXVJy3v+Wz7sHcKB/9XKYu/AvJRrE3yw
O0Lrk+0jSLmV5Q0bRfyH3Vks8YI7tRs1Guq0fG2lPxL1RS8v2W/PX/uhN3i2axYvbOrui9eoyVu4
AyucuQUuhlL/SzPweZHMtQQkWSrtC9H12bH7t7XlSzTw/bCtgV2y0OoNuhHriWzqaEFDaa0LK26O
Dz52DEyBrNgEEcvFYJRyocnGyGKQVYegBVsZ8082qvFvE4uVUOMbLXcS8nBAOddhf0BcZR2gjfP5
qj47ZqS7ySpy4xKWn549daaFXoYHoNuP13og8+7JYRHskF7/o4aEbnEfUhldZml9MZqZYXK1IzS2
GkxjMyqAAVVg+umFK/5jl6gfKZauUYNm3S2P00wtkIwPrczNdGOraeW+rpEwKdvbCNrh56M3j87p
MqApki0EWtpbAvp09DoVLYKWhJHrQfK1yvG5w0IvUAJIaYGbaldqfcyiS7LxHw8iGiWpbsgyWTNy
eaeNxpMNtj5D5imPJ4DQX+08uUnrS5rwH7fuXIXjPgIcY8zJytNWbKUNJhMQu9tH04ZX4GYWIIjl
r2GHa8xkXJizs33SDU1jDcqsRfW0tZKUjO6X7CfY12uFt2Ei9Zu0Hzafz9fZZgwaoVROZX4p6Ylw
m+T7VssJ4XVOr7arCa06iRLW5818eNJoYJKJ9G0qA4B9lmMXxyq06i7JXE1tHC8ExC/BeJoeuj5Z
yd3MxfztQoRGSkZQe2b4bB40i9mKQFvGAUxowloVoKh0xZSuyvaSSPv81yzWu0LpiOCZFIb5oSog
T0IC9Gulrl/LsYFsn9x8sSIjqi/sqzPzpJBmMm3T5GwlV3G6HPysS2BwghZIc/Eo0GdSev2Oh/aF
/PO57qCuyBMJQTFBQva0GWWKEy0xNVTUI4hXFqL7q1DSL1y0ZzaSDuyMX8Ki2rx0zW6sqANFOqUu
VsQbXc2vkBK8gou/UYFmZCJ7/XztXWpu0Sd5ROCHV3bqzlQ/zNNuZ33B+Qlgl+G6yuuXP2gOXAew
Ho26/TKZkwW5rHZGR3MFhumW7Xr65AZQ7hLYTNDZL1yKZw5cXSUBSPzFnUUG7XTGRhuDiUpOU/SR
UzBt/neYmRspDBxw6uE47trR3ElYt3/eyTM3ykmri9OpNYp4Qo0zdRWtd4oQyl03bEas26D9XTih
ziXoLA4o8tQyD7sPJyESGvFo237h1kV6ZZnFAWXF5jClqHVqRe1UFgRJD1P3tV2qvzrJehRV364/
7++H7UfmQOdi09h9bL6lm7DAlsRsWjMn35o6eoIiUt/oDvfBb4dRNGTw8KFOQZcBTZ1Op1YXRdvn
Q+6qcfqXEelbqsQX9viHFTM3AaZMRTyEWu2yxkO9vkT6tsvduFef676qZ/Ltc5IHO5AJ0N7J/xu+
dm/W+qVD7MMtMLc8Z3pl8hoWL8rTzqHJlaBvLuduVIeH2NJ/Jgi0zPJvY5Dd6bmOIGnUXXB9/bBS
39okjTMX1EBNLILG2KqsSW4Uegsh1xm96bHUUToJY3uLx9aFxs4NLVA6Ds8Z7/chpGtHTIAG6Exu
oht3UtTGjmhTJ9aMY2HmR0mYj1ppPCIwcSG5cm5gSawYlkrQSklgsWqQgeOGE0qBwP4K6NgGGhhK
i3nYrosSUdJRTShMxF8/3xNvl/bJ3cfNKqjczchiQCLyvGne5QTirk5rnXyy22EDtucixMCQgiWM
g1ctHnxkDUcUPYf0NTSaHQALGDzxURmNzpHqiWEx7RL7iQRSBSh1x6803Vo1pqZvpJwsaxX9EKIA
DSMhbCn1tYM0ou4odfVoxvqrHTcvZgGhupiUJy1GtZbUys1kxpJbS6gvoNv4vdDUdAVuCvppbB2B
EGBFL5DBjADhb6q6tEAJV+o2jW1p3YXlhVtOnc/AD8MDmIQyqq2pplickXoijMIevNwd6pQahokm
AxQ2sS1qmFdTPmuVtea28OTDOCflA0ktQfFm2xhl4kc5EOumDeqNmad7fcqjjQKZh8EohROF4sWw
onQdIWuxRdftUuz04cZkYqn9WjM0XGiANk8ntvF1vMirgjypMfjwBWFstNmkrPt68K8sXIJXbWld
smc+Uzadb0tiAnIkBsjzxU2WJIOuYoedu5Cnm207DKYDnxe9WDLTgAAKeRtOaUoKTPJmTUPFEQq1
NdhuMmKO2pNu6a9D3zxjwodwnzzdR4UhDkOZlBvMeaULAe2ZW2lOk2tA4UFr2spyyxU1ilJmS/JD
Rn24aqIvWuY1qzDPK6eU/WH+MZ/ZBCslKaDatGW669VeuXAvfTxwuPTJ1pNYNQAzLk/UISoLxbPQ
BpcQwExG+UaWA4RcRniDyjob7Sv0Ex0yd5eeeR+rn+iLWjJZmRliyx2ySJbo1RDCGyLNmrQoDEsK
Tr7BBNS8sRzZf6284JFVuhr09jppLvT5w128aHpxi5R1qOBkm3BFNuMu9ga4wSDoiu7CDF9oZgkK
szo1CUyEcNzcRtRw5l42tavmlxAXHyNuBlIRAFHmKdSM+fffHaK+nBqtFjGQ/SCqvWeU+TFRRLr5
/Kw+P18qhQSeECr5x/mafNeMOlktbIwoB6kXb9VGPAaGuEHr5rWz7bvWR2sMWOexrMqd2lp/1DgX
vkruhkfSUsG+SLqGGpxP44V0yFrtHsnKv8e4aVdj8b1syr0fBdgbV1+yMd9f6Ph8apycwvNqedf2
ouOofYQBebDcJRW2RTJ6UxkzlpdaK2bnWdd9KUX0bbCkL0NdXNmKvvq8/Q9H6dy8UGbODHkJUr+n
4+5nsO372CapaL0GkNer1D8il6wm0c6EOPV5Y3NfPvT1XWPaaWOT5EvUrU3M67LK6UjzGV277nUV
qGHyHza1WLaeDHyWimzm4qsOFTRFtbThEfCgghf7k07peJAT+wtj6UanibYokVzK3bYxxaYwEEQF
xThQQcY2SDX07k96NsMC2JFQp5agmBRMrg5IniyjXaFbqcaolZHE2npVqq7bQUsurNCzk/auvcUK
Mfu4a1HlnO0dijtT6a/rqpy1DR1Z/T3zmbfaGM8YAHZUodjtS4hfNIKPSiIvc5UQakFhiRu7zrGr
SHvCw0tw8g8x6bzyQdYB3yLfYy3nDeJn5pHQoF8jjEXDSFESMG5au9lg8rGPoFWhvPn0+VqBI/Nx
C/AItggkCF2UN+bM+3OOQhvnDJ4RrqFKf4Wh7D2IKDW2XGFOUmcbJEKDe/RX+82ojT9GOFEbpMX0
dayGaPMM8iNCzr+sHDJCaKmda1qYlDUtOAwUxx5j8oJbc6p2I1nMMteuo0G9HzPIYVFoDHDXg27b
h+jwBR1yYugkyA5BKea2yBOAY6ivRlxI3QaE0tavMnH00gz1aQ14lGM0cZ45rcfEgG+2q1WBc65b
d6n1Cyk0fwftX7/Ku3DXZdJd12rpMaYlXIgn27F7+aC0mrWeOu3o9ThtdLXd3k2ZtMGqON516Iq4
mUnv43T6u2hicVN64psPDgJDtMItddSqTXjNriWkJy1KkqtaUf7SE2N4bHjOQdb2p5WKGiKiHZW+
mkbP3BmzdLeqo+vWdyiySBJ6iWoZHdtp2METhZWdSsTXKDrdB5GwXHRxPLQ/U8WF2ITCGILCjtAJ
8w2lWWOSgOKxJ78UdfullyDUa5l6C3N7HyvFWADHVPVtVRf4BgOrfglo1wl1taZMrTUAQ6Txeozl
fh3Ek3cfeDo09TCqDgCPLcrMsnQIKtlYITeIBkUQxz+lSSsPhjoWN3JFrNQ26L61frWxo0bfGD66
2AiR5o6cin0lB/pGGI287zP/SpE04Hpp0u9DgcZRpimP2uh/91JUMKP+MSQbckDpFopiUSHsj90A
AjrFTTdVr7wLJ7ptrzXgHStbTI2raUm06eV814PT3gg4Lhza8YjYsGztEM6jTBwpu66wHFud9Znt
USPnHOlIw2faDlu5W4AhzF3vdYEbDg22K22uf0MrByAaBcD2CJ9iqFaW5m2TqJkyOIY5SeQK7mEV
1k8KvIQV7CyEnc1UdZUUVTFzEvlBtPWww2Ek8J2orDaRn39D8QKVRy2Knd7q+3vMDDyeM1q7l2rv
ujBG+Wsv+frBV/34DhF5TdrkeKmuahv7slF4V4YFV9sTov9Lz6rIRYYQaS8ZRLW27TJDLncdwu/X
hihjND171LxnQ5WVrQYr1fSDbadN9X1LWcY1pw4tKMOIHbyuBhjL+F7oU1EcU3J8e0keNjoK0oim
5wZ/PH825WanoAb6XW+NfO9F+gMPv/gZOCpagR2ktX3ZGc33QCvSTaSCdUJvpu5/6kGgInYjZhsG
NOJ6C8MDhIDiqP2CivnO5IW9UlMUDqhEFujfp5pNSSVojMOg6i9ImEIflWeD0gLPxR5R41t4TpXT
+9K2rZgTtPF40pV1iwBbyxMDyVovcbLJ7txEKSWOFKnvEZb0vzdyb2w8FLBpQ4+0tVr5021TwAjC
A3aEMUWcfmOmNRZ2WtWiP4Frme9oKcLQUOlBqlh+NTmFWsMq8dHdcyUT9WWnqAZT3phRXtxKUtZd
m6ndHWpU/JStgp/rJjWk+jEcJWUvklzEaE2K8MeQo4sWWLUzdaAUYLiHTid78r3UgYhd9ei9O2OK
1jZiI/uur2+0wO8dr8xmpvmgOwVCWpuitBEDkEKdJJqHRf1eqdGrpnRT9Td6pj/EqIrVDU8+m7TB
MY7xz00LT6xLaXDkWNzGbXQH++q+hyuMXuTXoor+rsYCjWdbOupJcmP58s6kPCgmtIXMEIsCE1Nf
p62Ur9JE/pW1568RJwL8kySHEcqCO9X5EUmE+0lGGNMKq2wz1VKyJmD+BoQc1anMaLaxrHw1dW6M
kpvaGX3tzqqJm4euRdowaO5IMv2dWqyLoR77dYcRuhII7Nt7+VlN+LHdmL9oCC1c2EdN2R2RdX/K
EILota84OkAuq9qvtZF+DWQekZ2FnZQkFw+93TzGWIxLaQZgpcmvrNDcoGIJT6V86BrxKky4FT3G
QN40giPG24eRUUb7XkLrXvae7RYPIMmQN0me4c7RXmeGfzCtTF8pdq+gltfq67Ek82egEedlOtaI
6c+oYwDt5yC3nbKwn0DUbEnO7nMR/MI9zUVy5hrN92Ogoy9otT/lJHvqerEOeqU/TLE6Z/cIOw14
PpH2aCrS0QgHZ1awGUOdIpCMX8eLMjQYKXnB164wrrXYVB0WZjmLdt2p2rRDvwL1ZT/JHiSFnR5P
6bPWjat+tFxFR5NT6xyja3Qgi9KPoPM6Tlf/Bgn7tQiVF0nU9yIecoR96lVrWX+xp/6Ku9ExzXjT
DEr2apOhwpvkKKNQ6/ro03jGlio8Jj95fN2kxnXVKIkTdSzHvpJ2YyIODbJPO40fDJqX30V+kKxL
oaO/IVdOrCN+Q0CyzuwmWgtUpxxhTa4o64c4G36iltYdSuDWzSGpe98Y3MDokA4ekW8M7/VUZFV+
7+U4uyC4wJf4YTwdSLn9+jxAOhNszrwHWwhQfsidL3IsQYSDN5jI3O3q9uDbupsGElSgaiuX6oU4
+tyTcw79ZvTanGg2F+90kRt91Ji0ZSLdjmrm1hi/q9mzwMjA0bKatLMm1iPJqwIprM+7eebtDt5f
ADUjNQG6ff79d69dIQclbEZeu71u7C2lc/y4vZ6kSy54cw8W7633PfwAnUuRkg4bmhmT8eiHJELt
ZL4Sij1OQ6sJyXAgjeYBIZDffzOcNLyYxloapCrFFwuVGfuLUtU4RBXbtsxuEJo7/P5Q8haygNQR
VkNXPh1K9Krioch4P0togRHw3BO6OrnV3n7ezJl3Msg4xCtgHrFclrlkX80VYwIe7LY9PlP2VzXp
yZ1rwC7iTSyZF3AxH7N3cFxBzhtvZFMViOVprwRBIcqN8yOvDR0qxNK69oLXpkyB3hV7SaRX5axK
j1/IJmvMx6SrLhRhzq3Q9x+weD+3okB3BU04twwhqCfGTsDlSaz+4fNhPZNd4tlHpQdyB9CiN0Ts
u42AevXEwcsjjIg+OJDDL1dshUtP2HNbnSQ3pBcMwSwGdrEevcEzW2kkYUx59crs8HPrIXxaL2p/
O6ryrSpS5AT7XYuczOf9O9sy3O1ZWoE8KN08nUjZaE21SBp2+lgfDLlDsKhDec6KX6cKcAuY9nSF
UPeTXwYHA+nOz5s/M4s0SuEf+A5eHJZ62nocJHGXo1kH/iMlR92MMRLiqKNXrSLWnzd15mGLHsSc
QVKBaQMnPW1qLOouHKoyd4Nu0o+Fnk7bNEXNDDB9uIt1iDUIlg8ba2qMC4WMM2voXcuKvCguYfnF
XWLSSbO29nM9y7OE+3nnzlxLc1aCaQQmC/Z9MYv+ZKD5GHKQ6mNzzIydpd1ovBeAx1xo6MwxA8sE
ioUCyxBLi8W2Sw27CnDTzF3Eor+p5UM1xn/nkrUpa/9o1saFY/rc8pildVDLYm9g73c6Z5OEnST2
G4xcjtNLY2yrXF35w6XROzNB8wNQhXArBEXA+TPebXIkayeMqzg7KZL/Vc10MV3cfz5BZ5sgSU36
GMUMzs7TJoYkm+RCpokhHK8RvMaVrrkERL/UxrxI3nXDV4fMCGxumijVHQphK+zjNp9348yE2Cpg
KtJf/Fu8lezeNQEToS/IVwCqsuVnC33GrhA7pNcuFdDOtzNrtPAShce5GK4OFPEgG7SDp/dzl0av
nYYBBBTbP+rPv+0shswUflfqBbcI9AlpNcXII1rWF7TSLoiqnJ+af9uZt9W7ccP8UIOMRX+QXbmX
Te1eShGE/XxuzrahI/kwa1zY+pJf3Y5GZdjeHGiY3qb11F2JhtyfNDGTEKCbctgsbn1U26yBQjkp
yUY6RE121XVi93kTZ04ycokzSBXhHvqyOCzlzoamZhNY5FPyS3jt9ZgGr2WdXk32pQLz2QEzqRiB
2tOUD5UjpfISg+kHUU6giccEXep+Gz0BSAO8BsBRJt8yZ2Gj9xOv2HlsdzFwTpAxN7aUYzpqdVtR
ho4cWf+ERP+v9dv+7ySm/n9SeZvz8P9nealHlBqC/3HMq5/f32tMvWXv/xGZUjQZoTfgHyAekTyy
ZqDGPxpTiir+i9MaoA+5+Lcg6X9rTGnWfwGl0owZtvgmMsVK/m+NKU37L0CnzDySGFSTZpD6b4hM
LcSAzBm7NYtLGYI6OfpXy/hBxxoC2XDJxzOiHu8C3CGdTsc4VW976cZrp5y0MvJrFXZOQEb6Amek
okl2qTQ2V0aN5KcnEmGtULbur4tALdciblAbxIc8cCVVbvILp8Qipnz7YEDqXKVAvQBgL6G3xI08
ZpvKvwvVSbrXfLlxBjVusUFU4Q216bdyENoXkaGp7sA2pKzpG9KFE/c0UJm/gauWdOOs3cf0LQP3
psyDRqCFA4rIELfeZKrf004p9wLgEhqLSDauRdlcshhXTi+uuVkmSLUB6wJ1nsfgdL8H4VCXiKDk
dwH60cZtQzHxRU8NFf5/HrrCnMwrcq3+lzBOwwDkbq6oK7vAv3cVmF4cbvEWsO7VpvfItMdI1qhm
pVx4OZ0Gwm+faJNRUIHBUukBfHD6iamn1WNbZMldY4/ZVY/8KBqskL1WhgqGdCeXprLvm0G/0boA
I9J3W+/un7f9e+Wut7n/98n/T+vcHapBDG5RoV1cIbVcRVS46+wuCKubSC6CLyKOo5sWLN+1FJXh
wcB1lhpJOaCKLJRqD5HTxj40jA7xCCbjwufM83HyOcCLUErSQQWjusLtezoYU2Tahd7k4Z0oMPei
7KD1PybRKjcy6lspTiq+/h0R8PopBxzpoC2m9VRtinG2D878a+Tx02DddmPzJF+eqY8bCUUdAl/e
LGhUEZguVpMOhD3EltC6LQsZCfLZb8Pq1fpFUTqkx6zKXlmtre60STTHJIqkQ67k8YUhOr2QmTCy
XAAeoNPOQTg1ydMRAq/JqaN79a2PlefLiM9aAu2OzwnbtngRWa1f2LmL3MJbi3N/Oe6gk88qfqct
Nsg24nyk97ccZmySOLBxWc6K2AmVWnUIP9A6DsPJCWVzBqRZ+J0qeJBgyO789uqAPsAmtnQFKgsH
yumXeKgy4SpqDbeBHPhXqIXY26ItMRn3/ECDWi6H10lUe5s+TuOrBjEnXC5C21h3ublJMM8mhRV1
36zQv5Ds+bCFwZUhOsETjGuG6Vk899J+9AtOOPnWNPrQxe28OhCDIDAV58aLkqMfL2zctH3UqC+E
Zx8POJqmZjmDeXmPqcslqeiQiHLRiFukXMynousw/WsyaplVZPc/OrVUbkTdmXfodDdgGhKBNJ2O
erOEHbyDSnOxHrO+3w3BmO8s34SL9vmczYvjdEOzZDSct2ZAN2zzxZShrmMHWAmJW1nrm6e20Uxs
jtv2r0YJqivKpM2tOcUBPH0WPFbLifH6efsfDzjY0YwNqqnIEUDTXewX2UhiY0Tf+tYDNPe1HtPS
Ca26XiuqP2wRkA1ds1TCa7+SAoyTotF/7nwPA9yMYgKi+9XvyRW+7aaT71m8oVurTLu4D8Rtmhrf
/CA8QL/+daHPH269uc+cFNz4wGc/LAoSxFFlYTxza1YjprTkUNqt51E8yCovvEKxGgX82JS2mZwX
L0Nc6Dt/6sq92WXxPgikpHUUoTR/51lYbxS7tX9/0UIlIH03a2fColkGA2UT4USC3NxtaTbJF+6m
vy102g91T0WoU/TsUOWyhadLlT6EQfe16yiRKqqEFUJoZ97Pf479kv3uIrzt3X0+eh8388wU4dHH
cwd01zLX3g5VOyHSPd0izkuBlFmKQwlnPCECsPJYTgAKaBHMX8tF6V0iOJ5ZrqSLSIhxuJP8Q25y
ccRBqjZ6sxS3nR9ip4cZdPGiBKN+FNMob5QwLq8x/3ruswQf4bxB3Bcx3+BnDH7wOjHTcPv5YJxb
SZwqMvceNzKykqefg5cOFVwj0m45z5qnqq/QThFI6K1Syq3a5vPGFojZf/YGAT+gb/4Bg724/SW9
GVQkfcUtuv9cayE5wufW1oIjAufDDxzhGmjuFp4EmuTHO675DrfIurviOn6ywgB5fN3HbRIn42wd
GDUWF4pfJftRph4L1Bb1mjHoLuVM3wRVFkccLxVkesiOnIkKJphUYNJqVnOLvfYqaqXKqQy/vMoH
SomrzDYwoisqrTmaUdh+Ief1t10QZ7atov1qKHQe1BytfztFH92gTPulU+rm6cLQznHc8iPVWa92
ZoAC710cO1ieKQS0fGRdyh1KjVqk3GRmnG3FXMT0k8LeQ0rxviRdotxMStt/yeJwnWI+6+hd+JO6
WHeJPXF24ITOUSCTamYI51DnXRaGNmGblYp6W0+6fqxrpXkaFHwhUVUwHyMuy+MI/WCfqBh4mxjh
/tU1HQGI1FmQcinDSk2rXUV50zzpgDh+iCD4o2F7e3CSNDD50sX61we4ZWWWKLwceuWmLKbkDo37
r3ZfDMe2rgcnjXBbNVGAPFKMeCiqgkt3Mqy9UkzNreQHFwgZH55RM0Bb44uoQxIKLR8LvtFbXkyV
+xaDZ86ELCxeOnw1q1USyKCVTbV61HwG88LqmS/J5eqhJjBrZwJl53w8nSm7VdqkIm9+62e2/6pi
vclrt0scbvx6I6lTfx9NmX5ECtK819Qp3wdv76k/+ApodjOqmE1iL09mO+4HXxoi5Ta2qJGsam2u
R0pGsIkMVG6SNn+Vy8n7rmUDnIL551kLxPm3P4IUgkK2Yk5DgJ9dLFqzrVpTG9TpFnZOcEQiN79W
Jkv8iEFQ3Zhen18VQ3Iz9QlGKZSyvk81aLHPv+EtnjydDr6BbC+pMj4Ebs7pdJg9kpRmJuTbgehP
ww1OLl7SeeNCq+TcxKSFUCuJY2ObjVNwI4Jy9jYs8595GwbTGhfE4sXzYywnoEs1T7HW1nupEyrW
goV+1Oc3BNoBYA0Uo35Ksz7fF8kosOFGLyvcUlsFaoSYlm2tEKLK928vY3PqOdM+7yjD+vECEnST
GYeRQCZ1GSokWYdtSdv/9xmR5CPxrFlgHznp5v1I2vJYZdTBc7/8HrVm8pDND3YESxAzklpeJ74u
3FBWxyusKB/90BCbQZLKVW6nwybRMfDwa9H/rOpeu8kb/VuldfoxAOKMHV5q3oVSXT9zMYLMiHPT
+edROgyadltOvTWuO7uPOLTDskOkXgi2wjA+oLlQrpsAjlIbTQZUwvn9irs0OQQp1/SjPYbxTad2
G4qZ0rFrIhwG8ZvEYBe0HrC/7BsJb/OusIIMCn2e73O7iu91MfgsfIW1FRvp3w1K0A/ce/leYqr2
hhkqBxsBNayki/YXbiLqppiwzEs71b8GJtG6dqJO23qQgJBhgfGK1xB2t8H8hNP4b54NasU5UuR6
tzbDTHMj2ALX2JgPEAYklgqhsfU/2TuT3biRNl3fykHvWeA8AKfPgsxBqZSUGm3LG0KWZTI4B2fy
6vthqtC/lTKkv86ugQZqUdZEJhnxxTe8w00/FOXOpZNzIyFq7vNq2tRzGp6bkfNVFQrujbG5RYUQ
yxOlwi2vtBP3Yi68fN3PrXaVaJV7jrlgcl47kCsXOQrsHeNN6rTOOTMflARnHQHLsMcye8AtriAv
uUm6HmU9T+Ic4cTplUiotnN8AVf4OQ17achmNwpT+eoWw0sxp97VMOlJBU4vjHd16EKXNvKnPO28
cxJj8Gpt2vt4ucG39DrlIg/xE/ILrNjw8LSuART3+I7NFyJVPDQpO63cAZ5rH3Jp9Ld45nEC0f/7
4miZ3ONOi85FHTt88fhDJsChiyqurbsa3Sd0FxatwwSItzmIaF+PXvZ6VtnVqMMaa4mZ7axdKQU7
OE6ktcsTu7xOI6FuDStly+EXNN7EFlZvkILI4EWslztsza297PCSzY8vzZA8SNzitB9JmpqXlMTO
tmhG5HFp32NcM0XybBo0VLCafVtF5XcDD6SsRyGId9oGllWEAQecvYHqxngZLDN2TmG0tfALu6/m
ETNKaVkXwmowtU+zMUAQt8QASKKVFpl5uj+eRhG2mblfyXnG5Kcw7jPobpfalHa72XSV8won+7Uz
mOaV0BeLPowhfgylLK8L+vC7yMILS4zYNPWFNm8wL6pWTh+1W90pHcdvvV5ZY1DjXcrCu+17d74o
PDmeQa1KV0IZVSSqG/TQ9KgvA7CE2qPXu7XAyFli2pVXi5tk1yWBCZTmAb4jBd4klHil2R1u7FVt
fm0kHhkOgnBKZYY7NfXcfWxXIbMB21yE3b5ojaMTSsOnPMrS23Z0nKehi7+FDTqCbgGTPSoy5xoT
WxssYjGcHaNizDYDE9duaFxxY6KAv4DtWsBmfEK7ZMbCi1jaNP13o451UK5F2T/XuIbviP3lLsHh
tUYpqK+NVdsbT4M1NA+kve0DiA82xpCzcaGEsQjBrM+7HOrQU1oT/ZQknQI+J+2x3gFgJpG6nkEu
bqapji7CUJrogoXzA4o3xdqbomkz5j0O7J3aXKOIPW0ms40OSt5Gu94pgPxaRb5XEEvRfSy1p9J3
zZlD16EsWWvYQ4IAd+VXN1HDq7CyYypnh/AiUP5cO+10G+qePB9Uu3qsYkkgbMeIkFKxrtfzwNTH
NyxOmaZO5CNS23zmY7l6fHrZZNvXc1efx8mcP4dSlDX8jzjZ5tmM/7kbp5f4s2LqiCzbN8Nqhp95
NJaXoyLcg52Xyp3eyYnacoFcj42xU51m2GnmXOBa3DbrWSCiXnYO3nqTkvp5mFRB39YysJOsfXDc
afALbD2RkIsplo+hbBr19qFiTElRKDL9LM4bmsRJ4VABjGCGLVP/YudEdc8o73WhXiLL2z7MRVgX
fqWA8NNFpmHPkl4Yijaf5xMoiFRO6UXjpqzmaOJq06RVX0ylo5mGJuDA5wT62qCBfWGP3re8NauX
qg3pfjoVpNCi6NXH0ha3xaBPyPDkG7zY+70bGdGZnWbmps5m97KFVrTDHc86c9N+CPQeo3MgOhjK
VO3dpA8wzmvXWutajuNxnF/bAN72fddaN+6SbXod3o3+sc3YJJGG7KJSOGgeXGEp1t+hyOGX4eyt
SUrnF+E582U/ZeVr3wfuHMFfKOZWiRMnELyqbdYbdFkAuw9B7KT4y0cZeHgFo2X6ENmqS71m26ul
ssDwI842Jf7mutWFrVgJLpzRsFcHDOJBQqv3OZ3xLTbL03NB3rcyxyxyVglQcs+f3bZ5UJKl2d8t
+ghVqP00sTz8apaVAhMmUae9EWp64CmS/kiTTOe6Z3Z4qzlY3kyMbKdQppe1UNboleH07ZnplTZ2
hh8Wqdx1YzRsZa8qqyEfXqCXjpca+nfnKdzetSEt7QoLLHGnp6p9Xk4dgU3vww2CDeFtpoztXnfa
8pCB0Eb+KZQWu4pdnxP+H2xhZoexnhGOjyet/67ZWXN/7Fcd0z2E/cSNNNL8ZQ4NBigFDKkCwyq/
UWx7VVpm6LspNZ42cDvg7oFom5N0Dg4df8RdM8S9vWH6kk2Kcj5XRbMuLL2+KgnNCM1xzqDjYwaG
Kl0zkDzIXSdJNVe60ZQ7jw3+NezC1F8YgJfAhTkhZTLvmtGUu8owipo2sI7ZZdMl7PK58zjN0MEO
hFENh6Rf9rJO0hbBObntPMe5KTyVlil20WVi99EqzXhSgFzpU+LeWxpsM9e7m4zB3ndVpeDboGkP
aFzuMB9CQA4rVZcer3CYt/WJewO6b8mKl3kNyFT7u5oBL8TkOHZvRuB6eH9nqv5YkVZQRNQ1Z7cs
B/ZcSx1XMwSa+cowSCrKJY8s5r569OqlyBrDGdtPYbvdbdLw1TlUyZSdqfkWNVBkIZZjN+bZs3nO
oCc+F4lmP3tAGK9qLwXJ7jbuvEO+r9mLpkSaRpkb+cNk+Bz7WUj3MVPn4R6ZUmyQKlc5gOewN9KY
MVBytbnYlXiD6r4O3L1a9VDBa/hp9mTipYZz4nqSo9JdJeHQBkKk4+1QiEMa4i8Q9OByS4Tdnf6O
Ln/zU+2U/lurW+KixNLJXdlgfveuOs7O7tjlyVD6/1k0ofJNJestfVUazY0Ba+2lrPWh8JsY0cjE
rKjHdQd0Y9w3rQigmYhd0eobUVjzRc3tPBJ5anQobYuuouGWl3J2IW/UlfpdQD4xgiKPh/046w+N
W5m3NN2up8R6cDLbewCf4e6Io1A5kI/ASlvFNDwq2GWLCR5G175OorHGa05ZsdaRcCdfiRTcMjSM
+Urwj3mIR4XhVLcYg6Y7mucToCjYPpliW4+xUw0XWuqCuDewJ8WU1t7PSLmaCUQNVRfim+vET0zM
yNzikIHD5JTIBOrSXUUj49O0RarYjEFvZ2LqnXViGvXz6FbF6JuRjXBsi+3nj6pJZBvEWRteFdZg
FAgxGuZP1l7o7UbuL7ksY/QcArucxjMnN6JvhV1ZV1EcV78Kr7KHjYJv6FeJSW7yFTL0cgK4I456
2mjU39w+bpSLdJj7aD0mei4vnBFrx1j0zqrSGpzPx3HC0T1zg1ApwYY70SF3jfNpyLtz3R0W11st
2ehJJi+TUH2RoqEcShKR3WSFy+HNOZA+ERGNyU/F6OWBLQhma7uz9AtETDTPHyrPeWp6cvkgs5FU
PE+LwvySRa0hVugajoe+WZhbYR/F0sOOJpPp1sT364s2ZQV/zx3bB8b8ZEBYgort4JTFOpMUF/2U
hoGEkrM4eVMBzKoBjt/yeu3qNX/IMLrBT62xw0MljO6AuzfV9xI8pRLm667v+D+bOlafRrLoHM3y
JNDznq2jI3VV+8cfS1RNTGg1teUO81ZSKSPWGP0ecw+M1MVCC8ALZPmLTUi+lWFpv4/6wXZXSBeB
G6n1pdFotNfpzNJAtka74tBkBGTTlMpzIR/hbQ3PxPMB1yBKOY5hrhguVXOUVyQFbul9Vcs2xIzF
xvE6KIyseuzSKat9rIbsX/iM43d5zCWzYikIiqhL9oZdWns0yNNVJjFC84tclF/apeCN8oG+LG6I
w3MoXGIdrlDU6Z6AMuJ34LiIzUvvD9YcYWesbIy8h7yCxUiOkjorxx1vzDBrDoh7tA+GFZob24vY
hnGov95GWTX8QSWqjlHS5KkN+G6uZ8xasRf1Uhcpm1nbqGklruQsyxANjIK+qKbESweNTw6JxsTU
UcpN40GvA1H0q+tdAxGGcdpxHFzjjqkEvVZjhR574RnRwXmIhppEQXQcUnxEn3Q3OlPSMDtXei+5
yGJyK8XNorumRGSePesMgef1Y5CYrXZbtl37wGvn+ZFtput6jKN1m85R6Ed6fpOb4QyGfzbU8ypW
NkNnycu8bbIrWSj8T5Q9HTsh2mBRjDdq7+tqGq68mSrC1dLop6e48+XkStwivUiNfxRC5eE0oQhd
tK55OI67LLGi6a/pBRv7UTGyTTbhRfT6YgcL8tqo0Tp0Uvss50SnOsn6FT0o+ENVfnZ8tXOiMpAw
UzXMUJWith+aNv/hkHjf9YVRrsWQf1WymMO4x703GBItX5taYt/naqrtqP9ga88qzQ+0TNYlQJQr
hFsifyZDuFPEYulKHGR9oGqL9XJK1QAkX1Bus4KTlKZetBjQOpNIiHLLOOD1RDVC2FeQ3tlwS8ci
Hp1xR6d8Oh+H8iFWxA8HvfdDIme0I9zGnFaLpHEw9Hp3MTSh4y+GjjfdVNfPnhm6t00sU4PQwAMz
pae8NA4d1iAbZsMEaqo5N4OZVlfRFLZrxZ7xDpkTYTxbQlfP3LFpfcVbzBCrXI4/NKdL6WuppIm4
sWcbTHhFEEb9fGbGmbpzFQeTIux7D3OdQDtUFfH92KCJsESPQVlXtlzP0pm+cDjzPlHjASvcZ8YD
bayvZjblwk+llX5XmtRdQfGKp9VxVJPBI/+ZjWF4fVzuMvLCm5LcIiLdZXenWeoFdEOMm3bM7tOl
f63a2GevdE2i6RYqNATsiG6JxMLE9Q1BE07aCkxaxfCUy9dwpOm4lDpzRYuramBKDtBwSx+j+QfE
8RDTVUGuB4i1YLqhpYixkJTdCBNOnm8pQ43RU5Yxppgpu/OV0bYI/ddRafEbkmQHYqnYtLGyrPRQ
z79jiNwH5LXx4RjdTEbaZ/h73aFm6171DSnf5tglPJZIdDpgGggn065Do7Ie6iWdPJZ3nEc0C9uB
XagDXrhxy9SofE7J8KJUU/dmYBz8MB8DMfzW5qEI433SlqoI4hFyU8dI9hxWab9Xzba6GnWzXY1j
ypdmeS5L2f+wajtcG0Kq16pax5syU9JHS+CgLEYTnQSUp2iOKbdF11C8LJ2+ypiH51YrYHay1vLL
warqx8ys7UDDsgliWzfeHjvbXmi1ezsfKGpwbhukZe5au2gOxXLudEtr69iQBJlSfs3MeDy3mwX5
OeDMXFdhhALQ0iJq+hL2VJMUVxnghpve66OtOnb9VcfIfus6S2CtMMhFeCLbq8vBB2e1u4q9BEc5
NRl+MbpRaYugiqTWo7mxDJW0sceIepUNZNBjrubXqszKs7ydYmYQhveMqgA9G9A8feF0P6Zc7XbW
VF5pBvo3TtfmAXOLkKxIczeYBzs3TmKx6CxJVt67oPSZe1rxlSVmwCVjwxJpo1IPGhOHL79tM7FG
iRi7UDpkOJamXtb91MwkMs+7KeHTdGMyPHcWCP/02Ks4nvNO1HNGOfPSCHCkylqznYz3sAyASg8R
/hJuAjwVEd1UhPAt3SOH5oU63R7XEngtbVN6Jk2Dsi/Ojc6rtwU92F1XVO6ZC4B4J8M82XlyWFdF
qF5oKDLe92n1NIkuviChISmzkvRCbeez1Oz1H01ltg8YmFePbuWYOzX09I1X5/GlRnWA4M043ae6
N96H6PpfeR6JgV0Y7hbupHme972+KU33yqGovvBKRf/JehKPPUAmnAc+FQBZ5gtve/+AD12aGUgn
QoE5BWyJ2hv6LlTcQ+VwyEMlpRkOZdXaq1DeH1KTiPBJE34ZOZ9eEboUHj7wYVQ0T95OG8jh+qTK
I+UwKQTEjEZV6o9C9X5q+qQeYMmYt0o5wvONXO8yFtpIBs3N+YNs4awL2/vy8Q0de/7vbohR1DIz
BPJ5CuLVBV7TRTsrh9mk8eKEMW5CM01DtQ6HTds0v7K+97aR4U47Zx7ndTZENwj5VL88cygXvJja
LZa0clUoarIemzrcqyhWJYCF3AeTVXQGaUt8MrT5w3B78SNQUYwBd4xc/ykQpff0rEVl9tAWXbqe
m6o9U2RMMyIt1JUcwu+gTtvrqEjgiZt23q/DolAunAQadVcySCy82YBxDyfZjyBmXtdqW5/h4Jfu
j0HIzTP3E5KE9h6Nxy2Dtjo6ncKFOpkzQZMu4phc8uCkTnbhqA3k9thMtwJk4oYupbVvB1I2N5qs
x3GEtpdGwyMS9pRaS/ZMo8LdpNMUf8Z2W1bc2wXAfRGGtMXrkrs7AUmANUVLXanNwxA3yZeydMJt
YoruoXHSbCWySL/Jx2SV1ONIrWh75wizTdJHMkC51LrZPneX09UAC7YKDbt57oBgrvoQQ5SPF6q2
DNVP75NyBj8uFYUS53TAvcDmIMgL/ZAexwbHxoqY0upRkDv63FlPd4uqwKizJxQe0tWArez2mIN8
fCfvgwYKIrigAV02wbScgqA4yIlkKlO045RQhXL107Mk6boR5VfhMob4+HrvUV9cD+IcbqSEKbh6
b0PGoEuQxn2mH4wyxByyKZ7p8cMhqBLzuh5caz9kXr0b6qqns89J8/HV/wCKQ1GCawO0WnwKTkUn
hZz6OSvYamOotVdDa9MmnWwXsRbE+cK2P6dtnV64KAAE49hWcJ2lvLFiL/eRAFVQBaju3SGPboC4
fPZk/vAmYJxZvIQFt4dt7dsnU5dxaalDYx9EBh7uiKAUYwL6wRyqx8YIm0+AH394E8QcB6TAcl6A
GXh7vYlsyswZPh48Eogzy6Bs6BEfusuzktlAbigMKzpznbmud26Z6DZ88ire407oxeHDAdgL5gXc
6bfXV2qof3blWgdsRLudXY7RWeFmxbMMp8bX0P7QpgUcyNzwSz+7xaU+ufcNgp5Bkg72WVT3/Sdw
6z8tDm6Izp29aJJq9skbWGSWK6Oy7QONIPuhTsoIyLeRRJsKlArVse38Mk2a1DHkRIoA5ayTabvV
4rhAj1a3q7XWxuLHoEbD8zgvM/SPn9gfXhhPiUcNXJKgcXq4VaaRKxHMwoOppUsjtTaZi3Q5Jdgy
+Uu1dHw+ZmDHeDWOM/3uj2/gDyhn14IsAMgWmC09tpOo346l6QkUKQ5un0y3TTQhjIJOSjkhyVda
bbvPI8iamjGGZ2IccdG16QV+sm7+cMaDSofXBqbW9JBWPQHegGVGC4igfu1Z3Tlg0YIhz9iizBky
Y0P24ps7Dq4va3oJTLjMcaOLm9ROu71RxlGyyupUrhu9eeoirViNXSF+JoBYDrZCjS6xz/NFilHR
J3f9h3OJjGwBLLBdAGacLK3MGihPqja5bpYYRxvEuekgKOzNyl5S3WWW1FmfHtPHP3tyzNBpX/Qt
Fxw/0Lm3eyxOKKnmRo+vR4qWrW111YOGPMRuUMjnm0Kj8gA6595Eacxy5TzHD6zp6aGScJTXUxzj
AoYRlIOCVZR9mUzzLmSj+pUVN9I/zpqPk+qibGgqDZTg9PmrwCTwbqZ0vJdjR1fYKB0zgInRnYWJ
3A8qAKhVp+UqUh5RkX8pjs3raYHuqypVqpyneU+p2/oMArvbePbKx9cy+3WoWSW4mc+p0M/qUkwH
7IKH54/X+R82mkdKZSOLBq3NPI3EeY8cB4bYybUpBvvCKtT0LGYm/S1GaiLIIUJfYe6lbeapypGA
bYqzf355cgJQQuB42OjLQfEb+C3yMjoawyCuGyVWzlWpoYq/4DzhLdRn1QDrGzWPTG7A5T9jHqZ/
gnI9Wh2/XTTeAgWEMYVgOQzlkw029aGHq0WUXRN7WRXHNhWWxDSJ8OQZntE0qB6P7YsRC+er2omL
Xxru8sz2ZUZhVy7AjAqU47YMXfzP2gzUg191jXbV2zNdpEmfqBDNMKZyN5tS7hQx0naUqthGneBb
WkmXNjAANcw+caC+C5Vx+jpTm3fQKDJXW7k4QE8rYY3cFGoxTBDLmEsD62fTF3Nbp8Gx79vVoToG
RVcABFxaxKh3Ds/p0quNZZR/i9VePrTeHJ7bFOT7V2iavczPS70BOCUWMOY/f7nYYGACtkDe3xVp
vdUYBaJP6bUC6atDV0oFz6MZ0Y6pi3amIWzzo1Bdwfk7xWtlij5jbS4v7/TlugunyF18HYAxnyyu
oYRiBlH7OhpD/cJM6Zf4scg1BAQgSWRMmjwXLaHCdM9JDoxPsr/3OQ79PYT5LB3EMBYC+tur220m
5wzyEKmeTSMti23a/Nmi6tTQoXZaAw7cx89bf5dm0IUAGulyXmE2+05UMU51HT+uLrmxRFYjUhKZ
ht8kpbFxS2YKxzQLelkVhJ3WgpNu6yCTVntdF52ydqr878G+XjsqcsVe6zNC5ok5gPuO+SmBc9wP
IdDUSMxfjiQwCjH1/uNPcSS2//7aAMNC4WfVYCXgEBZOArmjh05ldVN3iBqBeGety71lyhpYjnk3
0bHz6XykF2WOupI/5nP63KXyodZozYDwiSof3LC1Y3CcrJojZL0MkRtmXHE9TF5+WSbFN1wQ2EG9
ls7faTxBf18wX1TK8t6NjeEl9bTp+rh9GMQy6bXFfDsSxH96WSg3uWpLQFejNX5HjUv/mnZOv0uZ
vu4LIcYz1a25Q1caZ/oklTMtTcONHHp7lQ9Dscl7xzuE2lBitj7Yq3ay3DVzSwSxcSjG1WIAm+IC
jXtiAmGCZ52y1gwAd4jtMT8uEnW4dp1kkaGpvijwSC4o5+p1b3XdXW4StWbroJtzsgHV4qGhVChP
ucUB3ABQWts5HSi3bbVum6KAhywcje1Kb9NfsacUD8fBUdRWenoZjX35oBeVuk/CHI4REL5nN9a1
R5GHzg58tdx4IZGukJYuPlnFp/tmcc1BkQBEtA3C9F2HwPKGYkq0Wj3IAuCAMnactNYS9kwU3r0+
GV9PwP8lKN9P1ct//sdzScSvp9uXSJTF71RjwtJvG3P11D79nxe6ie109ZTze+tmeGpFId79yis7
2dD/AnS7RBmQyJAUFtGFV3YytGXHo8hmZGnSpKNd9t/sZEW3/kJpQqeJYnPoLxpO/01PVnTnL3xd
aBQAy7dR57T1f8RPPkoY/SuMoA6FIBbavNwD7TE0tE9qLiPqDb0aUZ0EiLmVVXVvjgpKYQVam9O2
tsDnwcxx1uRUpg8orjhUTSH2SJWl3zKAb99H3Z2elbiGPyE9PWEmmEp9V1bi0AO39qdSNEFaYEM4
JPFX1wZU04sfnETGxkrM86Il5zNCF6/ieoUA5T3XsrZlkez0qd50dtitusLbJ3r3raslWs2GHUxu
HAPbwUla7/N7owvVwBhr80u+dBxjNZkQ1mzbHDdNZeq7rZG5bXyf5Hr4s6bf2AAoarPyboyLDLCn
Zvc6aI/MvSvzLF5bGb0WVbGiKcgHVYKRdhA8E3V7rVhQsXwmxIhFuuEAwWHsLRl90TGa6+41KHLI
ckooVOt2iLX+pyllh/Jc0/ftqhZRXASG4imK39NmsBahQi1uVlM7aMz1NXnR2iFKohjBp/3XzjQm
b20jprMVqQ7uhCa2Cp24HnVUmaouuolNa7hEHSrGIN4tMcqF+hoCuGHSjiBjGN3PGmXxlTEWHfhY
p1YCOFLRpVkO4xfwst669GwGGJm25do3HX7DPpgFeoUIAiIfrzRn+lBGFywdho4hb7FiqKCUtYfG
JA0wX2/CM+liUzqgGJmIVdQt/hkTCAmsb1eDdMy9Z8XrCs1RqSZ7kq976SyHTljfgQ+uNqKf5xuH
qB8wSPsKKya+RMQl2dbCQzMW0Vpm5e1kqlUgpxjtQrdWvPwhVnOdqrvN4zJaOZHXTiulMA2ZBsct
/I9i3aF6Ke7a+uWlvXyq/u/yq89lNS1vqv1/b//ZvP47eimX6PDmH8vcoZ1uupclsjRdxq/yh/7+
yX/3m3/Hm8/i1FL1fiCk8DI9xy9Z9tK8iVTLL71GKsv+SwfdRa/Upi6kKKUefY1UJt+BuYLKlMH0
/zWGFYDH4v/8D8UgUJG2gTul/ofisEir/y2kAL6T3/v7jKIZxG//k0j1Ftu/5MeL9QyjBfpTaNud
tkeLqauBwqAk2WWmsplK1kEUDiBdp9F7ff2vT/76Nfj9znPnk/6WEP99Kbh8iMXzH2SCtylpYQ45
SYILKC6c4pWjAE6rHJRMf3v+/9ZVUFlF4IDmI2MSaBBvr8IMcsJ3I1NwzjXylV035rpQos/oH+8/
CyUrfxzVl8Wz6FSHsFP5DGHGeJLnNJ+hH6ChL9p8xvw7kblYHhnEBhv0DT0Yh4blyYfBv9Ia6KLG
getMP2V3IelGjcuJkdCcQ0s2mp1zxkIIvWYXVheCslZXqAyvSgCGKhq8c3mtV+qlM8d3Hz/lt12W
5cY8+JHwQYCqujb189un3MaA1MEMoeWba6CE2vwOlkfre248EG0BGISN+MxN+mQU8npR1NPxpOCo
RvXjZAH1cTG0YRJislUk7m4saa+0qt4E0+g0W8vNQdHYzBvBXKIU6/VqAGLkqojRxbSRStrFNtE2
sqLPrAiWzXiysJmFGo5FIW8hOHg6VarB+3otx3eQcbiDZfImUElwZfETn6csSPV8WhnAniGMVfQa
EgPZAr30Z+GVoLWVCdy4MVy4SVhvZyeOfIAzxDqnAewpSehFIMHGPXazpexR9cDgTu/HYqWEfYWi
rzDXIbroaIEZAhTyx6/5/TLnky0af7xo7GVPZxaD7bT4s2D/MTHECwxDZOiSmMPq46v88fmBt8Vq
ETE6VPnfLqY5NSbbEgbCJ5bKpBAE72qOcnuF2awM9JQ+8MfXex/zFjV3nZSHHIu3drJ4TVPIyhkt
dlWcOcEgafOoOc4N0zRU/x8PkM4pDZ6jlOBpE6DGG1zFLgnnNBuwu6lqqDMk+mdDrhMv6OPOsEk1
2RTO0kU7Npp+a2RpHaYwicoTnE2vuBKoQB6AO9XrVCCr11ZU1KDscBTvHCSuM9c5hImmb2YbSs9w
2YfruHeGXZXetXFNyT21+XWce2MgGsU6k3ryHcKwgN+ldBuTxska8FADRW1E/jcxer+PaEXqmYss
qgfE5+OX9baN8vrRaKAQ0mlk4Fp5sunVPi3HLh6RQM0M5C4c+IY6joIrB/pG0BmuvVLM7jJNG/HJ
KvnD2reh6R4Hh8y3jWXV/vZM9ZqxZCSdOIgnIz4DyDD7SpeUn6z9PwRSjl4LA1WmDcyGlu//dpVh
dDJYcWG8WGsYnFnTuJ1RAsZFxLMDd5jiTUhQ++Sif3qmdMRUyiP0UdEneHtR1F1oxwGwog9t5sE8
gsNQPDdFklSXZ2Tz4mtnTNnGRQR69/Hb/MND5WwmzWCwwPlpLXf228dNUb6cB0B3wUSLJVAKZfQb
R3afDH3/sMEBSaBssBwUJFInGxxuHJ5wDpilDBVa4q8OtFeq06pKlOiT5XlMkP5V6BG1SMCW+Tez
RNYI3PO3n0ifYpIQpNP9tNa+VyJbxd24shUl2Q4gU327bO4ip202ikvsn+riPoYwB47NxT9BuNm2
kgjej3rmIYBLffbPHvfrzVEKWxDjYW6evGgvNCUqNtzc3FnxzTDP+WXYTOonO+U4D3v/DP51mZO3
WtILtOdWNf0ixn1TmzotiPvKChQGDD/ASsa7BrWcC7Xsp3uZRbFfdla+AgjU3YhxslZtHT6Pngd1
QJjGrmaAAeo6f+Thu8A2QY4AL2XE5OCNawyLIlSSI6rbeS8fP613B/kymadBsMRqtj5+YW/fJYEZ
zK+cTb913bXrCflztDPvCxtXqCsBdKsNC0HOA5Wk9EtQWsHQaAg9dhO5VtXE2WPVKhEmYmxepGY0
J1qnae5McBtwdciKRlGp3C1NBliWmMiPi2FYdD56ATS8F5m50k0099GT6SMoH2nyyWl0PG7evihG
iczjl4yNmO0sG+e37QczG9wu0kW+7Oi3o9k9PPKxsvUoYu+crKNcUcug/woVZK2r7nArFhMNr8As
ADQwznyfKdAuu+PkhhywPtB5mJ2RQRlvb6jRAWammFaT85Tjl8wyfikSs5NJztEaLPb0SeDTlu7t
6fVQNqSvh66vzan89np5m5pNwWaGWzIGY69dpCC4g25MlaDr8nqbklT6cxPaAVS6dF2muekb3vjJ
tjyZrC5Bgy1B0F9MrTVmnCcLbUIpdqkqAJbqebUe1DS6bzvU3Um5u4suLmbkm2brUs/wEGA+lwWD
J+ughXixrtDgoluRaE+QzggfVZ6ei1q2wAdND4RdD+/ZMl8M/TNZlNOgSil61G1ki0ABRxLw7aND
Hh+3lrCFA1JPmN8UynMWaYOfFp/Ka/3xSjD7KW4RWcCh+O2VWimrugd4i6Fz8StHGHZbWQVQ8hiK
18c7fnnOb5YDjb6lXKRDh3IvjLe3V5oqkPlW7UW0mDTr7PtupOG4AduOiY3QPhMpebfWFyAOgmVg
qcmkwXO9vZg2x530hpJMppn1hbkSQ0E1AeSs3az9rFh6/8lc6jLEIqjtkVk/Dmt+2+lehU4Xdj5R
ENoLlN3ty3qtlbjEqJlV36RuNu+1OE0+OQlOcAssbEIozQlqYgdZhHeiy6M5q22rFGkwFs3KVbv7
Ph8vy970k5p2IwYaqWPCah8uyOs+2VTvVg3bSWf+RG1KUwOhnLePN5uY2njDHAdG3BtrI6zCIIHM
SebNZPwfLhsuhQjvovbOBwZb8/ZSSVi10oGhFGRRoa96mGV+PFbAZatGWaXwbWHlyHbz8UVPZImW
Z+sgHYMFNIgqAod3Ert6aOZW2LUkwRRlW9llwOu0IjqXwxBhdaIHEGMDWNXVoYpa80LWYXvQos7b
1VH68Mm9vIujy73gg4DYGghYROnePgFX9HIeeYfB2I7KSneasUEcoFN9uxuqIGOGtq3CXj1UNqh0
Ek0VVlardp8osbw/z5AiYc6pL4A6lvmpGokKk11tsrwKFLLra0JJdWnrVbmpKbdWhhf9TK063Mb1
IFbQL7WDHVbNlubwtKJ7YD2P+d9a4P+oxfnvicn+j2uELlXCB43Q6km8HfAsP//aAzX/Ag1Kx4gu
KK+JQ4Sj47UH+l/sncly3Ui2ZX8lhlUDyNA5muEDcBu2YiNKJCcwUiLR93AAjq+vBSkyQ+R7KVVY
DeqlVVnmIMwokpf3wt2Pn7P32ijaP3D++ZuUlHmOwT/757jGpglKUY1yjvvC1mviS3/2QBnWoNpD
3bgJyLY7jPN3WqDvVMGcAA7DReRxRJjQb6Oj+vZhnj3ZY47D2yGgajFWxA69Hl2YilYo28o5rEkx
6ESiKaMP4HYsMlqcaZVRUqi4343YWvogZxYsIzNGRLGzyyoZdrLKvH6XiRRNTqPIr6Ir59Kj8nH0
eDc/vddXP06sn1ur3Gm24/evo2w7xgDRgORxDfYJuhvv/ohW6UNWlNOrZK49XfNLpzYc/HnUo2X0
B24cGMKgZii17gzNWs/jjAh5yJn2C+3fMnmI61haB6evLMlNZFXFl8Tt8CcMJhbRqFBrERq4xeWT
JLxVBn1nEJfVW6pxQtG6PalZpZDO3shW+EcMS/wgt0urudLcxLAOS5U5004utoAChmyOQKMVCFZg
OngPiKiqsPWA0XQFHKEKCEW1ejACjba70kz0JiFeZbRIepf3U8AsahmxHMXEHHVxq92ljupqXHcZ
DbTRE/UrSTCpNQJvzbtLbrMdN4nCMc7GRfkHBscMqzgTUJpCvmsAB4MbwJcns1XuMgATJY0nTTd3
/JDzuE9sc1fWs7qZ9baKA2tp1YNmNnoSLQOjuNu1A7SyzwUl/6la5lntyiLPPmUGKsXEKbP5kNaJ
wpfvYWaIeg05Nz6lpVse+W4tC2S7TPOn1G8c7RqaRiv3fYw+JASMr9/kFXXJBdeDSu2tcZiLiFhs
LPPdEHcPIyAI7tDTUMf0bKb+W1elsXtL8LpVBRhCyNbzpL7Z7+ZlfhB1Vpb71FNGErZLkq5X0jK6
Yu91Gq4z0RkJNrTM8LPQRup3KuYJ0QwJe+5loluddYNVZMqiOM/4K8bcbB8a2aX+STHH5vXMgdzA
+UnH03ZcKd3tCRrAXvmqx7qeTEt3OaZWy5xq/m4+S3xCUSwx6d1J6TjYmy29Wk9ds8usgBRe714O
3GOiacIFGVlCpl9Sov4ITLTbwt6JeK5hJSXDMgdTXlfdw5xV+WvTpiWd8NpOjG8NWcJX7piueSin
RluywKztJ6NDwnfq0VOP9wiuK480PZWp3YBHvsM5uuFC9UYk6R1QjPnZbHLJJcnU0awQV62vUVZw
8ocijqWJX83gh+GG44fZWTPAFu1VzbrvMvJBZNDxh/HuAiKLz5qlYwPp7Nkz9hCeF3ArnW5EnUtu
wG1pj56NEc5gsY2Gt05BU1X8UKkMNDoGAvqrBa+jssMfS3Ec+43AlucTP4LCeFgeiVATZA5oas3z
oEmtpWEwgQiz+mYXVonQcsQIrAExKciShoOHzNr/DLXeWewocxZ+8XfGIciT0fxYFkBI9j8eV0BA
sbiXhuRDrzQYVeGPh66f6Q/uvXbSp8gc1ro+T4uZmDsL0ue4lV1PW4yAIDULe0XUT4m4N3uvARZg
zzlxFcq1AI/kwzXvCVjHLFX2A8lixblAF/TRMYgkxyqQ2s+LRm53UMfNt7wo9SPi+vwsTdh1p8EU
8KEalnIN2TuCtDkdk6p+TYBHRmttOsne0ari0sVK/92xmaX7vOmlwqs1WgNeLjHvMHroX7gGAi0s
C3OXr7l6WFrPvYScUt+Brym24wBYz4xaiyzsLLNCpdXpHMoCGZWs4yrqm6b8rMfA+zr4KRdUoUhM
K25oV9Y8trhcGEQdk438HCzKTe+IJL/10gX/X4OlMQltfRrHa8+cpYx8fgI2wMTNTd6fwVX8Ckkq
uSMg85hN6SdkCplwfgs/ycBioJmPWsNVN0UDOzUy1SSuHKNqzg2v5TOwNPlJLj6IsXgQp8pdcgKR
PdkE7TiDfhB9dqPatFh4Dz31ca1ld57MTbFDlqzYjrEyuWMOplu9Ynzrv3i4p8VuFTGhhVxva+1k
qpr4y1Lkt3LjU4yd7M/568to8qR8WPwZUMOUxSeFPxdhCxzu0BY8uhPIzAHAVV6frjYLOpvSERru
4hkYKf3W4hrssXJzg0vgDjJtyW5W4k9uVHXLjs28q419qAB5O3QH3U8gbrRulX7kkuwXu7lDrUX6
H+E5pe2sXZhyJpiETlY5gQl2srX9B4mgCH52sLpZq0U+NvenZvWto1HV5iONgCYNbM3tnrNsC7mL
8b3ddnPnHPQs6bSgFKZfRK4aSSaHC2DumsRxLteyLE70ofIO7CTyvJoLOLuDnZwSpdQdS2I7HidV
QwCWpqz2Xdo6FuqQvHnmaMx7bKxjdsybfDxWTdtHyZqSaTpCNTJP6YoJ91hWOc0J7POb92sspm84
vuwXJ51eY33tic5jej9STd0p248fPL1wHwmLofS1h/YZEnPNuEjh7Ov12KOF4E5GlPFc8KsK3z3L
8zb3MTxO3Y2NR5WcQm/JIpxu7YvSx+HVy4fuih2+63AQm+JSWM741TAIspIpidD9bKAnBT7jnsua
lMSoL80SZanpXbemcp8qaBTXgGGyGzZMrPxZsn4pjBn3kofAt/Ha+MIri/XroK/GF0nFtTeHYbwW
ru2HrRpRk+mqiSqnTaaHMYaNFrau3w+XlZmun9aqtUifLLytHBtwtBwLJnX+Q0NRmQQmOkj4hIUB
2dbIeibcej6pixRb0kNRrCx2c52g1Fg0GXYaA88+9BNZvnpIurm4zu3w2esdzn62Aw81SraunCcx
Vt80g7VRpyANQnO0OYzzmYcoqHEmuvsZj/ay5zQovhTOODl7vO7TmS3qjQ2h++WBgbGXMtsD6xTC
4Br1a8bvwxGNjXipyEc9XVM2d7AM1kLQMOyZFVmJyyxpNVWGGI1ijKzVhc/Au5sQDQ5QoRgA50Hp
NmxzCSZS4oh40eGiC1welVgc+xibdlJGCGjSYUcRVEQNkbmcM0bd+lET19qL6cpU389eksVRUip/
CoUGTW/yl3E/L3GyhiliI5/jrmXvNjTXnwKduGmdssSX562AcBgVcT/IaOhMR7uZAeMNUTP59EM9
zs2BEEejNB4biESP0nIJHJU+XekK2Xt7EBmlEGeAPulBPU9dCo9uauWVQ6WUnRvxYiDziZU5AnmS
RMGabOfFuZ/7wz1SmfaaE9mbThGUN1MQU3UQ/VBmnFyqb9tvUo2iPOgNAoVDsdiy2buLxfFR0j4/
WsjeiaGcRj2wU9+FQQVUkgnZLBwtGCydqtWOc8e4ho8BPCrzp+lKzC7BRUVqtAdpFT40Pul7O5MC
D+ZZPetHtd072EwyB5JqK/QQMEx+tOIkvzHlwrlKapt4pTi6dKrc6HgPzc49NaxhiZkSrGRq+60P
5JQNX6v2WrzkZ3PRWGfwrlr7gGxIMtJLhsI+a6qF51/TPQRVPgbzLEipMx7cNgGBYK9zd1lwhopw
WhrwEmmVR7rU/TSwWp2iY5msZYxijVIMdJytrJDYYBZ7ydVtx32GYn2lDHjq62S8LfOVY3kdeqhM
hnReaHUPe6WlKowF1RYsFEe7LLiYP/pGQvJ0jtefT6OTtMV9u52rIBsndKSFwgceDCiE8NyvGdGe
CAt4SOsaYXowTxncJFGBpEb3unZACd2EKdk2CT/X0QB0EXMNzTjl4jNCfLNk9hmJ5iDCxK+9e9jV
Ccp1W/UBDAXvc4dTu+JFs/eEo+O3J/mUWqdmC9Eq9CuX5ds7NS8ztRrzs9fm9bmPhHUKlDUK2khE
D58703a/S3Rp31mkaz8QxDwditHPH+3Mopg3ymb5Zo6Iv7yuIXU57tLYPkGwZ51ghYN5ppc6zTH0
svpjPCTklc/fLwEp9DiALkXxOUcIHO96f+3W/bTOjXccvbmFvqTZKTyOOJ5FMBvxK2b+7EzP9OWE
8x/UreWN50RINGAgYIe3UZWC0oikr+lkXvmSYMyV/NMvqdGvnyUTGntnOHK9dafeHXa47qyzUhTZ
N5MQ0jHogCZfzaCSWrhrthHi3R52wugtSAcwiI9klvS3lN9ToLH8Azw12RGoFxdCFGR5wBtfXBAt
hmkqRR7cEpV7krbpN+EggdfXbDlh0YFCLD2gJmiBKz7kUXOOaRYX25wsvbYzkb/0dmUDJRHaTeVn
/aO/pP4tzIlkR0OdyGJXYyQh6tVDWdjX7pXD8n2J50VLkWjr1v0ok7oNm3RNrajO5rI7ICN0H4y+
sYBLDrqivcxH5s1oFSOn8Tr1cTJJXzHTZtx7BcJ8GFVw7spl0ooQdv90nEy7PlVjthw4LKHJcKf0
Stcd4T6SiRA4+kIPCs517vdfMtdN7gzNdM7M3mazQAp2XKvlSPWmPoJcNu9FO7drUHVzemY0w2rt
KE76g6NMomo1q+8ZeFHaHBZ7YUCoymG/McjultJwD4j0/M+dbtGrFtPHYTQxJMeD5Z+vpfutWQwN
kzKAJpaov1ZnHr7W4zitrJE4kTR9/cz0TrNmMU84fV5SSG7fHK2bjoSJWDviM1CXYKJ3zvXcBXqI
7ABW5ChyH2BZOaY37JLlBUr/aje3mc8W0fJ0ctb7Ncnz+Nf3s8qde8BWSSgHjGBWa1Da0iwOKy5+
YZdP/VWVZXBKrHm6QOD0Ika+i8QQ7aR3rPLMzjXzODGEgdVY2bvO0KoXL2+tXeYO3Ue/HJyVCq/p
xT7vq0kcUpSwl3YzDNd1HBcHtzW0015LknI3+DGVpXRTxJxToosAn00Lpxgf977UKurrGAhLCAs/
PyW8c7o2h/ppTdrllPJiPBbK6c9L6eoBoHj7o1kNJdFr6dTtFnQ5nM0c9F/mHMZTyoBzA+SPI5Mj
P4NnVWY8SzyfJ3HbZ9ZxIb7y2a6z5qYe9JEPH/4nRHLIVGfGXCIUBtmBLnQ08+mVISQXF4Oqhn3S
L9Kgb7PiMGuOenZnkHRD27byFBHydDW4GosoNVe2e23N+2/6kmIB0Au4CkY1Wl/6kTuh3UujPhSu
uzzHRe0ZQU7VwepVSaMFFVD/I4/xSk3e2wlMmyWTt7ZXaScU40MeprqIQwtm6cyJqItdi5rK3g3S
nvZdbD4gyTXOavB+If6gcS+6OXf2EH5xN+iwCUFXhkaeL2dprCUnC/cPEqe1lix3xdna5yMg2MKI
T1Ckcjcwxlode4YLd2TPZ2XIviAI1R55zQsogi+tV8djOC6oU4zJLzDXNN2jSGoH03kxNJ/UEn/q
h2T8WC6Ou9mbNRaOW9gy/9TXUyXw20ngYdLJ56vMJhZ549x74dRP/udaL/ud5+jzgbTzYt1jcbId
bisoB7olL282i9/emC2zC5i89M8FsfNPskh6Ombd9HWZR8KlpQUSDW/VYaoY7lB5ahCa/dk+Xaau
3Q3VpF1yAHbP0tAKgquSLuzjqeEKts7mhcnVH2QJ3cKTuSznE4gl+TV0i73rlt6KNleVz2s2tirk
6PXJAq/OChALAblt6dGwKzYKuaZHt6GHMlOsw7JypPfSz7qCIY/ogFm7iykrnBytHw+L7iAXXid5
3wmljo00hxGNQqH2JEU9chxXt7lXEwAK5PeqgmYi+WsPQJ1Z6B5Gzxd7dmZxuubjqp8mSHPmXVct
2uPai+7eq8bLNjerHQNvh3RrN7vPklq/6fu8CgV53jTQ9OzBL4b2qDGm4JnUbpvYXlDB9JU6UjP7
ijaGRrXNPbkJtNmpzie5FidcJ+uD1cfOo1ZlRlQkVnoBRDIaG3ISIjTfQCJhwdQn9HrGaB5MdSJT
W7sZck4iah7BUrBuQBPJU5p+SUjeRr/vNc2+iO1RgeRzNYJjQBIDhB4sF7+LB0M3dIXMLnXkCQ+x
pLKbh6YnVbDQmjO/mRZ6c2396KYWNVypXo1qmfedWWYEtVuSwirOotEX+enip/1FkazOJYSZO5Jg
6s0V8M1tPP2T2AD8+6Ea6o+lDzdsXobPo12n2bnm1ePnwRYagd/e+ODVepxxNSgak8zwkh5QLbyE
Jqwr9TIa4drJiPuQQ7uLIaCxAmOy+Rtp9dXdVbZWNFPdkpMnSvVu+ORWDhWg1XN9CdSWdhHbmd4d
4PLRuOzgE6QRLlXwf1mp6Xeqs2XUTSn49ySd7DPAyfwDLvbOlULj+4kTt5/2DgAuWlno3UXQlAnt
AcRFUxUB9enas3EEIBg1KUUVFDIGlTuxGEt7TmXi5xHQEraZxXa5dPGZejSf0gpg9K+b5v9Vx5wJ
HrZPJmoISrcR6k8j0q6x49m0/BfmqOrUq6Qujmq1YfSqJiFovZFxQ0O/V5duobX3v/7d2wj7bbfe
QZ9sOdv0Skcg9G6W5znTAKlsffKaob7IfIv4B2Xk0UrTNcqMTh4bq5Q3Wlygz8qlpv9ulviffj/+
GItXYIObxetmv/vbU1ek2uLQSV51XPW7Sq9dGoh+lqmvcWWL6VPr2YbOzu/zESyarj/neW4PDNbo
bu5m4lnykJq/yyNFHFdxEhPVXJ7BSInNgyCjBe1rMXTLVbMS/RoYKre03wFI3krJGHhQdzBpZqqE
RhV99LuBh5YSX6IMu4SRGBcOQ76UPrhW1yZZVBPdOdhyhlFSKhXMdNLaYxiTlMY2qtGW+bM9FFV1
WHtQVpHxfWqjdZpTXv36Y34nWf7+IlGh6civUBgYvM63z5hlsdm6cYefpO3z6RBbmtOcVVPC6+Lg
vh7TOXuBOc+sBrobb/L3KZLf+FzkkMaYzi7NE7JWFreHsoZUClvdb17h9kn//CRu8T84qVDCEuyI
mWp7m39aBTS20xa6bhaMsvSnmx+LDtd+vhyMlh7VJfuGGPZORr8+chu0HyfJMqzlpV9DBMOIokaD
2/FSUD6UXc3jMkDYHPYEhRnqDPyiBXdwhP/h/Wb4+y6WQDi8YD51wSpCQWQziX77yttcrKUPqS4w
bZiYRwtgo/dYokWdsPOysJ8qoNxlNGvgci4S00wMyD1mmgOuc5r0DEl3Io5l2cbMscw0K/eMwIYk
AgRo44busVm3+TYNohOQovQalflZiNgBCtmXTksXLC/sfUfdvERVxVWDWrrzDppHeDc/sNJeuTHl
N4gk6LVm5C3B2Sc276lNCUq5nofU+eQvlgB4OY5t85vV8U7Ktr05Ntmdno2WCesApou3b87KYKJy
GeoEEx9TegmIm6uNBFAXhxk1UwNruLGti6EfuVD1WWaqs9V3kuJU6DX/bXNp+0j3H/SmXzOiDWtD
2O2RTZToJd1RUFsrR0epxWTXHKKukIxuvCrhW80FaC4VEjKrOfJ6mXtPrVMV6wldl/yeBr+uPv36
GX67mZFCh5iNbQT9Jf49tqV3j3DKPF/ZRZwHlTfXWwWdoKxbyhNIbC3wq55+gN441BL2aO4Ujqff
pei8E0DyCniTHdRcyKI2R+L7iKY1XYSq84F+cgrnd+8khk0RuXr0FH6MdHibXRtqs53eZ1pDwhuw
zG1nNRLzq0hFW4dlKzL0fzRngeGX9Cr3lTXLR7B4FcU39xooinPc7ZBL2Qchi7IFWAVgPQD1q1VT
gBFP2wmbRuXh1+/uO3G5SxA7giXEuoZwYJ447/E1InUSPXbGb9xMugs6LXUZmrLk1dMh8C+4Rco4
yBCJnMZukT61ek070XX7It4hwout3ezXoxE0+J0+Kjqj0aTy/NYE+qOYKRni1gdTd+bImj1Fj0UN
5b026z7SdUx82eK5IS1h2uaesqAztXUtW3p5YthVftvfwB1u29+pmN6qW77/xUgVECTa/Dc+n3c7
SwkpsBRN+W20trmaxdSDOwTQUepmVAl16NF6mvY8Y+R9TclCiEZD35WanGvN2FlEaPz6I3g33N9e
ELZV/D/IqlC7WO9FxhWWBYoItW2kHOcnjWy12zz3azdIpBHDp7ccdTd1E3o8MZYxTFOhvPjcB4+f
0W0aBxnMDKpzsriE/1qnXj7ucqzkl65VWMZetkX12meCUaVou+pCTgAmbnW4nNyvtgHndxKF2Q4Y
SSX9+kBBQeW2u/EptEm0NOv1CT6gQsQ6RYnmFeUedjWPSDN2QD2ngeubGEBNBqKtKBZVZYB/nBlj
I1BbrYwQjWYZeKKnmm5dSVGe8iNnG7sou8h479cNPwyUJH1cs7Ih6gNS7I4IeY29x9ifiyTSqHjX
eNxoGXMSWbWzgCo3EUZT3z7B072N2jWzOFdla9wNvuIniYa7T1DkvVsGU+VflHrrGGFtGqW/s3C6
TkwFS4dpGe8umlRDMm76/sH+LbnQp6bi/2+9j9/9jH8ZI/+louiNf/K/iWGSMvtfy4SCl/qdTIh/
/qen+wMydcP20Xkzhre9zenxQyWEpRsXHF4MDN048wVKon+qhAzzA3suTnAia6mzvjvR/lQJ4a9E
GoRQ1XYIz3OF6/0dlRBb3ptKyd1+hU1rkcGRp5Ps6L87Zkx42JOn0d6kHGDNT6L37DowrM6oIdSY
zn4AwrNRXNbOYXHMAIp2E2FUL7O2Mi4ocFJ9tStjpsk9D8qlLdY3PIQLkXDB4JVM5hhUkbrAFY2z
uls7U+x6APxGUFfGprKjcfNpXIRzmVpMe3fFnKwlY1WvM8/6pXdYBNzP64uCNoWN1KJp2TpnfuRx
TWMF84EeaB64opwbGFIN7Ssb4ZM8IQUIblGODiRjMJwXBCxSCOghl2A64wMZIl/MNCkkcqLK8U4H
pNM+nauBOfI89iIhZWjaL9zrSlTLvPggXmx1tiQDEYWN6YCtMvIse+3oZdzIXCgH8/9sExvWmXQi
EmMhfKiz7I70awNPaGf38V2cQt8IerH4BrdpjrXAHPrhloKw1dhmRgXWBrElWvm2mZ8wiBMS0cV0
qHeLrtd1QABOaUWZPRivbKq93DGRTqxIkB3AvVar7IYZBdFwvAUAuT9W9ZTboSFiOt5zLHK5H1qm
v35huktQFzQQAroieRkSqNR+ZounS7NIAx91aU8JkpR1ai6Z1OYeowfOczxJk7aGyezVwFZKFSts
5sNgHnD141+wmDK6e3+J3ce8k/NFhhH/ZaLwKs8E8Svjx4x4piFczB4auauJEiR3N7njUU4VOTYA
c/ssgqrKrA+cBbOTXKYu4GOJ5p0MZBm/KkA+Jq3j2rhXDMjENTP26rERTA3oaaCaAXKrd+5yR4cB
NzmNESs7jOZI6bRm7lhwuA1xHlZT1g/BaE/VlVjcmI5t4+cPPOzDFLgFF+uA4S8TCRfy8mOjWvcp
N0GaHZbV6q4QkjPCM0cHeDoc2nUOYtkmVdB5RVNFVTY55x6HRxnpAyFDQWkSVYAPwF6psLst6mvQ
SEkNLOla8cekitVEmA5pasvoIe3qvK96XFd3Ip/lrZysxt8jq0/coCFlqqJrv3jf8mmwv+TwRtcQ
rAwNk7hV6bNuSO0SVRKAA18mC0mW00QSFNSi+n5iSnJfdPmGzOk0T7/Q2sU6jkYWv8JpSs/sqUy+
1Z0yb0bhmU/jZBHBMdd1/Izq2XrNStjFppy60yHr7bs4duoH3VIDR1U+cf+g30vKTyPw1O16pkun
IJZpwoa0cpki2nqivGic3JLnkvU4h0vSZA8utau2Nxl8EsLATaWNvESvMKBMk1zoilXIj109dyDr
DDnf6kFCZ/zrdBJgtJG12E/8vOUiXHahsIRFLIswyqusZ6QRzZbFedwaTvrcpN50b3nwn2e2lttU
+lkVdWlPuzP2lNyUBnzUDLeGSwj35hWfbs2jY4wQ4tv+uc/FWEUm4JhnuEP8UX2WzwaPhsVwvYeD
5ofe4IoXxHAjxH6QYlgN24V8r2LKjEf0SuPZaA5dEaWYNOg9eEns8oIT198XsB3AItCw+5TpIwWx
ow1WfF4vfeoFQ8f4PqLF7PQhW9bCm6eNo/roEfUAJA8wRF/uJETkNAmnwc2yqxr8C63Zpvg46E4G
T70cVLcHZNo/60hEnUAT7WBHWgOqZ78Ccr8gpMx2zgkYoRdvt6jaZqc28pus8xtjL5jLtAfulJo8
IeyD3REFB5OUXHXk5oSybIplh+/khzXD2/cTLL9dnBjOXWW0DWOSiZSS7s5bO/zb2MFTQF1Zulx0
w+SnhzbzvPTA89/T/tZMQ31V8AQerK7X250JKVseiYtsrvymxR5ekNPqhs2oxaiE0lJ+5A6/khg+
TEyo4m2GwHjX7KjE/Gl8ShIdN+oqOqvmi7EJHj2rU32XzEV7l8HMeiSIOaaF6cRXPOosltg0qtfZ
VeklRy4NeqJRXOPcTCfxAxL5t2qjf1n4vOFG/NtJqXVu4/+6RrpFST3+cZaN4/DHU/3tj8sXwmHe
4iX4/h9Fk+aYHzYXAmXT+6pp+xKX4k0Wj1BaNwzX/Ktqcj/YBiJhHekR2nkozv/UVhvuB4osvogz
FEuMo/t/p2p634cQtJidzeGETULQY31PMMjbjOBv9qso18b8wgFnfMMolV59xSj/Kl+K8pB6pL5Q
jxgJmtAGAgzx8RJkoatq5uPauBCHNxuQhtJsr6P++JwpVRN+1gh1yayd0AmQvR1xyKLSzsqlfWSs
vDwjIHHaqKY/FOKZ7l9sg671Tx/Lf6W65g38uXe2/XHUhIawNh7HhhF822TxnQahwbwQYCmc7MkX
pvG6GI52npumTZiWhkUmoH1yohEkd+t7FcWMT8jKPVLaE6pDMf64uP6tJfPLxfB22Uwv/Sj7lz8g
sQx/7GX9DeRSU7+/ifx3vGNstfnvFtC5/Jo9vVk223f9Y9noHzAPUMmDn6SodzfN/5+WBMf4QDsH
8S6XCvzDrKC/lo39Abu0hXmLkYHn4En4a9ngVgA5gsELa5/Jovp7l423dw1eGAQrnkibHA7cgfi3
3j5ZvRIjBqaBoaay9o7KM39HbGi711kqqMTF18oR3e2c+uN5afQcy8oaoMCq5iwTbv1SIntpkLe7
6rpeO89GRGOvT6OXpOcjILjz1dHzMlqbDt8g5nP50Vz6c4ub8lWhmf5THXNIIrVYbziHjDDxRNpd
DAr1TOeNToYWymnW0KiUvq+gWtFzE930GXTwdVbo6JFQSlXHZUx+rLf//3i/Z6P96uH+jy1zQT59
PxmCp/5Zfnv7kP/1iBsfMIWATfiTdWYye/jrEd9mEnS4QURuF2Se4z/RQ2z/LkwizIM/Nv/Nq/Pn
fdpwPoBOwzhKCwp284ZP+wd36c/Nkg7Ev6QBvfPAim3ztOlksb481hsS3LePuDTbGpFVryJMN+5t
tsjhdFQe91S3YRJitT7pbGKCXwjHVl6g86kU7S+Gj9SLqXtiomu+FguTcpWt9hfsvoMfqnEhRzYb
dWznZlwe4pVZdeCSR/wbgvV3o/BPYxOagjTlKLM25xLvyHsLoKZvWRgN0FUgzeppXizztnAEXvDF
34Shvt9/NqYU+wDdOELBKzOi0Nwr+O/c2fD4nfQLqqZAo63XhDNbgaA9VVh3SWrsikp3kX946kqO
1nxv9cbm2F4t7WpaspVOJAgO0jp6GeSVVt+vSVTrH5Oypg2mI+S+dvIc54pZMyhXfUndXNk4IEZV
dIeBoezvQKvbDOv9W7Ex86A6AYoR9rtT0EAHUtEmWyJOyjiEROIGctG10G915zedWeqc//SraOoA
aKTPio99a9z+NKzKmso2xqoAsOCqHltOq5/SBADgj1Sfm0bswrWtr78vr7+16/xv1qH/tgeq/cvz
NGy+NsMf/+PshXOjTv7nHycDUQjf3pSk2w/4cbT67BIb8QwylgXQhMnMP7YdvsKgG2CWYNHz8fEc
/YN3ZhgfNpgD2ws9422G889NR6PBB2mAb2C18cHjz/s7u873WPa/HtatYAPGy4PItAglD4T1t0/Q
aud5ufiWeXDoTonpLE+OWX/mkcpQnYx95NCYqCE16EFrw0zWOcWOjnW2ySNUjRYiPcWb3yECZ/rB
tTlDEHXU59ByTntvb8sd2eakdW6d7OF2yg+WdtDiY1/sam6y3XnF4jc80ur2Lunb9QnUp9g5mdNd
TB+wjJzxUC1n7XqSNft4OmbqU8UaHy7SM/fz8Kn6tjyJ1+WpPmj2paqus/xB2SdV/Btw8Pfl+qt3
aJu2/bTGkG0mqIlscIzabnhUL+6X5rF7NLH5fdFfJiK4ng1ioZ+bx+ZRvtTcLJHHPGPIS2+rMNls
Sy8KVhARxXjeZCSaIwG2Mv/q0Pxfu0O+Xgx4aHJQcydjcTCSo5APpfaqaHNijAyW/Gr+HfXh+4Tq
F3/S+3mOW7Z0CxI+9Nm9b/trr4STeya0u9a8QuB1ub5q13jOzqtP6+fiwdphZCgeiNPsJpyJ9KJC
fTMnBu0NWEaF164PaYpZfONP5/ifJ+TPJs7fvsx3u9v/pZf5uwfEe3dw/xs8IL/bFTxuAz8/8//v
7QrbGf5uBfnf0d46w20dt/3bN6gyyg6LrmMdsrqDXY2uIswtEQIxxRo8/o6o97vf9m6T/j/8bea2
rt7/cXT8OF8cy2J6/27H6+21SWDw2AcZOgcVzjs7BK0QsehDf8cWH678T4TwWPdJlETid20E5zcv
wH03byboYG1jWFwH+zDv9B1yoVWGzDyGEixnIO6RLpzrmMHscPrkPS3fwHiYd7Rlaf/+L/a+azly
I9v2VybOOxTw5sQ5E3EzYQrli0XbLwhaeO/x9XdlteaqBPUQd2akkRTTwSbZLIdEmu33WvjJgXCR
J/G6OBtowfGpPzkVkGVeQuDKoyrbFPDoXfqOaiNwKqjUz2l8x+0ljTSb8I5njJMEP+P3bpXwP/4h
Fyg5Imgj7iMygPUPaSMrzgnKHePaihrSIAJ7C2TujyA1uTtuF9308ArRx7v2j/7T9FwMZivTbN+b
3Y0vU9BnbYEwuq3uVZawIlutIuqjcF+/oXviMD70G99Mb0qiol/wJi4pjGGUat9K9gB6JJBXJzSH
ARzRPrCnpwhlryaK/MOPAM9+FK/Za/FaIS3ns38SyvD3b/xegtrtrBHGdI3S5btEpUhtJLEDLvNK
MQckLnSSfRE3oQkOWwCEoBa5PTcOuvQR0ww2oN5NFmxXoK58vs+0mXz/vsx/xmVekiYs6nqtS35t
afJzF+li4MLEBvMD0C1ZAGvmjaEaTdCDEaXnhei/A97hOA6gAgWt+rQyWAMPJ8kx+dxwWbrkTDn8
GpecA3kxO94A+Aeg94AehlDpTEXEihiXhpTJTm2NdDBrevswWcGetgv3tnihmXL4py80i5R/XTjU
X8IpAVYNA1H6+b4JxTwQ9bqUHTR5oeJLB0tipkU5FeUITUNoJa0B27DSjFpl5WCTjbp4ZMjVGD0t
1aijPYsrUSIwpi7gKot1wMk8lUO0LCL7UyKECMlbgfoZlaaqDpEcoQ/E9OLbAcWTNrpFkoV5u0CY
zZXq9e3MFiirY1TehZHsGBJNadAT0MNM8JomAiQzVadJR8ElnwBSoiToHwUE6+MAKjiA0UNfdASV
Fdqwy54ToHSYOVrmFpTuN4/p9fhm6+qn6OiPUowPpQQF8m34AX6oJKPRuTroj+pKX4mPBXwD/dC/
dLvBqXbh4fNzs7Tkykzv/8mXXJnpt3/3krMd98mOnAccAYeR8SLwkp3yGUVpPrqIn1EXB1LPBUW/
tLWUmTfxW2ytpXtFgPdaCf3T9zorcP8qtRCOQ36PpUWABvbzC6GNHL3AfSw7j488PRxQoUienu7O
54WoxGVx5ot3fZ2ZOAGbt9qh7QfHde3fNC7qowi/9hx/1bgvhVu5yMhbKoWB7IJBgjicI1GPoEib
9Ntin5Hn57VpcY61VvEgavz2BXmQiUoysm9oT4xFo/4CIv3ZgOfypRp0VsUDfD/0Yt5A/qHUsT0Z
dnAUULpFy5zybjVRoIZnp2JdHiqe8jLVUGtxp7kLcoaZHJ+MRZjJGf83HMvShpkHzv/ZDfNNvX21
YeYZNCXwEYpMsWE6u4ESXNdfXCiZ3JFRuwbA037p0C/N8ezQ9xEgfvgK6w1C9Nd0MI1Dclui+FY0
JXRZhchyULRzNhpB839IDek27hA8pCUgrFCsZKJD+/NFXzoxl4W4iuP97idmccVYnuFqwP/qil12
wGenYmYp12prdHGIHZKlNAcmBI2pt5JlEyWDFBAr6WSiAuvzRVmSCgwj7/oef/NdsjgJM7n6a0zC
twKIBjPfARPPsIgZRdP1JKCMX5j6GugVpvklJ18Ku3d2X1LSmI92ZJJ33yK1CfTQwxM91ZZEVufz
HmgUZDRXm5E+rszVXURWny8M+KG+JSN/GtScxCFpG73OJwyKd9ArbkLRUPWkkMEOblWHoUaZAUAy
7Hqdb+o1DvKjuqts/pR/NK94JRAoVyOOPoozyT1nv6Hg70kxW2qswI6xAoeTpd95cE5OnnW6T6hw
VK1xjXjJyuUoR3VTdRFIo8NKN1GGSTSKb6shztEnkY3Oaft9op010dosrPdqIwMP4vaI0BRnwXZ+
z3eeKR8b8s5Rx0X7u9VhAlVCraeGxPj4mOpvuvmeQNtZtCLr2vTs4AWq+sV3ajvEp6JFzwnp61HZ
kXR71E3NUizXgIbSKDoaiGomxKrthvBuR1FU7Mp4RW0bNHRQhPcQ4pKqqdxoexYuExzefYg+mnVr
P3R0WON+XmP6qprbp9582OvkAeEt+nC8Sakj43IZAUuqCaR04jzgqW2Nvtb12tIJXi6tExZ74+3c
zch6fz6dUhIT9JgT1drUFvt67GlMNm/DISZgtqKVWVuNuWnp270I0Z+SFso9om8K3pfiXZWZbVPS
2Y+bluwSF/WMJhSE2dPH3SZyKxMNNuZwCLabbMs+DDhGduD26+6x/EBnAjh2ezquo23ktkAVocj8
kHYdUc4ejiLCh9F2XEsHdlk2Qo96+L5HgSm+YvK2f1Ic76CT59VHS+7v+VNoRgPhCSm36KPDHKM/
3OQfrafYbSw0nlu5+wQUGbM3p3VvaztMM0cH4vrEGclIVhldgcx2wXGTmGn4C7F4dRBmVnyBBnIV
3RloMiK1leBOcQM7282dkBx2YOaws21vmUfNAX3o+ql2LWGNIdqjbVFzwepbkhQyU7pXKuHfIimW
5mem6AEgUTZDdZkftqm8nXborR1aIElJvwBJz0T5J10/j1tqSQ7OQEZ42z9u1+vzaWF6loXWzMz/
LrS+C63/TKE1sx1/y0O5JB9mZuVvKT9FVlPxC2GOtBZwBgBZjt7Nmb3JyY03BTmEFVNm6Kl0mH6s
rc7u7NZqrcme8Du9H+zBRu6JsufGdQkt2VxexzJS7LmRTnb+nLmCjX679WSKVDAVW7TAIGPFVmhF
Jmd1K+0GEEkrjqomDBrTwO8QFrVyQsYHjbBaZWf3gE6mKtm2ptVZyrqznn3TMHWLaVLViVzg751H
aFH05Ns9Hi1oaiJPA58dFgN6DUxI031EAnL3LNFn8MddXHwYDc57SvVjDu14EzvHG9lsYBh15Can
WxF4M1tjX75KzkS30LQZ2R63D08qggIBWYGfi9znBPh/F60NNf22uVdgKyCeoRFYgCNVyKklb2xu
PtiAzh9Q33i+x/PMqHh7e0M2dE0jK7Z9O3FSGK8yGe3WLiw2LcD7vSvN0QYUulk4zCjQqWYmzucW
LNZzYa1npnyIzofMr3JE/rF6LWavpTq+2cqDiNliK7kB0hUMW7aM8rq3ChcQKU7hDuZoSTaP1KOI
IEoBKxx4HKvE9i1gpuKvDPH11ALGBxZcMjU7wPKzx9BKZXMIZkR2aNU0wfN4tZ3T0AInnhPj2WEV
7+DzAlqQP6BlpbN4e4IJGtvldnxkiLQVkQ+CA0gJu3YBnGPC0vcskYj2YKE3DNZ0ARsMN4MvwFVi
q3m4DRXfwFl2FVODxV1aLU03pSUdVEeweQSCErezwRNN8U4EjitssNjO7YaKq4LSDPU0VrAi5S3v
TnvplG9LV9w2Dg0sFNJRBIDJhOEI62wVEgLz3CodUCdbdu82+2YPKi0zW+OTdicTJOk0WKd4V77R
sYWZ6dmYPE1gSMIwpOF9h78TKzcHfCJ4VWBLA18Z+7ixGkzFBnEnGKCik1u6peJbww3BaGeHB4GB
lbY1tqG9MmhH1Nvx0NokdH2Xop3KCZa2z6KomHll30XFn1ZUoHv8c1Exd3aBnI5mTx2iorOBAop9
qzodBP5ge6fhR8Xg4SyJkBHsGeXRc5h8AAK7NeIEeg5PR1RJZGZkpw5HXzs4rNi0lgt85PyxhjvQ
mpMFiifsZw2HMKGJszazXbPrXfURMEUEDapEoNMaoHurxMSp8K3MlmA9w7/A6R0pkv/4SPnAk734
GNw0NFkbbuM0Dg6fDaB6sneDfe4iqU/1y8mBtLM+F6nqBZ5l7gtdqU9Wl3jtf1Qd4K+CvpIdCSEB
dqJbCk9+11OmHltLeQVIo1lALQKP7jFxJ0glGRJSMpmcZF8qFYhKWycxQVgFiSlbiQl8QDvAvPn4
vw9J6Vue6ZkDfvtW7vjr0EL3vFM6wguTvTEkawb5Gpm5E5zZ+4AIhPf5VngKoXxRUmeWO7wPsld4
YZ8grCIbYIcOUJMczkqpZwI4knQbELzjVV9fWb+zV+T4Cmz2018ndrgWVqWD37hiaAE02kkx7hDr
ktglTfAzxshiC1zINsaEe8ygBRK7xQiY1PfMAPeROvjepQ67Hxa58NeANVrlbDw2+41x4k5yvIpd
+fJ9YHqCvQ/Cdt+tUohcJnY1GBAaAgohPcZuCpthO1FmPyTEOCnr2k1uohv5MXchvqFbm319K6xB
3GPrDgI2FyNngGfPjBkFX4LZOhlWQaYBBaAcbS1oDMhv1Uqc/CKjc7PZTxakO2XaRcR6+Su2Hwes
AY9T4lkFBbof5U2PRDcKFZBQQLOixR1DO7YDK7DM6BTAOOFMDuqdqa4SCqGyPWtcJY4PlTbaaHzC
c42NSAIzKGSMtbOZqg4cFqfQsb/Qn2llN2jnpVvdLj4UGBYeDXYejIaRKEfkdte+eQZMJ+ckiPJk
jn4TOaEJNQ8iR8SbYJQAEY5aFWZOwUwiJWMgCpRTbqc5CjWc0q239VZzzrsSqhKQdWTXQ4eKGHhF
Y/MRHY24aSDZY4AFtj07X54VovgptiUKsiRzs9oYbk/u2R3qmBgMGcM3V+0K+VyoXMCe4NyPZmW1
Zo7QVmFpJxDc4dqGRaD6OkI0RA0merfyoOdhl60QCndrV1rXW8ERH+VX9RU83q8+dmZtxlt9261c
+NU5nZijTUQK8yslG4RyzN1kP9rA/NlhaWF5+g6q1I7cenASi34AWIV+fCT09IZ0Oj3f7Z8jcnfX
kzdYfR4WjLar6E7dmxtm7QlkIjcsxFKTW3aVEv/JcS0D5iEow3DBt7d7Y1WZCIOYbJuVVr8yjj5W
GMRcmAsmAFRYsp2tmEC7REQK8SanX6HhHgvDZCGbLeC7Qr2nWM3QRF4IVs8WhVcI7wE1ch2s1lhJ
Zo7nmP6ess2EbDm2EPiMKIxlbAf0TEC4TlYJO5NqTu5qjoCJk9bqI4fQUObgtuheNBU6YmK2FNiA
CO8Ry3AsyUoP/uEjt2IYER72foYv1LXhFpigBgUlFpINFdBT+BhuIWSB3pMF1TML6ciFHhbdUCNP
conWlZZ48UnYgWUWKjsUyKBc/JPhkfke7EDneygf21+JlmJPZnWr2IKJfv2tAAHb7v2Nhr8bl7eA
R+2vZMrOrkp3zExVtoX9IpD2DlLMzA4XSxVSjckxWKx2Zsfr1gHVCGRxfBrvWqc6J2a7qx0ANuAx
Jg0hiTe5AzkNyRxBAufQVUzWwfJFbDNmVYL4gpthFFQ+DCfxLJ7Dbfsk7JVdvPVdZd895A46tfEu
w2IhUkRWjwZ8AyYLmRwWCMbGpCw0Q+yA4AmSj4NKZZ/N4S9/KxNQHlgybFhsm5Vv6zhkbJVYgBG2
9UawBhrc9zZehXBuh/f0x46q7rCBZHaSs2+xMTYrBGxNBO4aCxZsduebCWxsxKUf+ofKAagf7M4Q
8g28FfhUz4ocHeIlwiEeobQn7KbnilKY1RW2J9YJKxg49Qv6bPCYeIIfh/PPXKDIEVxEQ7ELES5l
1i1+dzZb6QqhVqY6mWhm0XX2P4QZofJLFPJUCMbCO8VGhM3ghIcRMU4On5g5Cc6NDvGILwvsA5BN
LKwK2YXJCLCrBcTHW5jVPCSs4fRwt4qPPWohbW3LgrRA24AY82G74ykTbTn4CXfDZpZ4ixDrgFlj
bx+sCb6CAZ8DDdI4a+y4GhDYBtxUHzOSYM4Ba39MHyDmXI+mcGewVtgJKUQbc3jheKJilCUwGnw+
c3dalycUEhzHSbuoosvMrEA7YGpP/YZzgb8HaYAvO1l3TkMNN9vzKJbM7ru1ssNysaA7CZ65ExS5
5Z1VJAewlfYA6XfxfdmKOspVvyrUgRQPMYbAnAhlr5sSvplyje8AIXUDxbxJ77rVsGGKmW049glo
1sEnMqMCRomdmeGKOYMTDtELPO/aBdzDGBLoIXyx1YggtEV7K9qa9co2cgijAEQ3cAFhdGAK0u20
aw+FswrtjNLkvUWgWsfqghYFK8fEWIit3DgBAVwIfcM+xgSx2ZZvAoftauYhlw9stqEV4exgr98y
NcTdsteyR3Var9j/FTdyxBumOZk3GDhwo+AN4tUU227BIFz0seegg9997O8+dpseczTw1//7X8JC
NI61XV67E0DPa6akRzQugvHLhHsNI++ZiUlxt1SUuey8sNFcJU++Oy/fnZfvzst35+W78zL8t/+e
H7/Gfa4b9FgE9LNo0CyzAxaC1Acfkuyg1AAxadfRYBMvNAEuXWOWsPmnrrHshM1SBd+dsO9O2Hcn
DHbXdyfs93fCFq3oWaLqX7KitQV5PG/R4PkyTo0BmZKeype8R+GyxHm2lQ4sscoqx5B/JAhWILur
XHKIwOeDh4rUuilbIvIYCmJNE+IwLL79NWqEOj3dfH1ncdmYvucG4d8epjXC2+iXtBSnR9igRRBn
QNFjbvoof2MBGRbz+Bpn3TD/eKnua/FOZ7mOP++dLqa/Lpn0K8/oPzT9JRjf3PwqICEFoOsrAKH5
uQfZA6hQELuGbX5E6xCvYzG3+/u3+5G+IKiao/jhHg8UJqLpG5QJ9vgpsdA6i/chDuVO5svNRA4l
XlpTBNVvOXJAKcE6O2SH2tGPzYN4lPbSbjjJt4VVIKBdonJEQ7oKgNsWOR6PrwB6JUdENRNyRChq
Wk9r3kVN6npySlNBqL+1c0RHAxvcoe6IYlYQoqLrA3x5CIcRvBu0deunhGinj49zQM5IA2CsnPkW
mqcP5ABAOIwHUECAOo97VrbJ2Zv7DQLf25Z49O0toqj9QOYP0f/7yrxHagNxQYXdMEo4URUCjmTM
CJ5hd3+6x1xc5gif3Nj4gVewooLT2+eZyW9H0a9WZubbJ2FsxHrcyqhVZl8bpHzol94azJw8asS+
RSPOQ0d8cjOQ20svu4PiZWJtCepftqiguUOPjOUTzwyR8mBpOwDIUztD8iqyQiQmcC8RYq73byi1
GS+z9oHal8j6GMnnd3JJof7CqL66k5lRPUgjpwwi8gHql+LRe0eZtdOvgQf1rJ74k3gajrWlZWQA
uS1KLFUKLsVBoOA303b6Gc2BsgjIENZNM7zkryqSfCaHWmxgsXvo8KJoHBRPqtWBKPrp83FLrMzz
s3HPDHVQ6mld4eFsjHshRJ72naVAU/oqIGdk+iTchT69S23EdC3OjM/xOdiJhGXugNzrsJg2qw/+
fEyXBrvPxjQz65vKl6UYyKWsBwX5EWSikAqR7Garo46L5fNQEEPq1aXWhDZo4xcswJfKwkNvr1G7
hI4pZDaRBawvSRkJez7CUFETgxxRjxRmskPOCFZT5ihPaFFd2ArAAlqYU/b8lVyOgDwKfhmMn2UL
dIyXJWmRN9ixkh9wteH/X/NDGQqXesu/YeVLHTJx3j1yP6hHaw6sGq2+S/CbpbdZktlD+pml01k5
E0t/syJ7tt9BV4bsu1OBpl02pZN/WxmbEozy4G9F4HlcRSi/rpHBrM1wOyBK96weJmvFSn50WkDd
I/GLVdSROK2R9+vsSzoNQWg24sQF8yueMcwY9WvygdUrdJa05mEiAEQZdWROv3l786yPj7vte+rc
HMFNC9hqnD/IqNDED6B5k/OHYdaoUGPRcRbzZnqf/ewR+UbeGokCQL/ib5YFYrFypBcRXK8u+WSk
bP/F7SXO2shasNd5AO+VHdDLX2oQ0K+7YtPb30mrkrDsGThHaQhRAsG7XkNinMHVQAp6x5O71Ly7
O4PC177cIWTi6e0tQ+8dk5Gfn4NvW4g/yZRLg+bVPuKHLOykFgMtb5KDrMLqQqWZ0zk5qwJzKizS
tBUfFi66pC0vvT9XV/2uLf9d2nJxP8xK9n+V/bAkjMWZ8fT7nZYlsXupDLzauN/F7h9L7M4spD+Y
Vl8ylC5AEVe7699hKC0ZneLMUPqjGJ1LZv+FqulqLv+4Zv8F6+gXpqoGzGwFaONoTJhJRyUvfYCO
wNTTT186VO4c8mHlHrJzvRNWKPI231FJYSXkHcxtsORQe2C2dyijp+Ea5sUqXaO2h6DYB+7d60AV
p0YtGTCrHNWedjkiMRFBoV63iy91FRllXQbBnQHLOwRH9alw8oxEp6okJ1B6bNGsuWDKLt7ezD/7
k92e+s1ENmB7gYatopV3DgEIioE0bJiBxY80u21RIiM/aOYjK91itbCDCWOcVrdwP+CAxKt4o15q
RUva7lgdaGSzNpEO6DVApSWthkIr1O2x5gEzOqDIygbhAlx+VnLUIkPOCi5RykMlrKlPBwfUEiQX
SK86imAbrfW5Ibd4czNr4U91cwy++Zdu69XKzc7dyMd+Jsod8Do0BDs2p3vENe4f4Uej9o5HFMRx
jjIiLh29RCePzvFUoF1GoPBHFtwJprZ+IQGuRjI7IqUHJKNEwUgOtrs+f76Gi7c505m/4W0qbEY/
u89ZoECR8lBtK4RqSovVksb7CUEaG5zG5IUFX17cvUien7aOj/7RcO3uEbIBOg2eObyg2BEvyyli
aCysMFpfJKd2Qb14FLfqSt3oq/QM5px89fnssRF9NuKZdpw8A2TEA0YMbFt7g4De5x8vf9PNv1r5
mZvfxLmcixqkR2UADIrEI43vX1gzmbCVKY/fGSowlRWr0GSV6IkprGxhw8rGmQcf2IF5U6dU+qjQ
lY+IRb+VqADh4BGJJjeTVREUp5Gut7ybzwe+MC/G3P8dVJ4LJsxLenpC69hpycH+ttb4aWLm8NZF
OQSNVOICmwZdxBOqQoGWRXPE9hBC5cgt2xkTfO8XxFVtlzjoZMvwgGK/TIjuvePf+xFYN3cVeQK3
DqkIRomGNhYhDOCFrytyA12IBqcz4ngfPAGHNflYWF2JzcInu8cQ8fyVjcIVExfxAW4CUmXE4B8N
8lgiAMyixV927JHOLFk5KxR8Y22f2OJxTkXMzxdr6dwZMzH+xz93c4K5f/TcLW3fmcBtf/XtOxO6
f87tOxPXv9X2XdCOjPHw+hT9Q9pxSQBfIllXR/QPI4C/CZinM2IUUPZIQH6cSeAs5oRaUXvZeQnQ
nlQ7OYB7EGx8gKyjZ5god5B3JnopWJJqoXMBPC/fFGw/XXyWIE2mRsw5aUB/bUrLfYSOogm9sKO1
uyB7HVJLWmUotmfl/AaaqQaATaHO86ygEeplU539iuglCSIochReo6eLSXhgakirzvSeUJJu7/c8
7kM0PyLcRefoGx7pX7AaoysnNyV65vHf0R0c1moUIWAPOqRVBPwQcFaj4+fMAq2RJa7AHIwoa2Sl
KLHGk+j+EGFAiyZviuYzs6NLPPG5sAXu5sLkzKT+WIZAofSwMqaGTuoRzTRM4m9AQgMlAAxH/MFD
9O++gHQP3TSstwbdxnhEI49/y2KxLuwBveWSzXRETlhvwBcD7yzxMLOaWCcO60dkn/alJHju61dw
ZK8BfjCcwlu0gKGIn5X5F0hmIGVoiUgO6gTdhnRAexfLsgNyi/2Ncn90JKEtXEPHQHdpsOjxLvRO
ZcRwvlbvC2sBCmoAHs3nU/Z39NNP22mmn1JfSFsQw8GHgpdUkhefuCW9ufVh6sE0rElm2uwBtkdS
K3O/fHkYzQeJArkOPG7oXX8Dgg10eETeTh/rELu+oOD/wBZZWtvFjc8s3Ctx8Z+08b8JG3UtkWZK
tay8rCtSrOLFnGeRCvbFFo2Zb5F9696ihwi9RGggvxj9Idb39uWlhGF2+ri/B/TA+7sO7KcY/rDn
MgsP/bTb9cfHB3oJzyv6wSEdyxZ3LRJ2nukZLXohWnQK9OFlDhrcWL42Wp8DayQLMm/x7mYa/c91
d8tCa6brvwutRaE1M0t+N6G1aCnMfMxf1VL4pqFtCLwAQhtBlC7BiSt5CdbXMBkH6EJoqRrH3YcL
D22VQySsn1WbJ8l6QUZ/E3JWv7rk7HZDkWvUSMQlA014G3gdqBR6BQKW5kUO0H7aCZ2TRkJlxnGa
2tkEjFRZANSoHBNwUT2C0RkKNM1qyvHFMe3ElyIAkTW42B1FAzu10Xf80oi/aTD8NGJ5ZsqlURwr
Xg3BCSSSDn24KMkJaOFKZNwhPtigsXdVAAbk7pkVJaz3oGpeqni7RPl/4aleDWFm0KWVJo+qjCHA
sWYi+sa3WKMcg7NLCIOFYX2DPuqETrCuzh8JaiE+twFEZhV9NoKZ1ZSC9CwOSoxgx7zjt9OOASIe
bGD6gQ+ZbO/WETktXHJp3udmx68/7xck88/uemZP1EXbgA4Ydy3YJSw51IWVFLEvhDpKlBWUzoTz
woARgOTTkd7co4+PmYYpOWWoJghNFEiMKywJs34VhP0R5UCR0sf95zP1bVl3tT1mqn3QO44TMwzz
Htr6hVmYsMpgdiKkwUzaR9PpKPCICnJkIIuvMoCFGGyjs6+YH8Iau1erW2YJsKH3LB5D0Yh+f/9x
/vh8pIsbma35lcD59Tfy4pLONOnvtKRLYpKxll1P1O8vJpdO60yup34sgYkZezAlu+N29fm+Wfjw
eW3zP/bhF6KJT075pT7ialNGg6TwXg+VhNNS4wALgCkBMAmNd9FDQ7asCz6kyT5HSVULyDHgawDu
qyB7gDOwiqc3lnF4sj6/46UzPa/8/f3OtLBgRMxB5H8NI2JBG10m72rFfgVttLhJZjI2nUJVKyq2
SXgKKDEfhbywlqABasqgb5lO4MiXwYTP7ygoohsRAIltb49aRAe1jGf05tMFy2RxTHNp+kcY00y+
/pqH6R8ixvw/bd1Uz0n4nP2FtNX7c/uX/OMv5wZE0nUTvtZ/Ai5pBVP596mkASL4/pf79+rt/ZpJ
mr3nRyJpUfyB0atrBph2BVU3ZOzgH1l2ReUH8OsaMgCkRBVI13jTTyS74JcG662IonqFl1ii528k
u/IPOi+JApikFVHUwML+j9BdzgpdFLxfB9K2jgFohqZocwBdP1XFXpFrn4CQVXFjOcV/vdpQn5Qi
h90dT9KXYhx9kSbgBrJg9Tc0NGJJsjNfT59zIVoHXquWFsflqjlESS0SEKckB7Vo5GdZz8VNq/Mp
Ku7DXgcW7iSWEwEJjf7oGQJ3iNq4R6hizNMHw+vbLTcA5ypPNFKisUBaVYLBPbRlruc0ykcHOSPl
JeJl7llORwnsDQKY2PgY1GvqJJEk6UYXFNy9GatieHe1qMevWum6s3NmiGOedARxdFGSDRmspfK8
HCUfo6SMM+kDrErincRnMa2Tcugdpa08KvtJWpFMSIOVr2RgUwrU9lUZDQOaCsTwOeF8fzhzYSQg
HKeJ3T2vxiArrrqhohEX7PIkB+VAxPEdT5qq8oF81rbA1YrlaftP3AdoeGVQCIsGsNVnskvqal9T
+vyjLILgJvW890CKRycpIrQoqRzAn/z8rYI9QbXMlxy/C9QbIx3ALzfWHBm1IqJe4wsvXuJ1a09p
ZGKk/LaLetEFd3i1ibNOPkpZELm+kIfrzwf/c3PksgZgVNcNUcexkRXG1n5tnFUSn4DD2f/IUg+o
4Lwub3Xfb8Dp3IlbIZbyBefrwnrxk4HCrgcma0ExsKZYVXBF/Px6U5+EoyFq762UPHKxchckk2Ap
RdSsmjxLNrBdeNIC6oH2BQAcoyG1P79fifmX8wFoKi+quqypMuBZfz6ANKqHqhny93BKeIFwkZIC
zruOyrfcy8SPKfFKnnp156pcowCGqOPHl1QWg4JOIeOcFsqgs9Iq1bfJIB6UTOM50k5J+aXzusSa
4lELTJlvCpFMKRduOl1UM9T7a9x9HgKXVOVjxfalJmiIX0k3k8Fx7SpNKv8hyzL/hvN0UOS0iV4s
BBVn3grmHdzjYOwCDbAhMKqy2W3LUp/7QdC8Sl3VlSQX1XE9clr/WA0lCGAnHuy3uRTyHwE/iAAK
9AaZyQKv3id6op4DNQhAE9vWmLK4z8d922SRTqqxaB9Ujm/2gSpPKEFS9JOq18r9EAz9Hg9VNAhK
oA72LbDki6DaCUoe3g66ftI0eYlx5RdbGXEf7GANh1AUwHA+8+txOHK/q5SXotRkonjJZCUxKAsF
X4C/GHkyWdhJ37oeLolgE/QJtvMsklFGvCZKY/nSNsbwqHi+Yo1gtjCzpEmBVJ8a4rMUG9qq46ZN
0HgFCi68+kbssqIiYgd5JGp+t82LiktNzcjUVS1ksW9WsgyIudTQXI7XS+TpNb0BMlNshHQaxfoU
6mV326Ut2CfLsO9JKCr8YUx4K02CqSR8rkkV6bIGpWCc1AFQyajWhhS2Hzj+wkFROwmdOpWhLswG
kxM/O1aGoGsyo5g2DF6VL0HtazNWDuVhSKfX3vA6M/Yr3hwxZWgTqoJNgURZDfWycElmpv7ikqBA
B+8eCNx4aRZUCcJQa5RieOWTSneNuAFCcqKBKTT2jCWp9QuhgUMDKYl1Bs02Ts/MEoSuTjmxql9H
o3tUK5RRkqKpkychAzzcZKDhSfV7hE5URceC6FryJayieDfKaj8sDEVkd/Xzu77sOF4BYze0pzob
Smykmh6IxksuD/xTPE5pQ1pDro5iVGU9GboCFDfBMGp3kdfzEuFkn3sMsrp/FCM1plnSlwcujVRg
iXKGd+Z85bkZOvC6G10I0dMEoPYUsmoi/pSVmQWzpUHFZ1vKuFaqVQtLKP/yDKHNEefVAGmigcpU
EXd7tW34cNLLhFOfk1jMfVCRDuobX1dAK8YhP3Rj0+Qk0zPYN4mqC1aBc/M+VLpB6hBU46bmi2hD
q4QY9EJh3O+nfGgsIQxC3VRwF8996I8fo9pBHojcNMCGmMSzXCf1PvZH+XEapO6+zD3xACnciSQS
VrFXhqc4aHKOaKPepSTM9SgkfONrAphY82wlju34FCdtJVjymNzxRaNsVCWYNnKRt1sh0dKUCF00
IEmqRCrIUgU5Oglp0kxgPw05N/RzrlyYxlmIhUl3CfTAyM9jFmQNO+Pn0yh1Td3XvvhciQH/JLeV
mlEhkPua8EE6+aRGUFkzBWNIN2quDq4WDCAomaJkHaWVjxovXoxu6i4HtKE38XQIiu7sB6KIkjho
xY9GCkGRUaUxyHkHv0WyrKnz00Wa/kN+zS58rfIa5C1zD+Z1+O/XvBir0A+avx6K9+zcVO/vze65
mL+SXe//vbT+6+Vp4IyYz83zz/6wsiZsxlP7Xo0373WbNH/9H7zzx1f+/z75l/fLp9yOxfv//tdr
3mYN+zQ/zLNrv0VgNtXfd3bc5jkZf/H6r46OoP8gwyeReR612poKl+Zvfo76A4wo5l7ITLFrKotk
/OjnyNoPqO6G5yPCpFYUmXWe/OjnSMoPsi4xExViWpIUFDv97b6PX2UMpuzrPPz497X9ziTNT5JI
4wU0e6myAupM9CmL2sUNujq7uZKWU2PoaLAMm34TafyzavQCTRpRWk1iVNNAEYLd1dx845qCMDPg
oN1FTWNt0YooiRCF8zYCUU7jShYaZGe9pp7uil6PMjfl9ALNel5koIe/qyN1m3tjUeyjSM+1w9R7
AvqoZTkrN1HGKdVa8sSksmEM6RJknCYAHZmfwsmVvb6yCsztm+CLgmdGUGUgQq4CI7f/L3NftiM3
rmX7Q60DStTEl36QYsqIHO1Mp9MvgkeKFElJJDVQX98rXKeBsvu2C/12gUKiEM6UQiS1h7XW3luq
IpC3UvWEngZmx+FMnND9LqNyMPsCE1nB9HQNvQydxjwdOSTDK+dT+BbNko715gj6NHaEgQIq3Pxx
7mSLLrSp2KDXZmh4/CgDGd7nUnaolFyGLT8jnwUnkznV0Bu1sfRjFk0bP0Zl3gZ8tXXBjGjkJQXd
OxiItTZSxEk1dvksa4rZpLStWOgWWa9dEOhtu1lRXNp5zq3a+ULZrkqsTdFivdGrfueYaJIdYih2
1MiVnmQbxw8J52Vbw+OTN63JQwS1pNtFG1/uBuHMobX5nFc5XYqP2miHuKt3af/YLEWPIlzVr9F7
R2mge7/QSd2SrSFJVeZyRbPKNu7eltjkr0iTm71JbJ7W2aCHt3Io7QMx5fJlcqlwVZZ1Jbo1iw0P
2i8CHT/jIiT6C+mdRrY6ZnhoRVuofMooicvaRzqJTwS6paSytGW7KdJDVomRdNDJBL6g6Dah7+em
K7IDNYoOdZNzv+dD6vfbtCgK4WfHxulRhDDP750ucc8m1+Mbyfq2zscQTE3ddagvX4vtLIXv7zvn
ovRc9lo8F2l/LU/mbjH74Br5lWg/oj5ejEgpukgl6KVP/YCGtNuWEoRH2nT2uM2J2tp6KzfaPFgZ
zcu3kto1pmfGRmm2KuUbGc6BTBoVlambdD2NQrpHTfrhjcwS/9tFKfZ+TscUk6OESgSKNQrR9w+4
dRjlwTaN6fZRwRr72LmYdo8jaja7YxP0Opg6WZFmHr2nOF9xpol7Wkcb8aHqQ2+mZbckCV0eyTgZ
+aKHpFW3GY49TiEm4uK3q564iZLq3x+WWyzQ9JIlEh2bCcOVm20tim5nuzJ30A0PvNygsl6abN52
ghk+3SB6K/JPCFo4UEcgKe4wFHkbvdqxxapt7YzTTMU2vM1izuk+GhegBGGZ8NSGOvwjH4byyQxG
gLuc3ejeQrammLqbi36HN6XPdktZ+HU/Bc5QZD2n+Ptosp4c+2KNu5dZWbwqZFiDrNOpV/JD4Vvb
PS55OuhnL3rt9lYL2A3vShxIyZjASKlcumeRjpG4GYOUYTcGDBb6muRMomr4mjgdTTGa795F4ocC
BvMOurYhe2tNuVVy6mOM14rjc9fF9hDxrfxAZdqxw5K59JmPorjvp5jcjUGdWq6rkQhgS0lSt6OV
u2QOKWKX4ihccaOSCZwYbyQUVfl02Hj2QkM3nzKOvfJmruioeO3nqXgELKEex4xE9aRLQTCzWKwX
2sXNh3krJ7vvMLe1eMoT82yo/oE4aYHqXazZkSiPTrPbbFhlxITlF/S+hTVW9cjS5b2JYQkV5ux+
S3SDfHEl+ZPq9albhT0UPHudJRMovG7T3bTFH4ay/66x0XfF6Mddm8anaF3cMYxDc1OY6Yvx+oEi
ud0nfml3pIneR5Jh8rwr0HT2ujMsjJWPyvFsA9uN0fqyCH8cPGkPrhVtDZSsuJtdgzh5no+Alqoo
iHjPXCyqfOrvC2NgWcuyGNZq4uKeyfZDqeleIKOtFU/8HsL8puqkGD4il6R1130wabgA2EJnhJif
pw1dqUk7nn2OVrt5l94ENh6UbW43DNGu0hTOgE7bhfdOHXS2yWpqGGSE44oRddRfqFewYpN8Bxe2
7GyPd5an+pwMsKNyKw+wVdnrVoRniiC48hioe2pdoqsm2TCCldAbjpouBKrbbdPMn6AE72trMlQ2
jKmvkhwxaNwtqGFn1iKSR/MOkVcbQ4/aftrxhH5LSnYTxepkRIL26U6Ht6azvq2bFrvULoRUMzGH
IY5uE8mfKUPPhUxvlWUBSj+AKaFqSo0i/iBk29XL1k4HMtPyaSQsyirqx7uU52feGXY/NdkTGeal
bjUOU8Om13kunohsAaI4cetZdppLA+1Dx+8TgTxuWpmueSqPfAhyT7sk3ISgHrOo1bvYYXBKnlJ+
ZkCSRvhJeKqoM+ImGtgXObt1qVIvpKlT4C6Q8MNAAjXclidWrjFwgXLbZ4t6ii3E8zvuCQTy3nmU
QJUBuYPfYJuiodDRbliB7YgNmEIlxxkdHXK1HOfYZKfF5PIlgHLT+Kq8xFLbRYgqzflHFhB5B7G5
qYriSQy7Npm6s23W4dn4Iv7MRs0/sWgY0DGisKzbx2G4hekID9YNZterrPxYlCY+p1tnPreNs/FB
t2HbTZBxoM3xgDVbLd8Be+xOPO8adD6XdEDj6DEpn0EOR5jZI5cWwsUtjfZuYf2+gcO4a3mnYBz5
xndknd0b6h/ikyVt8WnIE9TL9AopEMJH+Ilung/5GvKHKWafSTaqfcmjlAJ56FV3jGPe51+yjvn4
lnn8WVVOnEMNiWiBVEU5D8chn9HFxU95zbeofRhjvv5go0h2rO87VFmESLxm5bDVXdLIHLlcDwhk
ijNHKqRiidinDc0xJSNvgD8lRIWlxjaWr0Qqf68FX6baIOcpD4Z05Ilrvy67iBg8dLI0aBUhXXSv
MVsPMddgi+M0G0zlmW37oCFqPjbJUnxhZO5OG1nIuey6omYFp3vrPEbI8FaqOl91gF+U61ApoSB4
JfmIEINlT8WQOVOFacPECRd1412cAKRR7VyMVd+54ZDZbnw/jmE7JfgUjaWaPr4hYk12Q+w6uH3O
569xmYUjdTL+OA4xRRv0TWH8oknXdqyMmoB+Y57xRzfl877Tk08OfI6Yq/QoyIdiwVwBpJmV0KM/
NanVN0STVVY2gs3pXZPVGV/Su1iOxRkYRv++XItXoYDOODfHqiKzO3XTYO5FWpLam/zoYBePGU+6
ZGdpFD9b1yR7+FhTj40BCHrF5xmi9iehUnFKYUBPfkwkZpD06tAgcoc5FFk1wB9eijGyRzNRhmhH
zTfeTqaiosufZgTbTyjPwnQAPuYXn2U/VrKqm0FdjfBYzg2Q88n2e6kLNOpiPY/vZDeRc+6m7b5N
hNK7iElB9rzR+utYOqf30s3oTMJmc7+t7DD1tjkWnQWpgOohh1eb+q545yOLEIvnEpNWos3vyl5G
X4Jy7UdiHdDKjA3qpogpa07FHLPdOqiyYpFW9WZzDCEtNNLjYWm/w6e6uCq9X47FstpzaJFVYHI3
qyno90qHbHmC6ZlEBSeUHVsyBAS+rZ1OWzyrI0DBCR1NnEA3M1pAeu7Eem6AVx5ksvkXT2k0152M
0BHFEXnxXPqDThb6xpDp9N/TvgGCk/icTZc539CBxbHlw0DiND0MOs8tOJJoQP/wovHvy3ks76gt
YsQzan6HlJIA8QX4eyTNjCytXDn0QGqCsQ7phiJdRdz6vJB4nvFCl+2PXBMcaalD8gkwSFY7m6PN
DwmM1mNqB8ydiVQs6nkh7DiAw5qqHBDvbh41Rm7TOXwZlmSQB9a1c1vbPFkf8iUq6bnjpbCn3GcK
wJXkfXFxW/YEpKRFk/qO9fZoZ1uc25jq5yuJVLdKu/PU0fVstIKmH9jMXhXy6zD6eNxtPp5vsx6Q
eo1bjU/RGpazzExTMUvVPhHeVB1KMaNK8QUVs6lruprOMOpAZEAoJSJI9LtpZp7uZ4Q7/KHF9vNq
GfKyDhJ5epUlmFFM01GLYzIVUPjjZJ5okX0GeBLeidyr7rAs0mU7xGK+Tv2g7pbGRDcYXslvp3Zq
62kWH5q8FRdY9fhS6g2TCoQFuASreWTlmBzmKWvuUljxh2wxxT4BaoQYgIuXbBkNhpVv7b4PSXs3
I8feOUnTr+W0Da9ZTtztatX8FDWkO5q+fJFUjTck0O42y7R5AdbvDtuwir0n3B2j1GBARpJYNNTJ
AnpomWlUlSY5xO5lstx1PoGjDoz0+14IRPobTvNULDBO4/pum1eUAhuCQEP0Y2t3rWrcdMmQUe7b
MM47oObxUAm4/OOajCg3NzP1t6RtosMV7jhjuLzHkNw8j06jXvoDtWatSorb46YCEeLAhl7UdOqz
D7kr07oxSLwlx1s7ZT6BE9/cNa2MQYEqPHDnY/7YrDkmvqVJcqdGU3zgTdh+SBYBuPSEbA+a2Adk
kA6TvvBt90zNqH2cVTxX3RhhFLCPJnZpJGLFKPc9uZSlkXA4ZYrdGkRthd3eeSuznTcI7Y9qibrH
vOhndsVZO/yqH2DAeMY4VIw0bs+TWvq1tsWKgohRYup9o8S3sd/CXk/pcAitSNE5SEetP5gxp3Pd
Z8n1QCLPvCzFUkQANn1/G3lT3ASnm2rMrzPNe7zyKWDAL3mYsvdhCdtZOZd3FZnQg2sWUxr2JMgk
qTgyDOCetpxR6t2TbrcmlL9S3o1vmeK+Mjal72I6YQRv4M1NUhbibAZCcSCd0s/T4mLMFIQgD9MI
u579yGCKngkpvmu+wuvOHEFwmziwCth5hum1wBBeAy+tqBI50K+WeIyB8HBwCAMUElBQQ0hQfTdc
AMZ2N86K+RDZdkRHOFWi7cBIeA1WVywVd74/4M4YHSRivUt8w6vUTnQXZZN7hXPTN26x9H7aVn+y
0dhDso8zk9TrYtR7Jnl3p6gSzzoP3X0a1rGaB79h9ctLgW05N9JiJB4Na7xv8m5ySIAsAgVLOvlN
ASQ+zGoS9GuYaPdZ6UhjY0PxBbDieh6yYThKY/obYpnI9gWzEsXCXScgldR8efK2KXSl2kKvN9Mc
Z++3Ykkgrk28efUzNr3uYcdul45EkNtMRiALRDB16cJI1GFTnpHdBDbpmIwtBtoH34knmSAn2jdd
kn9SMVdon7dqjRZt2+C4rIL06lQk3RYflHfFl2Uol/G2y5atqMsAqPumda35rEwYP5NIby8rmbau
WvuIWbxGiEuxem1k75bUBF7PEC2nl64Ly0HLsn1t8wHBD3wo2U4WEecPBGcOB7VoE1DxIhJ3iSN8
2kF/Zh9WquM3wFME466zBZNiBG1eR108w38TeI7F9d+WqSDQHhs2YhRRF9znLmUYfdYa5OPNT4Ar
UzP+X5PBfIVfmDEROoqKp5LGM2ah6Ny+iG6SgLBaKtsanF9/2toRlKPHrJtzVG7jvo3J8ix8hIFW
OgPrRljcvk5DCdxbxTqubZPxz34AG3rMoiZGptTMEcCGdRmouploaV7nPNHZod1iwGuRLwANdKFd
+T4unEMrUU9Vu1tFiZ8jjDpwihYkWe11LD6tqYKDsWCz0WCMGYBRpW6TtU5sFg/nK7My1P3S2q/4
awT92YxQI+7U8ObbqLkYN4A2BUHdDd0euRsuMmRwUbuIjwTNzoYiRWQfnNqnTqcvZey2Gp4Jv4Z3
kuLwsnnDO0S11FePhc/lT+Apu4InidD0piz5mXPDQ8Vknqgb0WREK/C7Ft66yhs9EUzeBPCwnSBB
WTtRAxsc+gfNJRYjieVGAhiVfNMXxealSKohLMCdaDFE26HQfRdV/aq5e8w3BnwmsHV4M2mGtRqg
zlnrpWzwM5Y60ReA1qR/oYlxSYn0l6oXGwdsv/VDCW1AO8ELRVIFfMF1GWl350DVjV+0KYDB6AYQ
67+xHABYWKTES2BBk7ZC3bYyEtnOjEXT75mmizyRJSIYiZpNcn1am3F4izKKCySZxDL9Be7QAfHy
JYrazB0WR7AH+cDxcDld8TusX0ZUymc8Rou8bBuBeS2WYaGmzuKRvKO4vsc+AXodBtM/RChcSCog
bTGGZtpRuzeFPh8wz0Oz9S8kmdT6BHPJ5dFB3NTdRanFoWyRrnd3OqypxFSpEsqe+ximR9/OUze9
IvB3/oPJ18a+xI5sw2Hpi/7q0HjjjxNJi7G25YCrabfhi9qlz9Q9+/moZcmm/AY4YISiSO1DDZfu
zL20DhZlxndYL5hs2mMOTE6B26GXTJPWSzSYaS/yHo+4KhDwVZJMy4oAyfKjmLIePiPVt1EefGXt
mn4Qa4kGklMpTxpNQzpTbPo5beYlr/6DJK0B3pZmKJdoQBQbEpoNzk664SFdTNzflL3L3v7MHvzK
NoIXg87lSpriRU9yvIe/0WRy4dDvCIpTm9DxwaxUxMBT5nytGCmsONB40v9UpflbUQxuir9lSZJn
YOhAy+S/KWwQTPeTR/BU5UU0vAG+Q1lHg9Pw3SK92yXTlp3T4MaxgvTdcOQ9JooOAVBL5ZdufFKL
lkPNZpLtZWKmyqxEHwIds0/jUvpll7ULUuNxG+Dsg6fGIHHx5UuaR/P7YozbA4vH+AxCE4UoLJdW
/wP3+Cvx//PxGLRDKbRcJKEgg36lHrcoGWK4j1AhBxY427294W037hzN1keITJc7WiyY79rz8fn/
uJssphS0fwk4gV65qF/vPOJVm4UJWzXLBIFlp/IbwMbt9zYbkEAwUFDyH1Sq8a/k+/VhEbSWEPVd
GbkYeqlfb2mNcNMMCRGMhGrut3TGJKUsYudVbtlQoX68vNXdWDxE2TycTWlZBQDfoZn0VLroEPl+
iau2pRjM/Oel+FUKcf1eZQw8GaQf6MIyKX5bCjPapBvh0CvVJOtjqfX6KFuLcNESidjgzze77ujf
eL+fN0tJAXyzBPuG9+nXRWChyfvexVM1M43kqlUDRdPNlac3f77P7w8VQ4mJXlUxQFKw/Vj2X+8T
5k1KvFOoQiEOcDsBVqT2tm9nTO7RPXzDn2/3+0HG7RKcI6h5SpCtUCP8ejsTYmFgj3rInq6OR6wC
5ANkmlfz13Qw+sqFKwgFxwBkeUOMtfvzF4Cg5LeVBdlJwOpCxQROFYrI30yFWBKxdiCGKsT34/Ta
OrVFe5mmPgcFGfEHxBwpZi46PoAuaF331myqj4DxjBMAvcISgIOEAzHxYBXvHW971HGZokTr5qTL
eUWhZbiKDWna1+naQBnZediPeuSLQI6xJdtppXJBpXfUBswWhYlWVSB9Qk4DH6J2l00etv8vXiab
PRwtiIRrDJpScEwJsGlINhHdylpHq/tUQmUhLgaBbHIPJiIfdpHKQzhZ5Yl/VMuKdWZujfsX5BZw
qKBuQA+OcoXT9TPBhUtDsPJuaow+rERcXe/S4Gc/R3237/omu4wFLZ44C/h0hEwrq+xCi6lKYfHi
40KyqyeWLaKBZNb48r314uihwMOlSso/82EdmgNkpOVZWwcgOPXFdCvLjv0gtIUDxxoLxAANaIbz
5POmeTWsUYhMIIn7sFm/PRVR8HCmSYqvkKkGtFQC/F3dCjvAoatiRhDiy2jdTm0WwvQ9Uymi6J61
U/R+lbTxN6Gf4e7dlDGAEwOV8a7fSqEhyStxHSqAJO2TbTShShlCqjrYFlFUR0ssFHAacYxWKDmq
BmzOdmocj/yN1ysctIaoAoTez3gkGyEiO6OtfrQeBPWAUp1ZV3Ly8UL0ZS0Wjc5gYgR8PbEwoKPu
zytMIsVNJhA00Im4ZYSmiwvBTiD3fi5CgYcuwIOjO1jU48tuiPFlvei5dY9+ZcOb26QHeTOsDZDm
BU0aMla8JtTi1EgCniNEy3jfeG/0vhk6qA6bqPzcdOudkwbcQm4kmj3nKRJI5WSIzn9Faesi5x4b
O6dVNM56lwLZ/BH3XfIUeBenFYdaDdMatdnUGWmT+Se395v4AQJDmAqEUAxmN8vz38WGLO+6gcYm
qYQTiOk5SMUnPCPsVJk2EamhE72X5YQt+LOR+N34xjn05BRN4HKKNn5Qsf5qpZIF+WFTLiC8FYN9
5xGg5V2P7Pbxz/e5Gte/G3lICwBoxdCKlkVMILn49T7AVdPZyx6T4mlUfGhZrL9LQu14aiXLNOTm
BRJXtRFSXpot7j96vBQ//vwV/scSM5bmOZxZShmc2k9n/Dd9ycZCEhmdg7hZyvURanHcUfTFEySZ
UEXQLHzTPGAN/nzX32NEPDHkMSV+orSgQJHBrw8ODq6FPhkIkElLeaEx8htYrSvfrYx9m7mY43+w
+//Dz+E5IaBAze+1+iAuf9ORLnh3V92BB95awR5WNPQYdnyl31mwMCV/frrfj09CMFcANdIEcp08
hoTo16czUK0wv8qx4gypCDT1Qxc99X7YzJc/3+j/tXkZVrKEpBxy/OIaSf1t89qJm9SmBVpkbX33
JcsaMVZpq/ABm/uhKmy5fvtL0fHn++LNx5X/fnITkqTQQ2VlShF6p/S3DYTTM7lr4gWxj1cPhDh3
DimxPVqeKTPsk7TPv4miW39koo+/ZZGfVZ3I0n12LRV+H5Vh/Jb00iZ7iFWySwcGEV1NGqaeCj3T
l8EU+patQDcrAa3FBwYy+rMWCfG7vilLpNlA9+Bq5wAgU4hh2SV8nlHNU141O4Kt5wyHr98lCwuf
aTY7FFvJaJS3sM6gmMa8/7L4JkJBbpysNxBnmPJxjQu4qyAsFx97Vmrv6zYdS0arPCo0PRY/8+sJ
gUFUDyDS0Cp81kVz44GJTd9Z4mGGXFNuw3npt7QAnWbm6ATFDax2m0o/VXaKRA+q+ooTMDvgc/MT
XIoo8oo7jVy/fEzngCtwNQhMSvV9864reAwad1s80ecpb2S5d6UfIB+atEbOmziNa5q2T+A42fbI
Hd2gKylTqFW2AXdS4Bfvxhlq+oPYUhgys8jowUEf8H79CQS1HEpUBc72m4TgHAibYOTBZdrjQaDT
AeYcECQwWa7HrFPpWFMDYU9s5h9K0cxAljJzOP5QEnS1K/De37pMArHOutTvBjtM6akfTADCGWXN
q2iNQW8hPbHTunH60Q1i+ZCViCx2ZZRnwznqaXYxlqe8Dq0sUU3CSne08mqZPOR4J9DVZV6LvoEL
DDL1aV2uy2wvrtugThuW7PKXT8iADlrYtSbClO2foJBMhXFvQ7tct4qViAkGLhCP/fX7YIJKfiEi
K8pb4S2qNApAlh/XrKe7oszX4eTDxvJdp1z0FoGfeU6hswF6lJJm+wRdTHcxcdSjvn+IRqDmCHOP
qKXJDktgiz8otja6Jts0NXfSAIA+WO0dpoxPVus7sbiAUSArJPe7DAqfqIbuEIf5L/3LZgO+sjGe
D8dcl0CsVYDrBPw9tOishHcEM3J/bq60gqJhLPTT7NKHdT3+fPP/TwrS517jv99FoX/XhP7n/yoy
/f9ROnrVQ//v0tHz5+Hzr1LT6+//Wzqa0X9B+gfI4b8lo5BK/ovRKysABwApKf7hvxWj2b8gpiSo
JCiRUCOzgwf6t2I0If8CWYJsiEAFAu4F1vY3heifFKP0dzAE12cl0BD4VqSsSHF+M84muHkKc2ce
GRCQSxkhQYHcMa1yQdZDv8boCrWCppv88lKy5R7S6yYc7VsK8ZbK8hux9LcTdKaAokkxfR9WUMis
VZXLz50WBwDn2/1KzSfUSVaNeGJJc1oCRDUJ0IF6W1FpAX3LuuMkw+wGUbRVoxdTFZn8nMocku8t
EvuFAyNBfhZXg9YgOxH+1yVrIVerGy7Uxy20287I5BsPQddNiX66JX9w3F+E7L/6zZKDDpGqNlqg
c+bwPiGjq6c2RetFy+iOLclr2YevaaLTE+uK9j5Srdq7flaviHj1HUVqfZLWH7tH+Yjix5Nn/HbT
tzy1u7IjN2y7zB1KhRRkR8UyDqBwYrUj3RrtN84/jiTeKo9ItNJfWY/YfDlTdSySm5BiGjk9SDQZ
2VhVhvTr1JkBkpIsrYhb1j0adJs6w0CMBvOm+c0CHGoXFTKrFriGdcl3/RjVefJVslpi0jV6uaEP
JvJFpModGjW4Pj6ZWNGpKjz9MUTWPnCQ3LsmounHyEafNU0xu7voUiDWJMYgkA1j76n+Jh04K8eh
M/CWou9mColrQjBwBlChBao7gP7c+q/ztJa7Ddnt/ip6PLswqt2aAzezaYYGYqAMKoJs8U4vbtkv
PTR/LLZJDYp7fPbKygdgMMVxW1PIdKO5vRUQ/+5i333k4+J2RaS+zIqAhZIK6sq5aZEvSgjoUNb1
EcFbDNF4rO+Be6D6chg/oTCyqUww6Eg3+nBLl7UADN1/iRFT11Mo3oziDsuIMstsZMleUrPWhZ/a
Q6Ky99g8URvH+dlf9ZrFmK8nQDtPAYoSyCJVsx/TntRzFvr3UKnyI+jwl4yS7pBqj8RcJmhwM5l0
Vy6LO2+LaB6Jb0oI3kJ6MenC3+iSFXtvtnU3mjj2tc3YtiN6Ep+nnBf7MF8P+dSlEGmYvCIK3AM1
BOIhHvqzdKAbwTYiMJpdXkdjCdUM5Er1tIT0FvFFWTWrXQGjQrwqhgnbh4YJSACvtQG8mPdCjgaJ
uB3nH5C6zXcaCmG4yK1AY+oFMDzgaswmLw4iPhzmZZnBe2zNLknW9uEqbt6LDulhGUW86hA3oVSh
h8wRNO7BRZhLVMSpq1SBIgfX6PaQ9jM9qWaDKicNHRRY3fhRtfFYAZBn9US8OyYQO19iVP7tc1lm
qhJhgr7FA/roe5CAWAdSmXxT+7ldfS2vFEUp1HSDGghXg6JbUfvW8L3nPb1ZGcQw0TzEdaC6ARhC
06qbJUc1yvxiAPfXmIPyoVDZ9wBp8VET+hmZhKjsmr+CUo+PK8oBa1GIH0XKMbB+hobpWi4MFWp4
MHaAe4242DOr03s0FoLs1/Blx/kCeeXG5B45G0JPkZfH0EdQWaAc6U71it5YhkA1myD/EfGq98nc
xHsA4lPVgnQ+mx5YpUWSX1nOt33QCwoNR7zCphshFOGIWXMtPi9RxirooPozxxNXXWTDoSQWdS8N
JDx62t6ACALOTRnUY/OG0XqrBRCzQIhW0qzf28Gh5C1R+WGUSfsPudlv+NhP74HyURRWw4FBGPUb
IhiZoRsX6AQekZZfNKT+GV4GMpQ7KHRerhLu/yLtzHbjNrZw/UQEOA+3JJs9Sa2WLMuybwjLljmz
OFVxePrz9d7AQaLk2Ng4AeyLIBFFsli11j+tSBjp/4ZC8ku7jo3hgNIqcLBNfDixpGlPww3TuOJG
EhEltn8Reioii6bnD2Nobz/qL53LzYFLKr/vufT2mLs+9vb4MQPev2ddh6r8BtiTTJs6ZQXhSAol
0mT9t2D6f/o3PnS6/7jch6dpbBJsE8TiCt3+apfrq5anuOdgt7n0X+qS63/v4a9WkX+5lB/Qb9oA
CdzlPxzSYqqqeukDHuJltO7L8VLaj0L7g8n1QyN9u6G/XeXDq0qx44ne4yql/LK0p7R91POH39/I
v7yiwNRZgjABtOr/qW/+0tYKYcs8zW1asgFNkH2ySzpc+1G3fy3T199f6l/uhhgDbMouxi7X8j5k
daGLsfSsMIKrbPemiAojzrc/mL8/tMo8MDiMm3Od9RbgG/uABphpPzRYn7WrZoTtFlMI/P4W/uXn
33AUCkoucvt4/g4ClKx0Fpli6ENRPlJefGm98en3l/jnU7oBNv/3Eh+fkrPIghQ2icWuNL7IMjgG
xfp1Q2j4+8t8fO/sACYCfJeHZICI3Yrnv8IZmUUFAslVX/Puvq4flEy8JVzTaNT+YHD6eD9ciL0m
gPXwQJ9IsPj7hVZHG43Vz4qrVzeRWX/Xik8Iyn9/Mx9M+B6ADMgMVCQLy2cZ/2d0019WsbKJQ2BV
ZNe2VEiGJBj/tQyQdJIAoE6NJyPfKaMyffn9dT8uByxst/6CXe4m8ILl+Pu95e3cLZVrl1dGUqTv
Ld7s3//8/4Cuf91Ab45+LgB7Y9sYSv0Pn0xpqQKx4FBfWxEkS7C95FkG//kIRBNLvw6leZypnoNr
PlgxKpQ/7HLWB3qQ50olCLbGw3X58xEULnzU21teltclW5dwUkrcDxgqOPq9LjL1VO6atbURIAt9
NwPERejSrW84NiQGBvFq6jPpgcoREVox5xFDlTquuvu+ZE5xLQRKeC+YvH0LPLwzlNNFvsaJPyJO
oYnq54xAEErazcXX1VUg0WPgpA++MqZQ2eOWuE3qHITpzH84tv65ZG93DSptQvNwTn6A+qp0xXzX
e8VV6IegPwXiYlR/QKP/ZeVwCbYLYGCiVT7GWtUCBefsZvRDjwEk0hL/fuH888dzWPs2wCGAM9zu
h4U5NuWSB3Mvr8Bjof/s4f79/7vAh40WRQIK2dsFFiARIqOnP9wAe95tY/j72mf/1gGQgZChMM3b
Pf7lm0anUeqZBvfsVdDLddsakelVxWEyy+Uglm6Ma6pjXOBjHk2cBvsZzbmOeipgzGEA59caCOZo
UDPVq91SqjTcFDYVcLofzmi51wC7ximvyzRN3Nn8qutlEcnF8K0Yysg+DkKldx5dH036bF70olyi
UaKdH9Chxdno+OesLz1cOHIU5tHRMb20PJSLElPznAdFt1/nBW9SbmW/ln5p9lvblUwlBUfaIY6i
WQbmS4ZZosCerSrOtOEz9hMFPdiMWYvq0QV7C8Q2nyrwpsQaG9BelU+x63dfuyVw9qozm6gDNY4W
cwkuBe7oW1YBwqbFzVEPsvkif5rSL1aOzqiE8dtbnp3fE0sDRGEp8eAvWv/kVYiR2nb0v91kg8Ru
d2l+5yI4+4yKpr/P7cY9eW427OTYMoyynQkjNnP7rWDPOPlOK2N3VtXeqX3vJ74kpvaOnh5n3azv
FsAHlD5GtrNcX0eiRV2vZdacDP76oykqRM+t+urlwo7tSk4oWE03qte83w+F9EMzy590s3tF9YlO
eVzcBGsqbJxfLucMdDieelU5sWktKhF9zZNK7e4eSK/dTa7qcb4gCKfLgQhs8oAMHXu79IVqEwQs
2JYajAPZsPaHHpcdPiJvotNDhgZkIsk7rfKd0VlohgEDZdhrAnBm0r373q7qY1+bdOR+7T+S4MEF
ysUsD1s7vWDlxQiJzi0ZLUgCU9NhJ3p/OhpNGZyNWtp3mGr0u8Gd8fDWznbCrBDsHexJiatqPAlE
r9LlBlqZaGPn2++ldO5p0lYiWHRYQ70ST0hIbJaMtN89Wj97l/uDfB+b7bX1awKg/WE+rY5l323p
iIVDBduTsIL+LJt2/pVJ/w3qeIj0anCTMWAftvKOyT1mpz1MAK+P1eygZM7c/GC0GHl8sVgPoLIG
79SzHgAq3GPpjVaSC5cceo/4CDfrrbjF2BoFTfaCeEIl6+gi/52WHBmS1/yCnEZQ58BbN2iudznK
5vPC53bcjKE+VXpuR1mzdsdW5LzgcjNDF1g3GUtbHVuW79Mil6aAJxitx0EprGrS3yJDc5rITVUa
0c53u3pzpiTwfEDbavTCcXVkhPH5OwbrdtdaE/PA7G48SH0d+Pcath2tbPZgZtm7h1EytAQWY8cn
2qMjIQFLmAiOraM/CndrwYqz6YiETVy0RfXkYJGcgyKAGTMBjjMaufVuQJeW9PhejobbZvzHrh4b
giQPlLi481Y5l6G9rXXcWh7hA749n4MeMfdqyDIxsoGs/qEOZ9GBAnSiiUoXVac3rcWpH203lul6
wgXUQtC4n8EdLtrEgOA0LcSdS5F1V1kdgA8y+CTj7YU+nvWyffZnJw4ad5ctqEtlPxc7ZVU/KZk+
TZY7aeyWwv5mZssQe6P6PLsrGRVtahztHAtMPvrlw1bk6QFKXIbGuI4np/K0nTuX+XEA/Tw0Iu32
9dpP93LF+VTPpCzNNSKYUDMzYIAJCT/UxI8VEWk8p5N/BUcB6oFPQziJnLoYXet+hTY8WojUYWhl
eZC1FuzmGieHnnqYHttBxbXrBKT2FEu382cvY4LXxMZlTJr+HTpjPG/+Mu66G3ky5FMfUeR6UZmv
fJYqyI/C7ZtdXTddYjaZSPSb2cnvKnE1ZvCsprBwDLqte6+UsyV53//cyi64C0pNOxEkRF9OphkT
w0RwkiJ9RdrwjZSar3O7icgtOqSudVEkjjIyqKb2h6l0GW2mzaCAyWdvrOrqbVmb8bC0jXg0+lm9
b3pe5fgBbDPSXameVdeXZ3bB/og40Tmz0tyzXEc9ygSdzIxhc78GxZMhPaacb/USUah8cmZDHdos
8xIhneII1KJH4w34lBDbe6xCy05rRZFIay0v+OW1cNZ4nrLXgq/F2g47UWYNBs+1w/y0ZF+NZfJ2
rqhInjVleZ1dzd8VXQoTha483JxMXtYZCmTpbLThvZlrOJThX1uchc9z52ZRLdLxgL6Woy9lj4sc
fwac1prp1VgrB4GBr81s8ZwJ6PuWH5bLY6v1wT3oiEM/BaKksHXqtQBMS/UTBi39MtVXREBVCRbq
zT/GxtOfqw24ZCh7Rn73/VOviy2xzFUlxITgwM7n91ZYczjjhT0NZcNkb1pHTCgKi2jXB9g0PPDr
Mn/vgpKl7W4+CUsYUbW8NWO08Sri8Cyui2e9iWLMfppq1mJrTMcH3yvFW4mAGzeiqxWxZi7dxSst
ky3bqfcN6WnHNTcZR2TM5XnxdR4dutxIivKHXGyMuAM+dSdGgFI95r6L2ReWMNtXai3MkNO7j/VJ
FvsGxeSVfB5bhS1i2ERQV1wE5QGTzK06Gicf716AB7AeRZmgLfoBDIaeZunNU6nZX+ZBGPckSL3p
3ETc4NhmkhJYMDML06GRYdCOnIqpJT7ZNuBwX9Sc220n+shJ3emx9ZBgDZOjM5h8qs++nuU7HVuN
H45bE4S6LTsj9JrJPmk5IUXj4mlXTFwoKdTNZY/bLcxQIl/GlrPc96sRJ7SeJejlx8iy0gYTsipe
Zyr+Y3MDQomk4Ec75jd9nWAGXeFHPYD9rsBjmBj0IaFS+Rz3CiM3eRi/SjsdvhPI8T7f/szOELNw
plM+ToEkKcoP7nEKfi9dCBUjRz5V+2Z9WIa+focaMqglcDIblv7DLvPvYra074qOOZG2L3GJ6ubz
6qZ+JJ125X8t1+mCrgCWBK1vXAdWdsBmX8IL+DNJh7kezUXHkDF/1aKxN8VuxIMT+0NLiTGq9Spr
/XsmREl8cza8Gdb2bjt4qDppDFNoY+uK9MwrzkvdFju3gSOYXfVmkc4RKn1mB0E/T+88SY5JQhQu
bp05BF20466lXyqZVS/8faDchzlbLxYszKTbu8F+GbJXPwt2heGrUGO/DGdlLw/2mrtxKrtfeCbe
B02bAEbJc9QNjC8Q3MtZIdtNGpQQdNLwnquYZTxWOi4d1xvJuhhUZAdTvxvrudv7HTZd1Nt2PA9e
cxBjW90Ltp8LjFQbLjeIEYG8nqDTEFE78CJA5XVKKscY8K5n2I6DtIhpBLK4KdM1kYGZHS3LMSKn
0r+1+AcOKzrxCJN3f7IqS+61rglO/eTqnJoZj47BkrgwVz+pF2fb21uKCQR7alLU7g8LLUBEEiNO
3pLdFMu/szecPv+sBUQHdBaFezVV8lgNBbg4VBKemSC4yzXvMgTYVkW7aS9Zvdo7CRHyUhg1TF0L
I8jkDRvouWxLPFGoyQH8V5dfbVlOWWOQQd7b/tPqg4KblrYAsSxZJOzpR4tx/26Wm32P3/S7a1B2
Faj4cFJsFAgIIsQB8wVhxt4s4q2zu3iSXrVbWskEoMad3talTS+L6fd3+drNCEc742mwKWYN9n8O
3PxYLuKRVWfHOrz7Q+mr6lqP1K/uIj4v+YCDfRzMEGHCcGwH6wt2BHuX5s2yYwrJz5UiaecGuJXy
gE3IR8eKMnDMZSwae31AzgG7Q+IU3poC5WZWlBPW3Wleo3Rp+8Tr9QnBBVQUSJJIz7lZ5QvfmRyT
inCaGO1AesXxNd+rzMnu2ejWgyIw65A65ZDYvWKizgBfZXSFZP3WhWTXT6d7dHo1mXeCqmvtTbYf
9MpemDvZ+DQizP5B3gijijo7j9fKU8821oOHTPRqb3dZ/bnqvAK72mDfFmMnw3HgNdEMqUijTTrh
TWL268hn2Bv2dDJ0/2drZu6ub6FLBerY/djnJDWUS5YsJKHu2sXRGHvgW5FtF0G8buYh3YjVKQph
74DwOyzpJNI0dAeQZX2RLP36RrQZWpqyWzFAZ+9wGzOCwHR+bjCzkzjk5Jd1caqQ5oRBRwN1o2Ur
LckR/OEdNbPI7Eb8mZufk72Kp/bTUhT9AwEJ8EJNMTCTdhyDA1yu4BNDcrvHVgn72aXloV4N9Va0
1nbv6iLbmZUuDz2+qatv5etLSUzCqd/UGtsaUQ5Btvb3WkrO67Da/blbVfBau335WdPQZbLlYUjP
NQ0jFw3WHpIaL1JgPaGfEBn0JREFW+pUT5bRHQbK8A60CNUfHvpBF3vqtRy5kNW8lHpPKTe26Sth
ZlnCftnuHXQdcTumFqqXAnxp1nDybJIwjHxNk07fPtFyudDDqxNOAk8lXGiQH9YUXm8rjPl7O7bu
TlrZ+LC1YgotY8XHbdATk2rxI+uDT3ChWrgwm5UEx8o91Fbp3ONuL59c1s7RTftsb4+cVxSk5QVR
83LpN8dODGv52piw611QMDhSmus+cIdut230/MrI86iZ4UVpnpsQ8697mgs5xoVLNaqvnnU/TMYv
t+ya48wnu3e1zY9nHIDJwPYY05A/FkY2H3OffIq6noezqy9VokYDjUBObKkHeR7R7eYXlGDDY2vW
1sloW+IZXUnEjXCNGHtfexg63h9iYwJX80JtEIASDR5AVhVuIkCLU7xryF1CclqcA7ZrMkC04NvU
8B3Uhv3FheQ/9GtrhHoVjGfTQiaUyeCFlgo2XFE5qSkPdngjCXTdeiNOVSuiLbVspLxU566tnGNp
al1km3KMat/iyy94Lq0N1i+QgaIrMPQ4z12I/O1ZK0zqMIcjAVHUfF8GCgAQF9RJNY772S5mhW/f
cvYFzgfsPGI+ECLMcDKs4ftbBg8xEBqNADbvz8vUmDGewyyaZ+MnBH0VdYgU75qyfltTZziqCsWP
taXLw9Rny16v5nfpyeBC6EQflziv2A/Fcswa4hTygY0918r2LCwvODTmMO+ylRJpJNoW6XxJ3wRj
ckIpztCT1fLwy5nOVzOQ/nElteKJB0fy4LZUP/qF7BJifL/ZylrYn6wL3wlRXrVZJToxo0TAOE5Y
W1ZHRqxrkZVCD5oTqhzJ1iSBQ4xTIn0aNlvjCLJaOUWoN5hf7BEAgOc0jTIla4jWXPG50DJj+IVu
9bYxWlKpQldN76kYAIU66cajzsrYWgrcvKK1T2eZHQKjxX5MfsBJZHOV+AV68b4NNWGMR71vzQOf
SFTM9hFu3XmwMFE+40R0o27qXqpgSHd22xEemW4uupWCZH6z5V6MGhjeEfPO00b72JXGq51nVjw3
6bzrvVEPN1Idk7VN150MdPlaDYO208tmhJq15j0Qv5kAHgOoe8Jc9mBeAfr3Fq/6Rlt8nPWKRN9U
a/eYpRXiGqQWCv9VZJAzSkQgMVYlNqPYI56JNCbduRA0zo6N7h8MsKXUNzPt6An5yxodJuIOkgin
2ht3o7FhIfAbhGfKrp5ESdHk9WO7z+e1P2rzyrhAMbcHZq5lB7dXfqJs3KZNoKZ7bqHdMYWlvmdY
jnG3pMv0Hb/HV4j1CdXcVO4cjKhxNjd6UuKGj/rcs/dlX9Ojp9l6AKqiTS8I/WIdo8gc8+5ZZKV4
0A3jlyCaJDT6SkauQh6EP6l8COyyPfB7BlFTmVQl4KQ7NYvhYnbQRY4XjNdiGKvzbMs3j3/Y34BJ
iNCqHmhcGLmt/OxSrFtF9cPyOvZVhT1Zm4ND1Y3inE3A7vOE8ChPedz12Jcnz2y81yDTze/TZq07
jlEZbuNKJkRveYeu5Mss845shYmojLs0Y6ZhtzhAZ+zMod0pXJ2lGbV9SQLKMJmHbFybo8dTeoAp
4EPwy2Gvl73x2E0+whIS5igm02I/uyVuScaIJ1kqgwQ/2BhCmnA3vY1vGZ3fwc1qlfSF/7W3zWnf
An5d+7VYdkHRW5zaLNkFscpD6RRqL9LF2GfG7ayimUs84gp2SA8YpUg+4E2y+qqGQRxM5CphQ7MS
Ne2aP2Y2Jj4LOcc9gpQxTq25P26L6aKsUHXiTwsqnxyJQEp055HoC7AHXBcEGiyMdLHU25KTN5ll
hXvIkLeHopHdjsXJ/oi7NumwXSat3w0/57TPP+Hwb2OXFRtCAnOkFjfImEZxjrTBSrYchGPe5xrC
6p6MFqy7ghgdixCpmwLUqs27StU4IT2D9r/LUmq4rG3PjaOTtyKNV+IkgBXK1A+BbWRYzBuDFisN
8xNCZ/zvAVJTRBJ3aJOXk5dbTDTSNoIEPdHdmf5EoFFtt3sx9lXo2K64J3t6jiePQNberYxrjkzo
MGec8JvWvm9ZRY5LNctEtMBzWyPXE2lgILhTSkVB2tOeN5oeVHbrEp0xiLvN0V6JWPHjxtMoRS13
OSEMEqdi1MznPmeX3rQM8ZCf66QNjG9A5ToAzKaFmTfTGDQdWUUY5pzEBw2LpFYZe2kTaDDNHsoV
s+6AgYcXHR18vK69tVuXkhwtmLhjhpX3aV6HcDRsJmJq3RxW1FKhYZN43PjBGtFAMqFe0LjX9MNf
ms1c7jpLe3Y9AMHRS/Woy2adkwJNTqZ7DRXHCC619T/sGtRAaaO3m/XeCNtyI+eW3S0KRp8D2/TW
93lUMGjKlJ+WYMR8L6vsQE5OHfeEsX1JaRPuzAEwsqhqage6+tBadDtB+Syfyuqqt+eqtLU3vyGM
S7PHYDcUFY/W6NwLyCVGI4N3iwdivSeusEo05WPRDaR3XBpPPjt5iqKv0OV5KXR7P1rZlFDYE90y
9AM3Xt+YBkwslk/+U2CZzPciQmafurI4Y9bVYtVYjNyw3eG1qJBuDbUxfJJ96zd0wv4SdXUl74mE
0GKzqghu1oT5AueiwsKjIgxbkojhElrczVZT7NIG1U6A0H2q6+uijV8GdYP85435L7lQvOB5uCOq
oI/JVhx+Vl2gHlKygR5Mkc9nj3yZvb8VL+WWTmcEcDh66pYwEKBnASRflF7sgdqS1EjNY8tMfCZQ
0/xlp7o/sVCCLFxSDS0TSWq7yRH6pV2C7ysGin1fzgaIVE19SMxO7CyrfzbmbcOm7fX70izJwaSj
j8BZ9XDUVqasIrJmmhr93CICxpCNDq7dVeUN2rKtzpbQDbLugUCh7KushHaRDvXWtGxWpKdIxvlw
0ishBEtSZ435yUkNGSB+AikDPiAyK8c75NuLc54Kd76gNRoTkmm3LyNL92HSuyanNfR9ZH3dl161
aJuMoXu2oe5sQ/5IO8OFneDUsZyi/u6Xunk00nx+cCm9Qislbi/NNy12xsL45hPm/4vm8CvJhvMF
tk3/Fixb+UI2sNRCBVr2BeN/duwB4PbarD/bRkF2m0Wj0Hl+YgSjdWHRvVij8OfYmGXzrMuuw0zR
1TjGtq2hQN2afd0TIBuLte783dZ1K1UO66QpBRj24DkPtJY/2QvlQ2oVRtQu0xNkYX6oOQ2AdSkd
lAk1rTAvwHRNTIQjvTgOpkFjOVUDWy0xxrJw3vS5qM96S2NR9ql6GPSCHrQnMCBH7Y9l8JYb389v
aKrcXe40+V7eAhvCriY/boVgiHEILPHIArmWM5CBGh1F30y/byCBJ+9gsO4afVXf0SeR12Nnzpvn
piQN4L5YHorB1XadlZsnnKGAGbWGkFQDqB4BQoeogdhPDCJrfm0NUbQ4eeons6rLTwUxGp9d25nu
rarZ9hQVivy4YPo6wZObtLv1N83AoKeVkzrmem8xPGxZSNUr05zDqZBvk1HbRzDl+VrrPovRn63g
xD5UR5U35F+CoupO1ian88zxGPXlxhTh3NfucWBcl9GYDib5irEPp7WjGUN/sGolk9REy3D2ziQ0
VnXjvvPJiOmYyUD9X3l77JSEGGTmusRBPa+fpeGXZAb0ALKDl3dHhNZoff3J2DMxwQ+FtKZ4E4P/
rq1qSlyR3o5oei7z9ldbCG0fFIL7teDGuqr7llokvxlm+VPLCwMbow4cLXMfO++UMTgDJNAcnn0Z
fBJi0ac9K5NxfBra3XmZxiXSR91+6TXD/ln25lrEU2b6d2mVW1QM4FOicBvO+Sq7G2thPa711sBb
kUTmM1JolveFb3Z7nbzCe36PLeyxQtZ7s+kZ7Ob5+d6qEBSPW4rXjTZHoXEoMwu3SbWs+4nXsnfT
TH3NS6u8w+DXk78K/ULqd08Ci1vHFtzfRRjZ1u0qV2XtzoddjEmVauDiGIEisM5EgMpkzgJSRWYm
hqSAGk6U0cIP5nhp7XTKd76W5+cUZd5JR01yyFNQEin9ni7Gq8jvMLQQNIVVCPHxaBNQeuj6leaF
mOInmjBkob2tEKO488ExKJzt1Axunl4vaQi0SURD9GlG9jpTH7YutnUfzm0V2wGvUYq816TQz+w6
UplfRR5DYkJZpW6sZotxC5Y/Rt7PtHksta+q71bO7BxszeoJRGmC4VehBRvzmDPbBMU2dbj4W4lm
tRmu3nr7bveD/hMgG+uS4gT/pIbW30mZLVEl6inJq4nRGFOjkzXK6IYprSGX1tmMNX9uE2/0nLO3
eEtku5NJyQcSvowF1inXjOetRBR6K8fGoBniIgOusOBhIr2DXtKn9btv5LTWDXmw8HxBVvhhhbAz
AuB6wwKDwX7QXcCd7BNHnP2S3qT2YKzVF5668SPoSb1vhh4lQmUVDA0pK4hKQCY28R+161VXCzpp
1yy1G1WBUT+tMnBeKyyxL9rokDKqlroGuqnNeFRjFzadGsN+Aib2KvfVGQXpTS0dc+Bm5LpQXZy3
VqvI/9NK6BmijTHg0i56k0dhXnaFHumQNt+1lSCspBQayWCTXrXxUi3f5pSPOtxKMR2D0VUNRWll
hQv1xkVaCoUtNUJn3rL4DHdITH+eDlq6MdOwlepAlFB2QnxuE8Hkma9rbThMu8lt6pLAmx9k3zmx
5a752c0s/ZtW29RGzpiKxGkX5na7sxUvpA0cCcLTnglkdKI8a/wzoVEoCXxDfAkGVnKJKzlmKCcq
8VRPY/qGMZQ4pk9k7xD+VyNO36BiyVW2vGSyLWOnzWLa89ss+1WTfuLqqf5laIk41vXUPpWr3X2q
fcN+zhp8a2kpJwhv+Mdint7ShUBMDGhNVHV6B+gn1TnviJIucXWiPy/yk0awAjy5SX3kwUgLqrrB
mWKvW+tnba3Ln1CA/lue2gRupYv61XVML6Fln/c4lqtP5ZoGB0Pvi7elqkDqSZjaA7LN9I0N+c6Y
jJ+9ZpVPsInQpUpDak+gi2FWyLj1B2mC0M+6Qq9ubcX6yOkHDauPkviWFG/0f1J5AGyxh0ivoSBc
/b3jdH0SSEvf+eAdckfy9noGDtxilXsQc8RxJY5VX6yyVQ+L1jlYQayfjdfqFIXg07PVEgO7MTZk
u2WPBZQCiGo05wdRz8CZnacDBTpva6XpOy+ftwFriv6eU+GH86plkWUK7xa4wxyXNiQiOVKF44aq
Iaig1RaAuFsiNsneafkpZ+E8VfVc/gSNkzJxuq24QhwiZOdz2SN9JPTUR9xds8TziPknaygwa19q
iDtg9k0/1oyt+mKIGpecUY2Pba/MhqBA81roFiRk5z4oCpxHhxaNhM+lVntiR9NkMxGAUO/qO2IY
+qOo6mFnDAdTc85ZgQunmkm4CfOmW2PX0scdIVgNgKiHkzrU4STuitZkx+7z5mTJVPy0mWIAY6JZ
zDQw3a8EbOK5y0jC7epbnUZhkgD0Q8p5mb6DBA5OkzERObz63/GvEedpy7WPuoHthNQwgMAsj1p0
iUXGp24Ly3yAezC/NjRYTjxs1OkjpsQIHgNZQO0UZHi5/ry+dN00HjD/gTO4epHum9wClh8M7VIV
EoGVlw87bRodWCqcKEI4PIvUWqe9M0z1L2XY6Ws6mttjWRbuS1CR/qaVGVWX1sEs1N7TTBT0GFFk
jn8Qpf2LDBSdPIkTfLE2xMRH4V6v25k+ER5xLTzz3oP5lUQDOrI5O/36YFvt5ylLv+koDESndv+r
IO4mOibTg8kfSCXdD4o7FfTE7bO5Xck7H/bBfPhff/xtYAt2NrStMHEfRxNQzcDXOyp9MNh+JMDv
/yicRjSNzE4n84YgIdN1Prjw66XVZ1mb6QOppfdVoOJJU38Qk/5Dk+gb+PRwhgeIdAMu9Xc930CZ
2ksxb1fgrIlx0Ax3+f0z+jA0xLsJshGReRjOPf5iAfz9CpVcVydzh/5iEmsNVqWREEKK93yuhwnr
i9uMGG/sbZeNIOKy1dR9qhMg2LW03lo51u9S+WTfBirXTyqTzg6UuT3WE0GnJlFwV4HO5RsVB9SC
JyiR/vD738TjfxU8/ufXZwAGkn/CiJl+8vdfvzb1oVu8pr/AQzLw6GGc9wVhMZP/QgJuJBheMjKq
4PfP7ONLuV2TOW8kezsuKTHGh0dGziR6gbUnrwKwb+k+2e0f5N//fep/v62bOBvQxCWLyrM+zgPV
GWvngEpPl8wdBzxMHihvZVARIgTZ5jeWDL5p2+4Y9oBixCzz2ytAFhdSNoEVbvQdWxcsZEw3zqGA
ULhVAPNLil8lkh12JmneMO+64SwA7En6tCIyygKzCm1mWxyRPziJgfX4juxqFTkTFSgMroy3xoAV
C8ZjTUsft6YWRPDjL0AvbYzTs8OgZWhoRAbvILQVqLUBsmG+UHBqh/Zzyo+lytSNkDlkph3ZBuoo
Slm2cPx/e1f6084nyOlA5PFEYCDRj4XXVJeJT/zTKuVw8Wa+M69fnwWKykth6OO5tZCC+Uejw7E8
YWvDlGj2eyI4tZgIvx/UQwGa734kKFlDFZctUzwgMIlLvfKPpj+cKPPpPPJCzCfNrt/5GPzHXPmo
DFy13XvEmh89I5hfC1gUgHPlYg9fCe9TpMbEq03HQfgUBjK8Q7/W2vk/pJ3XbuRGtEW/iABTMbx2
s7NSK0svxIwCM1nM4evv4twL2GoN1DCu/eKBbVHNJqtOnbP32tCiLVUhJcFI13VO16sUdX1XRHhb
h6aLr1L0KEcpAzLgID5Mu7HiZJzj3VoZg5UR8zAStWBUWnSPCVKszFaZQWvWm26V1m6a9Vgjbt09
VH2rWQwECjBOGgwI+6l1iRWeHYJzGGUMkH7ubZruFGUk2KeQrdfbWrcyCizoi6z2PxwrDVd9da2V
5grQzMIIwsMY6YyLogxbpdoXNyPd0A/S62iiDwwE5SKx6Fz7E1JYUKP2DkHReBHoOqj7PCVhDY7k
0lWg9FJy0C9yOGYcXKt9BzVoHN3YlrvaJlLS0JT4SpuKdDdBOPGyxs02tBmop8akxmbok0fQ63V6
jOsCiGldMrR3CD5Y1p3wzfXo0C9eaCJrD1ASJk9rfLx7pTVYyPudkeGHNb11+N4XOc9fsgj7hCmO
rUtz3U4FNX0oI8lAI2yfUZSz/9tTsmlIyzyIvHmtWzd6CIqOplSCFAs3SHBVNurgxZjXL0tbMLJQ
OtUDeWDAqixksRCxoS6cVC2OUnkZ6yeyPHV92iB0xekHI+jBMeSNUhUXEQe4jpTFy2hqES6GqYfO
sHjMw9p4rYCV3gVlDfWBbtdOalm/b7U2vHLBeF5Q/dCJdDQU/7EIZwl5YVuHaGzkymRq/1SgmHzI
DSq4qd5WWl8xs4xzbRXhQmCwZQ9H1WYIGeT+SzUOb35tyN9K5ZBdps0jUNqqzhV8AReBqzCYVQak
RjPhJlBDTXf0tfu9aocj47aWZkWdt9MGCb2zqcqWeAe99mJ9lVaeFXf6k9OhelUbZ8Y0ThpTafCo
TORdRTBadX1jzSxKvwy7EfSkpbxLeH0b3KYfATIor06R3/Ar+J/IfeR6UAKS6JUK3NeIB3u0y8+x
4/BshTbN+GBWy6aqvU2ldL1O6P1eZwvjq44sJHyafu/otBJ6a/hlUX++a1Wg74PEjrAF5+alErrV
AVJhvpoMs7zwi75bSRj5F4Q00J5wy3rRCyySMGgSJhY4NjNT0ttupjg4kx964mqcoS/g81QYZ7ow
MEmdmAOmqverwGq0Gz0M7WGFAmy6Vv08ugtMaf9uHKt+IPIsYZDPaPPMJvrVu8HOz75vCcKbmBGa
7rdNlOAdwDMDWvgSRUS/gj3bJGdKvfnX/2dDmy9hqCDpMMeQh0tY4ok9JG9ZrogTda9wnQ/v1eQB
Xm7PVUvnLnLifpiytCApgIvAKU5LjwG6ES1FfGb7P3eVk6qVbk4aJ1nvXnEQmforn+AmJIjtGRvj
1yKDG+Y6Dlw97hjZeIaunhQZAL2n0ezCiI0jatcBuNOreOyCzc+lzOlngRgIJwenFKZJSo3T8qlO
tFqqajndMOUlcmEak02CLmatIlDYQ5VKzjxpX683V5v49IinE3+gQPgZv5ZrCVR3jdgkncFvuEJ/
1ageeVi8XsufP9fXu/f9Oid1c4+lkoN5oV+aU+dcky84rkDF+a8/X+XcpzlxNmImK1AO82kkvISQ
NtcbeZxKey7i8uQynI5sKFSa4O/5Qfhj+vmXqQdziG+EAL/uGArT06StN9o0P8+8oSfmRs6Ahsa7
D2odBSf35+Sx1kt8XQx5ylufrTIypOeH+2rYxvxTD5r15zt38v3MFzOhgGAGxjJm8rG+PgdG2aam
I9viVn9lOls9/OefztOMr5GyDMbVqVFM6Q1AQ76a3WbqjrpV3f7XH49tcmZKYcHAwniKvhRiMIEB
COW2691FdET2f+buzLf6n8VyPo7bOu8IcFq+jTnZ7+vdIdEVJD1hdbfrMXlUQwPtRn7GwvztEmw3
85Ls8iqy9bgnJsmQtrwBZKU62t2IPGLVYYeiNvz5Rp0+uMbsBsQvO5+NDYfD0tfPMZSZH6l6L4+q
6FfNnxxlpN6PGYLnny+kzc/Llzumz/IWl3mSij9wjjT84nsj6UuHrpQYRyslUizStX0lcJmJBnFg
0WbXs+aL/u6hrjFbTQO7UP+IFeW/NQQY3YIIsDReWDY5gpZP1uxEmiKry6G7Dba+ssmV//rczT/e
0XEG0xQA3XSyh2pKGaJhEd2trk6/hBTPQFx+vo/fXksdHA8ZxrpGu4FbefJUxC3QuA4x3O2YeS4V
ZrD+//38kxvUtbFTQpIebkuOPcyBUO/+fIH5ifryHPx5Jdlm6JuYc13z9TkY+gFxKivLXSpLT2mS
A2MTD8fIEijJrk6KVaAwZPn5mqc3zaRRyHJJrjbKNl6r+VX71/Ks1YUgCS+h9EfxZ6+oqP9/P39+
y/71800iwAhl5Oen6dFluCrP1ACn92yuPGn+wJtgKaDaOPlSItcnnJAm2o2Y/EMTBhthtvu0s2eB
TL6oUh8F/3Dmnn1t2zgavjWoihCg/lyV3s3Xz6T1gXDQG2THInzC9zX1z27NRPBGr5/9KMd4cdYV
Pj+6/zwZ3654+mgj4gX/qucZOKgKx74ZX8zx1+UYvid9jQZQMkxCQgbdrT5ksj3+/B3+uYnfL48t
3GEpBGl88pCMQAXRJAYM6cpqzy773E5o7BG8dBHBgV3nWzQW8JCN0toDMrgnivjM6qH97Z6zHVLq
s3O5uLW/3vMoqQytYcZ01BXjalCayy4FL47K69MppmfqpaXlhr+GobosBuEJaA0zWBBdSvwrVqxt
Fc+6UW05ZM5S06sDGt0z28Vff0GNdhf0ZdtRT7FgbRdg10TIf0wzFvJpQADhzhRjpE05PiKrGL3K
at5iOzlTa5/0wP/34WB+prElzkxX5+TbqWWtJWacZscEB1U90rgn1XCgD56JB9ZZo3t16gtlOLNd
nOxa3y978maPjF5C6MDZ0TeJbSUBB71b/zoGRxG6XjQ8+/6Mu71GM4P9MzyzrLhf3/vvVz+pMtQi
KnCZZdlRSRh14ko9pHYpmL1gZrKy352FV7YJyOHrQVDjyMjfmL1+pJ11J1LSRAx1XU72hcRHxV60
M1VmuIMmsSyUb+RZkCcZqjeC1tNaa/OV7LlGNWU3bAAZDWaGTG5IWozurMeu/SwyvEoih6iIJq+n
z6jluHMUaxXnGL9R0V2FA8SwaXrGc3JwErQ/Ti+xU9ZeVoTrsck9w+CBATpP32jYtj4JMDi+HlI/
uLdy9cZPSLGo+d86hIW1AEAp871TzvHd5V1vuWuIyjXdNACsfWYBoe5CEE6Mzkzcu0tSZuhMabFX
FvqG7KqPrjR/YbfCddo3qyozlhW9owilKFoUdNBBcF8CiV/Gtf6k1USfOB8JM3g6kY+WSQ9Ra7uN
nHjde6SQYIM1lE/dxViY94PSX+Qx+Xsj7dEOazWxLrdn1qKvZdn/ffGMWzhUUPCz139dCFgHaLzR
KjuqlnPDhBcmF6EcqIqU/RDoG3KbViLDXmRNGyOeDtrgP4RRv9RQDTAL+5W3yhGTybkVct6av66Q
iE8ZBv2peoFnnCxPRsG8ODILeUzKd8FOwPdkIi9RtAcSa13UDsr4q+nujZZ2THVmC5zDuL9dnE2Q
jdw0LJt/+npLQOzEHQFBVKr4uA4Tqqy1oejVKmrMCcXooH5WqJN+T26DH8Ou5HWTTr/RPoT7SVPV
lZIa1r7t3ea6Kkd8Y1HQ7E0a62u1T9r3n78+4/tONhNGOHbAheFwY53s1w4WCaSSojhW7i7q3qPi
yZlgNpCGWrg3JkKSuL0M1FdEpIuivDJs9XcFvk9M+UU1XPsAQvC/eIbzKyfLpcs/hznTUKl4d3Ew
p4z+IDoExgWcdTq+yY0b/ydQyPz0MTcD5y/m75pu0MlaG8WBZCA1yuNkNgd/TG4SaOPAA0je+vlG
/WVVp1rWqAKZAsLEOC3HARZqlY5475iTRj5PIsJ3hDXpliig9wGy7XXkmsMlzIzxgEgcvX80mGcK
3r88V3M8AgddG3IfdfXX58qyo6z321oeo/Jx7MVtnk2IZIhQsrdu+maq6ZlN/vsWykdm/6STI5ga
naYlKHD/VZFwc4Pctd7MfkqRxEC0C4gv3opi0B/ITSd/cdCwHjQoD36+5X/9uAanH8aVDJpOAUmK
2iLkK3N5RHmDmZrJ4CIo8tuoyfA7jurODHKvda0zb+/XAvzPE+XoYLOpYXkjDP1k5ahJk2MIMN/k
EDpnncKrHP57hcCN/ecaf17KfxXhke0TZ9Q18mjqGxelQzOaSykeERTjaRu8zl3lWrQb2/zMAzS/
DSerIm1TULku/HNBL+DrAwRdHuOz73BHNfe+czTEYN3DhETu5y9O+34dzkxwkzjDaDSgTxuBZYTO
GZx7daw1cV37+YNSEIGL+zcImV0hkYJ3dA/mYtcQVcdAmgq6ghWKSdbN5G2fnMOhzwvu18/99feZ
n7R/3W9cstk4OU5FRXYtalYnnhyEzwuwxus+uf/503/fEOeL2cznaLhgHTu5yQMwoCmqBS6xKNqp
BULzttlNTrZF+H7m4POXS2lwdQSzXVqg5NZ8/VwR8cjBiNAMFW18Z4nCPSaadNdBrH8SU3guTOQv
3ypXs13+MoyZVvv1akBvWy3umvlqFFuSmAg7X2X6mUXn+1tPQ4LmJC1rFSHEN52Fi3OvCYf6KEW1
qrP2l42HX5D9bHTJKm7qC0wjZ16L76/8fEmHpigvPc3rk1deGSs7HTQumUy9vsMqqBzUUumffn4u
/noVEH8cmtS5H3LyXBgurGAcu/XRkPmRkPg7wwjP3Lu/HAwFLXjdQEcCNgvn3tevCIm3iTFrqo9O
9llB+Cv7EW3v++BwBJQM8QfPzI8TJq7YDb3//vH+femTd8zAMxM4zvy91XJbag1iwA4/z88X+csj
OPfD2P0g55C9dfII5hJnE4JzcWN3XQn3yLAuMYtnhymC0vzzpb6/W1RuYOXA/tOY/fZ1KXGH+cOK
o2Mr7IkHD6V1aAArGpnRerJMpjOL5skahUCNuAaHWApL1fXvy0ZC7pvWFt147DRgqKRUyM3UqsBt
01GuXMQvHCpq48yc8NtFEf8yR3OFgUV/Js19fV78VE8xH7VEIBK0uvY1lwNPOCaHTvT2euD+7hPy
SM89pSd1BSBSlV7N3JOGysOk+fRNKGmdpIOqHHWk2Du10pI1WS3Kri003OV1oF0rdtQ/caAEV0Sp
vHeCGuNWRYDk82Qn+CP1cIqXLrj+YwQl6JARJngzBRGVylCE+4I5+c8Pw8m7S8SFSRuQMlnjkeK3
P7lPAyELVSAyfj50HyvcdPrdzxc4edpOLkCV//WLMPEDO51FrRNY5IxnqAUjmnNmBSDrHEHz5B36
30shzqL1S3+T7+DrpdhqkaMQTnwsJjwFbzH5vMO5zulfP84/17BP3tOuTiCkIAY+4p4xzSdICIhC
fMM4sxxALj3zaU5rVFsdrNHPjOKoalmBHNp1rtI4a72hZJxS4+7Z9TxuVwle9UPcoQkFL4VPw0bO
Isoq9iSsK7pS/B9g65xdVWpIgLN6VuymSkocudEQESsBBGAgNeHlBLnzGWm5tS16+yVk1fMiOX0k
c44oMRCWF6PlEl4b2swGIkM0ID90d0u4NCjAKkjoGWc+IUxEv7KGzKL5UFtog2YT8duTcYhTC/Pf
Q4pEYQSn52GClRuExG9OU5FtyrlqGZTRK7KT9x7t/yoeygZyUg1+qjYxcU299YHAi8+pE3s/MOPY
ZAlAOcGZBnpOHB6nYdznU7bt60ZdkiBSKFgE8PNbte4sizCnFO11565HaNdi0ZsugtKGGkd+YEWR
aivGJdyACKhUhSIGHwmshMhsFpGOP1pPLLLVtTL3bAE6gVXchdMCPibRB39riVje6EX6ZmTkYaPb
t19sjKMbAwTUJi/D9hqLCPJdHRUSEyusbCpphLWT6as6Yi1SkwRsSWTFK8VqxG1tdPVBlfgrcWXX
FyBs5C6B7U7qdmluNc0vXuwmqDeiJ4rY1jE1ugVadyc07H2Oe8ub0lRZVRhGPRsxoOdX3WttBtYy
F632CbB7XIYt6/yo9ibENYsUUTEOLYwrAE8jKeXeNM1q8Er6WF4cI1lFXRt5UxloAHzHvlwgthKb
oAQ75Lp581A0luklBNyBtwOhdZH2oX6hB9lnqRFrSx/F2XVtV5B2ARSuIuMKiSTOc1wnOohHFoY+
coZXyM2AfXAtr1THt1ZjHhlbaWLYQzJeXUaJQ+pYXzVb4Y7MkRn18iVbGiyr8jdPjL1O9dF4CSYL
E4sOf6hrA3tXIhZdBM2YruJqfNf7Qw+ou8vHexJOYTyF9NNkGHZXvi/9jYj9mPiCSWyHdnxH/K3g
ciU2XXHy0rOgKswhKrDPJDK+DZGk8cqp82ZXW4iLeomANrrokn1ULiCeY/9oM5tQFU3fIIAOtnnd
m1u/aKFtgaBAG58auKV6k1j1pP2seuW1HAWnwcr2N75d6VfEg9IQrGXIkjnaz1BeRovo+QzvbsQg
PRmqaVOnlY3gu4Z3DD3L66JQucl7QpuZhjTrRsTDItdxHrRtNBx60DNrS4Kta8IyuKxt80NxVYTq
TiPI4MJN1REEszAT+3XQYtrXlMHLHN32OiUlfeETZ7fToowsWsJ/LisS6ndkB/m3fjBFu1oWQO2H
srh2R+yu7gSvEmshiMQcUrqi44U3TfgoCZ7CVZYSJlqT0ngVNSFUfPwwGycUbxYsS8x0iL+S0vkN
zRDgHfafpZPouE8yn6NHIasD3nD2QzW47AFS7HLfoRWLXZPuSHjjqN3ghYWTPwaZZS8M/rg2zFZ4
Ayi5dRdPNjavYqJzCRkVSAoOKKXX15LILEr/XHplq8K8d7FNR/rsKxww9mTpTJfL6FmhLg0uLP64
JLS+XoQEFgNCq+RboGCXBcsF8NC0FfoWbTkuG2F/hJaVz/HcgPVJPCIZIUiXRuPg246TAeG+BfjR
ccgC6ILCCxvVwjXT1AfLj8wF2rdu2QdlexfQO1s3sz22lVOxDx2U4F0OmsEqphKLPFlBoPz9Bf+F
f6NNMHbUUL7EZHIvkzEA91BHJr8yyU6KAeoKskQD4g3FN8F8mGpdYixg47uE16Ndm+B/rTMlKenA
5ubvzB9UMuBV1Hql/Vph1FyaUfLe5/WHxJrD2CF+74TyZMgWIuJgvOU+OwGsFJxYzJdJqC7fhKCd
Y+u+XGoE5yxtI469qWWmkzUyvOPASTC9DQMmb5T7Khn4NUsrRXMXIq/L1AmZJmCtoMl4b7IKw6WT
GxsL0sOiL6kpwiD0ATCFw2Xejai/YA7UD/yHvIlpNGDAjSqODKwYD5Fd4/oRZfpoZ9mDhUrxqW2V
7NBjttuPUxEcAtQAxG8Bll63s77TnqEIGMqUNzNwXC/LMRxiDETw6AboGl0FIxKdAE8LXWufB/aH
6aDbmnDaXtS2Cxesr5UF9TFBtqIe8IFz+gsqMuAjS8YbvTfNVRdnMC14T9ZgDazbuNX6DWKk+hI0
GXQwacb7KmPtnWvdC4roxEtIB8R/Kj5ZhKTXIedluSOxpbOacoFMLV7Lzh03gFiGdcgMiUe7b+kr
4fHC8oX50jTGJbvwtNe7tvemutbvZBxaHRLdtoVxDUxyEyFIXvSqGz+afs1+rxcifyvioZvZBjke
cLUPjvEwM3L1Dpudy+jLLZxfLlmEC0CVIDrcybzCCpfAHiKDYqFjgITTaSYXwO+fbTKLRds+jgJ8
S0X6/C2wyQQDApWh6MAMWtboLoDhVIe0VYIbEYEEcDHhLpva4KA+JBhWen9IFzkkWPxDkWYaWz+N
uf9jIKp9Lk0mMo4QuLaC4FrnC2MC4YZrO8mJcKHwXTcpfqF8xuzkKe89py+fUMkAerTdAigJ83SR
kgyyH2xzWOuVEe9qDHVXXWIygAxITdR98yMrmYHVOAn3atM0q15LnWdfIyqtjLJimwpmJGjvjTVp
aTiziGx4rqGcYdRGcoZRZhL30+jgTW7NGNNLoHW3GSAhHnc1v9RMzAC9kn7KibUxjFE11qpVAT9V
ouupQGWciS7ZMi+ZriUaDv61UQcXptUjgMW3eRjnZipC/MBjs/Pv6iY1N4GozQ1BZMMqxUCOhaiV
j3lJG6vNSgfbkKGtFfRwmybH9rgslKaClNy511jFeYTH0n1zKuwDTqVoHvA09waorbMy1R6N8NDw
oqYUTxCUQ9yp8lHPleaXhWUQQ1UyZsAQp0zgk5xY5/WkhTBg9upRK0v/3m8DmCBtOWySXPO9wM3H
lRUwanPziQXZd8goEUrWbqZmDO5VeCO3Zsjuh7wXjoAzdJ4MOn/F+VISno2lErS3s2oU1h3gSYwJ
ByNeI751NpGjxl5cdvhzXRrecevcWcTIL3WfmjLsnb4g4aj8MHD9QMZMezQFOOJTzfpQTWZiJVmZ
sL4Y+6nsvCRRd0nxG2KqWDPaUhdoRU1yUicylMapulabDrVt7PJZ0TIX2SGOtOa+JNTOqtWawqd9
HweYZeNgVJddpateomrvg5i/tIGGmyV17G69Q2oL8AlQG2O4HQZGP0yo8A04rOiyDLWrkAnNQslZ
R50mmtayEowM8LWuzVEb7vxhlEsl5GUM0/ShR/Ht0eb+dPTYxuM+RHuQsddtpnk6+tZs/SbV8F5F
XAt+mIM7Toxx05dE3PTgIhbq0LcbNMjRdojHhPmOpa3LKhhWpjGlyOP9dGWbPKdWHQCQcaiBD6PQ
OFPEabOPorS8FWUWb8vBMpaAo/pLeNLNL278uNG7BCtaDx5+Fdt/jtBlzS0Y0gPhQDEO5cS/xwqO
Mx3M0CbnfAvj0AEYS/WhoaUPq4Mea+1TUziwV9GEkCaXO5eouIO1mKiaDGk1NxCtOCCooOBf65jD
yDqpxv4oYUxU1Kld+UIMzsUwiFe0WRKPqRPmWKNE2USG50vGP3MJB+gYd+z8PJLOh1nAIMMmF92q
tJpuIVRCnxdR42vaSuctHXnjIRddWj27cmeZ9iLDh78TDW5PHeYIgCkmyNFk4SnOTWvlOrLYJlNk
LYSmvKR1g5WuKgl7l1b5lJQaRxvy8MAWV+bEsAKJasYxh+LaT4HbL9PGSHZ0EUbCaePwRpPk7kA2
quw7ojOh7VbmXUcqOsNgZmIs9c6NFeE7IW0PqE5V4mgC5W03Lygt0WoyBXH2ksJvZ3RKtC6BP+zi
lIG8QkXtpVyd5JX+HWCIIO+vRsZeJ9C3TMigtLuA02SUPKqVuFhTpbGLpf1Eqiqvi1MFIM4qjLGs
aIs89F9Sv8mXZmLqkFz12Ev6eS3ECLqQVhxyanLEgqNeeFnWIz8YelZ+n4GRij0XOhxFvaPwm2op
JQxQEZZMEY+XUFqIMtJiMV06mrxJyvSlheG77S1MlIvWwB6ppG4F7ABAjj2olRcCDVihzyRYWAXQ
NWNwcTLyaOJ/DR+pAmgpQQ19t8JgeLNVv7sZmeJv+QEDQJsmvAKaiGgwmIQGjdnufFaGOfs1w2Kq
546xs+PB3upTaCyUOSKZiqPb6VFrXyd+xduezyTEjnwC6Ftl5lX1CCPH8d1rOlqAzkT9Etj2h5LS
itQ5gOwHMsieXN1RNtWoFL9IHofIwHzLQ5gll2EDpkLJwgbvoq8wEDVwfLIyLIVSKluMZ3TFGAMu
VOjwXukH1YXV4whQDccg/oxtyhwVqoPeEJyk5KhszL4nccqCv3aj1oOzAKujrzQf9I8IyHkh2T1a
kyFGA8ywpyXNHh0nETmtAawPWcDy1vLAJDfWDDxCk2GUhL5GcUU0Uu3i0lJHE4agagzrjHOFrNq1
UpYHZcqGu0anxVFGTbetBNMVU8jgoqoFpvlMOMD6ovY6yURLXJrevgIwdw7WECtXuJJgqfbkM2fg
959DlpoDeIHEi4cEkCtPlX5DaQsxowhh1blFewed7aProfSHTecuGJlNF3p416ZrguziJQcgvhE9
0V4oYTvWGMofqYhm2bc1Q+RG2qsQZTqRprpYaI3k4IfRNfGiMEz4fI77TLoq1nIBG+H35Nu/8BT1
D4GeF7tGKED61Wwsoh0zD4hCotSgyDthY32GiRh2STWwDA1xukpVRtCSIOhsoeFQJTWjLq7qRn+3
DEPZg8YbiB7udGRq+Nl4vSJYAx2v/0SwAnwI6zW37GZrpAUNFJugVjxaGMQLgxFkHtMywVn86Krj
k40VhxJrBNBXSwo9JVU2dktKXZINIO5yalaEWsCLkqJYViQIrC383Qu7amoQB9ORLkaHzhAtCbNo
69ro8JtFNpPAuITlH2VquI1MP9g6ZV7dhrpj3/GhCG21eTojB1lR3b9CEcOtZmKzVqmlFjR5gXs0
Xbvqk8x8aiMZrcYmNV6bUNev3DjRo0VJCNXn1KSEh7GUHjoTUU7aECSbqP4T1inkE6FCjpwOMKYx
waTlaaVva7cLPOyyv6cq6VZAanBjOwbLJ4rYdezaPn4w+XsA5fVA6wnyDJFgAEorAGsmX/E4juZt
bocPU9yToKio4JQMp8BVjmKUpiSvk9V+9CStLaWWyG3YVkRzp3x7akjuSjGK+lZ0uXKoRGEfYB2H
V7aZTmuSj5PVBKGYhq7kY2jzuV95cQujuE7sgYK1IVSeEzPNi8Dn7RRvbC4fRJvAqUIlsTRHTO+N
MmC36oXrWbOWiIRymw10Jr5bTnsd4UC8sHN2vBz+B7+fFZJroZerQHV/MVku10qb81oqov41dbQn
ERVTZtX9WjeL7IrisCNQCsaVUfmkzGP2gj8oqo2ftcmMF+FsMEkreZkwka/znIRofRTZigMNYQLq
iCVdNmm8bQpg6IGtf4LqQH4nJ9JQS1Jq6Wd/SqmWsJHThDz0UVwiLso9s+lRTAWBUd2WWTtwgk8b
/GvkHS4MrChrB9ctiWR+vZZ4+hZGnP1G2Rvy2lbv4QAhBkSBZuytnKe/nbS32Za/CFUiiWtgz1TV
5DJ8JD55M0UttGuS6soVmGt6cmZneG0zA0Bj58KegPYaSGn3rsOiQF+rJZ0oceBLAKZgPN4tDCVU
HlPY68fO0MJjVRv5pZs49jMmQfpTnEsX3FxJICSgApAvYmva9ejhGDVWDSF+K9OCwajqceMpQauD
sCrq7KVpLP8AQLDahsT5bX2tDm/AKtZeTrDfZuBrWbZxrx+Mjq8msAJ9ARRLrIoeBlbmx9OmiF39
oIMvWFWDhrPSANPuulqx+ZPxUQX1esqnX0rY2jRk5WDtmt4M14hT4URRta21GsJCLZV+y5gOBJYT
8nWkPYkikWnt+sHcOjK6LzELI6Kr21VqNpzL1DDeMTcvr1yQ5Xud1u1hAlbKzlJp5meX2vLFcppn
X6bhQQPctUlqKEZDFL8H9dDz69MQNqc5ms9vWpyiUe3DgLEGkpMpo/qSY4FpJ+o1cHjebwGtYAxc
dZUVRrPl5TTWhJCYWOB0uVeqIb8jENp+HibnNwdcnheV9QYPZbMubNBNg5I7O1OUBWtJmd/XilN7
JDeBI8nJJ9ISJXrpdLu5IHITOG+kdKuwHYisnkiWjGWKGy9T5MMUNcQh0JcA8G41vn/Hl0G8eJtK
l5hL6Aq2JgEmW2gDtdoSL+Mkur1gwQAzOOjwmiu1f2CrM+fmrr5DjaFeh5LWBEns3Xbs7Jm8mACE
ybB0xiYEl0xyDhD04t+xKoUueLIyewsD6Cl5m2af9F0RjDkVC/LYDtalQ/jRbUj+zFHNTACHJlr6
GAqJJ/I6owbBvo8VDm6DyYN9XQ1K6gX2UNC8aKql448DJWnTicvWohU36bAHSQJ9xhSKamAoP3Aa
9lvid4CkDH2DfEJFcb1mbgG9p5f52tCM8FKvih6+pj2h2IKGXmG7ebJG85nhmkq5Jl9FEtYQBUpO
/yBomp1ZIgRVSGbVfb99NzJXC2jljhxD4kY2e4fo8VWOlwQvVVM965kO2KbKaq/DiKznzzN7r6/v
9IJc7KTJxafDmn9hZ/0Lik65J2JnkdfJggag8hJliJKHgNQdmgfNcqg6DpYkuKzAGLP8Uv2+xDZw
Kz3D2ts2dnzXaUXFkADONOhFe+3HebjtpaZTrqMVITcl29cWA1jeOBEijmytYqHrrXuQriZfxCQr
Hzh6ra9HM3po3ZATitG/hHKGdJvcvyUbgHnn0C8Ae9ymkYdpY+o2WZaZzdrIDH+hxv4tgdn9ZUg4
Z7yiGV3WDxFK63YdN1XzYOhmu1TryAWIVBNQUIaGuoc66uwGmK1PfqXWHm8tE0ry4nfBSMdYd8NH
n1n2MncCckqIgtv42OW3HG/8HU4SArDjgGjigtCeqSVvUgnqdBO3Pe07cu1nUq3wSkf+ztT8d1Jk
2hJoKG50YdNeO3ScJatV6rc3qQM2snXAVBOvEnNmCvVVCbWJ3m7yu9VYFTuZpXMMMeMUtbX9p1Id
C0rpwS23JFCs3PiV5lnhX+R5axuXYKfnENWuiaJNxYj4asLaiiDKjDZI7sgvhppD0GcFSSXTIPRb
ivU+JXB7cwxTWN+LNz8N5pbkY/WUxQerXGt38wdAEe0VxdqyDibEM/D8QLLMIdtNbCKLeBJ3ZQkg
ovBJaNGMUttYGhDbhnESBCm3p/aVPosiq8Qo22ZPZjlC+05ZjHHygIuDWR2+73WcOuKWNKnfo64d
xiS5n3jfNypiR9JIaMin0N8JP7s0+1EjMYiSt1ajD9jKGHvsg93dZJgVBSRKOp16ZlG4Z6n/PFGM
XeoZQ56lPSrhpzT79j62nPpVgyHnuSNkAazP2sT27sTmKs6a7mirxrR39OjVMerHQKpg3FN4C43W
0QezFQDtQ1HxBefR0jUlK0wBemFhgpi7bqXaH8wC0Bp94X5RRAphmgrd6DyiO9HmRUDrt6nIX+Zo
CkmJGYkBdNPowNVDROgXaU7MT6rR1qdjlDLeYBEeuVtLswcR1Um9I7mgjdbwtdAw1xm5KWMeAlyl
YUM4CJuaabf39cAwpYxC+0AMwwvLub6xmXcsDeIBrkXmxJ6PeGaZo1G2ePFxRi9U5BnoAukBLUyD
91mB90kfiL1nkWZd/ZHZnJWMxClWRU2tBnyAjKg++BjsIVyRlDXlK4YczyUL0PJ/ODqv5UaRKAw/
EVXEBm4FKMuSnO0byuNATk3m6fdj77a2Jmgs6D7nj9ArJFKF0xduonRjgBRBxaiMJIQ5b3XFZDNM
6kn90ZS2PdUdcRAp7TibCCxnIweKbQGiRubSurobc9U9pkmMHHwg4+XR1ouS0XipG28ux0+Dc8rP
SQn3yDb6okkcPlYXzQxc25uEZafmlx452gXWprpYnCV8EOtfxUZ8SiMxkwlrke5sgWYAtsUYXTQY
2yLMWNDzDzWKmj12KPcI8Pyvi/uRPzYFHUzLZrXNt+Hs593QPTWuCmIbZpKcMnInk5ySZMuOYspp
ov5aFvKrcBY9MBsXbWLKVc0cl28y8mcHonZtOUPB9G9mgR2K3MziovSyqE+FnhUXFR7JRnreTSTz
Duk2G/iCFLz6QRmpxYMx5fq1BsknjK9kVlT77mXEkeQbqTKRMV+vLQ/6a0WoByZ23O29ZaXHxXaz
o1DXcVvyXcCpskLrUbNtoiz2pdt1WznYcg9dQ8tVU8ZbZg5yJCpX5+gr1Y0LuO6HqfWulfkrpXkO
b3UbB0sS6nvat6y9O+nMb2E3OVuIyvlxMJCAdfZoHIiPmIKxbYtzNUmCOltnwWqGP5eEdn4mRuRS
YiZ4FE0xXZTFdU52xO+gBvizaslKnDINNkDVaVVvJRUudJN77L0cmoBM91iTsfTVUEiSPtUsukhi
0WFmbH0DzT5s8za8cZqYtFeF2lFoebYfOjPZr2m9LDd0KGqpy4JAW0iQTYROI5avvXEGyCIMCp2n
hQABKb+EfaS5gyA9BboDIf8EmLvtIqBxFbPYp84oBKsRZd6kNe1pwvRyUq1E/8roptoQrA4gI8kh
IzW12jvmkN81JrJdlPb3jKrUXSoa+ijMXLt06arjNo3Bj0W+nFBUm0chrPpgKpgfKiekWkwm8jNO
kjqIKNPxTGZPyt0LnRuFo59yiozKGnV4MgaIGAJU2hNdBJKo3a4NrHLh+Ig1lN6aRSEbgKDcuDO1
Tm62LHvXjUQwDGa8G/MRanl5W5pB7mkOqQJ7MPtHzucZmgjraIqnd29oYXKudVmfCEghAdIYmjuQ
ogObNfeMdQssbBOl11aOTyaj5l6ZDNCwTjEp+ltZaVP9slzZXmYTt0Vpd+LQzvr8VA89MBMzhWcz
x5TkmGEjLK4yFk6guONPQlDHezSW1L/Pa5yDyDgJ6jH6KYZZbDMnCdmXxwwyW+U3DGt8YTmad1aI
6KuzjHJH1RxdSGvEkhk1qZel9vCAnJgIfrVRucLCBllX5B5pm3KP3ML6IcrSGnVFQS5NnVFZwE28
tNm8A1SVPlN9Q4FzPV5Krcj2tuP062SoePT3MBz3yrzXlLpEzyCYiOeK2OsRFFWk1kte9+4Ofkce
a9GuHW+Nyr474MsQHemeoUuCShV6SjJOD/UUVaRzr/HghltRIOT+UTH5LdlC4KW/LeQWB+Eo+dto
mNl9mOfRU2XUB5gAzSu1r2aQDVC6uhWVx9TNrCMRcckuLbKX1LRzVk9NPbWWPvED6MheKTNCVKBr
4JqQuYkRlR3U1XzQrTB6y6L5p+yaD1w2sadx6XtF1SZbqFN1a6uMT6ZCjcpaLIDGxVavUYiK2bWz
dltZi76hoEb3E86eS5m38SabZ4hxMb0MVd7uFDfOCWGGCBhFWJCUrSmvZOYeEGc+zJWWbOECHui5
dLbLYH0Oehf71szl6mg84oTUxWeXb3XHZqY9uGQP3pGzZp45gcfZLtnoYZ87P8xoGkmkdgVZlBEZ
pDjyMLekyxiz9SmZ5/ZITpGRuCEJ0P1kbEq24W1MTymvgvHppLB7KGAbAmfXbaxR3xdzTM5uGfZH
1hhMDpDgCRetMiJKAw9IkOF7mlnyuNSpcae8LbtoNdGfS4xnaInjJiA8hfbGSmpXfSUM3JJ90EQw
t7EEnYe4xIu7iIRDXsP4NoKRbnnIYh+ki/AirbX2S+hCuwvF/AsxTq8vAr+fLcML3ZQ4cFv5sYRq
k4RZf7gTkS7x2PeXjMN6nyr8cyIDzKduzVcEBPHqU1r2C322nliKuzMu3Zvgo/ngUXzjqh6eFPoY
/ayLP9DvkNRsWs/6kNi+FsXjs1PZNv8KMoatDDiJ9KXuUHf2sm3J6nG64bUKYRLTkdYmTfbJZkB4
6cN2hJ4jhyJwY6076H3e3Xo17HZtlpTPhI4ZPqU3uqdFFgWIJP2VXtiM4tPS1XY/OLPxHhE78qLU
TkQ6Z0W7IWSJg0UsB8VDHuS1rFOBEwMPzg1TEMnCBMfXor9Lo1weh2HAcwT8RD1Cv4mRPV4M0bRf
lJaVZ5AoE27fDp8JSeLdbUaSLqMSKDYhEYeuko6FU6rfWeuw5eCm+rd0YfOea86yn+LU3hqxAaAI
71gpplfht9bJX2FG/+2q8S1WomeawajSWIU5Uw4CSFiPgyxNjK9OxN9ApmIVNC30IStR76+BZVcr
HeU/tWuGV01l20nZcEnunvuA5SQDq+VibR1FfWBBjAjz722vz0bybMkz8V2714LIRXUwhWVEQpfQ
n7Xe+FUtN0XyT+fwpBupp2lNeHdxQm1aq9LuKfPYphNQF7Q90LWjM+igRyWFGaJirxk1LL4ypFcj
HAePckBSMgqZ9puBPPZ39E/6NhnsF6cV+qNh1vqebQtZjsgaTviaq8WxwnOYNst2HouUapfwKSFo
9ARbWLx0FnqKcnbysyaOyKEkQapK+kZ5h+3VlU3TaMXGYzpIyaAm1Ecj+0Q9C4JzD7srE4AneVtV
8OaEOKIMyn98TYutho4ICvHSlN+Dlj6Ey0x+8Y1abNISVP0EMkM9M6NK9ENUPHclaG9O9tzK6DuX
fn5B3Li1hNyb4pnmXSV5TiXcnvVUayfLAoC8RvHRma602vF+XZskxFb725hIAxrGuzN1FyG9I25R
sviY1BS9m7Q0GQo/5P2S70Xx49p3Fq5NorIztGcQSG1hCVJPHZhn2QeJ5G4h2ojv7Ku075X6YrBN
ldc42bU2sJ51mCu6fPLfYtznoE+t4uktBFV1noGTkoM23VbSuYdezIfOS1F8ZdxwsvsjO4tR4bdV
fLK9ZX+eip8ed6QePizRt1ZIOqtov3GzWxnLbVQ9R+a70py1Oj1YMNbCvNuNu+XyO1fhKq6pgpqf
P9HOPk2hJ7XfTu3PDHJhZegb2ajU8XUGkmqjYByQGLASGcxdQNr5uNfSozmfnBii1czprN+r+b2s
n0teIMmKfXE6EH6SPYcu92uDRnPHczrHr4af9bsT8R/rJZWgeJ4X2jICy7lW8k3l2Izq7Jjpu1E7
UeFzKHIyTlmfOR969TuNKYJEnqoRuDwTfDc+hRGmpp5k3+mHc2hTkKDYA8KZ9VGOXD9E5GfkDajl
ayUOAgyCbstNEo6bxjjGCI14brhOfD51Fm8b7aZQcGt+RNUt1w5d/LNmwGM78kaLH+BF0WmBurjF
yn59gK6M9t0lQqe16Gr/NrXneXrFHLWB32jNS+jsamgshO8KWpxulyKfKayg035yeNSCy5VU8mRR
qB27VOFDYlJ4hVQruzhc54LCKbNVm23FoktEPtKvolIkvO1gvsSDVR6Adb/0TM8eCMcM7IW1KruM
FDg7NOcxg3VyQgll3hxL8QqDOuWcTl2OHqLPxTnUm1NMeqSW73O73Iw0phHHRtsC1TvkDqHahVUq
Mt+eLgbdUCYHn/syNJy/LrxaDoIabszhhYhxH2bYaxgK02yXwCaP+M1Qsu7nKMHg+DRBtBUXQQ3O
xGpvte8pgd+E2sDvOsYlI0zJzYgy667W9KK6j024S9FfLvUfwOROka/q8qi7L5HcLfnfSEsEzFXV
aKshfa8OKWK03Vo/oltEzM8fSfOSUME4qPswmg5iVL2MfKimwkvrEqYPWs/MAHVwmFHemKjfXOoF
ZPnUaq+twZSp7BlxD5W+dl7Q75H8mpQV5LAqFZ8JhGFTD+WmEP8mwdeXnhe+rT451BFgzhx6VpmD
JCk3hEU+OY+TRX6H+0OLHpfwzRY/aP+8CHXsatLWQNoXfdcTkpVy6M4w8YdVBGnSVhdf3FljMOFY
5BlgW/KVvAySVnkdUJ+Rv7txwntm3ahl2WfGp47cfS7JD0bWENWf1RAhz3omUXC9EKd19zcNP1dQ
AtQbl9KYNGcwLTQ0Ks+0x6qsiDRNlPPFpPTRwDQxhW+WiywjDo8hqch2uOmSH1uh88QIlPTU0PXl
WJjvhptGMN8gYcJhiphcOf0bn972k6T2aqazMLb8yHgtKxrK+YlM7D0IAipBbNIWtpMv7FlELXjH
A+nCJqbeyPns9FWFOj1kc+cXSvivHWofUJlWqYuYD0rx1o/flrqfi53G7JSRaOl+VdYNi7CXEAac
GcSOiqNkQSytXUmZ00i1VqbhC75zuyYEDFpePireZH8vnLlj8y2zZ9s6s2VsrPoj6j+QkwUWqgEU
DCguH5YUcft+VC7OtMdz3jm8D7eeIq3iXak+wKv82mS5tb+U9ilaW9SSbVHs9PS1Hb7tst7NKGwR
GyBvI6KUBQh5Yan0R1K/ObJJ9ii+zOhmt4SIVgeIGXz+T239Njungh6G/33MNPGwBfIHI2Ic/tXW
ba03dJW9JR7z6Q/Wo2p/kNfuCRtncS42qv5TzHQ5uru5OacNVyineEeWtY1K0Uh3S/HcO8hil6uw
btxuW8Zqj9SD8K8BK/kjiZhW4N+O7JzoNR3u6vxeoA3RupPCqBXZbkf/lpkhz0g4kQQRyikKpoB2
qu6Y07K049vvCBWtKGY3RHxqjPw24pvii4+3TDGeGO/DiHCwBx0sHjQX7DHFpfaajLR1Wt/29Nsi
O0kJBLcmMpwXCjn4SngYvDn9VSAcHEqYOqTVY2z6CEhnS9kBK1Il8oasLBDh8kA90G6ZxDWkNhtC
O9Ay3OvInXLRf8yasW2jQ+G8wxSwUefbwnqLw1/x0BHsohb79ss5NN1V1PyPEyvzZih2HVTcMkSH
MT4I+g9qkpjj5byKeYb5xeBUzQrOjPWAMH8K7ikqwonuutkFrjG64apHh46NOuNL/uAQc6kHJBev
zHJfULDM2eJo+HKWj8h6avtz6v7Sj5APx2g60zO4Ed1lfdOgonmJDi5zt/6Q1I+hDhNv2QEtafxp
v1UezMx6gCRj+88FCoM+4eqRnlwjrJOvNLvUiA4IRFhE0DtvivWg69dZO8iWjVbdm5O9Hbg2DOeo
KTAR7dZMHwTsyLjc0aYiS3+Y5eM8ftkaT8xHnnwqMS3wDnp6Sn1q5dI3PrR/QICmpw4fo31aqhvB
khWMYB2fx4RWzC9AH6Wc9kSOFs2zaqC8/FLtkzAfw/GFlqEqOizWVsangtiwZYeL3TOLBxdIthqv
eXozEdom3WeedDwEJ8t5GazdxC2WRFhYXiz9OUpv/XBWIyrkkUl176k4EhbRLw7zSpBgXeUJJT31
0dVpIiUraCsGi/fxfdGubh+wz/lW9819BMlNbKHglvudRLY1yrNDfbGV05Cg5oEkJ5V13+zucUa2
p07sb2puNHUrGswz6KJCLmd1LQ+7FPRlRdWhtx9TdTwP+mfUh7tcdwGpaRiTD+w1nrAl20+5GeAu
JnWH3ZBaxTpgWGdsBrVmD1CESlEyy0n8QBHJxuYCdspHvNAIUF/ox+a0S48TKfd5+50gmi5KEtjL
Q6H9xoO9afS3lANAV1OcoakHGl0wxk/QiNH428+xryQz5t75mrYF+SDAtxrXHP98rX0l4q6tx0Pv
3vBTMBJE24VOtZmJY7IDmwDYWjzpIt8mY/vYR6T9LyanTOTL8GOy0OyPL2F9yUPLUxqKukCsFutv
aAt/ibHKfIUx2SXIOlPOgwrsUip+ol5b17otbnbu6mg7mtxYUbEJFXTS/NBHWoJdHYGi4MTr9Zcm
52mucoLoo2/TgKtKf5uhhIVAsY+OhhuRcvj+OGB3g9PmzCWjH6S55I8sEbWEFPTaYEipfBqGdyrZ
RHcl0R7VBSd2uJXljwGzTnQqXOdf5QSiN3daGBKinLKPNwcKmreD9tM0chO6FAiuCT59IQ812KeK
N2eDtLJ1lXclnQ5V2R/QmKwIf/QnQ7ql9xrqNsVJNvPERRY/zzoxupUMwP/OHcbknb1YqOn/aofe
TfnaCeNVz5qvRRWbnDZq0/hpir/Ysk8WFRcRoRxF/j7KhD0dvRv8HyTzMlD3d6sVLt74NXFfYl0L
eomud/k3IQgJn8v5z21oCsNso330JMT2fOJ4by6HtWZ7ZlfMxWdEA6v000XdD/Zw7sXz2GxFwqxC
ME2qbDS4YDYeVf7QPdk3X5Zxb6rVMwZLc2qqba5de5s84INla3RS+JgwAmQTXseMKMpk11OgOaLq
09V7J0+9eZLw4SL+KQzLm8COO+Wgw5HW4Lmp9mLbl0HRdqg+Nyq7FNkTZCXzzWNWQRLgJetGBn7T
v04GbRc9dar5fXJ+qAX7t1CMYRYmCbIPlfGMYnWTVBPwzy9nvBk+SOWk2Yci3fUZBZ98Nvhya3l0
rb+eNmbg/1xui/httENCRzmNcCEdFZ4iqAL6Ss4wz4b1W0Y1MtFneJIEnRv6MiJc0vxPnS5q82wh
VC3PWsrDiYMwUh9Ejd5rL9fWE+dUt+w+1nko/gwh/Ih2EglslTyLHp6JYoi6uYXiJRstb5gfuiaE
52cse9OQfM0khtgg7Cx9PABteLEJV67Kp2J4VZonRz6O826QdzokPUBgwPOjlfML6ptsP3Q2GNM9
tYl6qMA0spkJCAdikb/SpnudkodaOeEVpD/9MbdPhXhPiXVf5s6zBV2ttG3F5BJTebdoMPL48gww
1gLxZMxcp6Z/A+LTut9H9SWl5DKpWHO5vcvyx6Ufg3bzXaLtqEA0dLrcCaSOZr9JKWKM6n2fvA4V
/VmqhLb+TsYvt+NfiNxAMd5L/V8jh11szL6hHqh6QMzFc7w4/b1XqAkmsFVUKDVI1+5kGcToChY6
gESD/cKk3Sob/5ko+mY1I3upP2PqOgI6hBs8fq90hXgLJzWi6uwYukD8ivOAk9BbsvKcVzNMOfZH
UB9aXJI50If22BLqxc/Dliw92dqWJW8GMTC9pvyFZhMUIZ7/xvSySP1zJFokfQqIxv5wI7xDQLIl
3e9DUe5QVBztbt53FMuoq6CJIjD08R3B7JmuopBevrVQv0pSjogDZwVzd0bb0ZS+VoAMflOa+2bm
Zbfn8eBU0Xs/Ve+mqezdZQgcoZ6riqrUevEAxTZizm/AmoExTEeg/g+LAVG4w3E00jslh/44ztuk
pllctysinwSpeuqhc5RzkUWn2FC2Jbz/BlLjVypi2xfTYzSrUPgwVaPuLVZ7aHlrEtfhEjc+kLww
S1BRw20sN0mmeOT4PMWG4WtSvZRG8zlljgj0iiwBN3ePGhcuYm9P7Y1NoxjBQqK5Rw407r6/ubh3
7ZMwB0ZkxMm6u25z+Tu80G1Msq02YRew5+OyRHtkcLfchSAy3F0pNShKOm+09lIW8Hol9Hwv91MY
3vRkII2FLLZ+aR/6pTjRsuBn0HmhSokSGDMdxyeHA3oTLeENKeFlIuKnjKw3ve42A5dml+kY/RDk
6NEJdxL1JumLRmDWpC8v7dIGLr9GRRbZz5HnTinNuMWmoXJxmReUORTsRC7KimWnWNq5rYq90fKe
oqUcY+FJxw7gLD8axdln1XiR2uRV1vjSUmEHnUnf8ryGaaraXsjpEVDybRz6o5mFPkVoNEDS6kty
CmvPuteOFbNdCzpPn48zV0h4zava//ShRaqKsk+4T2LVCiy4ZkrrwIrULXL2u2JxBQve3m5eTnHO
9J5hgeuEdjPUIRD/FzAR5me2PrIyL47lvmk7Cqe6Xa9OFA4htIXao4/2YOuVL3D/Gdn6/vDZuZjR
M/+6NNaNmn1stcUnw+lBVExsgz4+DYBInV1vIwVMTgX5mazJz8HigaZ+1dl9TMgy8qyBrnNmuF9Z
8X07iIksrii0tY2O2sxghKR2mQJuk/Je4mOR1aD6GLv0kI2578r8oKol5s5010zlB3RyTml5HPGv
UbZSwsisYkO9JGmfsh3fHicyAsMtfLEZ9Pjx4zQi6b6i7izkNhDspbpITpkz0iQU7cJhoqbcVZAT
NUE+1acq4ix3lhcTyevQMRA3pPZTSgcLNqyVxC5ooKrKE8qiQzYToIuTL3RjFhK66KvlgGaoZ62j
M1cYT9TeIZ+arnQ85ZsUD0Iho7eGh5eKBDJx+ntp2AT4mUW9VbT0yehes4Etr8UsrwmMgfw4OTKa
+snqso90FogAqZS3yv1URFRFMFn1NWMdflCUjyVqs8Kf4JZCLT9LSLG640hm+uHxSLk/mr6+zsgl
25iXQis9B/0DylXc3EjAF075MKGljDehbhgwWHAsGR/LsNukYe2XFaQ29gYq5dBCklpfcREReobe
Goi+DmLp7HUAVoIcg3SYgqyzN3pm7GiI8HWrfGDMPGLyZdNiKO4ULyJRy9ExtUuBXwijpY0HMinB
w0yKQKEJUBmklWflmLK65uimw6Zad7aY2uJCa/cmU6/siz/qI6iXM5Z3bYR1G+bLwGa4AMvW1IBr
Dvm9SIydjvzukhNT4B8q+wxkT8fkR5r8RXcdBLYN6Ep1alkI2yr3NGXccjIcDPR0cyt9HVGeO+av
dZ8e+ylVPYSy1yUOKWMzi8fKQp+IfILNEPdaapbvLY409jXoFgMxbKqpl2YAMnf4oHSy8Es6WFpG
srUHO95hzQrGFAJ44VsEGMWj5Ifh5BFKtjVCe9MLBxkBJYq5wEZGP++IJtwGmM9qA8wEOyrf54y4
KRnTcYPEiy9n7V1fwqAmuCtfxsITigWukRY+9R+7Wqpcu7iHYsdHq+VF07qvN55RlmfVwWSscbJU
bYlMSaeDW/wYWEu8OTO92IT5Vx0k01ylKpV+ucDF37a/FYN4zedVlpEvtD5NQgbhogYG8F6tGRcN
AqDBs7GJBvJEI6mfSnN5NlJjj6x7R+fKE0mfd8jhS80PZ5jErleCya3ARNNxH9MlHXVih2PKx0sW
wM/d1Y5RFTrSwR1IPMfdLpSPekQc6kAAaurCwoENQ8QQyK5PW65nMsPFvfLoGqxvY3nomNgpr6Q4
0pqIdKVuvpU4nXV7507/VmvNUPNPw/3QIs6l6Xso/E5gduD/auQuJB2jsBktiN7N75n4LpT2Xzx7
HLBYh01kx53dvedoHI08vY4AdN0Uww2XmLyiUyKbHV5+iJ7OE1N2Nc3qoPVY4qphp4v0Ees3eCgk
Lfz9QRX6QTPdv0YkdPNmmG/i8qkidXRl2g3VBZPhpZjc7tDDmheheau0zsc9z6dsC9pF0RkaHEiW
/T4rAPFdaz8we3yMiAi9UGnueT9NkEP8gaUOveS+ZXV4XnosamOHnjKOnt1yunR5j3sQ1b9VE33b
z6v7aKh2QMzQGglWQTpmkxSKgcvBxJyI4nolVBRiBHA5TmNF5ev8oafUWDsDah6yF5i2VUwKSd4z
QnfqkaYPqICwJo3BQsgt4VmDuJsoA0OyFrKk6u6yX0Wbs91e6JTeEWt0svu530O0/TiTsbWS9DyB
MuI8CepIvKnRsO1DaT6MYwV86JBuUbnsNI5vQy2HgsqfgaxMu3H8aF0di5ldHl+qyjohZPvQ5CEb
uHY26uSvMpxf11kukuzPmjo702yZC8vjKLOASlASweKjFeX7VQbDzOvPDlK0FQQCUxIAMZouwUym
ZWNYEQ2jAPCVwo3tAOQCUEbrZajoOr54VGZyRnVEK3aTxYxyY79JBREaRRMFaBu2k05Fd01jJOz9
dsihX1u85OUkq4MZm55OmEIzWQzdJvAKaQmLASbeDTs7L1FX9mjN09Isgp5smEdlxpqfYqV7qGpB
zihhzaxJ6t3lBa3zQlJY66w00aDfNaeqnS0lpd2uSGIsndTyfqet80+VqvugWg0chEY42etiQGPp
1rltU1u+VMg/3kjRyXcj1i1/tHo00QKZkEHe6T60qaHZNFVGt72RXyuB/gsBETm0uzCOyrPZExKI
hUFh27He+8FsTpTGfC9Z2+/wFyb4xUtBR5LMKCWMwyvh13g8oyXmmTZiHSUeQJ5OUIXqvNa11N+1
OXJuujkXmddPUt+ZYNqe4lCXqpUgDtkQpsdBt461SxiGKfFSL/qo/V9tucfgUlwaskB27QJFqeO/
3MPHdkGT2UiXWtR6k8BW3OGHRENUYoO3svZS6L+k8aOvTamHMRxb/6IvFLnWgBg+qju4vjQKj23C
Ul9k/YQf1dWhnjBSPyJJiw80/iJb0sOkAY1t0ueqAKYTeMJjP3GBjukuINZFx6JzTwngcEgvicbb
WCf2tygsQkrmHsTToWI2Gyg61iwzpISoVRBgj/MT3P82iujJtGebcIeWlqKOkhIAqWEsvh1tWbZk
kxe+mhPcgSPpq5+UMUId1YLrDMQMYJ/009xC9M401XJyzvHdXrrqL1s61tukKllATV24qK9tIkaw
C+vzc4ZaIhh79amYxp9alemxtLRLYeXhznQGOHIyR96IuOGq7Rw8xhbZKjc3qe2dpXXudpGj9g7/
7D4jS55eSX4h0p4aC96HeTjJVg7biE6jk+qK/qVrdVhgt1gOrJB4eRBm3XlMzFtJ/kBQqXrzoyKS
3DXLNOxLWFOyEkXCa5KGMDsyMpjOR0P5sUWZH7QMI26fsFJgJfj/iS9JouBEy9IGz3Kj8vfV43em
koLiTkQXG7PxlDiNvrNGJCSMLXWmHJGrqODSLVi1FRWcTxp4MFBg/op3dhV8LqW1dZMiOSOM0X2a
e/pjjRmVUazspsOgF+g+RN+/DNOAG8N1gP9Ut3qhjZDJdFA4njPsLOomT025M1M876gXWxNNiNXt
qpXhqUfX/ucmMg9W0xcpAEODGTEjEFW0TGR5bU1gGBHDdBI7nkZZKlgtJ09JlNUTfwUnkw75XalF
/6D3asTZOa00tIhw1oEp7Noh+SWROkHTPIIIlZmLQaGB+oqbgv9aagog84pPoxmtQygsbad5MXPb
tmQ8zDFKWwckNE37+apQb5aAnR/7ZLwmGuVyZkIId2ozVNhuva+r7NsIl+cim/CuXIZE3JyYZDjc
mARxuNOM1g9tzT6SFae4Xj+ljFCUFcWcorSoj1crtMp7NhkOdxGVCSyjZnig6nRNk9CsF2XqATQp
IN1aIT/pLHTxg7RivnV2QW9XNTgIdUEX/Emnadhle+0Zfd+zWavwWOrDYXwhPCAetnx0eUjapeHN
B3plGOwrv6D8i1rZPPox3OiT0WS5aFNZvedgQub8EuU1WHe4iYnTCIkzwF0eebhNOduKMPyTapM/
qr0T/naz0CL48DA52KFzDbn+nsbRlCdTQVhYKHSIkfrmcpSs50W+aMFkJV4b7maDadZ0MJ/msh0O
lqlB6kdUi/sMPKnlqfHoaoQw96IPWpkTY4DPtd4bmIg8AnJBV+dohhxJG1VivgVlTScdtSOYFY17
Ubzla40OCiXjVEVxJxupxgO4KJp1GklzQPfEknDO5Xsh37eYRvwxLPH6muiHdUazxQnhZgfSmBVB
u1fWKczLolnelQWm2xwVg2fC+pwnnpZOT4KBBCXUsOwrJDijIYkVlOwSdKs22s9xDSQpRNV6jTTD
XatIE9wnbbb93BIb0jgh08aoFUzdCK+6RMOyUuRMdRgnmM/x9BE5rpJjFYcCGy6SH958Nduii+Ud
6gscRNDcG6kn3EM04qKGpvCZ5HkEmmvWUqTYXwt2Bz9XezrAM2o4GOBcAKoQH0jf5aVXJzPpRKsw
MHSJV0Ft13htLCN0C+IeYReJvLhGLtHLLtyAa6UVxVRhKP1hqS/12P2q5PUOj4KBDAVCmN7kaOSH
VppwRDiUTEB0mtOSdiJGXnHDl0jRx7+Cq5wYMEP/R5vhDzCWG9RjwXrFtJ95bgjz50bDcbD/oeJF
X1A0ek3mga4gsiWgmBu9eCsbS7/jbujfCQHCebtK5kdH/+y6KjWCJB81Br+ONLKIpLMDpEF3cBYU
NybRrbdm1T+mOiCVzW4T2F1WbPOIWxhXFiZls3VvTa6jZWy1U55N7RWPQI3KMmkAbYSCw6bO350l
/44Up/5ic+1RJ0VZzfvPZDJISmQ9yAE8/E4aZxeCCiSsbO3gpW+za72Iv7BP1tnWmr6R+f7UMzKo
qbGvrlCmSxiHuHnpI208W22GLiDlzozIZhAtDwgeK2AqgP1pEitj7irq3qhS7SucQtoQRUSs9OwW
NwyU1rnoCW/YjO4Yw4FibH4tkMMG+P3BDmgwVi56jATSGanN7iwbihivhPcfaWfSGzcSZeu/8tDr
RyCCESSDi97kLGVqtAbLG0KWZc7zzF/fH7uBhyp3wcZD1aJQKFclpSQZcePec76TCHgFl9J1E/8h
Dn3m1Zrwwzl0afJbzElcuCzh5L/VHcpNQBXuwXHiu5DOdt3LbWh/DTqOEjRagjJiPEAU6SehmI+N
Mz7WuqdBWA33arQuRZPWL0HgJMgeapoC/aCeFOJrpiDt8CO3W8HcWD+PHcHVhZe/kD0Q3ego7J8d
ziCc4yeatQqDOiHTD3NVPmKsesoM7imNYZJ9nOV0s9T1a5dM7m2eUP1p14JkFAPVSXU5vtUKgeoH
ZpynBX9gfieq7KUOV5PY7DHSKkZLEiVCYbRSkvJt3S8MBwxbhqE7scmH7mdW5J9CJwUNKSRCrsMY
uoZBxQuThP2wrZQFh0HwmAZHGRN/SwisRs1PxtNm7PBOD9Sk27q2iqMb99/sIYds3qbmZu7CNWjB
R8CgE8BtTUTzcOaEtAXUBTWtVfapVyXa/XjwS7mbklxJ5qxaAtRP2p/Eg+f7LKW6yRa019nifcR0
4w5FGb9VVYGdZObwU2XWsklgtGz72atpICzMOwzIi30xR/lHlYv8HUTaqudO6UzudcPUzAs9NPiu
rli47ZkJpOq96lHaieRkL6J6ga+WPNHS4NTJNoYkoSXNNi6joT5Zo+/Mh75JNcmfZpJXhCOOvP2B
RG/YzAFAnRCt+AvnD/eqqSrgEp1EPeiOqTk4EMZpTggB4ZEw3HsZjv1Hxqud7i1jvY6z+z1PmfbC
jSsOsLahRXmD8zmorC+3hT3ejUM7vPApCKDdFo1UHK0kAfirHBHbJ0a4TwKD5C4LLA87kt0d6oxR
PmV3hMNBvKiIoJIT4hFN9qf5HAy7BIcdbz/knJ4PNTymK+Us2H8zM+d37Uz/rfb8lv/I4fSkmI0T
7pLcRGn7sDSY+yjmbCqztNYPOfxARq6zYFZK8bRJix73P24MRlDcE1Ia813cdh49lPp5dkfzYBFO
chiiIT8Hbm/vqWxqep2A5Y0DQn/j6cgnUNZvPtOVy4b0hIpx8Kz7HqTUD9hY06XTejgru22uwskE
O1o/tCn9zju5etE7KxcdZxHRX3jFym2medbAYo0nF2HSzeC79VVsYnOVNYSuGp1gXR27kraZ1Aw6
puKuGVla8oEGG61KtTaNMRw1IElo51nIPNeFIxjC4StEG3eber1zWxZ2/ZaKtr2uGz99aKckuLHV
kLwKj+xae7T67ZjG82GYU+ZOIK2uPeYZVIe9jvCfNPO1dsQHYc0Id5TZiBK2ep741tWA2fykQ7vf
O3THtomnqhMtEgQLtmA5N/xoQaTs67GI3fde1HI7O/G4swEd7ISVPKf/I+1CIoiJAeseeRj9foot
emy+DA5ykJ9L3311Zyz3IhHzN0Pr5qwmvNtM4str+Pfpl0WgqRPZNF0QdLvdFmcKc+c2f1qcGACM
S49SW8jILDf5XumGMonKa9P6nf7pdQ7vJLX0lkTz+RELl72dGFRt8JnJDcN8eqz5dezPK0PIqrZT
Gq+K9SFj8V/GaN+i/4f1Q33WBTiH2rCSBzP55IMKRqt9O1fQEehhOehacqfb8/ZD+wgq79x40v45
2tib26nncNTF1nKIKcJ/pACZ7mdfoFiLas4AsHsu/STvCWb+BFbWbpqoY0JFoetTOaQuqLWhCA6T
F2rGELX1pfJSZ5e6E26ZQBXEkSFneEr9Jvjq9lX0QsXhf21LvdC2HRbeOTzNB2eWXsQXM3gvTa6T
Y4nBBuMfzmIaQ3X5GtVdy+QuTbct6NJDP0j3pyvuHWSOC97SxzoDIHnIQ6aFlR/C3IRGdV1WtHIt
rxnxYFKBQ1jLvuqxBhtR4qWg3zjHrwT6zBxK8EaS9tyTUb/Q1nFAuZ5dq6C5EiF3ogbn7E0D5bqw
ijeAe+mO+NynrLVepU/8Chrr4QK8qnlGEt3eMplWuBFDWlkyDc4+5j48hHX4QS+HiHqBZcVUQUOO
SxXe5LkwT3XWInPLRnotS+NceNIq+BbqM6sbBzNBn5+iXC/22bHDsvsxeZYb78vEtJfeCyUddzs+
N4i4rkGCjMd8cEd0TQl4mw5LqZeRUNskMz0nMdsDxS+OpmDrc+ZWpwLKLm7vPEXRQadlyA5Nznq7
d/RkbsM2GWlOS3WuNQbIOQ/m04I2/otmaooEv80O1KREumBAuMh0YbCZuOXO9i1JGoIP/TSLo322
VNZu8bzRo8ckkL83c6U2nnHBNKXCQXI7m9cuphuf2ipMd4VaXtSiGCIBkVK0TIMQ7eeMJKkKqvTU
SfmeRmxUczUzfWjreWH4mVTN1yWNe4T1dol8IJ8igkOrHoaTJ9W9kc1A493WtxFRwg+BAMY0Dchk
pp55HHSvZZ9HbXNMxnC9gv/sdVn33Zb03NoWg4CN7mzH0CDfdr329/mSZj+I2m0uaZUEcOSCbHS3
rWIW2HiuvFt0ZbB2N86h6hKzzzjHXedV1DH9YyjVugWVQiSdW/J0/IdaOD21fQcT36JnNyLYm2M4
qNOSLc8gecvTUo7yXirL3fom6e5xaheHyl5gGLWSCElOpdvK1cH3bKD6oFdJ7bAoccQJi4CjZbWP
kxj8VoFmLgBmeMxMKSGh013HQY5mi6g9In0cCrh2fB+TtrpLitz5gCIAxM2hnZ/DeVz4kZn2LVNt
HaOWd9WlfNjh4h927iTzm6WaES+olMcJpCFJ1gN8mRSo/aGYZYyVPQx2neeGzyphIsf+YakX0Vg5
NvbOupDWSpnPLnGkbVcep1bkh3gq5D1vwTqBorOZR3RFoaCRVjDkPvSg/ltfB2ZjYUI70tLN9lLE
0evkzeI6F33zlPc8IaguciSWLgnblsWcNNPCQsEZVTBQYSEbGCeAZhmKpUXzTUZx/WOcgQXRj+9J
difirg7z6rYYpg/huuEtVUXOc4Wq2W+IqB/dpTj5bjXeL1XhnvEFA85jDLlzOwfOjAoLjIR45QbD
Cl81zDzKoSb+OWQ+58c0v+KOIOisbPHp1ICAkfUtI5pkQMpAiglCLvD5wHU4hC0vm6Rtv87UKTHT
cH2AWcPmmaZGh91m+ZqGvX5uIwq3McKiUQydC/DR+IfM0flJ0MHaJPH8CtONnjgnZMAcrqCBQYLK
ztN29TxNKZsUZQsDITAw2Omnowae+DNCSrbJyjE4iRwbqZOjwxuAfDAI4HwjY6D62k1HGuB+fGA6
po49a9vKRirv1nVr42G/3BTsvPuCMAVcyCW4qr75NgvUubET3AYupvZgLpJdA2wK9Ur0M6Z03bhy
+joPCIybJlCnaMyeqZq6rRHWl0xRwG3yUdevvZsh+5GjvPRp86nJ4YCYgNn+xrNxy5rZym9thR+0
I1f0zoNj/7WuMjrVWiGUqyTjrij+zBfDkJgguZcKT+TOJiTjCpyUdRUGusW2HDEJEhqKnufl18D7
EJJES2ivWxx7lTMZ8Z2jLG0lZaFWmTpl7y2ej23kUsDVWrpHU3IgHpUcXsKkCG5N2zeXMi6GPQck
lH1jHn9huIGPvEEhHMMtjjYL/qjN0sTf/Twuz0PZZGekGfzocJRGsDVIpcu+k5csrei3mA6MlAph
GVId6OwLFDJ16pdCPjANQuPdFijSBswKqHbW+xDKhEJk6ZyWvmutvjmjKG555gAvRNEnJA3Ea7Eq
77xAIY+IS8Ls4rhTu1bRQ6XzAW2vy9ktK8veGF1QqcOUDkyu9hNu7ONQkzAV1g2zVq+kwW4X9Za7
S5hY3yr4jLZ9XgQqGxWhP0bDiRysK7FdIFHaTJC0jvbSPWb0VGiR5F+mXt9nfVjtRRmOR2Cf4t1b
ReXlajHk7aGE1E6DSNcRN+5gfZfZ2BziVk/1ZtBVs08SOVz7qTfCyU/ecVsHW/Ze1Ly2wdAb1uLg
+/V8jhZNm2EAXARvbjjUvS04fUHH9froHcRNfgiRWAA8S6dLWZQcNDofUZPFUWAX6Yq6XqCm8F07
P8ZL6+3DOWu6A9I0BtSLP22Va3GItNFwmWZinDl1Zx+z7HwxcwHVK9B+tC796X1E3/976CzPdK4w
grWj7Z6rsrSJ0cs6GOeMUBH4M3lrT3bXNZ+y7aKH2DXmPohQEzfELd2RmbbyqYKGdTJLE9rlyVyW
SNfR7eJAwlkTreLyDr3HDybHzm1QTNGdNHgDCxrLIE3gcdlV9ikipqx0sTH3MdtmTB7it8wX/VIT
/XaK4Jcc8chi8XdDAX2EuNuxAonqhmt9R5F+tGwcQa2kh4t+1t1pFb6PnNlPeqjGhwhW0i5p8EZY
fR1vR1blbTr57nkoyIzypuI1JHj2EPo4ftO5HHELRWbfyVk9NSWR591IXSWtLjvY87jKMbmtuS7f
ktAgDDYWz/PAK6Vk+4PTLYPVxcZXkyw4TeGVfLGHzufdFqsxAS0+7wfQorEd8HFQ9jiaLnIWAD3N
O9UB9nBa/8qhuY5yNPcAO4UMSJ4UBvlh3y7x/BVvR7v1WxzPceEPm8BdweVy5jjTGHQVqqLIGbOU
srEbk2tfTfNWF/2XoqYB1WfC2nijxTQYaNTJ9gZzGTW+gI0ua+Zxddny0CShPTHkboQ7n/PYBh07
TMlTUOU/WIABmhfuOhoqk8d+DqYvTt6XrEoJRk7joRJ3I/vrDH3toqc5pcZH7+NTuA/0y+Pnok6A
9S/oOQJvig6RoKuv3UCg81hUeUSPQJFv/M/Qy987Tpt8KTI+LsQnnKupJtJw9Kjzqmbm+QCBx9YX
IxCg8SieQ6gUyNeQ+QrY2bhtlnCnJoZQm4Rhwy6sl5jmsqU6uqp1LrdC8ZV1i2d/weIpH1WeIP5Q
fE4Sf6N34HOqzoddNgZUBBMOIDpFwWnBVoDuFxXdVNHBswIGH8nAWFcELNhZbJ3yvom+ZZbL+IBu
2cm2pubaz7xyh+YCLXUB2PE6y2XHtmp1E7eGkpbIgvRCqCcqlaF1DnxJ0WF2/E/icBGD16F/zlTD
mZt3Boh4tXAEjy06uX5GREATgAcPAyyrtLSH+ZwNNUj9uAyPkjPYYZ4H2pdTuAJB4E0wUk5q8Nxh
u9eqLY+JSZwvo3KzL3McQlbwqmQFVqiN02K5DEdGPj0Vimd77SFq7LeB3Ly7GbYsJG2J9zjQ7FtK
H0Z9FdifkEKHnRh6F/SeG8ov4RS1L9KkqDIx9dBEbztaSC2/VWshgxBd31w32kqetKFGtjvl0jHp
+31TIDEr46x7m8BKPpZdCL6T/fvdxFhX04FTIsBwgKQjCoFUtzZs3Rm8tUHqVwyuOjIUoDBuIEmC
+JkYAibTA/RoeW25Tvce1I6z8sWm5n6QgEEsk7ZbmVU/6DKoz6GXLOeM4faunXB8NjAcFitFwoF/
ADeMdjdBzTlZ9lH+7map2vfj1H0teg4V0EiosUfzIRU7Rh8F6kAJgcrFOA29+nbqH6Lai89lT9dU
Ileb1LDaWtQYserI9M0w1Ofsjl6hm2vrvo5MfpcZt36waWjRUaUjrKTG5eMuKDGn2UUgn8aEMADP
xwoyesXBqHgAYdf1pFqM3i4S9nLrO5QSOAbp9zBXQda0n4DO7Oukinc9QRNZMn2iMC9Oxuq8A7bi
+QiFsDkNNXECAoXWe2aP44L4WrenkhVjp5eW9VRP6WXGnYwcVhLMm4CmD2oyuLKMXqZC4XFjz5Tj
8YgLBz4Vq18pPyl9KNKcbN2Gm+a6tSgoFqLm9jAjSdNsCWt8DAz6Wzhr0b3EcA6WH2bbVa8Sc+y9
McfI7tbHoF46SBze/N4QDHHALs96ARSQ5R87K9OC7oVQCUBaOneZBqz+EsqDk2Te9DR1yMfFKJab
qe4ICyUd9Qj4FSawYPsdpW3d2kYPB45e9mlsuuh7UUnrSgVJul3K6fvgEMLXlXn8swC6h+Zxag8y
GavDSBjtwaHZBc0qVAe5INhlUsyZkSyAgyaTA2UqurSolK0+ZjPtxiS2jxNk7s2s8GkPocP0Jwm6
/aJaD40poRllN7hfm2qkVbcutjO+vqtBWQFWZHrgm3hqvqWWNt/03DBSLN2qvAIA3Oxc2+F+ABEI
w7e8R32Icq7YM4YITl6C7yYgO2VfkK4MKMKzTmkUJvs47C0W17DYqxlpcm2bnx2Nk226gsBo9MDu
iVKAJhKYTrfU9AwBb/CPtBYYebbWYyhKfV6zgB8n6FUgF4CSYD5Bq9A78ipIGeSNrm0eVDeQt2Pc
NyoL+0IUgHV24QpSpECY2irIyjvMwp+M6VYJlet521h4kJfakuCONO0BQKZ+cpU5KLgzCGquD4mZ
DgCo9eyrV1hwGMugIvoL903kL/JspVX16vQwZ1xMZ/uex+lOUQJdJ9AAto2LKiVLkvDGYyx1GXn0
2aS6Ee0DjoAiXXb5UMINjJzvzIfUPfbzDwR/tOYIOz4Oo9vt6lC5R5/j3zUBFPJs7Lk9sP9Wx2xh
8UuawsfzmY/AonR8iNPWf2MkN204R4pNnSP99V0yK4o5abdxQ8uEB3ALu4x+SY6esgIdsmEEk3yn
+QoQCSPADSUiz6MSOM/Ivt5OZYnu0hpo7JtCr5Wc9wQiAHcE0CDAc+APMbZEqzF9jo6RO5LsmBTl
NnGtDzb5WAMXY2Eak0UfksALLyhd0QIutEkt0mR3jSz1wRb5K72ucF/TU9zOg21RcFrxmSZetJ8t
j4Ipr8TPJfKfG2wvz25m8UoFheM/eP0kbvAXNwc/i6mpsLthqFdk9AIuhmiBpo8oMrNrFoQ1UT45
p9BGXhKCVGiAfHgMYm+ZQppXGcKO5lQynG3B07GUS7WLkgWmV4RjsBDhI0iS00KGHq6tmnkdiaHU
YHNG8wsPo20V2THNcVdTGtDDay2xbzOIwJEnxm0pCnFFrxc8RRZXZ+GxDm39NW9HjbN3ZwlUQR0d
ITBgmHjS0jvmVbXctYsbPMqsFRfY28s2lrQHfDcuTz6TjBNSWwgHknLmkNvAAqa4eGkL5uUsuNGV
gqHoIfKfKZorqJabyXTebiSdZq+KOn7VxUwGCH1CNJu08q+N5ahXJE7OoV2rimEYqmNn03+mE6bP
C1byUwKM65BP6GjjeAC8MSIeBltQvqSxVzxaDp5bjswzmi3632lWPfnzZB9YJQDBMYA5danwHrLI
Kg/IObwXRJ0QPTLDQAqFAhPPUmJdZU4zZT1k+bLvDyIF6bGZGJfuzDocchdfLYBcU+TLhayRerQ+
bWfTsTcgJl1DDYX1rNMcakUWNc9WPoHHYlR4Cyuar7ir8gcw7tA5NAjJdqnaXeCMFSxwQQc+bbJL
kFXLU0kBdiGU+n6EWrFLiv6TRYUjsh/21IPg4QMyTSCLUOU6yH02LoUiWRk0mgGw0ZMgM6PLhqsK
TOAlyOnaNDU9Sb5MRMeTkiiJO3GErv01MmwLm6KPgB2jAQuyoRI7z0l/Av0seVxBFGAUrVEoIeCF
zyEfpnB8x1jyrYVzcTUu0fzS0S7fMZYdDnMIvS4uOp+KIHJvGKyVxzYYOJrglAaqQFJOSP7Rf4uy
cEgDZfPpWWyhy/ibNGW2mFduuVWtW8MZZgtqyHb/IFs7v9QmZoQ4UM8KsUQ3nOlqTifo3h4rk+ZH
M/h6F8y0h1ZNDmbfgZitLM/ukPuN25G1jYoZ6c9Qmgk+J73MtoiRhJeBd5nsCsNselnqh1YAPwHl
L96cqne+x/YK0vLwBrnQV7YJzNMbGYze1u3T+VAsgXswwm9ek7Gln+BxPCayWdCdiaYLinP5wQqA
6TTJPOJnUmI4OBvcgHBkM7XDFqsOo+is8PML+tGcyqqk+qgr66NZlcNlDUanQOR3JL3bOzPsS/f2
pNqPIOqjH1YJizJJg/gg63ggoHFFXqYDimjEb2CtFe2soepfYjRer4KiDR0uZlNvoGO18QOyiJKq
j56ZCweU5Vn6OJIs8uCDpEdpP3egq0YixpyakYFGesPfkpfRU/rkoJC4qnv6lduUZg1K+CxDDhvD
y7/UaVHTMqnzK1ar5dlWlXVtM8I/ZnXPEkOxInsqJ8QxnA4TD99dIN4B1ry2InzoQbmD9Ke/lPnP
1fhcevT1JE2cu3ryzDlEb45OA0EdA9iIx6UsPxI5Zfs0TEsyk73VQE4C4KO/lOLKzntyFOjVHpWd
xk/26ggTnowu9MvSz1wxjxYIyW5Fida0kf2097spO3PWKO+XKdcHixS0A5QWsgnc9CW2VF1u21NS
EusCL86nTWvorhOMsnNCCMqn3OwVekd9FeU32FfhkvQBA5Gqs7F4JPQhDNiflZDSvcTDStkwME6b
MUddgtSTKQByvknFy9b2mnLPahLvO5IiuARBFyPn1t1M/CbPg2qQ2pfB8hGUmeYJWLUdRVxfh22Y
oHS1ILQL/h2EZP3gLItiPjuVO193/tEobpfbACQQAYAvYD8vtJfFO5lGzslNykdRt/WBdu//aOjw
apM7vpGTT8RROr2Z0VQ32JyiD3a36QZVCMIdqKCYRx0cVT1BAYCe+vyenvD8OpSsBwxiy9OYec91
PTWbxuNDBhl8qEXaNXk3HO/gTqMj0PPrzDF8o/IlPsLsMyu8DQ+dstcZT8cjw8t2Tnq+C9jwJK9g
Ruk5lGiIhmvUCq2o6hyiqd/ELnWW30X7HjxxgX92tNd0mA7ir+9H47bz7oc0qp9LDZhnTTMKz/6U
6mtUfdXOnWcmoELNN3WSGzbwztzKgl4Z4X7ZMex9nprB85EGMYdnLEjwxuw3l5rO8z1DjRg4bPEd
bU+4Bxwd3rtRLU/TAEouYZCIvsjOr00Y4sHN7fI4KEBzQd+Ed1PtfoCnL65lOWDwVaOBsh8sm5mj
2y0JU6zPaMpZMzixy6kMHl0XrWToVXRWCsiOKRNNeiEN0yPOPfeTh8cglvQf1AiOqEsqc9sMLfuo
r9c6De9HMomUziG3bhaYmNKUOAWeeGtPfmR8ig0SK45v9sp7Lk497ySwWxassfNJMI1xo8DPaB+d
2RA+xa55Y4XELyFqtLDjgMzk4BqzpZrqe7hW0EVdD5/GHvqP3O3DQ0biF5w5iCyRFQxHGpjFFzHM
IdEwumPABXk2SZDqeErMtKyhEAaITc6dh++aeFGyJWwAA3rml7Sb7tx6+AUcX88vrVfbNBgDfY0s
B3+4K98MTIkkoeUE+7BzILmROg5S0z86SCdugXnFGLPQdBBvN+7I8epRYVS00zL0xBaOahlgMjNZ
RbhCEUwQoCD5dH4myEyU+rpClX9w1eBf1flSHS2JmKZfrObE20dV3dJs7xIv3oV2bs4Zytgd5R1L
Utd/rZAXnloENI+1WVqeLYIUISkkB/rR4xXAT95Zr6Vun4V5DqR49DJn3CXlrC+L53y1BwecfMb2
2hUMKVBemsceU90l7dj0yo7no3ZQaGdWH52YriSAG0jLmH3CspsaORbDVV4SuqYUX5YCYMvc6ea/
xc1jqnDgANzmbIMru53bmUW/Lc/Sxy2gejyjvKE9E+qiOEHXEqi/+4SxqFO/U7hS7qBKhQmTZj3r
oBbdFbQtHlwYQRbSJc6w+XetGwE5MKpPTmLFNzxX6oqMtgWY1OJhJoxa4vnK4ge1EC5Zr6veCEXC
PTxYvbeRnFCRLtrYTRqkIPT1OKV7SrJgIjma0gZPUop5xkKD/qh4uVgHpd65C86VQTdYreKgfW2a
pn0QLdmOYW3SYzhPRJlH2tmh1H1HBMBYEOjmpWTz2btdCHW9YuCscWlv0fd4pywBJqB6nxV/tr/1
k1dfWqb4GI0YAbUSCXOGtHszkFy0G+X4Pg2pOOK4NweT6/6T1CL3WvoJ0yNffIDryw8N3NVHf/Tf
I88gbmvoIDBA+4HQV+6Z3nBQjTMCsy1ob6YakYXoniitwaX3J8qjoynVJF5wYDVOcPBmXIGaBK+d
Di288z6pXOVkl7zxlcpPvaXCe9vp8kfNuRH1eDfRuKdFfc1D9VF3zCmqvOQAYSJ2o2AQ+9EWSEtb
KTaeZxW7CSMvSSUFqELquO20YMxEGVju+5DtrwuYOBHQF2GRi6fjZEU2RiAaMnRz5o7ILHiIvuN1
1wmZFztuBUfxSMx7kxU/bRIUd3Cesu/dTKPb8XrrvSboi2aD6nAh6seaCvOWARscKhFM3yj73lCb
uTRdscUQgzrtmp7G0TggU0iS8ge/HK90OWH1WANHyoRplKmi9nrKtN60Td08RCw7p6iCl4nujwkF
c1W7wMaOGodkFQYZNpa41EluHWKidzLHRKtjTlDe5PdY9YM5uLJJN6HI8mbkxWxsYgE/0xP7gWgK
ZVPrNcu17w/QjiOTvnYBnWtjM3RoU7YGR4x8h3TCtl1pWfTemgZSftMi0RnfiJuktZxmHoARAccf
J8k0lSfGNNY2TbFADlLNezTV7JoCM4UYyRxaCtyTPpFPu27o1NFOWxzqzUw6ArPGM/6TuyRNzTOK
oGRbF7V3ROYC3gmyx5Z2f4R/oGf/R3CPaUYgPPas9uJ0bs3QAa0NYwLNQaOfq3BvBu9n6PdDyIR0
mtbjvgXKCscULhpnV46zpvkbIFmGiTswT3Xn/tpFsB5SBSZhioS/ThtyZknEoKzrWvmK8ui1vpAc
2TP0J8inBQ6ObMF3BkatDjRGa+34xX6bvo09Gi3btaCdgzJEuxY6120V0lFBsPHDHaf+Z+jCL9SA
fq2s+jQ0Zo/IcAjGns28/nT5z1bmejcohvmRzdsNKAKm4IowFSzA29iA8M4juD/iqYahuSkbJpQm
0+OudkV6bJDlXmkqKwISKd02LdstvjcvPTXEPUE3BXIWG3wrvW9DB07d5sIQa3lxCUb4wn9LckEX
Wfu8j6297qMZKx9aJBSJ4ofVo8SkIVf/SF0Vc1JIbc6oNV+NWvkHesDJ7yrDPl8o5+y5SPhaPCxX
nEoHfAZJe4WGA44VxpVrm5EdzBDlAQhJnGtbpjGJoNNB1ViRK6ajAOuHwbJfGGFjjdQ2TUnXc691
QEXJDoGvSapwX+VzcwM+3Nk3S14DiCAfwGtibG0sc/mkIAM5fEjQUEhW5cr/oEGNAi2Ot7rpQde4
DlLO0LGORg7xEfUMQwSs7gx71PDWat0/2WC6YKvSWXqoFfoyco6d7VIFIJcVj18Tw3IhZfLFMAg/
eMGdj6GBsm6NJBELKtfaQkHjcP680ByEQIw7DOHnOiktev0tpDz4WhcMxJYhE5cxKpz7KKcZa6G7
fxRVhUlt8n0c9qha0UM29OMdZrrMvbFeIfz2HCnP7ohjEkr529KvikkbKq2IcZNzfuz3XRe/aXbC
TTbQqKCtro887zTj9KgB0SBXi+GAH+HZIZAQINlWOqtlUXYkwmfUKrEdUb75Nw4RJMhhpuaFE7A8
DljDMUObILiupeRVSQYKYZlMJ5s9CzGsNd16dLbFaaqRIZM0lnrVQznh4g1QULEE0R+z7cZsTJbx
vlWG25YT3BP7DgR8p8hfkZS/eJ3LKjPkJBrHBAm7PvoAkL2InTj0trBk3XS35DNEMWKIN36NMXaO
WMCtCUxZxw+6TWrLeVzQRCHJi5tXomHso6my8UsaOS4bCY9dazNDZXi2MEaGJGNiW59tG0E727VE
qKJ6pql0sbT2amhvRXlcOmWIxOwI2DSMBsIAsdTv89P/MaBdGaPxm2qPv/7j/1Qf748xle1//of8
vyjdCE2OoRYDRwNT6L7+/368o2zl245i8OPY4pc8816HmoP2XD7ggn4Kl2pbyvnb7y/xvyLT+dGF
8bU2Nq1jZFN//w0qkdmMhkoL0NZ7Ou+I9mYalM7nf3cV++9X0bWzpKvF6mH0zRfemPKLG9FvRdJm
Xaiq1eH3l/un28INASdsG19prf5+uVRw9laxVz+wB7CbzsEfAuD/9Pnrn//ltmPkz2Ut/Pqh/sbQ
hKCdf/fjr+Hzf/n4itYhNml+fD3vvexYBrvff75cf/8S9mVZXP34z/8wtnC43X/5ftaH4i8XwOzr
4QILahC49+bFlw/hAGAMOR+O0i2MMagVLWra18V6/P2V//TF/fK+dAgeWeF1/WA5IFp3Vf+H3+xP
n2/+/otVVT5GrnC4Mcge8X1H//LG+3///BnWiCUW7kyxYM1+pOnxr74fR/z98z2f2qTs+PyQwa/U
WGmPv7/A+uj87zvvEZ4F10LSafz7BVqmwFXv4iU35kuNAhAaV/vx+0us9/A3l5C//A50vwmGKkNY
SXraI4fY9D3VjXm10B4WHCZ+f7U//ELyl/XLoBJCGs+riG8FkfrYXjX6Dw/Vny5h//07K1Xmq3l9
29E2FLi20b8tf7jEPz+3/++2/PcL+5cXEp5VKNHs1Q8IGMthw6Dg99/Snz5//fO/fH4AWrxAZVQ/
jNSYGMq//P7j//QNrX/+l4+XFqeXdOGWwxuKewaEKNb+5W/wy5JFhGDmxpmpHxqqPVanP9yA9X//
Xw+t0Y7nU3gZR//y8RWbMJPHtnmYckj9FMlJsh04RgTzw++/qn+8E3+50C8roGmtHDld0zz4TNDI
ngex9PsL/OO9MKSGo57X1P2/7H25x9xUtgmY7xU/TC3v1ne5d/PvLvLL80R05OS65Ho/uDG03MXB
Zewxlyuuf3+Zf1xKfG0M6nFbuc4vL3efLwOZiIrV6oh6EPH3vZohXN7//ir/eO99wxUkiA4hf7kl
ztBahmAhtlvgesFZEUi5c7/+/hr/dNuVbStP+xx+Hf+XaxBo1nWBGpoHC/ieOVS4EP/dBX7Z+VzG
n83icgG/3fb1t7hu/nCBf/qWtJBa2Oq/SDuv3siRZAv/IgL05rWspFZLYlcb9bwQ02boveevvx97
gDtVWUQR0u7Mwy6EZVS6yMiIE+eoCkMQRwCnLzM4FW76d42033AkaVvkj7dHsbR5dcU2bFWh88UW
p8lLGg+a2KZwzfZRSl6H6qlRVkLReSLEk66rhk5rtGYrpib4KttJbL9LYwARA8oOTvkoyfaTAdd0
7PsPdFJMiGAN2crkLS3/uVHBvZAk7kpyagWpqZ8b1flxe9YWl+ZsSMLSjNS5+rRLCpf8tunfeyGJ
sl3TPr/Dik7YQDGHqp0lOJbMtyMiU790SRyFz3bwU49fJ3XlJlmcKJMajYMwuGbawolXZRLdBVhx
14wf6KU3VxZ/cX+dfV69vKgmu+5GehFZfIrikepyWcGhdHueFjeYaZrzLubNrgsh1pQWeaTqQ+H6
lPuGCY0iBSLEuYYck1O7M7R3Tdn/2xNjRlCgZjLG2EsIS9LpNAJ/uD2iPyHb1ZlxWHXL1GcfKZwZ
q0nhpG693K0sEB/HAGSufYBgjSoyfZbpD2iMbltcXKczg8J5CYM8NdMKg/BVorsRyNs0v7ttYvHQ
ONQqHYP7RRMfvoZRIZydYQLJSmWApbX8VRrWxrq/bWZxN5yZEXYcx96YrBQz8CSgz3aEiR+CkVGL
dh1FKx/Dt+3NZ11cKkNWZN0wWCdLFXZfCV8CzZZB4dbZS+z9Sr19bD2WENh3K/O3dFLPDGlCmE8F
jfYYG0P2P2H+qOlPt8extAMMmbSEYpAIlZ15Xs9CShmol4IUIJ/XEG4DTozOyMoIBBO6rFHhcXBl
pqFzrRnCVNUpfAzpUGbuCJIiae6q5M4P0pWzs2REVSw6EeALknVTGEeSAk5uaYR0SYmlxV9e/+QV
325P1fyJsyX/M45zE8I47FgBR2Jiogj/Jul7n1C298Ca00Gngk+m6f0d9lQyUrrGNaDKwpamIcHO
ALplbkcLRgNftQ7tNf1hu6p7LoKfUrRyhISd9md8GrqyuoP6j8mBvdwKaM1LmkkvmTsCmgb8ZEEw
dntEixYc09Q0WTURixJuHYn2DZP29NylCuZLv3trJY5d+74wY1EBHoaadw4trAb3zm9AlG8fgG7S
wG8aqqMbzrwLz05L20Rq3tJp7VraFjbc1ehyaRfrtuGYLDp5A0s47GEsK1JWT5ELr7PX3VNvAvt3
ewhrJoQ1qHw6qx243dy+LxET6l2lLZ9DqkxvN2PIpkHKltSgJmZskSIDPZu3sdsgPZscevBD+sr5
WBrJuQnhyAdUbQZwI7GbwPJCO9of7uEIR1xr8sq6r5kSjkYJxhc6rzHGSyKR0gdP5nA/dZ9uT5lw
U/45f4YiyzyN5rUX38ZlZztT1cHzDCwVJkjYVeGT9n7cNrJ0RM6NCDFsMXAV+I4au6Pp/JqkeqRM
0a+s/ZINLnyexWTUgXJol6cESj8F6rIocVUDwqpt2q18f2E1uFG4rjRVlg1FFbcwqUHH8cLClepX
aYBiBU4VSkJvnqgLI4IvgVPPhkcyKlwHNjsIdaWV3bswSRffFyYpkCBssw0GYRKjoC0eV+bKCBan
iRw0GQqud1t8SYZp2oHjtimagFf6Do9KvLKXlg1Y84VLcEeryeU6U2BEc6ibcrftzEdjLB7sJn8s
vex0eyUW7l1LU/8zM8/kmdOl9RqgYDzkrqzJQI+PkwmrxNAidfykK9/D4Pttc4sLA4Sd/IHp8I+w
8IjBmLmsMKo+pC5vIbBQv2dAZxaEefNyAzRfLeeuktl3zuRAbvwM1wViPy86ktlh+np7RIvrpPEu
5q2vGVy+lxNY+0iQw3SUu5Ma3Vm0vY59WW4nT1oJIGbfIQRIoNT/syOcy3Ao88Io29yFOHuEtboz
90oNJTZ0VdqmsxoJsZQ+fdtTc/aaGLVMhyCZ54WYyjC6GGyMye7o6S4oj6334LcrYcXy/P1nQrho
wjKHOqHBhAPez3zwP0fFu86qQ2mQnJVNy8H8E872uDGYnQbBQe5Gxqes++2UKOfsb++CxdU5MyG8
9Yp0SoGpEt4BotnGhhs2aMWav5CWQz337aZ0ULaQ/ui6yX+5HE3mmYqe0CjoAhvZQgTw0UvBzClK
vUGZ/ZuSGvo7XB1xkz4HGyoVXGHnaZkkJ/poZa6aI3QThPuIdj8Iqra3x7W0Ec7NCK6BJEOvBKCZ
XUn9FYFT0MqfhrpSKF5apnMbgnNIp3wEPmZjg8RfDS7RSNywo6NR9vfm9On2gBZCDuvcmOBaJX9K
cz9hQA5ro1dfjbHbdWq+h6LttqElp0p+2cZfmvTA2kIAJaupYSuyT4U9Mz4AcHvUgmDFxNLi0AVH
+pp/bFsTJs7yzTHy6TUhdgZSOkKi/xV48NuHcW5DmK9KobFQQ9PQTSmqgpNS3rGPz78vHBxjNPUM
KhUWP4Rxc6p3Tgfhtr7ip5dW3TAoTRoaTz0Yby6PZ6cB8TbNIXXJxxwl/blqip2W/szV/Ttmi/wv
EaDpyPBjXNqpPZieVStOXU/6FBr3wKZvf39xHCYexlGdP37z8vta2tdwNpqpK0+wxgNuDfJNlRx/
3bayFH4AA7QM1QLj4IgvGT0Y/MGCqsCFQhaWSRgo/tLKByjNdhb6UXq9Fnj+qYOI1yjb2FR1S1do
mhaWJ9csyMrMBInuyJg+WJIxbSOp0nbyoEg0UJf6ndl1Xzy5hCdZNcY9XYDRvoM5eFPlOST/Jfwv
tNtUGxUWim2oOvmDZ2vK7va0LB03k8SXjka9rlDOu5x8C1om8KIOLjf7GlNynsxXtX3H3X5uQ/C3
4P5lSZGlDCldVyqfK7DiUrFypBeX92wcwmxPzojGloNnglPvwVL7TwjPf8lV7YFm5R2KwkBpo/ht
5Zc/Mcv5uAQ3kio0PkALkbnwu1pPVbrryvdYgOmIN5JuW6roDAEjTZYC6Yg75RBCdvdB9yMbu5Xz
t7gFzowIw6ABbLJo8cjdDpENXQItalSALD+/Y6MR3WkcQlMjIhc2mqR0JiRgLFD+Iein40TnosKT
5raVpWuX4AsQ05zig6jv0kpUlFpLtyUxXpfvpvCzlx9TB8HS8nOQ/Lptap4W8Xyfm5rd2lmsR9FC
UcyWWG8Yvvbdk7by+aVVwbU7pgxEERl34dBYmZFYsaeR0/eTR99WD0oP03Bgr1RzF0dhWzZTBYEK
/vdyFBbgycLsJs6mDodDLksvkm3/uD1TS4syV9jnByzvFtH1FvAEKzAa5y7eK20OyMXJwRFB+l7Z
3za0MGfk3Fh3hWzC7HUvB1PlYE/hIo3duPmZRPtSOcTWyrLM21RYdcdWCYBMSlX8O4/1bNWdPJIM
y5Bi1yz+gXqK9vGtg+AYyhtoV9FM91yOKz5g4Xq8sCg8W6BC1YyYTcA+Q85C+1j6sAJMJgow48rh
WZo+gJOmbjmOee1tgrBLZdpuSfahFTVEcCojIG2vxHeLw9EdzZljfJkDdDmBQKWDia5mskr+q5EW
x9i8g3IBHcL+HZuBtwsVWFuDXkOfd/7ZSrVVmXUQZsSuLn2bleMU+7UpV6L8xRmzZCq8Fuj1K/SI
r5oFkgysTUbXr0Tz0rPc/769p5fma37wmyBmNXLVwsVm5mVo25WekDYxtnTebmSQgNB00xqwckzN
BV/gOMDcDGj9dQpJgouWoqabKtpHEckI65fSbP8qEZJDrUiL6Nj2UunFy7znMAkPkkt7wkFKjAPE
zfTYBYV010xK+mop9NA6zYTERxHBs4razysMjeFdP6nxPwlVg4Mzqc5HQPraQ9f5kOTRzbU3CoNC
haQ2d7JhDC5E+bSa9v1whJ8i2rGROrdKIvDzvRTuKrlXf+VJMxM/0KiwmWrN+SmDkxy2ama3EHm1
6m6ayv6fRof/VYPv+ncFp9cXOJGin36eO3cwySsPRp5KO7tNuqOt21+iLkOLyQdgFEpIKMo5UsXg
tGE0kgJ6RukbREVbj++SOMx+Q9oS7mFOLTe+iWCrCtPz8R3Lzjmk2urw2BKXvY70GHRFw1ksj7Av
PQ3SpohWbCyut02RghyvYYD/vTwh+ZRYWplgIy3q/ZOMiMpbx2CTBid9bBoGBAIiBMI0YZqe+zRc
NG5+TwbtY1XyrQ+Ux1S1VlzX9VBsmVzyXGbjwgRifjkUIx+6sCtiTNHKSMFl5amlqPz/L90+34cC
3wSiMAOShFOY58pUJgp1ELpI6EAJqOaXJaKVVT7rPDYPfj6g3yL/NXo2tHfTUdXyVzmKV37GtS+Y
fwVdmeTITNsRi/AydJAwbZD1pwLsDmF0J3c8+I28vrONdnt78a4D6ktb84ycuU+DLljNCLXYhXfr
MCsvmdM9wieHovpkV/bHaM1dL64gmR9LVeiyvUoA9m1lIftG2STtvEOBNlGnmm/e7wyJ7BK7Uqeu
IdYt4X5wGptMoxvDGar6v+u0WJm0xUHQVsd7D9iXKr6mukDK4E/TIneChPYBhozba7K0/jq4O9wC
3URULy/XxJcqNTdgVYPAu31OEmevwE+wCa3oM4qNK4Hhoi2NW22+Oin/CLZ6WXVip/QiqLMj2mUr
faB9sh6Quhky2LvLwr09tvl74gnjlnN46Sgz0Ew4YXEHr77TR+xt9RjbewmNx+lw28TS6tDOMqdK
eIAAz7mcPkg2aMG3ckwMvgVnu1rsUULpV16781cuBzKHT6pFGKriXEVAU6KmWe3Ec2lu/Bx1iA4j
EBOtuLtrGzaQFcswSAQrAFeFQDdPFB1e4Yyaaabu5fSrUf6wp4NC7cmnL/j2rC3asmyFtisZ7yei
Suumgje2CWJy2mn32SSvuTV4bVNL0zzvGEWy9WPyAmPF1S1uhzOrgvtxCDwUL2U7NMFwN0cQW1ND
70G2EQa+Pb5FS8DndGJRhZeQsNF90GA0xPuxa+Tfs6HeQC+tmm8DAJMpmLe0w7uU9SKYEzZ3P9ga
HFtO6Ia846Zu52TQja1VBha294WR+e9nHtufURlRhJH0bx2anojEx5tnCp9DDQ+UEaMRQ3d5zOWk
oO/XnSnFmkb+VozJR9VvVx48S+OwqHaq5H8BnoqYLLr/YPVKVMbxVa2/SOHp9igWPw9gFpQZMBlV
hBjBktAQVPN5b1Z3uVNjZ2VDLQULvD7nirlOh9hV3DOMaT2p8hC6IDZHyLCkk6MYdJ8Tf6K+Qfhu
DfkPGGgMKGHh58zyBhkNeE8eYd9B9eQdwwVBDXpD5/EtpiEzaSztHrITFwWnHaJaH4Pe+3LbxEKo
oMwPIG1OI17Xica+UlCBZuMl2lcToiI4+WHjfiwjZ6cEKiJ7Kyu4cGKxR4jAHatTFxdOU1CYSQfP
AVeTV31KDeQHy/Cu6f3X28NauAERc5eJpah0LFSjvGFsm0IL3cpDYKuT/wpy796ZBmCw+vfbphZH
5MxvLhwY5TZhRHYdZkaOwIWLvqIFO1T+1Nfb2yYWt/2ZifnvZ96hnGN9uWCRun7WbwYjtjUj6NP+
NyuCM4WjzZd9qCrdML5TtSejv/vfvj+v2dkoUsj/8trm+6BEYXcaXozcXwl8liaKVQcfBipFlR3n
0kRtaJ3Huxf3g4Y6wk0rcc7CdYrmC0kWOOOBUYolNF+r8a+6TZ6toa3+g2qfnPCbPHyw3tjV+efO
IaHHa4go4TrhSpI0aoYmDtxukg4Qo+81LVnBuC9NFbEOlW6Gcp3LMUqapOZnqht8zp1N+OPta33+
dWGtE2eEagjZHKA72zx7rNeyhX/SgZeRms018N/Pn5fqbDNVRT3Cmzz/fAWKTPiGUeDaStG4z5Ph
2QykcYNo5++xaz76+vCFxvWVAS5dFECfLAW4makYV+2F+PykGelvd/1YfTa6l6L5kUntV1jeISWY
JUA1esAbZa8p0WEmxo3pSX/zHJ//ArH7cICBGBkNfkFt6i9y7n3pQuftkRxQOOpL7BF6s0U8nG/q
Zd9Xqu/KDmzFH9PKHZ2VM7XgPjFBsxA9KshLKoJvC2yztBLN9F3Yq+r0YdIeJG9/e6KW10rlhUIa
QLZMsW/ADI24pdfDd6XUyb7DgV3uhlHp7iQbpQhTd/yjbpAjyi1PgpeFtFRQ6hDrjL50H2uQjdz+
OYsjJqik+ju/AMSHZl/kaoXAT+A2SOCkr0b5289XHptiG8PsQOjHIMXt8JolLhaOR57KHZFxFrr4
218ULX/CiA/5+u+mbA+KmX5os+qLFsNTFMxkNrfHt+BZSA4Ts9gOgyOyuDyajQ1djBbbgWt34Xb4
NoXBynW4OIFnBuaY5uzsS9U4wZ9vBS682Er8GBaUJVcw+YtjoHEcaAaouqtwuZV7WKXqgkBzgmyx
QTmp/PyOWbKpntCDSY1ATLDZcZs1tdSFrh8heRFryOjkSbqGylkex39W5r+fTVUD31JW9FiJIJfR
wbC05VobxkIEOdMqmAD+NUrm4nvWKezcsao0JMldwg8ZIuh9iqau+jBNQXw3Fsr47Mi+uoMVby1z
uBDlccnTLMnTj7yAWJwq9Slyep1gXSphzRmaBzT9Pqt998Uf39ik8e+BOjMl7DlvAO+a1ZgCROdt
ujYonlSkVRAOgZfzHTuDep6hczdfg5AnI9ckxLAJKNtjdoqblTBsadLobJpJMAhhgKVebgkvjP0C
WqbQHbVjkg9PtvaooHYO0dvh9jjWDKmXhjR50uGNxVCVfEF37YNUo7s40LOxBtdY2uRIaKskq625
OUwAV3pD1EBpLAWulxwr9W6N0WPx8yRPyDE4BB3ik2X0kxj+Oj5fO0/9F6gkbk/TkjejuAqGg9Q3
FQNhZ1E2KpRoLAIXrmwfSQ8f3Rzf6B+holyD6y9ehEhpOxqpaCBaYi6jgDiJzkY1cMdaarb0adE7
E8foGHuQJaDogFxCGBwHM9yRoup2RlSgMgTN12+tb52VVMEciwsRnGoASZqLliSoNGHcQ2AW8FOl
IBQToImUORo4N6fiAM0eLENWl24zH9bWNkM8C9aylUtqcdbn2NcEazDDZy43J/1Q8Ll7tu+ag/1B
gS886RA2TI6313bxCFis6XwPkoAT3iMoP2QBTICBK+fNTztCKGVyfsclBbemXpnOxQHRiAnYi544
OmMuB5RzIxs9IrKuEjuImJdj8dwaZfbQl327MnfzyogrN+exiS5w+yzepSmoVrtyDNlFgdkOz3UC
SMcoX4zaHBFsUtSPlV/qO60qx5Uny+L2VenCmkNFZ65NXRp2pNAs5WgIgGVlL0Xg7BI6gBqEl9Cf
2TWUIRMLOlMLMYWtpza7nuoH9HdvBwpDPQcF0twjAjJCRMNEQW4XU5GkPPhRJdMgDvterr34lzbO
mQ2xCwkxPwueV2wM7THvYfA0YVke77U+esdlA0BFngGCNhypwg5VaT9SYtRDXTm+s/StlZ7efgJU
xwFQAyMATQqCbybFPFajGaXwinfHunylLAol+le1WQnYlrb/3NJmUYPCwxmCN/HVWBo7b0xdjbZ2
qGm3gLcl0ENvHw2PFDyowsNcEXM9BvprvhN3qVuNB4iCQ/seUW/Y6/43K0LQFg15lWn0ubs9bMYV
AtTJ8HcUQHIv/XqHIXIlgIJNZk58e3WynsGQKydupO0s2BUdhJj/Hpv3+FoyJvM7kgzZVdrEAwFR
mTBJua3SthunSp9yrfmrNeKVV8/SHsCGxYWiEoiK+J4oHDRnsFoQHRPyFLnmlxsN0a8prb/cnrdF
R3RuSdhtwCW6yoFe24XC+ZDBbBnJyCpJ8G4nxn0YmnATyIdpsk+TCQ92En7Rc2XlYC1FJXN6k6NF
SdQWa3x+HdWKlEyJa9nNX7JhvuTI+K4MU1tw9BQ81D+IPHB5wiWpwOCNqkeWuk5pfNbLaRdP4a4v
GV4Mo5lN01Si16hLoVMLDAiBrYc0j+6HWt3d/iGLC8vbgrIvLQrXuZZoUlP4k1M3h1xkV0vlbkKu
fFcDNn6HIUKRP8A9IiTBW8VpHIZti7fqhzj6jFiCf6Ad1E/RDbbfyKz250VBHRBEpTyHBuItGk+V
35gNk6vUR+epSVZKmYv74+zzwhZNPcsz2oEbpEO2pvftTfvt9lzNt7wYBVCKJ5EvU4/nfF9exlXU
wo2r+qnrF9Mvq4AjfCul2YM2Gfu+bva3jS3uAJuGFvIakKWI6AnFgc1LcYA6WvYzjS2o5T0nlrGy
+sqylZmRBRlRBiZcho2TW3jDOnNrXU2hup2eDQ8+njA6zPINehjvi824gQpdRwQMItc8UJ6Rrkfu
I+hW7uWl2aWMBq8f2UW6xoTZTT0PPR6Fjn2bdn1nVL6XORpsSIQV+6G0/mkDNILePsUUZOBLA00K
oGh2Bmepgkjuu9ijmOGO0uMMKnLCV139+7aNpbBmFl8H9gg1yVWuoID3vekQNXU1G4KQvRIcVOeo
dfe3rSwt45yRhQuU7DlXweVILN+RgqTUU5cC4rFs0mMvK09Ita14paUw2CDFRXpoDkgt9dJM6CmE
2o6Tuqny3YE23vN/y3W3CazXFonqVhlXtufSiT63JyyQjrx5oNo2DgPKVuMfVV27p5cMzBl1aE/Q
NQFkcTmgvOP8lUY839P3of9hjXxq8fNgRCzCZ3aY+BhKU2RITN2OiZv7jSlVm6KcVk7NigkxJU6u
fYKpA4RvFjTp/TiUyZMaIBd4e38tZleJlmitowCAMxIeQG3fjJVcARMxwtT6jiRiiD6AlG4Nvevv
0JeJjxDEKvdlk3jAfEIontsxWcMrLe1y0uaUbkkl46uEH+F3ZZs0Zke0I00wbWev8TTcZcmwMtil
KSWiUmFY4UyRN7jcFNYUhMqUzh1wnreF0XoLTe/t6VyzMP/9zPGMfp1Bfo4F4k/EPtAefs/34bwg
FQ7eRha+Dzu/HVi5lLiT/THZtcPKy2O+FMR7kIL23KdMjd4QPTUSDF1UF0S3nf6ImvYGTbktSjMb
7gYoXx2Ysg1lZURLbvTcpODgfELtMEf0mv6CdGPnwzat7lWqeNoa880fhMGtwQmbbNIb4Hxpw/Mw
tO6yKr7LdBPi8eiA2MhDDxMLPP7+gw2HgSM137LM3CGe+Ln1opWn/+IeAUNNIMuVyN18uUcs3+qQ
BCO014f6i5P0DyDR796+TWiloDxE4Md/BBNGKZl5kQITpfUr+Gx7qffBRhDo620rS5cGTABz2ETP
Ph1IlwPpcjAzoz3F7mAOu8D/okdkXz/mxmNjdBtrjYR2/pq4fARMZIPUmcZMfK9C+e3XQwpqTkMi
flN0zl2aOPdBnHz04bl3km7tgbxUlyWd8J9F4bA5Uk39PALdhqTdxw6R620mVw8j8mKbIW0/DKV/
kDoUNCokqGwLlQT09na3p3hpr5z/BCF0UtNxmsIphcQDuUxtF6Qrz8zl7xOJznTSxhWPtNGhR+co
JfeY/0lNfk6Qf98ewJJnp0/l/w0IgYXRxA2SaKxamMLnbEB13MrJT01fY3UQ3AgpbQBh5LRBqIMR
vbqQEZ2z2qjsIEGYHkf7a9ygDNKhz+Xvb49H2IV/7JAl/DcJNIOgL/d8GFSTMVJ5dYvoGf0uvfB3
sBBu2/B7WaxtQMEbX9kSnj3V4GmhLNNOPQ7fM/8fR0OyAgVoBQnKJP1Y1x+UtVLh0iwS/VHIpf+C
LJew4/UWOYcyHDJX0dGD3zf5ExlHBMdvz6HgN+ZxEWwAeyOm5aoRT3KrFNVohPRh6tqDwVkK9/Xr
6Nwl6l3Z/7ptSnT6V7aEEfkNz/pZxsTN4SdKUoqGk6vz0I+s31OJaIGE8iJ6n/0vxzkNMYqD9cpg
hRP27w+gFwycIkhsilWXG8b3AHS0eQptyoOFtkq24ukXVkyXzz4v7EdHK+pKG+lpk4tH2qTk6Cj5
D4W5gkUSTvHVIISdSFEAaFqPlTJ98IPdpN+3+tueU7MJiBbYfKRmNJrWhfdqMqA0h4h35v5I8r86
Hy0pMp7+bmU7zO7m7BL51wqt14C7qbRegaIjNAn1WuNIxX9bm9/o+oTWi508wOnXSg96+4TceOB8
vW10wWXQFv//NsVEDBLnWtplUDBYfrsf7W9x4ex95M6S/OQ5K5mShYW6sCVkuSLPUSctwD3ZlJv6
2EK4p9wq4+s7RjRzs/AkpPtQTFBnkwUzmsGhUp2vdbpDvU/qnG1roKE+/bht6g9J5dWKcXrg/tJw
u2JusI4yq5fnxnDkX6wPiRsftIP5j9Hsku3nUv9saN6+a7+A+ya9h5Qwmpj6PkyenfwjyhehhxjX
czI+R8N9GR5u/7Srkw2J3h+sNp0Qxvzv5ckekrKRpMBRP0FF/FqpX7TM/Od/syA4r+b/LdB+mzkv
/+PX57109lbpKiocQcTvr5QGEc6dBDbv9u83xdMmzND89zMLFcQtSOZiwUI0M9/4VCaND/HamV60
MndxztAQ2AAF59QpJcI/daJ9Qh7M3qRGdqd6dG102l3W9j8l1Tmg/eWqQ/KXguLtYJQnaN5e/Cg5
mjbqVDSbou/rvbGpja1h0k88J6C46GCUEBxznHsDwM4iOLXON9P8Er0tcLv6vDBofYqbuEfO9FSZ
ezM9rJVFr/c2kzlfV9ShCKtEXFcZhwUK9QYChNNdOxyjYWVnLH+flkIqG1S6xKdDmKF55kmK9wkp
yGxj2m+9dC0e+ZSBuFB4LqCacbnx1KxUCkuurU9V/bH6kAcrXnbp1+sK0Fy4ECDWFp/JdELD5TYO
3qfWfxgP1fD2tSVDgc+joq9fI2aVIjeKSEr8k8nTW+XgvPngw6Q3B+XkLuElE/trtUCvh0TigRbS
Me7nn0tppc1kaX7ODOhC6WFoTWXMKhsxdSTS/GOWr6Qprm45lpcMyFxAodh3VW4YfN7VWpP7J6eF
k3czInVnvGODkt0wZe5thbmah3jmugq5oN+sQA++9n85H1W6p97qGqHHpYBIoyhyNzRSXn7fkJpG
GpF8PeGBRv8QU96b7hz17Rv1wopwDhRprJpK08JTmO2bEfm3lVEsLPTF94UrEO2aJK87vt9U9014
j3Lh7Vla+76wCvxyQttQD0/jVys42OXx9uevb475unBs+tp55VM6vlyE0LC9Zhq05JRnO9XcJB94
YUnh9raRq/CPLUq2Yi4RkMDH0KWRuqwS6HMwIrfNxkPiM3sMpQ8VAgxr3XgLx4ITMaOAwHNcAz3T
sC0sK2rrU2o/8U5Exlt3VnJXV09SUnXnJoQbvcyDiJu4rE+xmfuHIUOs1vbH8iOaaPKLE7enujbC
z6bexUglpmgu3p7LJfO8D2glUOGiuSoUNyjfVSA8KsRifWtbTVW+NSXfeCpUq3mOCqM9yhPtyE4k
G/c1UfcKLmlhO8JA9595YfRZIE+yLinV6VAOr7G0ElXPu+0i0mVu6XHVeX47JMHF7LRRDsaoNlp1
GpSv1XQqm+2otJu6u3fsdi/597encmmzUAOZceq0h15RRtgBJVu1s6tTm/gbFR3h0vitFWvwj4XN
jxAIhTgyhJBQiZs/abLctnOjOnnVo9eFuyH9DVHwxmn3yCbeHtDS4tDfD2yMo+ZcAWhRxi7nDrPq
1AfFp8r0H3pDW7nXluZspiUhKIJPVxF72KosHCY7qqpT7vjdJ88J1JdYaSRIiiR55Ypb2gxg6hkO
ZRlaNYX7wUfeU460vDl1Ghh+S3uVPPWuN2sUV1MfbJjyPHjZyp33ByMj7kAUpugX/9chCq4KRFDb
6BJGU7Sw0ZU0DwHStck/kxocfOx3bfetj9qXfjqEHV3fRXiXOvqhbKxPt9dyaaLPfohY+2rKHmaW
iR/ShO3G7NwRdaW8/HbbyJIzOTciTHHZFnVcRFVzapvdJD3H44NhoeysAbk6RcFDvXa+lzYoj2bO
Gxgy+jHnQZ+FFGEcG3ExMigZVfiqoWvQW7lq1iwI/snKvE7R06w5VSWyqZNhxJvBWzlmYsFwfnkQ
tgOQhxURgnqxYAjcQO51Y6xPtfSCVHs+Y8eUF6f8rmjZne7d1WGxUcAsvWOxzqzO5+Vs8jyrTrNs
nOpTMmTo/d5n+levf5DhguiRjm2TTYlq+W2TYv7/35HS8/EvsJfipGATmm6HtqzmlCX1Tlbu0/57
4L0U3rH092lw34XDJpJ+1/naWBeX8czu/PezsfrhOCqFH2I30J/R8/3mZWup5cUDhqQexRs6HWh5
uDQR5E3dS4VXnzTeL+bHNDg26mFl+ubpufIm8+TNCgqAzcXpszMJjpqWQ5x2aO0628hxzfpFbR/B
rGyV+p/c+qH4z1L3hQaE9M1qjGxTMFYUNiB0vC5l+qnkTKXGWRihKWq3TbmyIZcW6fz7wlmzo7EP
fZ3va9oWaXV9jSV46QI4//58s55tAkTQ4yRWIrwT9Mp7L0ImvtRBAZaW0mzTYVagTsbgJE3Iz95e
uLWRCUdND/oySmxGlk8TTqTbpPlK7DHPjbgzWBjePWTFAagJu08ZbY5zWrAzzDvH/GrXhDhuqPx6
6zgsOmdBdc395jzjhHFEcKJpY6TXJ+Ugad0uUdeKc9eHaDbgwEfx7yUtOPTJ8nV/KDsMDMh8H1W5
2hD33h7Eoo35lQIZDeGayB6m98kQA/uoT312LON9oh77NZ2g69VgGDxSCDp5V1+h7VFv8DpdwkSO
DlWzk31uw30cr8RO17vq0opwXlJ10KpWl6pTqr9G2rOT7m9P1PVtzvedmTz+35kSFqMdNMLnwuCC
KF+p0hG9HAc13wzJY1rfjeWTrayFS0tLM0dm9GsxeVckxJRD0FdS7fo09sVO0g4WjOH1GnZuxYiI
OVc6baA72KpPQfE8GUen29XKp9szd+1peC7O6UpSWvDUi7k4L4pKhLg57yF5/GZvVFuK2tCd9cEu
XCNuXh7Of7aEMykPdgAkISVCaY4W7Gj6IbJ3t4dz/eS4HI7gXEDpD5MJndgpG5tt1EBQZ1FIMtSN
CianqtaepAtRwoU9U0x2hZ3qTyrTF/ifPLxlKD3Ihb+plV1j31nsRCn5UA4Pg7JyoJaO7dmyiTDS
yCshYhwIJzU4quJnFfJg59isSfOuWVEvr6HOaKvJMrBCtDdE3/3oMag+cRfdXrOVbWEKoULRqGEL
aS5zKD04zk6zt/YafdCS/zmfrvnvZ/fpYJaGXY5sC1s/qD1U6CtDWPv+PMSz71ft0ExeXTKE4dvg
bWV5pQS7+P0ZeEB/C7kBcbnzXIf1pufk9CANg/xpqn/dXoNFA/TpkAijMCGLBQspCjS5LzWyR9G3
4BAVX9/xeQ1PyYUJaZyY3agGOWqh/KhP+gDR/VZdcWKLv/7s8/Pfz6Zfp+xpTwOfl1VpTyayTQ+3
f//iQfhDdwZykIBWeC2GnqqNneJVJyvKH7Lpa0XuiWzDvq3WYvNFBzZn6B0SADOzzOVQWlsupQqw
00npo71s+jS558mmUod007QZr8c1tNjCk25OGDIsuLXgPhdfA3ETke429erU0fIx6v02grjfB81s
PcTWxz5lRjsJRNfdO6YUAAi51/kp8qf0e7ZmVht6fuuRzevjakO5nqbupyz9br+Rw4t3HEEBpUGS
sDNTmbiz/T4KRzBjJC1jXvq6tw9j9T4e1njwl7agCqvbnEimMi7WzCS4D6XM0pqTaSHCYkz9MQmn
NaKMpc1xbkTwx4UudY2U6M2pJCnYqofRjDd1+R36x6La3l6ea+zMPG9nAxK8cmWVXltFFrayl8D7
3NfJxggPo5xtJPkkW4+kfxr+d4KMzuTtwnTlglueT6iCqFRRzBPjErWjttpRmz4ZcrCd6vaj7nXf
bw9xyQTaWDP2DTpGivmXR02rcyXW6rQ9kdbbvHhGsLn9/SWncf79+e9nOzzoQ0+vdb5vacE2MaeN
VD5Z7T7TjrftLN2fYNF4JBAAQ1UhrFRSWnarpnl7opnsbooQyYITNGn7d/hAjQZj+IJIY/GAuxyO
PNa2EUkZwzFVGP4OzrhV1U1Nju72cBYiUvwQdRlQpTSwiImXrh803w/k4ZTrxdZs+v2k3PflvRU+
qdWuXItJFzYBjK28D0lU03MgEi1J0dBHRdqMJ9P/1Wyr7O/bg1nYA/A5IGNEyxfP0auLLzLHzgis
Ace96/rDlN430xF3etvKn7Tb5ZuamucsXDQTfdBGJziGVG6tROom5oxuBM3/EhXDLjM+0T+gW08I
Shp5sAV1B3uvtc3HfAeF61b3d2b9ZM4NzmsV+MVR6xCownOJAxZLwLku52bZhOOpTY/5tI97IBYP
0V+3B724cmdGxP0Y653Sy9GIg0o3X/LpHY9vuPP+G4Qwp2FH2sXws/EU1fc97AHpRntjV/18N12Y
EE4uTQiApbWUIUQ/nWhrP0rGNgRP/H+kXdmu27iy/SIBmodXybK9x2RbdqYXojNpHihq/vq7uM+9
Jzata8LpRhoIYIQlklXFYrFqrX+3UHwhz/xQNinzQm3sRsL2E/K17O32+LLdFvyoiYY2NAAWWKj+
Mak3ZHhZvGfPCf+dFP4VZ7Ow59xwsjSfo9R6AixWYA2lX3qPpuztZV2tYK0IGdCkJJ4KtY7mazWp
54i5G80J9PsLx/ie/xlfmAdqGrTUHaFW2rKdjH1WSK4KK6fBxfg8hjhbJ1K4JYoO2jmKl5BoWzr4
jYzmZFUEWjPQyMpfA0R+C8ONyyLpyRTZs2804Zj6tgwWbXUXzkQIq0SNdipZGc9R2b7aY7DQw21t
ko0vrFLSGrkFDMoJRSSBM2xgd7fHX1uid/Il1JqCZUCsFFcnvBUOnb5Eln3I1B9zM/hZJqnvWIkG
0eUIv49TC5iNIojEPKOpeUobNUJRq6/oUQy26gykfM5jOkzb2/NZWy8LW42SLf5cLKbzNdYkZT12
Kq4lT0xVAjbImgLX7iG4IDooe8Ij5HXPaqsuUx3jjhLFJuBFYOVVrqm+1RlB5qQfnGzZKTr7ztt1
lkxWULcWc2BeaCHg6CJXTaqdZXUxRXVD5DFepe1mj3r8WJhbj4T6ne3S704fxB2IDNFAwvsVLg20
TEegfimxHvWmuulRq9jKKPO4cYjRwLkEwXjY0g2kcSBhHDfxa7adfsd3UmT/7yQMoN1A8wAfIpxc
41yB/aM2tUgtNw4JqnyfxZIL4prKubiQ4gkOj1S4El+uk0OIOS1WskS1rvjg/fY7R2KkqxKgyyjL
AdDGFe+6kilNAtK6JercFPhxmf/zttGsOQG8PllIHCAMwiwuZzBrhdGZKmJLq8tCrXwhmQJI8b9Y
pnMhfJJn/h7Nu0hXdM0cLcQnYKq+k3jtfafPxxe2AaA0S0Y9TMKId50aTNbm9iKtKev5+IKyFrNO
rKzCeeXheqQ1k2/pb51Vho0hcZdru40nAuTqcalA96QQLxo6IXQEwnuUZ0uY6QyWff9UkJxD3SA4
l1A+LWZSEGNNzmiMI9JQ+Var1RejG/1iskKUpkiux2vXc3ToABQffTSoehGtAwQ2RmEZdIwmwqqN
6k2aX9ej6ZuVq4aVXqaBMegscJS221Kz8d56NtGjblfKHqBcejAP6iTj8FrZyotvErZytlTUwqB8
AxF5GnTlz0E5UP3VVSV3qrWT4kKOcHink1JSVWvHyCgrf8rf1OwEiFZ/aj5SFwT3gDk8mWhcv62n
IlQKNwQg/6DqAfWgnCFWMARLQ+61zeMhyg3TdwDZpLf+AsJoGjbTzokLHxh+gVodzeVja8g66VbO
eh3PgHhRAsQRPkJwJQo6RT3FdfpI8/7h8NyouqtcgHY/EUtSf7y6ibwhHLQBgCcXswkMXd/odqiG
aNF/Fy7zeU1MMzt+1txdTwekbkB1o4YUhxWu/JeOKyvYAqC4fojGdguqp2QJb2/YivdFgS2OJ863
cZ0WcQyqoKN4GqO+7QOEzLtFa4PWkD1nr4kBASauCuhfR/mLoBaqMZc1NekUpeWmTPfMPGh3Qo2/
a965CMGu2jbN0T0EERPwjdVA0R4dWQZBNgvBpIxMn9m0QIShbOf0CY1wmkyFV/wv0iDwijzhC/YY
Yb8TzkbrQUpk7jJ1497Jgf6fRfoz/LvTODsHE92pGtXA8OMn13zt8vuvVedf//4QeDa8aXflROBD
cZaHmfJUOUE1Sk7yNcs7W6B3B3QmQq3jAQ2f2IP4U9v5S+0DY6qSNcxIdkE072XpKo8l7RT1zmbM
MjitX7fNTiaA/342i1RL2OBwezCnb8r3ovr9F8Pzonmk7FDfI35/0jWmy2pYtYKO/R6tnOQv0iV4
Bv8jQZiAbtJYZRUkpE2gPxh5+DcT4PcMQF3wpOPl+pSzblZLwsaoWWigpmUge6taOypQCft/AhzB
zqhbDK5JcDq6zmtRBBOqX0DNvFEmv3YlBeHvqy3cNDhSHbJ873A7Yk64nrLFW4AeHhVtpFlhPDwY
2clrdoP+3DlG2Om7OKXokQ5HNN9mzqfbS7lya+MBEJwvUKcAxCPMtImNqm71lEY6kBM9YAKPHP4V
bhIQcw3AUhbZ3q0sLTKa8GAu6n7A+yB4SZBCd/jBayKtBP8W2ZvJi9JOfksTP7dljdL864W1vRDG
Z39mSNQ1SFwabhOBxtmvq8eh3yrsLS5+5snJyQ3fngzJfWhtPc+nJ6xngRCnT1LSRKQqvrAODijR
tx2bH4Ec71Mg0evLGN3ewhVvgfwRr+YHVwkukkJQnjKPepOqNRG4C+eftWT0FY96Mbpga8ag6FXv
YPThQzF9mp0HLd951en2FNZqQC6kCLEZG73KbA1Imef9CJYlM/3M4nTTe79b1FB7nq9MO8IeGdC+
bkuWLZ7gqax2ckt7guAGvexI9f3FkXoxMR40nGmgwhgtFzTTRSg66Eo/lr308H8variLvhgUASJy
AljJ5fgkKYcOr+p1ZLlfU/qsu49t/v3+JUIXICJnAIOCHkaozym6wUmNpGii4llZNtadmEI86DDP
hxfUV3UyNCnNZROBBnUYvgy97BFibYtxRuCZHAETeg65hp9tQT+C1EBRjDoCDrjHPpJWhgG75tJc
dBsiuEESBHfjSwHVzMBBj6tMlNb1E9j8tl3G/Nxq/Ji5od7IeMnWLJLXGoD3yETBhuhBkZuuOpBp
odjAPSg1CcoaQEZq5EjuFiuaZaEU0MR7GG4WV61CRao0ccMqGqW/ASbAfqC167ZerbhKdH3jILDB
/aNf0d4jw7Yo3VLQqMjy3G8V87Ee8zDr++3oaZu26dCAdTeYBCo0zmUK5p5zfH/iljSi5S+iKADd
+YvU5IUEwSBLzSGVPmJWDeBa3HKbu7KewRV1u5Ag6HM5ujWQWjCHvGWA6N72g6+2OzQMOPbn2zu0
pgLIrvKOIBzXAPK5VGzmKs40kphG1hS53Qslfm/tbotYS0QAeOa/MkRwh0kZ6JiZODBbBvzcJLCU
U+EBGNb+aJIP5fAxox8tXXZKr7gEQHDj1gzgexfJH2Fiaj3Y+eLoiAvcDUAdjW5ze1aS8cWi07TT
4dBajF+4L6axYdOv2+OvuIDz7/cEj5MMaavZsdlESccfqHR3k+fPWKx/J0U4+uNkqMc4NSClDFjy
AJxLApx4W5Iska2VcPTnukKL3sVchqH7Qo36mTTZ/vZEZCL472cnAF5v6X+Wq0lChufhLrg9vmw7
BJsHzzAzawMLtTC8G4UKfYwVf5FZo2wWgt0TQjqVqpDixLuyCHQZK6BsfO53zlapr3tdrWIeCuHq
iQ5D8AFOOMk+3V6rVe/1x/REhoOWNYs9lJhFToNBfdbRRK9us+xjJivpEQFceWBxYSSCkdeoJzGM
Ekbo4XUojbPduBSF74IBVzdSM8xd0oRLru+Imj+4Su/rHvtcpOqeKvXzOMR6MCTO19uTv60oqBK9
XOKs1oCTUWGJ6zJMqgC4//lXtD/eFrKWZT2bOBgALqUstEzVIodFkV7TNgh+Cp80cb/JWTr6SVMs
PuKxQ47NDtNkaX03dSe/9yyQYKMXWeLg17UKz54mYN/RGyFolZbYHh0p7nuk3eb1VpHVV6/dnzHb
PwKEO57XNNqCGL6JMqM9OMAtS00FML2OT0E0ZurZXjG97TABoRCz1IGLjRzmrqXq2+1VX9/aP58h
aNui5gtek3GO1f2zMyR+2Rg+KppxgXYk+7tuQf+VJNbLV4kx2lYLSYv5aUmeavVjlezr+EnaobV6
/P9ZWfFi6Tmk7fsBKzvoG+ArgCobRnF71daP/zMZwhkDeNSxIhVu6LSeUQJxsutXWr6m6ovZPLfq
boy/z8kc3hYqm5dwHMS62zVI8OD094BV/lq6uJz/1dH5Z4+EE8HpqK23XIRiaKHW9m+WHT/MNdu2
o7O9PZv/x9z/yOKaeea3l3hGqQS1cEwnr53+szRPjvNpJK2vgl7Ba34M+smbvxXWDlAyElWUKL0t
GLfD4qEYDGgI03as26reqSJh3ktmuLpfFuolUYSMrJxYpKEURrNU3YL9clgA9qq+Dza315Abp3CL
xiv8HwnCPFxi6VkZ46iw2gev35t1YDXHXNnSJIy1p5lJXh5XfeKZOMFlGeAL6G1nxBkI8MvGR9bt
9nRk4wu+qCnA6pTaWDCa7z53Mo8uWSwxH4Dii1ydNSxWom2Q1Go/pvEvkvpO/RwHf1Ppcb4zhnCW
FU46gKwEU7H0BL1osZ9I/LZEuQzBAVEwcDO7n2GpxbaPUSr9YZJBkEu2Q6xhyIthSrIeC1aDwuMw
ZDKo7vUpmJx7kqPhi4VFjV5m0+zhvDfaPRkGv3d38SKrLVqfxB8h/PczL2NNtWcUHY9x2/2cfRyt
v4nRrT/jCx5z0ErWVzXGn62tlT6Uf9GkCUX6M77gJRm6DXFGY5E09pYrj07yVY93TrlITE+2F4In
cTy8Fbg5X6Y4zED6CSJ3WWXw6vlvOXCEKBpCba2gsQTvaIAAQcrenUJl/J1XOytDP5DzrUbYftuR
rPr3M1HC3WzAy2w6WkgAxNl+Nj93w5cezfrMkVwB1xftz4wE3aocLRmdEhENi7/YdaDYT3kuOUNk
iyaol95XWV7ZCEPH7pm6IUr7fTN5JMwN7DtJTP9z7zhbNEHTZloBcus9a+L5BQgjy0AK67S6LyBZ
BL8X/rtqyCnHRplwvYGDp/kmNp7d6qWmL3YvwVBZs3k0PFh4VECtz1VDzuSUddNnE5xvEgLETpXt
+2r0dy5AUGXHW7wiIzgI+/Y5L7/39a5wej8dDp3zZrEfIPDa1INkUmtrdy5T0GlqGvqUukMT2da2
qnySb3UH/NCfb1vOmr6dSxFUGq88Sa71mJmufKbzLitR071Ntc0iQ4mQTUdQ7LKzs5YVDLd2j0Rl
Nz5S2m4LLTH9vJolUS2PS8Qw6XxSgmY7Tm+VdYdJWUC0zwOSPy5TqE+bUf3o6qfbCyibF1/gs/NG
mwBWvgyYl6Zv5hQFzPtlesmnv0hyn89IiMSqXmXGXEDD0ZrlNBtjRhJVcsVZnwhAmnnT9jVPuEbV
yctdnAi9bT9bTXPQ3HGXIrIEttRfVI9ZJhp//leWmHesewLOPR4ttQ/xXkVFM1hi7i8BvBAhBGQK
MGT0skcKwy13Wvfqmn8RB5xPQXAJfZwWy5zxFAlAflT6D2tjyYase7U/iyQ4gGXqpj5LIMGJjMXX
vt7WW9noguH3qJJC5QPiybLe2Sys/uZIPl8fwd77Ms5jO+bqpO5BMW7nH9vme5pIqhL4KNeW/meN
BEu3ErvPdFttorj+WOaf1PSgDOG/WyjBwNPZcVCyCtOb5m1sBLJX8dX03/lCCaYNQvR88Ai2uc/z
Dc3STZx/SlDiWDVPSvnRnMotyo5BO/DdnB4H/SXxfhnGtrRkV2SZPgh3sZoB/sKJYZI9Kio6UIi1
0e11vO1fUBR26SjjpumNmF9gdO1tMvdpuZ2SD1r26baU29NAvfqlFILwbKlLSDFw0zP2xiwJAWXj
C2av2elYtA3uSDpFY8RDIauUXFVoA5XFqGN0XNC/XH4/OpVst2haXPPKAcWuhu9O7XfS6JKAeXUa
Z2KEadSpps+2gVOLtR/b9DMBOv9f7MOZAMF5pbOeUSCAII5tcFZ1v+z6y78TwGd4du4ubjd2w4QZ
lNNGW4DqLvG+q+oK6DMQZ+LpWhWLrgctQzEUAF9Q/xNkrV/YO00Ji1Fyq5dJ4b+fzUJXXOS6GT8I
0ZYwaeFofa0R8heO7CVRJkjwYt5QpUNCsFxxPPksPprVcQBq5zx++ottQfhggqYDf8Qe23nscmfJ
4PYXBXXEJvQX5VO3RayayH9FoFjics3qXC1SssDnqx5SO/5CPreyZP2qeZyJEKywdAYC5EVYufUD
HDDdr9sTkI0uGB9xFHeaZlzxu/iAUrlc4mhlwwum1yqtSfUKW6A4u8oARrpk/VdV6WxxBMsjnaG3
qQOdreydu62/vhmylyHZDvPfz6wiboaS2vxZ2iqCOXvFa24tO43WFwmImyjqQXWfmBxU5w4lRBYm
gZfpfAxy6YPB6hxgACCNQ1k6fPnlHCgC0LLIKfJEZeaDasW3x6fUfh0TbaulYL1Kh41WH5zu+2I9
5uS5QV9f5j2j9lGyW7LvEM51Y+xowYYG30E+zt3WBgOLTCHW1tIFkChHwAfJtHjmVhnpKmsYSxT6
aHuvqDYm+3XbYtYmcS5BsJiaLOXk9UMZLcbvuH416YMBcIo7ZbhIugEEQweXICf+EczGKog+DjOr
T3mjpPukju0nZHuch2a2PcnZovHNvwhb32VZHvJiqN69KoWcckCcFfVSn0qmB1mGpp4pAG7Jpi/3
PXvuC8OvlTxgcxPUXX4ArUVaNHstrZ7NvPGJowcszVGdrkqW4CoZgM+yEXWgusjgABPCErRFv8xK
M9BTzBzfsLtQyY41Cnu17FfnSm60V15EkCV4EbB4udQpJ3py3c+Jl/ugpAuSTPfTJZXM6kp5BEn8
9zNvMqt2Tinedk92TMI5yXyoajhKm4ZWF89FByDuw6hAFHse4NJLq68pPWXmT6WhQal9SOPYnxdl
U9Uyfpsrk8Oc0I4NNbXxN4BkX86JOiRLgVPUnADP/cnq0qchTyRKKhMh2Bwgi21TwePPiXT191xx
9z0hkjzNigiAvoC6Dv+jR/b9anS2M+Y8UAv0u82py9Wg+exWdzLSA+4FKN5nArgSngnAg4OuKVnd
nPSM+Pn4CK+xnUYvtGRn7vXjpiBJiK9iPDqgcyfHhoB/V0uAfNr5wBvxi5ZtlvoBNBLbrOs2RpHs
ei/z8/bepzqAmrgqqHCBa4I/YocVtWpnqJOxPhlL9ZBgsr0qufms6DcveHcBHoj6UWBjX66lUzaa
NbdJc5omshsyELmScfEHMOP4JbOIXzMZNfqKevBmd3CWohcPFRnCmrqKGycZgcRK0XFCf59k0fea
ABA/GECt5c3HYj+XM+AhJrOs+tR33+aEhoMnQ6Ra8XKgykY3PTrTUJsqLlqXD12N5ub6ZOG6q775
Gy39dPvYunrlBAQVnA2wJEC0dg1XVoC+NZ9qtT6lYKczOUlt+qOy2FMHUlVttAPNDScZLdT6rP7I
FFxDPnVGgcYvHJUTmj/NQ6ceU60KrGl3e26rcjjyBDQORJAu//3MfMuh6YGs0EOpUfo0TksbxhlK
48bGGYISYJb3HxQeumt5tTL6PtHncikuYX1RADkwPy0jxXNLEY6oSKLq3QCF2DHEnLBVYHGqeAi9
FKP0eaV4xMs4l9W8qWVNimtKfT68sDl6nCw9QPqzU1O01YfWMptHx5am964P1feia1DL8GL+K4So
di51BdX+yakbk62SVCEYUMJWk6GiXgdKaBe10YcLBmbQwIgW2hpTDfKfqTuh/2uTGfs5/+Ykj5b1
pHrbqvh+W92uVw7OwEKxLYe+ACyF4G+YXfaLHSMCnOc46FFzfTdDiAuqKID8Iy/ioppcbIIYnLrv
R1Bvos7F3Frjp7p4zkxgDS3fnPHe9K4gSjCdaUybrm2c5lTavlf6VNbPsbJWGuoSQa2HmmtAdwmn
QWwUwFNDNewpK8nou4pd+KytJCHItf1DawCpAtfsIkAQ4cGgVtncqV1/AneO2mztFv3sgSuDv1uZ
CtoUeNSLzl5ENcINiaG0UEvHJTmBvl5/baeqDC03bSSZ6mspDlJJKOZGsAPAALEazsIlbGkJJce4
7awNOBVaZm7u1d9LEYJjcdVEGTWA9Ryt5FBOEdv/u+EFx0KUfKYdcByPzbvWFvndPU64P6JdxOMv
uPzFWPC/ZmWVw9RR90gGGs6vMTPDu2dwIUAwCtsAMmkbt+5xAWU3c0EheO+brTADwYO04Ls0cdtw
j1PNNqjW8X94JeKk5W4YXcR6Or9rgEFGA/GzkAJL81Gdq8YtT9X8NFdJ7hsz8t36/Tp7KUZQqHka
6xl4R+VJ39Fk2oDo+m6NRZUc2naQYMWFE5mSy6PQmHV1aUcvP6H513f3gzrefaRzATwTCQtHoCfu
uEVIbvRKfrKKD2jayrRvaR/dVqprJ4XzApDaQK7kTRricV4xrS5zd8ixFx3aX4PaDLokbLxc4gyv
HcilHMH8Mo0UM9ho8hOxPL/5J81kiKMyAcJmuLnDGjZDQDPhnjyZgZbe+yYLKEkTOQ/OXAUqcbHD
LY+pMWuDPR6BJIar8sZdZFhiV2EJJFgq7xXnB8YVDVHpevXkFuN0NPtNF29iJxxbSVB6tUyXIkTb
w00rq+wMIjQ8zH3wZOADV+okDC/YXNYRJ3ZHDE+0x/43ydAJ0DzWd/dQcCnwsIhEgXF8RaxXWHlp
g9hiOqaPigoCWXTX32kVEMCvoXjZhKe66sqb1IWx1FiG4/w22A8DOZH5cy+jZ7xux8VJAReFvlLe
8nnVH1VBPLHdUQcAAU6M0XoqBxqAsvbj0oMXHPjGikK25mz+rtGqpSqyA/f67fZdvoV8GXBHOK7U
pf+q6BJnLi11oHUUfmNpG8PYF/Mc4AkvGM3HJnkZ5ue0i8HMuyPA5JzSvd0depmfvtYZvgxYbeud
GUG8uBQ0wQUwG/TIqeOgA6QzS4qNg367aro3BuAT1nDhBG84llssEaXoSVATOuuR9Vkd9qp1bxZD
GJ7b3tmFbxk18GA0GN4YpxBl9UknYwJcVxnoC9ChVKR7RYxoiyrMdamFGYy44I21X6ONm6Sh6aE3
IUSpcGNvq9HxG2k/xLVvwtqdSeZ3nbPJkWXMjWIx9Yipj+3yMsZPbvp22+qufRNE4J6M6ekcuk/Q
RzRb0r5OdD1KmT84Qb5sbo+/omi6CpPGaQcQQtxjL6cA0BISNwjZ8agRdnRfPDEK5gPJQbeyTjxx
B7RmxDZouRQmYRLFSFKjMiOlHR9SZXhOjemF0mV7ey5XiROOsI8+axd3C3AjiWF/3iZqp6mtiSKx
r735YBm/O7TDEO8D07cFRUGSKmskXtkd1Dxp6FOGmaLLSJgY7Zaq8irDiuo0CVr9baKSfOrK9iCX
pcMV4J6JFwxBw5bWaSdKEjtiyds4LH79rUVJZ2Mdb6/cyjzgbznSsQkURc0U5mEZi+PUhWJFg7fV
lcCQzEI2vDCLXPcokrYYnqlvFrIv+SJ5elgTAIpxPFADTQTorMIR21IvbVVCrMhua/+nk8tqH1YU
mGf8VDCm88cUcZ9zjwxt1Rd2lE+nNiXAa9A2nnN3LAXiAA0qDN5jdPSL5AFeueCdqp7sSEUlvVcH
Rfzz7l12EB1AoVRwHwOr89LWZ71KtWmkTmRq2z7ZmDJA5JVdQA4Eq696nBpAfC+pdHU0EqTyohK9
OHhWDLPw3gkA6Ru9QnAiEILduJyA3Xu0mIAAGhlkw6qAFncfVhfjXwWCBAdVgXRCpGpP3a+ilvin
a2MGZxaKT7gdg0/WENa/8kbmdLZGorFMfeotr97EXp3hmyMjtrlW10tB/Pezc8ls3WQAOjuJsjis
H5UplNHVrs2Eg7uDqVs3rhFXJ91JhpgWKDrxqkDLvtrmKR58jamSg+Nao5CKggxcMQBucQXZ06F5
WsvMJj4uZlCRp8SM7lYojI8XNx2sLMCVFBaqaCadsr6Lj0gM5sM+k4GCrX0/oiokcZAHgWELCuuO
WKTaSOOjMlYHq5secwBLSuJyiQxRaStg5MQMhHbHGf20o7r1HJneXktAZTru865jwaoRFl+qk1dm
nlJ5mht1G9RedzJt5d7/4ukcWYLz4bmynWmroadVgqSIG815OOpTYJRqYPSvneEExNCC+P7rHuQh
GgGHOuLdK/DNLk4bOuipB8hld2t33lbix6+t73J8YT62txSsagjms4AuZ0P6F/X+8+5ShHhez0Vp
aDlE6PZW6fxGf7htF/zfi1vCYak5EJlhX52nZJlYvDi5EunLBMoBxJ313o33I3n1SHx3hIs80Zks
IQsypXnRTjNkueyArLBXyaoFVtQXFSw6nvFxecSzoxAcEGdwvEaxSOR+ygDPryZ3YyMi5ny/raGU
cwXeU41N8J04HYnYY2164WKM4e3tWLGQCwF8hmcW0qKogrWEkUjL8l3cO4/gjLHKTatvbL3bE8Pd
3pa3osEX8gSDt5WpKOwcEyos9WeS9/s0KfdzUfy6LWZtY0zUHGicmNsBTtLltPqJVm1aYlpZ8Qb0
DVuSul0dHjwkuNdAk68AorPSTFEr0BAwJ3yt0Hxf3f3sh31HcRGQl0BWiqhKUKwx1Ri13YpE7YBC
qS3V745qwSgOok28YwB25yr1lZr93NvMsyKj3QxaUBSb2+u/ts24KfGEMwi+r/KcQ426g7ixzaiI
q9fcLJ51o9/F1JOUGaztw7kY0cCTth57XA+Bs7NRf6iypkSuJYKvQsHfn1kISU4LIONAOPTMqAIk
I03zYHGyILZwUMkABFfXC4gB8FYuHkjFx74OaFFZnWUWehKX72ruvTA0BnVZtru9LavrZSOvyokm
UJUhOPeh6XoHWNd2pA1dwOrtWDh/s/EeMlz8YYaXh10aHnAr0gbwSlCsZQEpDwWWaDjLnMjqNM6E
CNMw1bIwxwFCgMeMp5m3Mr33/Y1f9c8ECLfKJqvcPI4hoJ9LdFNk/l8EChcChOhNZTWaN/gyAUls
47043v33GY4/Blxq/jqNrK3gZ9W6yMyEOEZk1MvDmCrh0khu3isqeyFB2GndHHrCCZQionyeWdgW
+/tVCc7VgJcCTJ+GMiJBleqi0dUutaOYTA8KyATqifr6sL3bJMC2YKKJAnWMwNYRdElnKcf0JnbU
JM/mB3DN3T88MqCgdAAiF14bhMe30mZkGvTKjsbsk/tBMT7/xfAoIUQehxcPi+dEUmt1NfbQI6SL
jW/p/P328CsO0NFQ2unxciHvqsYzNryyWBpFiexvtjUEWmEHjTUHtSd7Vr9umkWRmK7huOYQ/Kjf
Etap1pxiWaxeidR0CdUxrKonlb6m0y7V8sAxNioS4m4tOT5WVPgdNR1Jag8EIo4gdNFbVaH54kVj
/JnaVmg2zb6I774IomAMsdv/CRGO8thQQb3GhVTWh3pb3F0aC6xgLBwqIjkm+5X+zoaqJAvQdiMn
Bxde377kiRqyoXwBoKvkysxNQTgOUfuAUh6U2Dho0xZMJR/bfEl74kUL+uUd77ttH0jxYHzKNFlB
/MrGcHUGspJm4XVOfCpR7bRrcbggcB/mXYt7lNaijY3pu9vqfX2OAJ3Y5iCgQLhEx5rgJAEKnrQm
mbtjYjP/MKoyzs618U0N7NmofEFlopi1mhTLWuqh7I6V8bPcWc2P+z+fc4/CvYOmG6jXlw6yByvO
NFUuO3rTRzcJtPpfji84YNIstdEyjB+7gXO6m/rVsx04Xqw7vh93J+H8GL1lWibixadZfWitLbv7
CAfmPpYe139eiCquvVcSVDQ5aXsc9o5dhl4rA1y63tz38BxRuqkhqyo+5Sv6TJDuLukRFfZeEqrk
7ozh5fhCbNupsU1Mq6CA7MlfSj+tqETAtZFh5QGogHQdstu6+Dzn5lq8uFXXHGuv+afr58AbeK+A
+e22ll6fIXDo3EHhjRdPKGJVa4IuArUaCnZk49fcNIIZNcAEBQMllT04Xe/I+9FhO0CH81ABxn8/
u8t6bZuMVtPBnIcd9XwqQ0SUjS+4i5QNSmp0GN+IN5Pjpz9vL5RseMEgJssFWePIuqOCN2DrG1i8
/LsFoGDRxG3PQqr+iqvLHllDiat2xxLA4e2DBmb6+wXg8EZjz7tFiG8ldTWY6TKz4piVX7qwupuX
FREIrA1Psehh4LS9l/u72O5sl02THXt3w8C2IDkNVuzhYnhh/dNYgfwaw28K6xt9qPqvd6/OxfjC
8VmUzCDKiPF1AMH807jJ9vb4a99veQg0bE6KheTz5fLMs6Yvi5JnxyIJzXmnkXDSJfnH62wRatY0
1D7y6lrcI4UTofdKN17ULEPJ2tFN66Brk6DLgHPsOigCqvxR1li7YhOoG0WZNbwUGGHEe7E51EW7
uEl2VEfVr5KHdjjeXrRrAR7AZvByjKsKHifFqtGREXSnKhYaXPM34pvd3Zeky+G5+DOXNKd5hkQP
hl+yaWtNs19rHahabMnWy2YhWAYsntVILFRH6tfZBuRDtxeJa/5l4Hc5C8EyFuAZ4iKD4Qtz9i3z
kxLO/RfU+t7tPpBFxQs77kqIxvEWerlYqP0DhEVaTMe2bnynSP1WchStLBN/40MLJzKC13VGdQGW
wV6f+qMdmP1bod8d6XMGGzyBgtkWNwrxzs0UsM0PpToetfS5Lr0giav795lfJlCxoXJCRDEuxmtG
O8/Mm49p+hjvEu/urCC/TPwZXggok2yKk3jA8Lr9uS+Pdnhbja4dFOIwAGygRwOkeoiIL/e3bWaq
WHatHgFerzzWqlb6SHW5qELqWinOp7jXeMQF5zFulLYFZ3jFKmQWuHeV1FiOVHv4WGj721MRLeJ9
dIR3IAhH1g7RzeVUbG0el6yhy9EtZ/cDgOubg6YUbGdTFSTORU5ocFvg9XQwFRc4K/x9HWU7wtr1
rrOgTyMdD8mX2g1jKrkJX8/ncnjh7EhQOZ9lLYY3ZlBJdV90Ew3H20T2+CObhbBsuZq0WmxBzGAG
jesvnkTDZOPz38/cLS4cscdSjF95eAafn1ghuVWIKozIEqW7sD1UIaN7Tnx11Qhu18M0DgeNHjVv
46ow8re7d/pchJgJiY1EyVukNw+a7rc0SCRRzsoScdYItNt43AzFXozMM3qaG+Vw6NWdWz17sifX
tfFRx4BHC14ogKrOyy3olVaruzQZDshwAiku8+9fHlRovPf4GbAGTQhBdEApuQZIAg68qTBFL3D5
4/b68zDs/LDDFuNZB5d1HPwmCrAEHe3SgaUWyicOVvOgEHSB+sR9wFmXK8fbglZWCl2EHIcO0Szn
K7pcKRQGF7Bo0h1S2yfxRpOEHrLh+e9ntpA7LljVGgw/Fp+V8Zt5LyjC+zqdfT43lfPx53SoxhHj
q+pXrT1kh9urs+KRUN6AnCwy4Lx7WYiWFdti7pxX/QHALd9ow7bOqPhK72zBQSCJO1aM+kKUcOyV
RmngMaHsDyndasPPogjrPpbIkE1HUNvaGmrbnjAdLdmQbKMUoUd9JZUYtxifv+/Jn0UTfQdYOtIW
jfL9YWpHP60VH6g9/mKxIEt/a/ShS2XTWjMWBHp8o9DVcNXZN9sNyBrjNjs0sUO+ae4EQsikyc2H
pCDz05TR+bHQxkIGv3BVS42JcrgMFOX9BxVOWE6lyVB/0TjZoW1z8wNYzW2C06RyAJwxgtfF8X6P
XdJvSWHT5wZLn/iV0s3Mn1x73CptDx49ki0ViExYuW0tJ5acE9fbDZ1F8bPDWx7RssJ/PzeOwUjT
jmJdPLpnU9gNL7aVbdpaxtJzveGQg6wvWla4FxGvL223uFbOsuxgd8/ZlDxUSrMZAZ2ZAoehPKD2
V6LG7+WIgndEHK4iSY9QF7X6QhziFbQssqTMD7Rr6M5BDyxI3jvNfmyq0QhnHdiznWsCrJFO/Z66
aDMuNC3egkDmf0i7siW3dST7RYzgvrxykVSLq0os22X7heGVJACu4P71c1Az05Yghhhy943o+1Bx
mQKQSORy8uRXYETV3wNbMGpLqZUPJVIRPmEeBfq0aH5ftx4rV/rsZ+rn+6+h3Slp0GoT8zl76s3y
t4JBH/rg3F0Xs2JjMTsKrxG4tzD3zZXEENJN3qzD+ulHR4tunrMFLXcwp0a0/gKU48kO85J3lj21
eht3OyX56NXx7b8enZ/ASKEf4rLonOla0Zi8aWM2BBYLrTG4/fuoBMNTgjOAeE4y4cU4OGozUB6b
+QM59MU/bP7p5yWznRBuVQbH52fro1W8NRu5jpWzFSwyot4BAMZFp+dc5EqXKyqPWyN0SZQ6G+nX
je/LxaeGK2WeJfj+SEMz8ccNP2nlBpz+fEe6qGWX19UIiprY5PyO9ZjB6HXBvDiH62d8aeg0eMGq
g3gauXb7va53YuhI085dpVptXFqHJbf8pY1zqw088uO6nPfslWR40IRhmyAxsdEZKddpSyOxm1Tr
yhi/xgjczjUCrbRp4FVM32VK7gU1aKYiBsv1kHllG9psGmCbwMX7C+j99tXJpq9GMhd/ljknz5ih
MX6smizfa0PqPjfEmXac4KVU06nQ/ak1nK1Ha+VEUKURnfwifkdl/NwmjUphqqlbsnjoxzsT880P
DcuXsE2ML9f3ak0Qej1RcQZwyLh4FMyiKhwv5yzmdTm8oI9AfXDAbn9ctHqrL2Ll+HHqwG+CVwJY
VLn+bLgTy4taKWM6HXp6l9aPQ36c643odOWqCDAJ0oCiyQNjRc93DlUKTO0snDKu80fN3dGtZuW1
DTv9vmRJGoyDtN0K3yfNUfc+NOTJpRvXcWsJksNiNP2ErluIULX9/Gy34fUjv/TD0AWDcAgUEXDF
LBl24xW9nnW2McW56evmV1RMVT1Ksx/Lr+tyLpchum1UMaLWMETW9PwkuiUvHAtUNXFFDnlE2w1r
svJ5YMXEzGyAQ1Gckg6C603ucpMv8dT/yQ7trV0KmLUhXBY8pMB+Q5ckPZoGa6Bq6g0xx8wF4628
GQ/6vwLATwRoK/JOF/7AAJpE22JjPPJfuvOL3fygAtmP7CICX/hKSNWd7347L6g3KjOSQGkS0D14
9DcEXF4ECBCuPIBoqFUYkpaODk0BaW2m2KKWn7axq74mxa2tw9gkE3R5QCcBuo53VUJdMPSFEafJ
rbjDXE/Yv24jy3tpkzDUDyQ3SPuBngWFrvNdWnqWod+osGPrkauf3ZpF1KsiS3u7fhUuICtiHQhM
cRuwZcLDkeQkZtJlTe7EbRZrP8EcrZi79s8w/wL70CGtNiKKlasBaYLaCJmCSyzBWGZIzs6Q1mfg
SI2r8h+OBYtBPR4FQjyycmJlST23Uqeyi5lm+x+85lbOYGwXvo9qjohUBJjofLsGzDpps6zrYmCp
Az3CIKYN5RXG4dxDEMVBKJWro7MeqNxzAeA1cnK0Q3exnY1Aaz53+TOvHtxPyueaLtH1w185jTNZ
ko6VhZJ5fQJZSoUkXR4oza3YU7Fd4LUArMMToa5M2mZOimnPfOliS33quXFw6eBPjgbilK1JRGtr
QVIezDxAZos2SmnfWlYghGmRsfve2fvU2d++VQiPYLg89G6hAHD++RSBuJISKjIffu9ENr/ZTwcY
6eT70lFUWgbcWEL6uFweFBIwZwPBt6ZWcG/RKYRI4DJhWtcGxl0NdIiJ+buav/LsV93+YOq3Yvpj
aVtDji7IHsWxA9EPPBIcErD/CAt94k9bgzIu4FvsY2/y/NKMVHLgxxn8lZ36ZrPAY3clu69/NE1Q
z8GYhKR4RXsw4jd0iV4/t4vmZ/mnSHpRVZ7X64rRx7NTY8r306B8m/NvRHmiTMyYsLp4yZ71/ON1
sStPEC4w2DGAXIVbKVOhggTeaAuawQx94d+AsgAW4rqAtfMEDSLqNlAaUUg73+GpVg3FBL1e7Dhd
1OSH1mvvhqUNdPNQePmucr9el7e6IEuAyME1IdpezuWpbpMzrnk8TizruVWScKrnT8PNjB/itBBe
IBsBpgZhBc/FjBMpG71G+AXyAqXeK1uAYvHfy9YVraPwzOBhItkhuQbmAkYEJU3aWG0feWaH4/zS
u492/dw13e72HQP4z7NFjVCgGs+XUtZm0qe6jsA+a4xoMSvdz+axwVxLZ4tcVRy2tCoQIYo+aKRa
4HBKoqzEqux8Gvt4BEfVl5JOPNKytyoZjVBv0i0a8pU9FGA3HQU84BngNJwvzAb4wylAHBYrDWCa
OXjI7139kC0gqbs5YsLeQR3em1PwHEqOdEaczBwWkQhOI9Z1weBa/vVDWnk13PcyOsqriDxkGgmu
JXmRzU4XJ1WChynM2q3mKqFR8tkAVwc9gEJfTiD3CCNTpZRj3KXFDkx7vkOmJ3Ugh2H2nqlTfbCN
pvHVVN1Qv7WVAZeIpOo7R6K8MobWm3TQ3T6mznT4qthbtBgrBgGhMoaQI8gBQl+VbqqupjPGdSxD
PCWG7/RfMI44SGft9vMRMQ5Sk8Ceiz6lc11rpy4ZjBq5w/yz9mP5fuvhI+OM9lyYafS+XcDORTen
W6PGGg8DfYDT9YBE2caze7lL5yIkt6GvuJtwGGTwRY7BUrkHzO3+gNFKG5AHXZjfcy2DHEQjuJWI
Zy9gnH0zmbPBeB6zhFeYBzYNIIlPzMBZ+ifHq+5M7Uva8JDraeS2dvrYJHT+nuak/OFi8sLOo/bo
T6Ai2be2mQpal8GvqtIM+9JNdx4zt1Bel88XeEZxnAKJjdqY7CCkOhvNeUnzOCfFPjXbwNX25TLf
De50Z8OtBrry+lmv1FogEVZYMNKJRJ+kSf3QMA8kniSmTNUCU6N+pT/6YVd7IVHrMXJYOvq64hkh
cW0gnFLjZ9uYE3wEOkRjl/cbD/iKY4IfJMizHAAB0V4tPUULb1BTRStWTMinmaHgpEYNfaiSe3f8
kHWGzzQ16tofnr1VKLy03+hQhjF6Z5e0L3qus0Ufl8ahNLZAYbvU0xvIOTs/G93Wp51xLA0ebuz9
ymkjtYbkGuaVrbiDul7XBWYrkxjj9/yZPyw1DTLvMGRWaE5vvbszlQ+YKRUa+j0DSXWpffE80JFa
IUpw+RzoxZfrP+jSNgo0PsYeI35Dh5echaUFqCyWZKCYSbzj6SHdCkJXbv3Z96V3qwGHo6fSnsZd
c6S89Hnf+HSTu3VrFZIC1dTyKBrbaZzmVlQ337VNcvSNdZiS0zcVs51aM6fx7AZtdTfpe2cLlLe6
CLC8CZcSToWcek0NRINFO9N4+EXcnadthFWrKzj5vGR/OZxZj4GFKEbMOQDZCRq5LYqbCx5scHWK
wjGqpFApWDXpHEbLZqmtmDTO5/vRq/3O2hXDI/7fMQ9lQUNaBk5/NJcvU7JFkLdylUEoIrotYfQR
P0pGrbT0yWrdmsa692jRXb4UgQNXTH1GR8KGP7EqSjzBItxArlwSZeoDig1mg4OqwzQJe+onyYEm
fj3cXFEywJ32V5Bwdk9ix163mtKsIcjUjm79gd/dfvdtPOxI/iJ558gFq2lsh0bv2Pvd7+lu3FC4
1W2yDRwH2nEQYIi/n/z6duzQU2q1NFaMAHOdlSfjOya9lVuT69b0GrElkqgaUqjIl5+LsXOzqZmJ
x2OeQsdDTdhHx/v1jVpdyV8RFzWxSiv0wbZJnJYRTrvSj24eDEnENl1kcaKS8wKe8P8s5v2lPNkz
kszJiFn0gBlofkd2bNjNGGp568RMcU1PpUimoK1545aDS+Iu98fRr7YKY6urQBiGgAXANM+RjoSq
7qiodkbjZAkMZLgmvyzurCq+fiqrBw8oEdI4gBajDeL84MFNXKF+aeFUMKvYTj870x0ow67LWLPJ
4DsTpOCASEDUuQz4Rr0xW3UZYySTlu+GLXzj2k6dfl9aQ9mikW3ReBkv3icLDKI5koIpUOXU25qq
8x5kS6oFMkYkopD3ApBF3q66KJLccdMqJizjvjOaX1nmYv6GHqg1cOZ9dbCBL6JGti/rzu8a0+cG
ibhzaxsUlA/tc5gKDJODnI2crsmZSV2boHCmJ1Hr7Fyy4U2uqIUHjwYODTxbhGXSllI69U1jFUWs
s/qpTpKf1OvuiinfCGdWNEN03TiIlEVFVg799YID+0o4xGQ/v1tb1fGtr4u/n9iBfGlb9NK1RZzp
L9SJt4DbW5+X1NqYAIVokZaLveXNi2z26fqtWTuCU7CU9OtHzIdK546T2OrhanxUrI+39hoKJTqV
IC1gQbONzhshwYwKMxrfri9gxUtHIcgCRQsgaeg3lJ4uPoA3fzJyEjdF5oNB9N6hb/r0othRUt/p
41ZEtnYcuBGYPoRJEcj2SWkkMtPCmpYM4DeyS3wUeq+vZu04UP0Tk2JQcL8wlKmmDsU0MLyQRR2W
7gMvj4v+el3GiiFDhRFVM5CQ4BGWYWSc12abgaMgrp0uqDENNRk+AvIZUKqE1yVdrkaQ66FCJ7pM
BZLq/GoMZuvB3YfZ12m718tPva6BrP/PdSGXJ3IuRFKA2W47jEfFiw+MZ8CMj2a1lc7ZWoYUGCVT
onBzggQ2jBjE9+x5gV3VN9vC82VID7HNeWmXKXwjoz1k9d1SPahbXMKr60BpHG3X74SKUtFUm9MF
3Bc4DkfZLYvmj+jr9/Sbo1Ss40SI5LBMqVcj2wshI3nLs19tspE0Wl8E4gdxBY0L9pyFmFajTtgn
RadBWzRgJkAZsNvyi1YSHWId/5Ejw3nhz/fgPId7130hvW/SsGz2U7dzd6MT8DeMfdW38LwrRe1z
kdL5WPqw5OiqJnFecp/MGSD8d0PxqBAvQGWw0nYMLLi0u9kcnEuVDsyYxqUbJ0gdBKlZWM8Hh/nm
7YVOAGTQtgimOUxtuxgRNLedk3aVgu0cweafPGnZz9vNAEYEegjCBHBQLlwoZlv1Wa4whDCZryUv
SbZhzNbsDNK5eGRQpwUeSjqdJRkxcok0RazU94mnhG7Z768vQViqc7fPhI2Eq6KB9wPWWZIwObO+
YFAyi/suZCYLXPJYd/cLyQMvv30xInfsitQiHE0ZB1IUwIXb9ZjGqVZFRvbgLPbGYla260yCtBgv
XWbWKZBQPbVGVDu763u18nlUccRgExMvzEUJRCENmetBzeKS31VBTW8OJlCEAAkmmmmgU8DlnL9c
pbnkmpqxOm7G7wxcfD+u//oVI3b2eelhxGTOOuM1Pk/zIMH1JvYY2rfOVAN+ASSeoFJC0CUI8qSH
EQnsIXH5UL2qZliVdYj5E6FFDp1+s3t9Lkd6Hs2J1oXSQ47Tvo41Hshf1zfr8qiRKEJ50EOxAJgi
ubrq2QUDxI7mr91P234AKuP658Ven986ZD0F7gaXQXBhSIraE2dUB3QdAVbnfrXVeUdelKzdo8D1
9bqgy0OHIMSlYCWFxmIU+rlOpQ1157zok5grL2W/S5edvRVQrWwVZjwhpgL8DfZWXoteGd5UA/Lx
mk5R/aPa6lTc+rz0VJil2VS6h88rzZv7o+42YFaX9g/FKwCsUOMWA35kyH3Z8lJvdc5eMXLLMF6z
4ovHXu08TG43HuCEQcQp4I64G6a0DgvodWe0uuK1VgrfshXfcaLrZ72yU2CcQg8KHgzUSyzpgg+m
kdu96Zavz+Df9ieMqfrvvi/d7dobTIXVSflqLpE5Hspx4yi2fr90p4HuH1Eawe/XpwOddu7G9qxc
BSAZ8OwYaNbGdFXJ2W20RsVLWrFX4n5vlNa3CMDk+dbUh5VFnEqRk6a8nMq20Gr2qnh+9dN+u/kI
zr4u2Q1qcrcq7JK9ghFjmSJu3vwEgVYMVE+Cyw/JMRl4PTQjztfL2SvmrDYknLcYW1bP4OT70hEb
WtJRZmXs1cE8uAEBQVBsJfq3REjHPC0KSpDAErzq5s7Lwtzda1uT2las9+kuyQgfMrCpcgA6faWu
M/yaMcg8NhsM9rB4nURwsZbD9VMXuyK9FqDPBIEL+u0wW0N2MycQVigLGqderWnCbGgSptO+sn5z
i/ql8aVdbiWhBeQHQwiAD4QwuM3yo0H1pCCYBs9eW+V7zsdtlozLS3IuQPz9JH3V9xkz9LqBmrVH
u7lrxt31Ddv6vtCRk+9b1pRW84SrniwHTDzdhDhe6tj575csbZWSZuk9bFBahLURDt4Tu3XIPM4A
Nlz4CJYB31yXjG2ZWKMxo7skRoIc4LuquNmY4/vIvwNVgNYR+JvnW+RkaVWkRWrHevtUH+ytvvnL
Z/Xs87Kvv9R1a5ZUseKqrZ9cU/ntOeQelFQhUhp7dyDh9QO/vJGIwcDzARZ5xPmw7+erYQ3rJ61P
5piF2Y862w1lMHsbMlaUCp1Iop8HNViEe9IDXoBc2uPWoMa0fpmmyNiCpm19X3LVmjZ3dKbg+5kR
192LbmycuNiDcyviIRAW9BXo/YOfJuSfXgoiQjJmD3FZHQ01be+mvH0CJfBvdAv+aab2vje77N7L
Xm88GnQlgUsSGDioGlhepKPJtEGZl0zvY7UjfmX6Vpv5qvM5HX79gxzgIJGdEfMa5eW1Rj8proqG
6xyN1nwIiyaszdo/XpdycfOxCtBA68LZBdmqHKMlU+80BamAFSv3KO9mTmjUtxoviBD974KdSMBe
pDcSXZp9poGlO8ZY7SXI+3DOvHlDFy50TchAmQX8NRiIgDz2uS6QwWWYjGUCdJvsi+7w+fomrXwd
3aWYYyrAYpds2S4HZ5cyF3OMZvBhlzbRf/V5Q/rxyjAMnC34/Og+avue3OqGogv35NfLbR6kTAy7
HfD5TtmlkWXefrz4PMqrYBIXvU/Sr2esRh+Brc/x8KhVhyG9u745Kwp69nnJQ2S6nQyJg89jAoLr
fjDJh/xWji6g1BHagzYIUE30hMmTLmwlR0Nl1ahxzhO/uJ+9LST6yhogABg03GZcBLne0VWTXo9z
pqLHNPFTxfCnogmGcStXsaKmGJOJxwLQTFNQqp5fAstDAgH3WY0LO6yn0N1qgFlbxun3hfwTgzsN
qldnE77P1ecifymr3ZJveIbv7CpnRh1ngVq9OAeUGS/6AEEh7qKp2FhimvbLnaLW9U7nOgsTPqQZ
bC0/Ztzdm27/BW/L+KvRFwJnYlQb6lOqa3Gu5GVgmlQzI7CLZujyd6nvcU7uSJayAHjS8injWf4L
Uas3+dRUR2Wng8sz7J3RvncXZ9gNmV7ukdvDuI25Yt/QwM6e83KsJ6C4l+7JmTzua4qTBtQdrZga
Ou/uC6sOPacJO2NurMBWR7cInXLmu4Src0TmVDkiVjZ2PdOyPYaws7BWxyzzDcCEdpi9nP7Qp2w8
JpP1TeHD5FsAJfpEHfolqrkDgLWeBqo2scPitQvxDZ1oj+gpVfyuXbo6aBXTecuqjEVmlmcPLSVd
0GaMH+tqXn6lpjE8VBn6tGmx9IGba1ngKlzdteAYDYBPbV4Ll6RByyruu4U27DAggPsd2mp+qqMD
ypLKNuPJqJfRB/1REsxzZT9jmIf2k7ruRIKazc0Rtl9NAUmxBstXksR7GclEdo2T/ujMxN0CV18q
Ix593Fxk5aDwCCbOlbFdmNnVQ27GhgluDMw9zKPE/nnd9lxeqHMZssKPfdO2ANzEWh56T1lzs+XE
50WSCUkO0MfK/dSuURtVNTlGbE/KPQ8qYED/4fcDnyYazjGLTTZsilm1ZZfi6FI4Dq4e92RjBTY2
+fy2YgUnAsTfTyzCgCavVJssM16s32A18luS+g1Fr89WKmhVEHKXaNVGuHiBdhtMYNpZ0pgxdV/H
aW8kmFr+xdW3ZjetKRUmDANeI8zoBcjBHpg+joh/0Z3I/ay9JwDjkvbT9VO5CCUEzYyYt4JGSLhd
MnKvoZga0raTES+TES5O4VfTU2Peaf0nQn9fF7WmwIBXAngLrCsq7tLbzCt17NR+1GKj+TgpL8P+
+uffiyny+WNKEDw75PcRsEhBHdOnXNOSQYt7Nvne/Ic24x41pCCj9577S+f3pHkc1TRQuBPV9cPU
fUKbit/YbbSUsVY+jd1T2fw0Fgxc3nB61k7y7y8Df/25Zi68d43Uw8pz8tIs/gx05LDhOq9trmhm
RYMunlswYZ2LYPZECjK2OjriD+r8sLxc39z3GE/eXLgLuGC2jZ5QGZShqr2q40mDzhtq4FSuX+os
mEDbRg6M8UCfWdgoHxwXLHdpOIw7Vrs7Lf+dgEkirb5V5UFvD8qWO3a5aPQ+g60bHK1itrucSnHs
xbU5grGjStrAp5vj6S8v+vn3JZNba0NOOMH35+bPaDiRqXfRzO7cbrg5YjgXJJ9ekxhmPUKQgacJ
vNE0X/zrB7i6FOwToHqAb1yAajJR30/RK3k0zeoFRFKvXV3fjU33rZ22cA9rokSrIawjyJQuiEd7
BF9J3lc2mIjGJ7tL97xFAZd7LND19NP1ZV3eLF1QJP9HlpQ2qBJqOYRBVtZ9MXCbMdm13oqx17QM
GVtAGjG8RrBUnl8t6o2jmeSJdWwcjHvsOn9rMNzaIkDljSo6LhAqb5L3UGYEcyHw3hwzc/JVWPk6
GSNcnutbtboMoELFDCQ4tTI0T1GmeaFgzz16oBlWfQXDXq4LWF2GeEYwoQizOeSslE1MnljdgmX0
DDMT1JAS/rFXpo27conjwMQd5L/+I0cKwhx9cAHdVK1j7iZBIaDmhRYZzWuP7lMWDUMfzGrl8+KL
4X6+vsKVLRS9y1A35A7QCSYdlKeRDB1JtnpsUkROvqftrn9/ZQfPvi/ZmyztJruZ8H2lDwwvNGmQ
v12XsHI3zySIX3DiIzk59fK0g4Sx3Wnu1xyA159kq9lhbZsMMGLitcCUVyRZzoUMCVhp3X5Uj47z
zLLnrY7CtV0yQE2Agiv6muGtnn9eSe0m641BPXoG5kgNEUlcn2zVsy6qAkgKnwqREmvJWCudmmAN
+VIigPjB5ipw7Bet2ZH8wJuNY7lc0jv7m+jnh9AL64zGpLRRabIAEx7l411q+E2x0c6wKgKFDjwB
4FR25Zp7ZpWZqTXLAijSHuHbQA95v2EALpULJQ10/okJPchJyr5kClKE2qDWAlyoHWjtjipPln4s
p1vHuYkUyakc8TtOlLiFfi2U2kusgZfq18I3lnGpvmKYlwHGO5DQAR8uqW9eEdANKi1YQZpgYSEa
wa7fwa3v6+c/v5ncDqkL7sS0iCwL7FjM3DKRKycBPw31asGHKqCB5yKmLtMzapMknrQl/c5pkhwL
1/nOQEDwVgyYDUqNSgfxCVCcftEry060N/se0R+SrLwbdDUYGuV3a2Gu5Ox+vL78S0U8u1nyM9G2
zqCp1QQTlDfPTml/d8fm3m2z6LoY4VOfO6znYqRTnFvgZMcZF3gZHoxkn/NYzT/oXgZ04Vaqa1UU
kHBoRAcCC3zo57u96IqWGh1Vjzb9Mxdvi16E4zTs8zQua7aRk7o8WSzLBlYSeF/0ccuvOFoVOUgY
S/UIToawVL8nwgWHd6V9v75963LgWQNTgQ5NTzKyTgGWMNXu1CNL95qTBxWJMvPVIL+ui1lVBuHA
/58YyczO5qz3esfVY59mQaHk3C8txR+1dGM5a3IEFM8WtN9AgIk7eWIy8EoRO21y7ei4h1QP68X3
/kGtTyWIX3AqAV3OGnJ52rFzgMEtDzwB8HJjFeJXyjp9KkMyfBhhv5TFAhnU9J05LLbIX1Z3CdZV
wO/FlDgpQk9nZFS1hGnHxfyOKZPw2L1hQ39XlwASS2FakWeS6y9FOlbekJXasWaDPxxcZPaua9SW
AEmj9FKlVtFx7Thab/2u4xt0WJcd7qJz5u8C3v9+cs4ms9tG7xucMy8fGtSPux7PqeGMX5xmONgu
+oWXcp9M3VvROyFRMCjXdCIVhDK1TSNqouuLlphmQKYww9Dhjucho/UGpHp1E5AOEEQp2GO5/gw6
/by1ak87DlnkpiH6KP5hk/9+X7bhKSZ4zgm1tWOu7Ul+12xZ1NXfD4wM2j+Qer+YCIuqBEuHRMfv
tz+53cdP13/9mm0zXbyP+B8cLvl1tBePzW2Z6sKBvFsmL5jtfT9m0TgO4XVJa14k2s3fmZrQXy9f
KL3nlpFyFdZ6JneOV0Raad3NphuMmtL784RmaXeLMn51dScypdfIKlyezxQyUSDzFe9uKR90o/Gd
9vf1ta0aixM5khtDEruYWbOox7n8DL4Ky/qWpv+QtQAx2N/9kwKuQeMdFA0ykH360I/zh15DUaxG
zSXZwk+/F6QujOuJLKGTJxe7oL2TzMOsHtUpD8V0QfroNFFuYy7BXEcLhqikIJos2y/V9LlWEQO8
Xt/PtXPDREv4D0jDIHspvbidWi4GGHqwnxZ8smdw8WMC77A1lmlNIzEQBs4Kivj4lyTFrLiFqhRW
OWYfKHluuw/K8JFnH0EOE6l8I6y55LeGsTyVJhlj0hjJNI2Qhg7PewsDKnKQzUxmE8CHiTS1vmus
4VDldei2baC6y7dpYmHXpAfV0MK+WL6mrRt0TbNhHi/7Ms5/l2zE5zrtMkOctUMr3/N+G8kddZDl
632VHTLq+apGomSrJ3v1hP/uvewnZq6e50mDm6mbc1hn5md7VMI651FKtoZLbomSLmcHQKzNKC5O
N+/K8aUew6o5GFttrauP4cn5ygSmYzkvDab0qMcEU/WINu0Sm/l1UT1qbeLPKbqPU3Sh5XNslWzX
sfKFT/b93IDtghQ7kraHFq0QJKOhkTKfkKkNmiI9XL9Xa/kizCxH1At2bhAkyGyuY157nHhC5dl9
VWF+obLTzLu+fZxbdMQXyWPWwPcsG39CCfS67LV37FS0iBxObIpL+9yG+qvHlkf0nijR9c+vXmYQ
lb1n5YGakUy9jXqtgnAAJov98eCkF0Xv5wQV/e6bMX3Psi1syIo8MU4KlLUICoBNEFp3shxKB48r
HkFSJIlotVP/1NN+NnaW9jHdAhkKyyBZYwRTgq/RAKkcuMvORWWMqp6dFdg5e/7TuotPwD9Tunns
Jio6tYYiBFRzNynz7vqWrrxqkIvlwUKgjivPoUQHTdYmRaYeh3Rvk9DKAmNrOvmKUpyJkO4mEqeD
1ZtYmjKWgda8AVl3u9qdSZCezVwdWocWOCcHDEJggAGH0vBfipBeS1Yq46jPEJHQV87v85tRsphv
KeYCQatxgRwZJ6SnacoKwhBTEz0clgiYmPD2kwarGwCgopH8oh7dDVbWU89YjmVjfqMjC4EO/F1u
IvTWFMrVEK6jSoHxN3LOmLQZ6QrqLEfFu/fsfaPk/oKmv+trWTH3YGL+K0Q6DaWEFUZRdDm6Tu0r
FcZxYIK19kjzDYOztRjx9xMDwMqxJB41sRgzynjgFehh3BCxkkwRI1BQ8wZCWtS9z0VMKMBUnekt
x1S7m6d7uFzD59G6ORkK5mrANVGnEICNi2Ro29mZM6jLcdb2bbtvyz2gPdePZM2fBDU2er4dQBnB
CCvtFVENjudono9E1w+Jmvo57Z97oHUG4kRDBby5pu8L3v/pDP7gEDMY2iLojK0jW7E2+BnAKSAv
BSZqGZqieoPimo0xH+2AMBqYSxVcX+iK7p0JkHQv08wBkGNnPprAILOoNn9wpvpFeysHI9Qb2EG0
lqBhE9ALaTsTntYDKnHg3Qf/ou/RDWuw5iWAqRsxJyg6wK4rdwejkNyBAFCZ4coMoL0lh8Yogsp5
oIayQ6urP2tPdsL81npRnZ+37yB6XIGKAQAD76qk8n2iUyQtVOPI7V3n/nTqDOn/nbFRwl+5WKia
ob4IkgCUTGVGoAHIxaWhmnEk7LHo2rCdc5DD/CkrL0DV9B9WJCjNMBvNRpZH8vt1cCAbc2+YR3d8
XpLvdv/MNKDDyBZEZk33gPIE7geokpU8QaubGWMT5BAemdY9r3yj99HMsaHja5foRI4MiuWzzpwB
DVTH0X1y8sbvbx5oAO0+FSB5cig2AR9lQIBK79Fhy7Yg/JfkYEIACCIEatgElkjyRPMxA9lepZrH
Smfqnlt969dan/uoeBePRoo8UbLwZt/Y1Xedj5qP0LEOOLAEvpcNW4UicVcl5w7XWMM1FrPIkJI9
t/GFlRhVpozWseoeGwzuKB+1biPEWxeBN1cU7dHaLVmlvutSoA5q62jz+jsz00fXq0BObEXXFX1V
MYCl/X8xklUaaZotnQoxuQmuW3cMp3/IZ2Kv/koQV+DkyS1yt8ttu7KODHOCo0l/vb6AFZcedIiC
tw2F7cvgKNeWLC9rzTzaXWglD2YOJ2VH6ANmMW7CaVbP5ESWpIMzn/BU4JE6lr3uMz1wa+Bct1JG
qydyIkTSrb5vZ8LfhXTBb/V2dDauETo9LDDPwTmVHQeboLg95BkMDs7aqJRH3Znvrp/Iqk07ESEt
wBl1tVSaHDc1q9wH9NbywFZAQ80xjcyvzXLa3S7PQcrfBsQZr58qvT7Aa3G7V0vI68wQA9x8w+wD
jAoM+e3Yf2yYhhluonCPoRWSkXPmelK8ujaPSnOoyeFwfR1rB4+nDS8BYh+wg0tXkRo2KwothQll
vvK92KIPWVPe089L97CsenvOxbEMZmRRzOp+dM0NmOBKzAtn8e8KpPvhpkWC4W1YQVrugZevSlQI
DqUSoTG78qetYXdbC5L0DDM9ihRcQcCc1S4y4E+jpgHYt79+KOIjsqXH7BnDEeVKweh0br1AEWZ2
pUHMY05fBwXjRdEanFo/dONz7b5QmIHr4tbuDkr3QMwighcDPs7Fod+/9UCoZgJ5ogOC/9kelDAf
CQYVRtcFiQ9druuvIGnzEnC7s0aHoBm9ePecTM99BtY4mrHPBbIZodsYW77Oqn6DAgAsopr4R7qn
lcfHmk7UPE7Ti5tFeb/hs61/30SMiuQHmryk21nRSZBYLebRyvY1871xY8vW9A20hLAAutBx+X6i
eN64rK71ozHu+nKHkgRlG2Hd2vGfipDuKMvGkaEFSD9mGOGwhJN+X2Xoi9hQsrWNAuODBk4DDORF
ke1cyfolBXW1rutH2jWtn2vGEnhdswUKlNaC4BTTFMBFi3IsaPQQQJ5LoUU+VbOjOC+d2dl3GZlb
f8mWJDSd8bM3EXvj1XlPqJ1o9P/KEwMAsSaUDGWAb4qiptOj7P+C2Dv7aFlZ+sz0XoudwtD+5IvX
hXg+rLeuQWZ+qXS99dUqyT8ACVRQf+Bae1f3ufvBzY0xJCAxv2sytQ9qBR3O6FbtAwCcJvSHUCfI
eDs+ZtaiHSezTf0B1drA8RLvS1Nag1+oGvO5mm/lFST1e1+fKG0bSO7ByMrxI5Ij6f+Q9qW9ceNM
t79IgBZq+6pWb7aTqO3EsfNFSDITUZQoUfvy699DZ+5MN1u3BefBYAYDGFA1yWKxllOnuNNmXpT2
YddU+PXbzP182yosywAyUY6sRyXn6ooSJwa5pxd5nbtJ/HHHq08YvLuif4rt+Wcl4CnGSBMQ+auk
GrUed0NVMS+y5joYKDnECfmIHNeOZqkWGK628rCqofFvgehkBO4RCRMwt1yq4uzBuTWTzov0UvvW
pxYYPACfz/hpms0myDn9gK67QK81ZOnIY+4XK9dauXBX8hVjmxVxpqf24EVj2931WXLf2u5KdmHp
tmHkrhwPitr+VdfdkLRzbUDLoxiMJXeab9ZPY9l5iIcy72jRkazs6eKSJFsGslCYja3OTkvNHl0k
lPiRgcppNm8YIH+3dXFNgrJpuQCfSAUcXWSNO9PZ6u97LX6fCQIGcEGCDAWJhUudoOM4+gUt/ajn
faBNXfDr9s9X02e/BWBylqRMBc2sOnFh0rS6HLwRjVvF3knuul9ucY8+utQL6mk7/IinrSiRpwm1
19uCFSfsTS4wq5g5J60EOh0uF2Z6s9mWledFuf6Rx8+m/Zn0ZVCBkm4qX4b5R7emevIgVMOLABWp
aLgs6H9XjAbVfAwK48yPCtTEEhY/mBq/K7kHMop66oM2i+2tFreb28tcUo9zqcr5+XVBeaMlfjRy
4zOfupdO1GtZ6cWtBIJRcnnKnJ3iURQxYSlH5j0i6PPLYszQ5izQ5lfenjry2DWgQBl/3l7WkgVG
yRmVPtQOrhNCg5v2bkVtWODinmR7pz5i/vj/JELNBVVtM3CBFFuUMPbD74ynWvfngMbu+/J1vxUR
tT1kSDw0Z6ihps1TIjL0U0UoYP60bHEs+oxukOD522B+H8SC6PvbK1vURA/4Qjm1EMlxRfUFsDJQ
/96LYjcet37fTqGPXkmwyTG+0dtW3yZjBdYxEq8VFpeeNAt5XVw8TL8BlPLy0sV5FU/mSOgpno+1
uRlp2Nr7Oju6+R+YLWQkMeNMJv8BLboUNPcAdfeipicTGBzrntgraaela4VODvSgoXsbJKnKZS48
u6nzKaUnUt5reeivBW0L7xR8f1C6Y/AukEsqHRjTB+TqqsSN+n7cJ72OKo+9LcZTO77/QUQgbSNU
hyFErk7Rhb7VaqPqByeKRRKUBjvq43zsyEOeh7eVbmHHUCCBu4TDQDOlumOpXRG91Fs76pgTgPva
n9YyQgs2Afy7ki5P9m4YlvIS1gmor2Zm2hGxh6iyss+DVn9u8/L9XorkkET3L4jaFjDXJOvaGdCe
iA33tXU038kpI+2BdExQIkD8ZOC/l6qbVgYvmjG1o94Ks2lfrrGGLtz+i+8rqsuSTJg2hk5H+rAt
v/Em2zY1A8sBEOLIPnlrWNOlc5eDGEGpJl9Ztc6HYks2e8wnEdnHyaHIVmzZm4IqzyrwA0APeMg+
XPvi2lxygZ50Ehkz1z+O8ey/Ylo0+shJ1d8lJUwMWuyRxCkQEli80DdoHvX3ZTmne6/z8OLXVrGv
fGd88IdCX1H6JZVEDxMKg2gLRV5ebs5ZUhdjSSt9dlsSJYMH6j39YCdlGbpavDaCdsGwAvuChixk
PIGkU2NVnutMxE5BIgvc9hASIG2xqRECGeneNdeqDEvWCXR/uMqoq2NEvWLGwaI1CT5xEplaBG4D
JEiTwCNfVvmul1QVEDmUsQDTwPQmxYp7XtGQhFZ2ZPpPFD3Lpv5h1r9k5KHU7rs1h3DprGzYpbe+
fvsKESJoVjqVn9uRnQz9RtNBfWOnnRM6lau/3ylzz0UpVxzQFscseQYTMj4R8eg7ax7Zojqgi1dy
Y2LnVJ8CvCm9N9S4dEPuVVsC9sowF/p0ZC7wbn1vuw+U1t7KVVwUChIsBKxgF7iG2/K880YknyOw
PoVxngAEvU2J99AWj5St+H9LmgFsIyZ3E0T6V3MWbFM0RdZ4dlSYxS9CxaZw0c9SG8/Ea79PQ/E5
roDWvv2CLSkI4mIPRsYDvZ8ay2lmOw0+hzaC1AL4tcgwDxh3v2IxlsylA74yqDsCVHT2XFqMIuZF
MlQ2iZriI5gmAmdtxuHiKghgMI5Ek13hLjrk660xcUkkzFAvd5UZpP7u9kYtxAMuCKT+FaFYPWak
tTujRB11qGRMXAu01A375lfvfuyL7/2c7P3x5bZIFaH49mrKy4tUmgknQCXIEmnXdNzHMwB4TPtp
Hnt6l6I1ao9eOBLaosTwEicZg5nN+mbuMU639rrmY11OJngD2N/CFWOUJWHj0F1ZgyKeJbG7F0OT
oURvennQe177zsFo//xmtB+C0Nexrmb3ELu3ahdNx5E3bjVEgNbBR9bMDfp30mn+FoTMEJxVNLtd
lUxIz4oho7DXScUCsKzwAHRWa3Oplq4/MAB46X0syFMdPFMvTc2tOhLN+tfJhNVx/aCvfpi1CJix
RgKxeE1+c2zKW6L6xyjTd64+zCTS50+eewSj4219Wvo+aDIQpaAAKLuWLq9hk1OeaCacJE2kX+ps
+Jjra8i6pUf0XIQ0cWe+AaWj3mpNTKKsNtGm1Gs76sBYwoXdJoA93l6PioR+UwHcbKA6ZbfF1exJ
y9LyOEE2OEqaxNmUoHGwtPaesmI7dNY3Lbc+pLzamkX63M3FSr1rcaUwmwgr4Z7gvC5XKmauGUOt
Q3Yp8Sg1xsVqLRzokhjDzgaLz8rjsGTikC7F9BKwGMJYK4cnbNK2uZjdSNONoEus/TCZAfPH/e09
XdIRXCr/LXOPIrH8+9kBpmVhGY3TuJFTRbH2IT/9weflDB8k6i3EAnJXzz4/VpZLcwy9jsi0r8Ji
jVPjDbOtOs7gxfv3+8ouGXPjZoTh+zm3czsgNeMgLZmcTx4zCAtEGlt70EhNPEgpq/ZNrDPEuTwO
Bpdqm0rn+T43Od25mTtsMgO0MqC16l+cumYnv5zYpqmL8VhOpX9IKiQPLV94r2VO4+PtfZK/U10H
BsiAr0HywV31QCUuL9GwUXtR5/NNNoMPKD8JmqMWmNwRtsZfuaTLso0R0QwmVsEbuDwVUGDpdZNM
XiTKA/Gfp/s0P5nW4faSFhQYFSFJfCBrT1fumy9qwxAm6gs8fwIWMzBBbkXWqvRrQpSV6EnWYVwN
oiKT8j2Z91OPOoa/spKFO+KBRxJPMmZcQZGlq3CmxGBZ9sxG+G4EMPSXyW9CO6dr0zdWZKiJujiZ
jbGePTcai/gpaacHL5u/3D6QhVPHMgCgAVcsqkpql6yT2klHauxVTr+YxXPrPrXFc/p0W8jiOjDc
x0cSVdLvyAM72yvNqTsGQBfW0QfgLX0n2b98AVDNRKyMZwBlZTVLm6AwN3t97UQTJsVNYemsZJIW
vL6L7ytBTWWUg0Dqwol6Ue4Kl9/3zfA4FjzsLecDSDi/e2b2CuD0ilippur1h2oh+EU0LbtNL3cN
qBbTT2nlRc2w5UWoH/mLVgWgOYzjFf9/QQngavwrSdUzpjGPGnnjRX6lnWjsPMW2OCSz9YmZ01+3
VWFNlBJgu1as0Qz9bxGMW5Dndjh7IkhBhJdOP25LWlC6i0Upp2YU5qiVDNZzskOA+0ETefv7iysB
Gl5OvsVwdVWpp6KvrCqGKeuYfVe5JVhrt11rfxgT7U8U4UyS/CVn12d0UksfpdFs2u9FgfGr/k+P
jGFlz4HV/MXWygOLG3cmTnk+vZiWaUFymAQHIDdXRgwrtnPBQKM15b+tUwy0rcd88icYnTI7TA74
Ir/ma07A2iKUy5OwidWIcfDQDI9u+4OQFRdpZQkqjz9ehN6lFJsk/C8gmdRT9LPnazwbKub1zbc9
2ygVb8ar2qubqUR+rxkRvYkvBMNvARF66EvjSffaJ+JVf4tY21t2uiWN+6E0++1tNV9eqCxqgHvA
uUIE5ENStJ45upFI/I+scveJn7yKYQ0ssiZGnueZjicZtUijTQCL+N1D5ps/AclG1ddcuUqLYtBU
/oY8QPuwohYGRpGYnta5UZp8LdNvIvmVpysFmkW7ACCJxBoAKKhS5TEKRhDaJ15EtQ92WQWOzQKP
fTbzz7cPZgnUgLTzf4KUW5SJrh2IAL4mnuqwasaNBzappv8kG3TM6WvCT23nBk1ZHKe1sd+L2wgE
KdJTKHqh3nZ5Wg7FYFORpl5UxB9mfkzJhq01gS9e4DMRikKYmeGkZQsRDUZx9HtavW9C0O+rhYAe
w1bgl1yNpbFyMN0m4JOL0th9Faz/alrx9k9OCD6JlAIeGxXwZjdUGBYol6NEf00SOgaaqNpNU6R5
4KBptgV9MXWnT7zUjv3c7sY5e779CxZ1EQ431ifdCLUlJDdThBc2c6OuCio7dF5yIA7W2mcW3CME
J/8JUZ70WOiFqxEIGUxd0FDvxQ/0AhRfy9YdHjVf774XczKAtLdp0dsZzysx+GKdBPYJ0yiQFpat
dpfKmAORZTIu3MhAay4ts73bG2EbdxvDrD8DYbmf6PRTJOwva2yOjpuifaS/83h/6s3+jnfer9t7
vhS1gaTKfwPG4HbIu3NmyYYhmTF4KnaiWevAOUzb/iEpUx7prJkeG+qTfWKC+/gPhAKMA2IPALeu
wCzalGb6qGdu5OV3qXXvVSEq7YQc5jX2nqXDhk1DCwZALQDFKjefZUWR40c4kQn3Kkgdsctt0gWs
6B/nfta3k1nuEqM7gIbl8f1LBFgHFhVHLOf/Xu5r4nupXs8JXojiW0t+iuaD01U7xz9Ma473kuk5
l6R4jmyOK6eaNCfKOKhxN7Mb3l6JsXQt0aoFdUVbGwjmlFdIj/N5zjvDidxccAFIceqFxlRX2zpF
r8dMq2e8+VlgVnqzHaie3wlO84fBbsSpG/r+2DI6HarUEptJm5xtlTsrGZol+372A9WAwKFMc8wO
pzxZ7K4ty40NAl/h/IEJPpeinCjNjEwDzBkVenRhtqG1lrddXAUeeVh4B0UH9bHPG6LH1MJjD369
bw2J70C79hK3axnIpQsPCw/aOzCsA9WgLCMHVNLRHHhIvl2C0UhsqJg+1k780yiGF6sW7+yneXu5
zuUp6um2vt1qo4Gk46yHMS8/gpFhxbtdCj2xGGSHgdUG4aZiwxBlt+Cv8xyAkDYsDptqNzjolw/M
+t5ai6MWT+lMlrwsZ/ayn6x0sgvYSwGcM5q3HKPamGvu+uKNQ1JLjvWGI6vWdTEzPOZJioymJo5l
TANM4TpUTAusPj/evtyLywGsEHuHbBqKeJfL4RhcOnF7cKPSGn+KCSXk2X0CqGPlhFbEqC87+qDY
WNUQY5ApqkgKvhFviwaSz7dXs2gKXZDCSywhRkvLv58dTlpkY51aAFQZ8fh3kpcPZk5WUCeL1+dM
hKJrVVughb6SIpAcsjdettW0h3rEbIGVLNSCDuDwUXIHmgLvl0r51NNpHFAbcyKHpcGEs292qBlX
5MvtLVtYD8QQkFrIuQtXMPTUyOKqEcxB5KkfkT0ggYMcujF1O4u2B2sWKyi7pddEKrWLTm3ZBKcW
Viua6Z3mldKMmo/E/Croz+TByeewch36iL5tetfm1Apmv9M3jBsRx4yE2GEl+PBy/XuX6fwIxuW1
5OWChqLIC51BMhkb7iuqY9ZdJSTTZmQ691r8Cmr7jYUS4B9sNijxJH4XCUxfuW2UWcwECgW0pjbG
HydWvp/1/MtcuM84hTsbhcfb8uT3lJych1f7H3muOp1FVF45MwHDmGRwIUOvawORbZi7mTwWpP2m
nlfMycIFRHzlobUN5SXw9SpBHkcSPW3dEb4IRgmBW3DFqVr7vLJ/Y5u5ha7j83b3Mt7p7p98HoUL
yUYqO+YU2+4VZV/rGj7P3Xu//Ijy7O3jWPz5Z9+Xd/HMPA1wl6Ymxvfzo2nsqnR3+/NLp23B00Ub
C6q/V23tGD2iMTi1dtTkvA0axwvTuXkF7ce2GPptUWp/G15mb7R+zTNaMlXngpW74w8+Ej7mBBCI
YJsh6za9LTbE/Dl4cXh7iUs7COSK5JHA6Iyr5yorBuIA3WLjpX8GF4q/8kytfF59poaKF4NZ4fNM
x2T01An098NVEWvJRC8MH0y7Eo84jdn2UzdYEXFBtNUAWrq3p2ytF3vpPGBf0VMGWJh+le9oaYLI
Q2hWZPJ9Pu+G6mA2BxQCb5/FohTg9gH/BkT2St0MME4beV+akUBiYLTco8cx0H3UmhDFrDXzvODi
IXGNFi28hCBsU3HEDIhocA+1ZtRMVoLOgOGOW+7Xqitfa4C2g9zxk6BG4Hx7iUs3CqVZHSAKkB4A
GXJ5YXlGkpFkowXoubivgNP0BFoGLPZ96rVh06Xli+UjU9/l/jubD9+KREDbyW40TE2Eul9KRudZ
NjlNYkV6132m3L/PZr7yEi+9eEjIgZUOTF3Xw5SLdKxy6lErKpqDNk1BrIUdfb29gUvHJrGmqJ2D
buGKV7JPfeAC/BIgpwRZhcAY+E/uV3FgFk7xy2zH7JAPNAnj0tK3tyUvrg5POfQF795V6bYA754l
dNwBoxn7b8Krx2dPOBi8ZA7zykVYFPUGtEI9GgMYlFcpn53JdLWKRHFWfkg9fsgMeheXbCVTu2Sc
gLQBnutNjJrDRwF/rAWtIYbvq2KTrTFALS8DMHo044BJRL1iBnObcnTw/bn+UE13XfzdM778waFg
VgziNHQdAC18qdWeVqRNidpq1Jf1s42py34a/1V13v8mRmUBnVHniofasfCOg/G1NKm/m/DiI2lB
nZVwYHHT/lvRW9b77Emnjt7NtPCsSLQbalOkmEDx4awo2JKPLkfs/LNtb3WXMyEN0tepPiWAVqcO
cIKIQLUDd0uynZou2+gcOJ7BWoVeLS0NOTqEhZiJhLmqivGbmziX+HQS6XyrkQNNPrBsJaWyKAJY
JEjAgw5Q1KU+iG5Kych14Jfn/GWIq49WDop2ttbtsiZGvmRn++cYCad2aZFo0nj1OUtJGqIZX3sd
ZqPbrmi4iW+pLjcaepHBgUnVrygCR0PnlkUTO3LR8RNgRFkP7sW02VSunYMsMGHlA5+naVcWVQn2
h9jZCIGRHU3cZ7jYEwDPWZsdWlfj2zEx7C4YdD3fN91YbsxSb+68yajAzdcOwex26Z1TVicmMI8N
E3myXQuml0OCdqOdnlno9iq7gGfoJ5kcA+a9dn7GjVUWgT238WYYSieAQyI7z4duM4CX4m+Nm4Ch
lvo3W9O1F0SM5lajU/PQTCOcYRQRyS4m6BRGAt0IJIPSkx2DdJKlNA1J0bfH2i7Tnd7Ha0mrBdsH
9D62FcUJoIvUwF7LzCRLXMAAhbGdwkSsnNqCK4PPo3dBDtGA/VPsUj2IHAi80Y6q5kGnp7K8b+pD
ytcaiRdXAe9F8q/DrVDBjBlmRLtoPLWj3No4YwBS2xXlu9Y90OtJPDECAMBvFT3vq4ZhBldjR1x8
dNsv8xy06fs9ZJlpA1pN1mfAT3B5laoWtaemATifkyfzoWfv90lAWwFQjC8J3K46n6dEcHOMuR21
9Ec1YJQiWHKMeWUNC6cNa4pWBiAhsVWqb1VW6diQ1ifAQvmhZXGMc6zRUqsFCYho330iF6KUE6EJ
JZU/UDtK/E3ufKiRxDB3t0UsPQ5IeQI+aGE5V8iunPkzy10822XfPsj0tCjjBHx39qei98iusL2V
CtaCFntQYBQJddPDeCtFBTBXOWk6jVgRcHPfXXfaAUn2/oT+hQhl2zAyJ+773IJrahjhZNiP/mgc
JIrx9tYteac+BHkOaB8kU86lMs+g4NCKzrWiceDPrSHu5nreO5wA7U9F2CZdFoAqfqWmv7h9MJ1I
uIJpm6gZ11lLzKxPEVM4/BGMcHa3sncL38fIaFgBrAxhi1rQyyfbzjrMhYkmBy2XGG9Wg5vy9r4t
XCBEJrJGjMEO4BZSSgjlGHdaOcLpcTz/Z2K2+lNncbHlAiyVZDCc9wfNqKKhgme7CACv5jIObYPB
tj2at1wLJNGmHVb9itlZXNCZBLmnZw7CoGEc2JBDQkdjjOn1D52GMardvHG7Ys3NXjwfgi40STou
CfsuZfla2c3S/Y4w3KxytW1sv3OqlYwd4Vv8K0ENFDJnQh4Gk2eiicXfEweY4nEQX70RVu62Hsib
rvg6QHbj9ki6NHBwKPcH05WGOo9jKxpa8bcWG5j1Akr1gJv1miS5KbckKQck0NA6YzKOFWkvLduS
54Zh7zYdC0WxnaeVG7q4LKgubBtMHPKYlyfkuSWac2a426RpnwnD5GmOicCTt/JauwuuImSA2lla
bWDylGtEzLkG1dxgRu0ICq1J5wAxE26jBbTporS17RAkWDrmF8/Wo5U23WdbH6fAgtPfBk7NxiB2
3EqOk07qvzjwfUBpxP3OtNvxJfdGZzOyxnuwRN0cHU8rP2MOfLYxklg84dyyez7DtpK0sTeTVdFD
28fggYknzndmTIp7TJsY3cAVhbtxKXEOvG7rT7ZW5/d+EtNwyg5z2x1rNHhi3oWXh6Ab2Ccgkx+N
DUZ0j0kcFo53z5KKfIA/iCQ3F3Wog1vnkVo+Gh80vb43vN4+2Y2X/IIf7G1tnzW7mg3zjlXDFOp2
Zz+LAY5v51TpBl6V+2sq5bCXkpmBKTotJKQZt1bs5TuAptPHMbWsOz8267AF1+zKcS3ZCEwJQDkG
qUfMuJSPyZmNINXMKnQuoVsCkPbHKgkLtg1v36dFEWhjAOWu7NB+K52ciWjimhILgw8jJ966vALI
NA04+9mL77flLN0mMIn8K0dRcBcsZBRtGXZE2RcqQCy8ncU2Y8MmHUVgiBaFgrX83dKdOhep7B7g
F5h2DAaEyB92AB868y7pd7dXtbx7oKOSje2yVfXygCobGa3R7+E76gh50gppb9C5zQN71cga8ZXi
dCFklaVZdB/IeSlyKPGlLD0VFuA5qXmCg7RNZ+fo53AlEV5uWlrvLLfa3F6b8mj8lvebJgIJQeSA
LuUNcaI5pZGYJ5tv6Nd+jYxX2bp/Pg+Th+QSQlcVkwR77c+TkZknd0riZ5eP1rYuaw7vZCLaxrcH
e+UyLa5HPuZIUCMNrjopw6yVBrEaE4OPHlzxEZjD2/ulqNvvBeGqYnYuaoxX8WKNWfVFy3XzlBs8
rGgUU5B4vJMb4rcQGG/wWwBaeNVRX7udqRWDg10TdqDPTmjF+o5kn6xmxQFaOh40XmOegnzZ0bp1
efpN7/iTl+L0u97IN5mdfTEHEEGZBgYxWpmxRlWzpNzn4uTmnpkhPDwO450UZ79S70vOd3G+K/ov
lv/y/lOSro4kmJacqMoDaIAxNkMCHVOHuhd3+BbPuzpdyTAtb91/IuQbfLaWysSwv7mHCLc+pv5W
zEfSHNGLf3shikF904TzhSjmwCgaj6H7yTxh+vI87pJ7KtCdtU/jwPoVr9XAFoVBqZGpQHvKFYAQ
6SKztZAROfGqnY46/Lsnpjcu2GS5cbTBEgXwZDU4IUjwmR7E8bgGCFvcU4CZwTsgMwDq5QVXUxZT
FHtORtJ9qOrsx9jEGOYBivegX+VNWrrJqMX+K0z+mLMDhP/g2pOWw/LV2/qvgh2Qv7p9eEu2CA4Y
4OKoXAOMqKg7mu7m0pe2tbcf0/SjUx5vf395Bf99X1lBnpm85DozTwiogsb8qy4O0x8Mw0Mc9p8M
5UXnE5sbv4eMJp7HzWjPX6H5MpXXf/3fFqO8432XdMxwcJ8AutqD0z8gWh+mWnhbytqRKM9dRUc2
CgIpsO8IYBv3gM6VPzGqaPiWAFSUiNRkHAeSS/Sea0CxwuSDpm/qD2O3so7Foz+ToeyWG9dC08Dc
gbFq3+i4a41D1/+6vVWLIlDkRUZO/qPiTEH+l2RGia0y87sifi2RvNCHeOWKrAlRrKhozdxorRjr
sD/ptR+wcUvStSrH4qGfrUQxoqyrQF5mQwjITFyMNng/lbQlp33BP5QM6LraOxg3es/GwbZODTz4
+vugrzkd1wuwdGAS0OqMrIsBCMylqZp1EzOgNBD+j/ezcIKiXau4LwlAEzzmdACshyy1ci1iYxpr
LbPJyWb61huzDV1Dp1+bdgz/kbE8ktNItnv65RKqcURMOoK13hJT8pAMxhegMDCoLy8f/TpdcQKv
/QwEv5il5CMPYqAnXTnwJB4yJ+s4OVVtOGev9QxDstGTb5YV3r4jS/uGmwwZAGQjVSHV++wNaeqJ
+mndklP8AZj7uFgx8MufxwRPYEwtNCgo6xhbs+ltBiJfPbvv0aXdPP3Bz0fLgI6cEU5fzVfXRR/b
WuqQUzNt8n7fmqfb37++3RLdgCkFmFQvKWMUN4y6+QhiKGqfkFJh+QGwl+z9byxEgMJBkpFY10lP
u8QE5gqzn08GH43PIvWHb9oIJtXbC3kLu87SRPDDQBIP6ko5yQb4Glu5IH5hgB2knYyTNvpBi5EL
SJR+H5HH6ONncLkE3sj3dXrXjJ+mGWOBxF95977k+NsvAK8DsuKIOq6DUKPXRGITTT+hUKbvy9Rc
8TQXLiiQXf9+X0UozeWcdLpJDQzSmXZJ02zHggLnjDRi/D64wdtKQOwOZChBvQrtE5eXxhZzrZUF
3i7STNuPXTVubx/Wwq0BRQm+jrEUALzbyptikIKV6ZBZJ8177U/d2nTHxc/j0kOlgbi7Qp6AlYQb
gBJZJw+DYIdn8n6PCyQa/31f7TlokrxwndqzMNcRWakHjHMM3ktsIY8A1HME6SZEyaBYV46gRkaD
2sZgnTLcyRQ9AWsR7PXNB9QRTR1IZsCu4PpfnrHejlYrK3onLd+BVRoInTQJ33vMEAHuFlAooIDr
qamFhMZ5LwgdME7jS0xBRtGuOEDXNwICsEPopkfxE+Rkl2twO5uS0dX6k5WXOzxSG9TVG22Xeyv3
YU2O/PvZIyIw5NhAvag/JXDjaw2FQ7GL7QNH8f72ji0eCgormCAFYvirckdrmDwf0RmLieNFWLf6
zx59kZZDf/5vYuQFOluPCWr7yQYh0Kloyc4C92cuyh+elX+/LWZp24BjQ34bzSYAJCoqZgAbY8+i
606MnVwrxWQ8HjB7Cpv6/bN/EQrCOYI7D3OFO3+5ILudW6d1rfZkO/sCrI3+wUnawAP9ZPJ9Yi+3
l7V0SBLAjUffdixkAi+FNXabITmotadqPlD3lGcHq1l5ShZFSCQyMiT6NZwXMAgz76qsO1F0qwr9
UU508taQD8tCJEErSkbAySlWuAGGMdMJaU9ILKFJH7AO21uxAEsiwKQBdi1Z57gCfelU66lGoM+5
+Ix26aDQP61yqCxpmQdaUwRA6NO/yo+yujNyMHYMsMbZnSvIR7+0d6KvQ2F7K97etdcqi102/pH5
gqtcaZq5AqmZfDx5cxe4/DikKFyYoTV8BnvDu+OuS1lK/BjXfjtgKOd4IsMXz3uuQe9YpZ9va/Ly
1kklQ+IXM0YVTa5pBsRFha1Lxm9GuhvZnZg33lrD/JoU+fcza2MbSWEwdNieiDbujaR/m8Xumh/1
ZqWUK83WpQuILYOeobEUtdUrjM2QdD6tAUc/YUREgNbIIJ9WXLAlfT6XoByKPQo/Y349nmrr51je
xexY2WtNcwueLGjZ4BmhmCGvpaPsVxG3tZdPIBqux690eubm3Zw5W+KjTpiwoOMvLX9JymKjmXe1
+YDmlZVFvgEX1X0E0B7BEqZhoJqs2G0v8SjrXXPAjDzx0rvWHSuMJyCYPs2etbVmZzNV1r0tM4wO
xhDPTv16Wy3/Pz8AOHn00AKioSaHhY1JioMJjfHqx8L8ZfR9WPNdpR317qvHtp04tMYDsd6dFcK+
AxP0/6Qq9rCY2qnhDqROtggqOEZVOKU/EnvFiCxdh3MximdXsbyz2eQMp8p7cYpXEPUIzKFzd7f3
cOkunEuRfz+7dOZU2lSXUnyXBVSkAf12W8CSLQSuG/hQyVp9lYqu+VyCumSAktRMbPSxCZM532u+
t0315FVzk6+35cmrdaWUCO7kOwL4hGqrLNipicbzcIor2W98NMDK041HYzBDE9itvNzelre4gYCi
gTFZsreqr6PPLeZZSTKexAuLvxBnxQWT4ejVcs4+r2hBnsam15f4vC6iogNBchJSzFFCSSloJQt0
H+raCl75WvGAOkFkiqYw5BKuoi6rpinSt0kJvvQv/mCCzWybJtZGpM/v3TmZDgG3KfJUBIU+RfW0
ri86TNwoTmXgTMnGx7+3BVyrniRORU7HRKncumqRnalZjGyeihPd+cbW+eVPqIdt8xUzeG3rpRSk
dpDmWug30qyczmkPKVlNgwA4iWCtknytYhcS1IC+zPrc9qQEw9vlIGBYI6Re/D7xZbsRypTACF7a
ANpYTSf8GfvEHvnGWkPqLR4D3lm0+xnoVVFzRzO354FaAz7vTgFPgQruXzUtNPywRIx0+8iXDsMC
27scJYz+UfX2j0MOXk2aFZjj/eQimii23lqD5rWBseE8ggkHHckor6lUB3Vvuxnth/Kkp1lodHfN
/GK7AkFEt02LnQae3ttLWtq+M3lqFoE53SjGvClPldkHRu4HpZ0+Ee4bgS74ISn4mmOxtIfo+UEy
TlqB69Ywh/l2QfTixPT0qzkyuElsM+VrzMNLWiczYHLcKOCVRHlGCSs83qUurv9cBMeJruUTF5eB
eAJeOCqhaO+51Gqtn7jHB604odMO+HX3b6NgRTDGw9pk9wVHTPYpIxoH+xL+RwWDWaMJE0BZiScu
D1px1KpjMU+B7gB4pB0c59jwz3Nn4EeAb2D8lBfb92vIuXzV2yRp1xUz5DuZ+F4T44HHrA0Afdgl
dRGRwn8f+A05JzzmBJoPg4FkqicfkHOfgcXMa6akOdEcXN41nCxwd7AVtV9Sj3Mh8lqcCZm7rGvS
EUJA9A+SwPjx9p4tfB46YaCvDcMn8DrIv599vpmsDoVoXp/sIEWlas0OLX4eHzdlUku/KidQP6/n
uJgEBl8mQdN/LVdc38Xvg9BWlhIAMfKVy1NrMRtZje/H4pnvdfbl9u4s3B2kRfH8W+C0I1dTZ+LY
cJOOM3HyO7pz9HqbOZ/6NcO2tAY8CBLDLx9pdchpPoimQrJMnFjyvQV9ejuuODJrAuTfz85Y7xu7
h/ckTqbztSK/fOPp9i5JPb/0zWRV6r8FyF08+z5rejrY7SBOE5h2e3s/xpjHd6+Ll9tiFh4A2TwL
5gXwMgOErriA5cD7sp3t8sT1Og3GmlTojaQnlBe/xr33oiXtyt1YPH0PgzTBigSTpr5wIO8s89Yz
ypPdlxNS1ij1YLzNvebXa3w2SyeEiisag8E7C/ogxXJNpajQU2NWp7QLp89gz729c0ufJxZUC8Qu
SLioeV8/znLuObgliQByf5z4+Fh2NNv+b1IUc1jQqcdEJqhZqWt32UAweW8NH7KwEAxhRikEXuz/
cfZly63q0LZfRJUQ/SvgJonT2E7/QiVZCa1AEgIBX38Gu+6tSmxXfHIe1n5JbWR1U7MZcwy0UR8y
8EHC0AQBH1Vb8jq0l0P954QIagffPn+wDZOAgclyfB4SGhk44Vd/XiAoW6D5BMRFc7b64B6CghFp
HYHPp69292IZ2ZltPnFe8YbDFQNlLpB2h8aw4L4hsrHqtgTwdYKafQXdlnP4rVNbAJ0f6JjBJKIC
flD29nJi9EKzbstAXFAuEvTr/b5KJ6wJ6rfI5SOzMOemDzahAaNa1jmJ2o7u1cAv8+FqhKTxOXmB
U2sF3M3cnQVy9yMGqUC1Ii0MrNU4sTCtP1v6SaEB/PtUTq3Vt0H8A4vVA9DSuD3WqnWeRdTVZx6/
E3MA3Ash90zzjB0/OE+ACWeyI2a7NZJVQcFQsv3955/7/vz3b3bd5MRnjYPvcwXZyXttRRM/Y2JP
2PS5fQ3t7jhK7tE2gMY7MAe/VNsWOyzNMbbpc1uDgnmXdk+/z+bEZgQBitpAn87MmocgJtJKsxtq
LrfPZrCtxjNrdfx1gA2gZASsDHABRym4rgV1F82JvQWkuV0n6oyreeLzcM/wBFH4OjPe5GArJurw
rB4sWHCQN8gidBd/XR3ks/E0QM0XNABHDBUdMbwBtSYATNLPyz779/evo2sUh5Siyowi88+fX/VC
mWaBDobxumpv0Fbx58/POCW0pSLUnVv+f37etipPC0CMt0FFl1Y9PZreOf3zY6sEIlFEu+h7xTyO
ShlF7bS5DT4rxDZh5kQyiBO5drozntrxjUP8hwQyavAY47inM88UYeAK2foqXVTuovDIEr0hf7aw
GAUPKJYKmsreYVeisMXgJ4agALHosPEuDOiVjltin8l4nloyiphzZrCChMsh8B8KB94YpBPdNma9
Jg4iwSmtbpBjJSGDcuOfjwDSEchGwM8xEQ4cvBq+n2aVkbTG1gtr+ZQlj79//sTGQB0cXeqIaiHR
8V8G/pspzHXmC1Nwf5v36qErEwxihYFpPPw+zIlr/mMY+vMg52DcHJkn/C2jTWhOYT+c2ZMTA0DR
jSAH+J9w92FzROeqIK9MXERbftB7Wp75/fMq/4wEcEMA6kNDP8XDeuhoJuDscuuGOltWfaRqyZ9J
sxnokkzLfPj681Jhv/+TCkP1+KiqbPptm5fCAhJrQdLLQq///nlwJ8HmQqMDGfsDN2dyrGzqieFu
a8iwoH5yLlt6aiO+f/+wZpSTYiRm7m3NvUxKNIZ1Z3yPE7cPbs0sXYnLjns+n+hvJ7YP2qD2mtTc
1mB31I0KywyNgJxFxjni2BNTQQcRfNq50wtkDgdLVZQGa0cuyLa9LHpQVp8pM537/MFK9VQUuVG2
ZFuGXhIW8owxPPf5gyvHrVzOrCBkmztxkUX5OS3JE5YDbe0ADcw6n8ekgaLonKlIi2nLuh0YCu3y
dSj+bpzwdCOrDM9/TvIfbPVo8F4YjQTkuPDDFg1V3nhpD2e24eQ8EFPA24TY5BG/emaTcnKrwtwq
MFeVw3ZordDr73+/dScHQZMn3j+ARVAU+XloueV3RiETsuXsdnI+k76OnHOww9NjgOwL2wIaAG8+
EN8uRle0SBE6gAWCgj4tFRg+bjVVf799c54CLhVKIbgYBxMZmEiKpATtGqm/GrpJsovEAOLq4ffl
OnF2f4wy24BvUyGjZ8tGZGRrOZ8NuSuT5e/fP2HOoRRsgvZh5rtEkv/n97OqADi8qglA1Du7eDTa
i4BdWBDBVY4I63P9R6dmY8PxAdQRYeVRGV2DUsIru4psk95ZeDp4Grtzh/hEpXzO2ALY7qF2jVjg
wBFNepR3BZNkS8n4LjVddAxMRFPC1xWK2Jkj1v5gL9zGXVB0p0m8ZmcOxonThyYG4PsAG4c/eYgV
QLNuQQw7mLbSeHDGayu7qPqL33ft1DqimoB0PxrF5r37uWsqT7hRp3TauoW3sXp1kwT9mVjqxOMC
wAMyVnO94hhmbSamm8pqHgJiecwKeVCHevxfCD6dHAj5Y+CUZs/7kAFAYRccLjSMP2mmEB3WdkjG
IYZuSh5xPjz+vnKnNgel+TlMQV4AUlY/V87Pa0QZwsVL1uSR0yOBku+TPIt/H+U45oVD8W2UgxfH
b3LDkdQhW2Y41wy8Q6ruMNqbkauVS86YiOMp/ed6A/VJgcDzDvshlZSpzIds2hYdR6XcjEybLajx
/PuUTo4CGp2Zdwjv3NG1yqCZxSpv3JqJkYZBNt1NunZDo0nPvEKHmoBztoYgkfn/RzqqAZMcMr7l
PJJJQ8b2ifcUsC8nv29bFpIO/XzZ/yJNcXwM0eYBuTaYDPz3qK2gKw1iV5qOW12FXbkQXRiU4XSu
/nxqFefehdnUIsY4DPIT6g7ofRtwq3IJLNaIQP8uOKdCe2wdMJVvgxxYB6cTLZdsnLZGR0DiojeO
1Z454CfnMT+uSOgANnF4GnJddJPbOuPWC1ZsujXG2+6PWprzMUAtAGSTwE3Atz0svU0luqzaom12
t760QwQiZ8z0iVUCLTbyzLg2c3RxsEpBawBvHGTNzknq0DfL8O/9SSgqm0CS4n2dMZIHDxGVTsEQ
Bde7rorHepk9/H4hT/3+b58/zNKCIhnW1MPnM/qQTks3u/8/fB/NzbMI7MydemApc3CHm4Vvst0E
djWKmm5zBkJ+agIzmd7cv4V0mne4Pimr5JgytivDNnlumj/HwQB4gP0lQO4RCbvDovhEau75AxE7
WtsR+sNJfa6f8dh3wggzey1SRoi1D1/h2h5MZTam2DldlJGwCa4KMyRsUxeAwZ6BPx8vFsYC7m8u
7eBiHL5bVp9r3hAlgXve8PFKTOc4ZU4NAEgXylPAQqE37MARpBmgftnkiF02ljFzWZidQ3AfP4ro
S4Bbhh4XoMeQ/Pr59HbKqCfCJrGL2+AmCOKui9zQPCemcnIeMx0FGAiQOjhEKDDi5W2qA76zGQQW
piDCo/HXi4F5fBthPhbfXPLBr1DlGTBC1dWRzkmsz8FNj98ijIAGF2gvz3nmQwnXgHlO2QSE70R5
yRpA0tZtd6n04s/zQFlhVv9BA5WFXref80hHYFknXPNdq/jS9MPaORdcnNgLYCbAEAPgywy0OzCx
XlZkQ5D6Anw9D3Vz1/7ZC4ayI2hUQF0HZ/jIghtJM5lVnoM4LLkbiqj+u4GalSPRX4btRsrxOFRV
yguqpNqpTMSJY4XKWP++BSc2mkL7GE+oA+12vNk/twC892DLVW616+wlN65deRmUcXWOLuXEKDN2
xcG9m3FiwfyYfzuwiWtWla/7emeEpfz8LIOPc8bj5AgUA6DlAG1Hh6k0t+ONIHzATliX3H/L8nv0
+KPl8MxynTC4c/5jxiCCNxxZzp8TKZGFHhyFJ89wyk2hndjQdixUsBwImrBD0T7/vj0nzu+P8Q4W
rspE0ssC40F+YuHaakHONQLMX/iZTQWCDxcdmTVkIY8kOnpSTEM5ePUuEUtoN4a2H4pz8imnZjE3
4nrQBgYA7ZAvN23MrK4Ts9l14yuln9O5Ru9TcwAyB7TWSIfMhcqfu2JWntdVPq133t5SYSBn7eHf
9+HkCDCFyHTCpQHT0M8RKpBggaNSwNVB74+f5xHEesKpOFfLPXWKZ4v7/4axDqI2UaKbSjoYpmEL
u74zij0agMw/JyNRvp/lRcCbhb5Y92AQSJxwn6my3ongk+27c51YJzcb5THEaLjzeKV+LpWseg8Y
B4IDFcAj0dWiKqoz79+JAA1TQL89ju4cth9mvggVht8WZr3ziRFCLsyBsEHKP4uiWDBjDDNUfzQn
IR/4mbU7dQ7mHlnYgFM8SX6V1bKdHLbj06cVPJjikY5fvx+1E04K7D2cOcAGgHI87F63s7xLmYbX
67IgMhvr1UvL1eTU/3xBwyA9Ry50akbzvSQE5IcIpg4S67ZCgNO2Cdv16Ga1eBMawlxYwf9h3eZ2
sDldhBTyofPYFFkPOXuMIvqN7636Iabn+qNP3R3wUaLRGyg9nIsD525IK6PwBN6Yjl0B2bHIBQtb
fdPqc+CUExuEPBFidBPnD9TSByumqV0D7ThmO8WG5742Y7iCIUmN0FX9YtDe05/PA9KIAH7CxUDU
fkieHggFhsGyrnYB2xKct+IB7IvhiH8kuf99qBNXFxhkB5lRhI2zcfh5dcuBwUHuHTgD3pMb9vTv
jxlaRcABhm4eeAGHhyAZpwQEi4Ltqvu8i85S2p3IuyJTiMMF3B5o3qCZ+fPnp82EnZFwiwv3PfUi
NhQrX7Go7JeKQHd2mbTFoqlvEnrO4z9x9H4MPP/9m3sjXa+dIE3Nd4Ohr5WrY2+wNg1LLkDRcuYi
HWr6IikxTxLknnMDN1xb6+dYpMkqUDDBM7fAM5YWNz69tvvrgr+wLli4/psb3Fs5jxNXRd25K3bC
+0EqluBswK6DAfbgiqGjMzWl6/Mdt/8peRVYG7RhLLxxlYh1elbG4b+04YFrAn9hthgIzSGJdvCs
SwG53RRUqbu0uRuHNuL+gMQsj9KSRZXz6aZrWyxa9DlQ0HtxcRdYiyZ4+f1K/NcPf/AjkEeFwZ+T
6dZxnokLr7SpljuHgE5ddG2IClWcZPmSpta9xeiya61nlMbQf8pCBt2M3miXKQICNiqGtGsdmzmY
+6TVvP3+047sEELkueN53g10JR+y/qbM77MpIWKvh1sIQIWjuZRyYWcrkv45U4UB8CYFM03PjKI6
MAzWwHUnZcf3FmPRiqflmVN9aiqIceYyFvK6MEE/D7ULHUqa+QrfN8OGjjH09eL2oxVvWfP++6Id
mbh5qQjiNSgczNyhB8a7KgtlDbUt9240DQuWLX///NENQbgGBmZsC67pXPv7ORGnpqM5SbffO9ZX
We/zYUXkShu7xAH/kH3mZTgxFxBEOmjHBF0EQuh5Vb+ZHdoZWlpuI/dQIzTIpXn3+1xOfR6Bsw0N
Rw+IrcMqUsvKpLerTO6l9ZUurPrr759H6QiYKtSpQP9+YDTn3L1fulTu0az9oc45HKd+/PevH6wN
75jbebkl94K9Ra51JrN35DQhn/D96wc+rl2otAfhs9y/FuPOeNXd49/XBvkjGBwbjC9HlV2j1VWP
QpXYV/WLqtuoM+0/H9S5jRlRABKrSBIf2tYGdDKGmWNzs+B6GOA2uxtt/7O8q3FaG+2f4xp4SXiU
gQdDlIk0ycG1MGw8jH5TyL3OkHBjKmL10vEeIGz413XDOIDOAQgBmU5gh3/eCGBdgqZPO7k380WT
L/Rf88XzNL59fj503y7cAOWPtq7w+a7d5Pyh+jMB1/x9EMXP7JtQtj1M53I7KLI0wfeJ8uOhSW+F
YJFpsohASLW0/PvfV+v4FAO0Aw8C6WkMiqzJz+lUQau8dBr0HrjG0NSfqffo6jN8n8f3cGZ4A1gc
DgPCjEO6GT2lJdzKYthrT8dOI2P6ZyOIAeCMY8nw/aP+iTRpq8zNO42DHLbZdWb8/fsoC4OMcg5b
QJZxYEiwdGL0Sens1bINwMYMkonfd2G2cz8cDKio4A2fb7tLwHd5sAsTKyvIVWXOPihfnWKfs6VF
lud6Gk5sNe4eLjpicnRIHXpugLqP8G9ye9/uQJQcq5Ytsj/zBWIi38c4yCv0ylM4bRgjz2mc60cB
JY/fl+r4dcUIYFtGVW7O6R6GeHbTdWhpxQjQiWfWDR6WZVV/kvECOgclOQdxOLFmiLbQMYXOspmn
bv77t9tOIMMOWIpF9/5E1iWJwVBmqHT1+5SOdx8AXKBRUMCZoaWHlhG836ympU/2pvk5gA9eD0k0
9DnSGF3055HwpMyxwxwbHYGLdQ7QCXIp416NNDBCoWV/RROPvpY6D2K4X8mf/Qf0ygEbAt8dER96
zn+unz8lIx44Ze/BZ972C3Wudfa/bNjPmwP0FlR10MYBs4m783MAaXnJ0DS1tTcD5SxSw6killc+
ogLZXk9sSgcU7zkIp/2MpzE0r/WFrW0vVJMpriZob17wmuU7UwoVplrmK8Sn3k0CyomNxUZirEbX
7W5Nosoba3gFqRhwuS7E5By1rEiqF7VEIjAn3KvDxCnaWzJ56WJwiPHeVqW5Kwp3+PtpQU0JuTWQ
giMmOuy4DsC2QNxJWnsffAtBdT9CHmqYVqM6Y7WPo8y5eIWhZjVCABIOHfKhRLq1y21r3zt5aOm7
DogL238fWx/8DmmYDpuuW1F24YqYAcLy+0lFAHPi2ZjhnnOLEUgcj1hUBbQ+Ep241h4YjUfKA35d
p6RaD7ldpEBo0l3SKHHbuZRFOMPWStIRPMEaDY5hMLGBRcFARhoVgStWg8OqjVDqvfW9d1IC38md
KlALk6Xe22Rm+cPkNmhm8jKUgyPbShIcE+vDtdH6BYyddSHKelY5CIYiLqTBF7qrjVUg3WGXDd2w
M8bAfYM6jysgPOkZS2VyE51R6RcX2bLzoBad51gjIYwSXzdl1KcekseQ0LnIk+K9MMpsyZUrw8Au
q6VlZuKzHMxuM4Am86r2FRLykuavWY1GnDAbRwrbreAjVKm9nCQa/iOROa+SKQclUy9/xnF2yxCc
EnvT14+Vbpt48qbyiQVeE3e52S8xfWsJwzNEvZlM67wqSeh3ZrngiQH3T5UPINRJoTJmkIXVGe/T
aPsy7NVEs9BLffZljEMWdi7slF1y94aP5kOiSfkgQYa9Nrmkke90XhWl0GI04wyNbtaiCwtTPHWl
Cp41qrstVDwKsjJ591aK/skM6iE0m5Fe+QEWPawDkkZS8eEFamoeNqdxJjQmM/Yw8gZ5AGoEycVo
WW3EaAElmlzbTejLmlVxXVv+1u6oRrUsY1EiGBA7pSnTO89qxo+c9J8QXGiXgrev9YQccZhZRmqG
NslQYat6/xHyY49D6z/RaRoh9j4yslUe9B2BTAXduzGmMZlqn4esT8Fr6QZDI6POMOp/rg98WpUm
adS3Sb3Lka9c24G8H/Ps1TGHbVoXGY01RDLylnwqU8swadzhFpIiWsWt3znNdQtBmpWW9VcFW5Us
0dQCqou2d+7dvBddlHAwIsSmskAqnPZ+60f+MOZ74Iaea1fV8LEMSJmNVO9Kmb+awtuOheJtaBT1
szb5x5AJGP8ys6O6BAONdlIdQUPOC3Oe+cuWu/IiMDoXKgo5tFwqXmQshmCIf6WmLBchtwR4V1KL
hwTiJgsXYuirppjSsHcUj000xX/xcuAXZckeqhGmgjSlDa3j9KlrDevRrWlzMY7tP+Gqtg9dntaX
vBqNqFPOa5dC7D42PKv11yyfzH8wPknYSKi5w8NTCwp+a7mFOQanoABxGdMdVPd42cDXz/O4grRO
jFrmIzPRELIGL3Cageqg7OzbhABdM7VyCoWjmnhIrBKvbODGXpV/uYWoY68tMELjOxUYvURdLYGq
mXCUHBpSTTbFaJE6tEdbiIt2ZHYImkMzcgstojoVYM+rGggnmKCdI2ieipBeVTEZyy3NYKiVPbyD
Slms3IqlkU5sJwqosOhSZ6j5Ru3o/7Mmo2UbXcrrEjoP17WuIamSNPKBMrYZC2NbeQ03VlOPFytq
bdKDQTW/T4bqxfQLGB6dO/YUO7l+5mAo05fSz4uN00uYta4uezM0TPC0s6LIkrD0UnHNLYJWuzIo
9UNNWKovlGOka+3wdD+COsRAn1zHEYM4dVgaqbXCa55eCMXqfFEYXpescFRvS0lWKoFyekfLZ4+A
7AH+oYxd/IKo9XgTZaXRdWGa0vya+kN2J4ekjHXf92IxOvpKE4HbV+ec8LgeBv+DwoNcDllCPhK5
7Kplj7aFBUk0LgDoCW6HwqYJAGtuCjJn4t/InLI8LhtHPvnSGu9RJX8HHTq5Yqq/qyvshmHa5BmI
PV+HZt5mUVB6Ig25jSb4LGvrcNLVEFUAxW1SB6o1FRR93jolk5XV++wB2uMQgy9e0FXGL3wqnA2t
XGvji6Za4jobUe/00M4FXV9YGASSi5aVgOGgHpcT0IMbo0yM+spy+34IKza9g0KrMFYWqjv0n2g9
H4ySyqZxqQcdd7D2YQVhnxgVdDvuXCGAzVPORKBT1wSh1nYQWn710QtLR5XRw7jWaH26GHhmsuty
JpvZdAw4tRHgjTaWlWE34OZ3smDRMPB9KErwEFFXw4kdwJKYc0gRtGurG1+asfJjl4EVgNOJXaWT
3LQ6U6HqK6BTzeo9gAMFvqrsVnkTjdteWgvHgRIF0bCsju7tsLW58YKH42u085xEqmm62KejxAr3
iH7CuiOcY+pJbq48vH9lPFXVUK7GsWY4p1nahPakrCxSXV6FWR2gMddpHsgoOA89H1lmSyVDDDDV
uvCMaKrQ/G3WNehR8ROJxXCqKm2tGsOiizyjfpR3fnFtDSULq65azYrYiYl9UT1+GJ7qbg+EPrmj
Mq0jdK3jktq9ALFMAcLyUFSqfgTTbrXkI6ELJy8THNqk3bvDAAbQhIutBiZkbYEWfwPwcLqqhgla
W0p/jVjKCC8uj3xUh+9cMF+s5pR6zAJLLyxb99AcpYl+ERW4/YhZ3AG9lSxqo1AvsIP6pSrHMYaJ
bi4bP2t3PmcNjINniyjxdHlDq3F6zrOqsa6NztSvYOum4SSlFQFWjPumzORFSvZhtq6zdGEUQlLm
NOoHmkTc6MoLt8VyBF73z7bUjmgTzpUtAIcy/L3PC2vpd5kro3wABMRCvQ5JSzdZm5Zs44RnTQSu
1Tyyk4BuIN1bhKlbtxcww3VYF36zKHPp3eMtEzfaKrtLpwTZTElxOzraeEUE9V+y0qXdrRJa6qsg
SNLQzwafInhTU1j7tbhG8739YvXFk6J+9qhV0YTO4IurCjYkpEWBVsUWjhP3BG7OAG/uzp9EwBdG
P1hhWlj1v1YRL8ZvxYMOYUwWjgn5l1aod8c9J/e2Gtphbbh9qW5728w+WgpXprfkpQzoVtks34Ae
NUCBXwRTuTIhViKjqZEbknu70tUljjJ0uVxHvqS+uuOFaNZGwPKIltkK/prvDOCIHZYwtCvZdv1F
6Rp2bBqDewH6QBUBmC9CSXraL/MGzH3SnGasHp5sa2RtRGtwJ3QOu0knK10kdiYXg2H2+D/aOEjf
ZOuxqBOGXOCIgALJteKc8yIcAn9a4bn9skbzXXO9BKVIjT4KFMHKYGUXfiwS519q1SScygTtKGhm
DT2Zo9upYMhV51kYFBqTcCGbjHzHdM37fM919ok24Go58LJFObB9skoIf1XUfZlGJ78slXOrLQqe
NJ9/sab2b4qUdP/Qp0U2uZ9095OfJCuzqkFuYejioU5Vs2AJGdcpd3WwGO2KFNcQsBChwYL0imDJ
wROMlnzf0w1iUtk5KrQaA65XiTaYRaBH4K99PGdO3TVw3gwI/bR4K5/5iLcuJMLK9jZYlMfIyIX1
1mlPvtCyfQUd8ZtO3SRiU9bCbSugo6PvEyh474RU8PoymJcNaVXP46p0KxIVhR5k5ONB+jf4k78C
I3v/BpdBxkhlOiE0KVFFLJQUiyw1xMJJqnERlLS4ArmDvKVMk7tWuflSuNzBJrhlGRVpy4KQ52Py
UCoOOGtC28rbqM5raJja/TTFqWfQpUHJV5Kp/rai9YN0XbaA2UXAQHKxNms3AQ9QA7Bcb7D0LW9r
BQ9VuhKr0wbZqoE5ijQQMa+2IZsrBA0gsJuMbNCb2maC3lfcres1qGxzvnTh2YLBPimWZSXKuMyz
e1Sb/zUlfLzGKSLL6UbYO8huGsH0FQS9ggl3YGs8/PoS279gpV8+AY3obyZOi8VQoAlgxG3eK3eC
/94I9ZpTR+Gz6q4yRQC/3lMIgMYuqlvB7EVTMXAt1pl5D8CGr1bmWOQFnL66T42rMgCZdIWX26Ad
XFOU0lQnBBzGqV6mmqA3rDPclx4b9JJUgZNeOwp1Fg/oyzXJh8a+4L15gzJ+D1LO3moiZndkXRWO
1S0yXyLpmY6oHqJ7wb4Rbu6jNa/6oIUDZxa8kzdmkGs4gzq77FOgy0IT2dlHo2vSi9xKUh1zCsIW
o3ZBEoZOmOYyEAzmhldl9jS4qR8aXoV1ACoNPHK8QQuOaTWLgJI315lKgmYMOMD24N9x1fKwlZkA
RnjKozIt7ok55lEh6z0j6qFBSevSDjj8u3RSeN/9Nkoyxm4bwupoQNLiqXbru4lncMRI50VuR3Cf
sya7MPFerHKT+yvwmVBcZsuPgcyvL8HlSeQOjV009O1E1NepzgS7AWHLTrnkFeJZbbdJUmX724QQ
MG1NpIMaoag+mNPdE6t6oEI6OK92/5QRhz/4VWvy0KDj9MTtbrjphdz4LHVjPJQlTn3gv/b59IQc
Qp3VeAO5Qdap6xivRV2QEIkk9DrknqDZMvc02yWgRHpyU/x6u2m8937qkHiwrS0Yy53FOPLHpujy
qC5wL5jffra9n+KWNU+2HurInBALZoNoQk8Yzkq4VR21Fvq9uiEg9/B7HzLfzp9A2++9gcAuu5wc
U+ABbb0qrIakuUkaOnRRUyGCrdCFtKgAXtl0IB4jS3NKk13j10EdQ5mj5uvJ7nZt7ZZ6k5czJWvl
IqjLAvQvdjr5NPvxs1TdVS8KsKC77G30pn2DtEWJgIn37LrL/A8rqe2QCWCJFyLr8BxpYnbgafSB
L/O9GiSHPmjPgF1QDTYckgP0IlCNh84xW1w4DXkng/NuB10RNTUMpMPIO23RkEthikIIxjchSq8M
IIghw5qJRD1OwGdFo28muEFV/yXsyQgrx0ujUXoTIiCZpRtV990lt4zOCkvNN8mUGmhcdQCxKmjv
mHGZuk8DRw+JmY93Q+V6MUJ7hHo6L2BYgntJkieD50YIoXV7NeUVj8bJqiAA6GfLpkg6/LRcbF1d
94jh+dxpkxTyFQwMKs4neNiIT2Gws7G5GXwLc9BoPC2nqr839FS9lVCUe0bja92vQcAmbwtA7UOK
p6ePtGfvJ9CmPQjQdKw9ZPaKiGak3IBXz3ngZZrjhrtSAa4Jta4Q/qL1woH1vJjooLs4aQxPLOuG
uau+E0uH1+QJAbGOGQCANz2oYhcta1q0nVjmW9Woblz3Kbr1ETsB3prCUuAVDMJAERG1fjCt+OA/
Y+mTEP4Ieod8OKrjRO6bytbrMkf07/VrRILLIFfBJZGehupHknc3SpXS3gTQp110Tk4v89aXEXAW
Mra1ekTJwFq7Bn0JMjGEQxM8ZD0mZpUO1JKdTVKQvU4UHPAy/fBa/gKXzFtMmRVcaGnf8gAwlcEr
9Z6nmVILKUkVSQL92MggpI6FleSx9BHPqDF598DfFjlGBcJKu1qziq6pcNeNMTIZwUUWoedOCwHH
KnCrtSWffWut3DY0R+eTDqlctoKbV1aWAZKLUsSng8zHW+YpxN81SbvYrWYe5aq+Raj5SNu0XJR9
z+BxtsVSB14bll1bbZC73eejIC+jkfMrxjyPxTrhb6Yx6RXsar6W2eTeJLatt1rOgqcDKJaIV9wz
NX0UaeOsenC2j2FrZcWmAJvhQzF1zVvVOsO9XwUPtUGqDHBCFxm3Ku/jEtciKpUZXIjKYHEBhq4m
RMrZ/kjwiDwAhtSb66koPjg8hKt0sMh1niIjOuihDwlszNXkc3qrTGYjV8MMEvZ2An5m33gOqL6z
p8lcydrWi6ZQ+UZTEEknaEEM867+8jPjUzqNHQZ+sfdKENtxeMqxn5P3JKlBrZsAQ5dMuXeROsx1
LwcQ1z3aE/JdLZI5Fx2irjBt7Iehk24Z96n0/chJTXVry2ICR4bD4Q8ERob0KfPCzuw5CPML/pDX
KcbMvKc+oH3cV76509rin3knIKWTwIKCMGKanjmehZWyENouB4SCW+lSxI+uy/lHa5XgzG3FTpqK
gokarNWRKjKtIpPW93XpDpd4bVHVdgVIfJHBXBL8Q7pJICfD34e0hHFye91tu5aKZ1AoTSD8lGyR
yv8h7cx6G0eSLfyLCHBfXrVYkl22JdtV1dUvRG3Nfd/56+9H98WMlSJEqKYxQPfAAEO5RUZGnDhH
cp4Sq/HuwjH9HZU8F0M6bS0UtZOevKHzN0mBcO3VSfV1BOr4bPaq561t2x0ZIuHLvakWgYyajmvd
de7QreUmRGtBtb8MVRn8dkiBHuEX+0ry3dyP6qCtSQmPOBR/0Leja35VyOHFI47WRNoAjkk/+tmU
ar0eUMqNSSu0YbDpcml4ibQq+m1NQJzA7XCKjqf9XfP4fJBGu/jlNtM2kPUjv7va9CUlh3VBxmyj
Ok27BSdXvLkOD1uldV7U1nfXrZ5ZK1XLOJxp0q1iPdDXPU7ortYz73sICOgFRo/6Ramq8U4d68fW
7LQj0M6wWXVqMD02pEhne2l9j9vlVVy0pbJLg5EcCDB2YDc5Gar7UaNkoSN8fKR/1H7UO5TkhsRA
bRnn8VKXnTNuQjm1V7EjtStSz5wmT4MnWwEkZa4LRYsWcApzRTgod5Sp3EeLk4h+zHNdIdYatFer
/Tpa21bbZ93tFV7ofMDqQOxCJ5Uu1C0jyybaSCKNEvVGCffeUpv+XC0D5NRUPVb4R4QlGuSwNHJN
2msibVF3VpaYl2e+P2EqQDXR4IK8qgCTSyLZdaLKsV9r4wdulY14vRwzswQfvy8ihM3K6ki88f04
b8kZ7fX04JGBu25kYRCaUMsjOz/YpH1skBufuFqkhcLZ3OeBGKGpAP6Ujsjp7x9quSrZHrR1TAs8
/f1vb0mC4vLr8D/S3gDyC7leyNLOv24PjiZpQaO9AoqUDnayvz43MzXis88Lc8OTTlcrn8/L+SfH
OrTjoRt2VrQE0lkahXAOyFBS95Bq7TUdf479W/Dj+iiWPi+Ug9W8yj3QE9prXu/JcGsLKzw7SdTr
6QgGG2AawhrAgJeaQW7w6+U7O1oN+Ur/nS2R8c6NgY4JpJlQ66aTRYAEuLniR3kIGCTpuSWHbIW2
6+2zNFG4THywgP/FnuMgrChJwwn9qpOTDPRtkt3axkn35kcD1vleNcNsDHOI5F4brV119saVlzoK
5iaJ1hK0WDSa2LF1bkEqWo3Mk6q/fiGPtjLdpfLw3Pchupk016bmDxEF0jl2FGh5Y7523IdE8VYn
LSzCNAcCsGACLPHzAR9fKvo2kU4dVa+t17Z7Gr0NfCTdrnxx0ttPxJkZAUUoJWHkOTZmckoHGy++
HfChAtg16Oqii+RC56fISIH4fmYRNBuPUb8xkp1OybgkMXN9z15eEGBYwI7QMEAbO5055wtem4rW
JrnDe0Mfg0+Dkb5SozCecwQHFixdNv4AWAO+YnII6b5gI5+b0qaHd2rL7qvyXFkG1Lwe0Iufuf7Z
CbK1lK+VhlTDAh3E5X4DxAIMge4VDKtid5nbmJlt9bn76nvezpWku9P16Zv5Pj3VNC5MelxwywlO
xRrkLjbdPHgrsu4pVZJ7TbkZFjmxLv7XwuQ7P9x+WVI7FdyOwVtDSaneSubNuEi+D7BsApjBS2kL
qxIZaCI1WhS8hSEecb3Y3zc7Q5C9m9ywgOXEjjWnyRs5hhDvVVFBAiQ72G3/YAk+GBB2cOX2ej4U
GMjlu+pNVhe27eXvJzgDnw3Y9l0vXvi83NaulpEdeKWtL8phFb7Zp/N9VgC+3ClMFjsBIsWT6qxz
pdfEekiVXWcv+MPLAw4a9f3YTUSwkNac7x9VqhGAUIzozR4PqfMWmnfpcH/rCpybEHxh2heGDAYg
ejOkDa1NyRKny8wSvPef0uPG/X1xyDxYiyMjRXxOlw/JfebdfAIcxQQnCsiVDqoLKFrb+XGXjFL4
lv70QTe3t28gesxBPeIg8H2WMDtRkahJMTjRm0ZyUF1lX2+f/I+fF14QaluatdXy+SR9sJvH0lr4
+dP+OL9Ppxb5//x8UcVYp4oStTrfV5p1blGSVVekJ6kWrgN7iShwZq/ySgT8DXhs4sASzlofmqYf
O0n6Zpmfs6Zd9cibjQvjuYw1J4rZ/9qYNtsHf1okFaQq4KfepG3eBat2q0ypm+3Ni3JmRLgWbDOl
8d/FSKYhnBY+jOnN9xqjgIOKRl365QChCqMoDLevwjR9w6FvR324d+Nm9wdj+GBCWIyucs3UdeP0
7Us1PPbhzdcaqlPQ/8BuY3D5iG4pituy9yhwvSbRjzpba+oCCnLGZ9B+BjbbYaLoXxeWOc7AP/SZ
a7728iY4gAS4eXLOPi8scCTRyQrc33xtg/4OErAsGhb26ewAoEqFhoS4BeTv+QrHamCO7dgxQSX4
Lgsxm27BwvQbhZMNWoJ7DVUpUidiLB66lULyybZeu/IOUI8Z3bnt3fVpmjls8PPwniDF8X6qzweR
AWJQMwo8r5DarvXwKZMecq9cxzfrF0AHSXYGFU9YG6fOynM7OdDhAGpI+9UL8wf3PlmMkma84JkB
wYn7qu+XA8XK1+gfUFR1cGcEayumV3Th0IlBMv0WFMPhreItPMGixe74VtHdKu8t6a22iMdUaqzq
vdR8sWhdaJrD6AwbsC0kY/399ZV67yL4sBumRhLQ5cCG4cICzy5mutI60BTP7bW3oae0TltmpK88
6r+fnXHQdgEC06Rqsy9BbXS/3URtfneZ6Tykeef+kzhmcp+68pccQYy7RHWdlaSNKtWsFvSNJoEk
rIsKfooh9u0Xvy7QMGtU/xmG3g6Jd6j218l9q63pMukKjzJs/1myU8qzebVFa97ZUQTOd0qjAYgD
dHWoqNUj7RH1wHMTJ4o/Aa/zXzrHeKOtU95cn5hpZT/Oy6SFDNwQvDYKpROy+nxrxX6TITkS+ifH
/OEY+zB4S4J7vXRWhVOtOmtJI0M4lFDdYI5GiSltCjmauP5VBoDS6wof8dWDUiKD+qXXbot3/jUx
XR2suU3nkHBYIqUrCNls7wROz1Ze0/C23oHp+xZui+lC0Xc6leczlir+ODiUWo8FeG9Ff1Ob23z7
uwHi8UlKk7QpWcFzA3GaNpJa6c4x6bbyndXe5tvfP09Aa5OPVfC9hnDWFTu3BsUznGPcPn1qjT/4
8TSYknKEq1+9YArsZS1V5Mxyjqh7ZMbXLll4Dgkud/r1UDmSssatw5QlPuhDUwq1we+8U2Ws3PCn
Zq5VZ1V6t4X8F1aE69Vz+iDtvNY7xXG6A+Xz3Sqj2yKE/zdB3yFBM8kiUS+yld02ge3eO5nDsKOY
+VCC1b1+tufn6r8mhLOdeHBXjT0mPPVekza2sfbTXb2Ug5g50hMNF4lB6BNoxBZSwI7W5kVLJ/Ax
Lo3VoEHWcyherw9ECBamueKNCgUvze6cCFHhVrHdeizpNj7W9Vov95TIrn9/ZqKQrSA9TtDDK0ZM
kidyYEdDLXPist+y1IFJuM9bdd3dSGjEONi70MIodC0zUbZw9PrYNjxwnc5x/FlHz/GXpr359GEA
AUqF5lzWRCQ9ByicloZn28fU+xQcCvPmPTtd3FMGmIol16iwoRSpIlMTq/aRVpLh0QgP15fhYifR
gksS4r2HCLkEsVrUG5LtxkGhHpvsQf+tdg+KfavvwwKdmDSMw/Q1dfCcu9ZS6t1SGir9mJf+Rq8A
Doy35Ts09hFLTM8k9KXUdETRB9Cbtl+Gin5M4lWbHBJ7Yau+f+DswmaFOWYaZR2ycnAfnA/BaL22
St18PPpxswE1vwr9Xd0Dgwvu02IAjPgUDK+d/M0ztqW7d4uFLSAymUwDxK1P9DIKRECq2NnW0utS
AkUdj4rxopfqxncN6AoeRqBARDLPZblx/hm9hZ1x4QDYdzxqeTQTAmukec4H3SkSsTHkKEczBZD8
ENULDkZ0AO/RoUaJDKYHKO3EVfNUB2dstdpbYDz8tcvST9Ff17e2OIB3Azp06wxjJgkTV1XtyHKj
vcmtt6HFqmzVzf9mQXgyV0mtqLrPEJDWknbuHwxAhcWfAg2X7qQ0c74CfkrhJKsUPq9LuyD09wtR
mzazBDAXQE+hQxchX7BfaF1A5cQutDeUTKE/d6PoybOU/LNSZ95RNiB7lIwR8b7MDTcu5IlrI8qN
R2BJABnazqruLK0x7nM1Ml+SKqt3tFSq/5hd9+gOcbKX1c4GwiGFmyKU8oMzVsouNCQ6wqyGpJhS
gaS2q/yurYHWtjScAa/2+/UQQA6wBvJVrfKokX8VaDGsGhf3Nw4EruBTlxjaZ3wg+5vSCO51puLf
xKGkJ00+HGWYXJpHvbqX/FsDWA4T4RlZIgidSbAIHsRNO0dzdbk/xuovRQtAgP++vhXFFs3JR2DB
4HU/3UFkfs83i+oBpPGKrsfNlqug7uh9XY/1qqufpfFI++I3IzS3Rg8AvvL2123Pzt9EQIQkmEkf
qnBFkaLP5CzI+6PWOF/QSv4rGsxXrVx6NonneRqhSvgPuy2iHwQl5yNMBqqtUNEOx6qQWxYqKA9x
FC8hTKavCL5ew8lSWXin0RVfS4GTSFUbSsPxHWRYcyvKv9FNWRtyAhT+5frMzQ7pg7HpgH7IHJoe
oL8097hYKgBXyQbwxtLdNRW6L8ZDJWAKgsj7iONRStQfHclgczuvdgzg04x3TfEtV7pVqfrrZPBW
SXUnL0mQzE4jYTD0jmzKi978lq6DCHqf4eg3FcphrfnWU86KzGztGs2uiuWFO1KYSZ1onrZvQl50
zacnnFDvl/JsaNsq1I6Deq+Wv710iepvyYBwHZLP12qK/dpR7jbuvTksrNPs52n7h1gc9r2Lxv/W
1PME1LhGm0DxD7X45yaLN9c3m7Ak/04RrfG0cMMadlHzGItEgSRYUY+W4+4He5PLFh1hn4fyBMRz
oUQkJp3+39hEWA4hrk6V9nxnZ+0QdnKcaMdcrbfOGFKq6O9Qt97xTN4rTfsc6t5WN2mAVHrz7fpA
xXjtX+NTIhJ/wbP1IulfV5EZZJp21IqoXFel/lD79k5VfMBt+XaswMQqEZ1kgy19U3t6BHzH2wUe
jK2J1/7ZVADfICnNsxO9uPOpUP2m8Uer0I5mdF/mPRVq+ma9H45Wb1x33KhKtPHzR5Cc12dB8Mrv
k8Dho0IKX9qUcDo3K2UJMHZlUI+J/aCOB6++r9rbnuwXJgT3RTtFPhpdrx7l7HP9GAe3XZoXnxcm
bmzSvNCcTsWH/KVZfy1EP3Mn7uP8CA9DAwxyawGkP6pfjL7e0MS8cN6WDAjhm6Y36CnUGEj6vSnT
1OQtFZKn+f3g2/+dINRrpvcbrDdiVKFkkaNLsakezbAxafpN9F09KC13lURTt13fCP37157Bs4BH
u4mam7ClisQay3RU1WNaGRtSchwXed0u5SvnRgXxMKkmNCcp2wkLk3g6jIUkTo+Bkq5K5cW2H5P0
7yha8BJLZoTlcYdi7LUBM61Srgz1RbOeelqbFM9f8IVzflcxbZQLYFuhMCIYymo1tfwgV49hDny2
SHZZo+xzu1nDUIkncI3d9YM/t++mvDsoTYA+qiLYo+UgUZycfdeTTgnCFXI2CyNasKAKl21S0vI9
APQ/Gu1rX382boR0ve8zIL5EYISUhJXCPoM4PCiMVOPkpPWmN4KnKlwqFipz7lFhipBk4ElPjuvc
Pbo0ftI9VinHITANWucdb2tlmfw57stuk+Vm9IWHMf0CuZ6/tXA8HNJcHdah2ribBNahbekH5ee0
kJ1Hr1CDz9eXcG7LkMmdkiYQM19ghMux1bwuHJWjr0U7QlJ7I6vNo+qWNBnmyUNd2jcCbt+nnMuS
C4oHOf9P2DRSokZDYZIH6o374m6RKH1ux1BQm+iauIouolA7AcUjlT53YGqtKuuHHy35wrkpAxHO
74c+iSy1EHAkllPT6eCqR6k/htnfimev86pejfp90y2VOedG89GWer53Bjrqc1P2GI2/dtNqHyfR
wpNqPn76MBzhTVV2aT+ktH8ey4lHVBqy7BH1VHqGQMZvnXaQ7wy4RPdZCLKVRrJiSzfhkm7Y3DDZ
DhANk56hCCocc7MpwkHyB+MYycreHyHQS9+u7/O5Q8gJhACaygU6ANOifnj/qArnPNNG40hxZ6Vn
L5J5jJRgwVu9h3viNQn7H54XUwD2hAul6q0CLfpRPyqQTD7XKQq0vd/L4AWlsclhLGh+ejBp7GFP
HVfJYHpr5ITuI+Ox03RXW3Wx7tKckhhPnkORaKW2ro6i5VgWq2ygZd9oE+25qgxt22eNuaajt6Jh
SQOK6ioeSclAMX8OsuUfRr/lzhyGKLgbetP8K5dj2lMSh8elPmQ0MxTqS96G7cpT87KD48Z9cvDd
eQPHrbeT6l1syc1vf8jDkzoGv1Sj9L74qZJujZY2xyynK86Oh/gBdxetujHr7hB2alcOx2Ivu2H8
4/rizW0PHo8m/aYArC+Y6rS4seosj8xjWN/bzn2z1CgxtzlQoCBDxV2GnoZwBMJWoXtT7w3kPe1N
WUlbOjYOIRQ/fzCMD2amYX7YgzGc6nVgsAdl5NL1TZvfXf/+0jCmv3/4/qiWkZeqfN9QP7Xtk6Ge
Gn3BW0wb+HyDg3eRSX3/W6oR6fygE6i7OE70Y6x51sFpJDrYh+YOmXl3Fdd2/xBMjYxl3hnbW8eG
4YmWHhEHE8iHsEQxXAxKlATGcZR51sD9bIZbnO51I5f77NyIsEBjnJAdjTESljv4hr2l9P7S94UF
soM80aiBsAH+acvXqHq9/vPF7D2X6fT7LSqO/JtZEq5Ww4wLJjA0jkrQ7jJZX3dQLkEtR4he1Z8S
2j/VXpdXWo42kNKmP6RRXdiCl6EulmlgtKEFhgXx4p0g07YbdqZ+lMv8oPFkWA3wSsKO9eoW9cKW
uJxN0vnE7aRgKFlR+jnf7mhc1uqYW/rRREGmeHXNhTfn5VjOvy/cvVbW9ciuuPrRHz7xP1iKUpVW
2c31RVsahbCxfX2EEGUaRWKukRCwFrb0tKXOD+w0CKqnZANIZ1rCIHpZ7kfZYBBkaEl/1Olnf6lz
ZNYEAPWpvgpOSgTfJGHjdAUb6zjQ3QnEsqezORw2suYvPDdmFwRgCdSAzpQ2FY6PlPOMMTwMOW6u
v2ixEdy1nRt+Hz3PeyvKMf2TpaEUBngG3ntZjEqyyuzrZCjxp+6b8ah13/5g5T98Xti/mlHLrd3z
eQWplQeADn/weeIQyFGnNJ9YjtbBsWQGbBrHTj5QVl+UjJnduOSuwflQMuL9Jxw/E5E52eLSHO4z
SBpL7/ef/P7/fn+y/+E2q9QhlWGMYvZXVvzoZAsg1Nld++HnC5uplmuVdnQ+3361h5UhQ6W0sF3n
LExgOHJxVNWhhj4fAMFZ5Y4jRy+3D7my0/Jo18BFdfssfTQiRJyhOxgQo2DETB+KddQvpK5mx0Bd
0IYMHFCOKXweSVrXt2GSOWr2s5p9qtQ1Dcl/MAJzgqhNDNTYOp8mGXqVqu9sg/fHgZh2SclsdgS8
BeGBxTU5F000CknYwczNI9wCQ/A5yJ7Gfv0HIyD5i5cFnUHN7XwE0AEYg6ITnkLX1t7ptV1uu67M
FkKvOe9H4AOyizuPrMvFeXPQeCB8PUreWK4k3X/s20lyofnk20sivrO2JspminxQ9oo5da0f9FAD
JXyUWpgfQO8k94HiljtIMCZFTM3XTrdOIcLrlBVJk4KCBV19PoVdEGlxCA/bsa4Ogb1fumQvNwGf
J5lIax3hgi1uAsXXfT3xM/3Yw2FnpxDueLBejEuVmym+Or9sz8w4wjM2SOSosseciEGKa2sHzj05
ap2Sfun9VD0CSI08YKR1cBizfPjHSvsbhVHfA0B60xDL4MSyLMJOrBIJeEoiaUeXPA4sq2m1hDq7
9PoM8YMFIZ5opRYUgmdpRx9u0X2sHv5gH3z4vLDJXYhT/x1ASC8XIlpxOi5ci9NOulijDxaEayXL
ldCCZUgjZ+mv4+JOqXhM7/XvFpCwPxgLQZGN8if7WiwU5kMW+WnLW8lwftgHX/n7+udn8oosBUkY
svJ0v10W8pKQNJoT82pV35r6S0FuQ9+1pDdML6HaOsCzM0IKaaEPmK9a5a4x/dVTeHuGll/h8CDE
McGJLCZWksEYYO1peZj9THWCy5fro5zbb5CUA0WieQr8jnCkPKcIErdJjWMvo0r3FaqnP/g+dw9F
AISp6Vg9dzxRV1lhxeVx7Mi7rqol+vuZ9zJgPWSQEbkkRhKx/VkxEd5Zo3sMyOzE2g9Ijv92DBki
DRhh26X8/4ybA8UzAe+nKbsAUkllasRqVDhHr3A3ubuDKhi6Een2fc1UUV+Y7lNCG2HK5CHXJXs0
7KO2agvKCt3t2UDgdSCRcNck03hInq9J4St0WWdSckqKLz+H4u36is9MEk300/sYCDNobyGkqQMP
Et50SE9QDME0k2p/O+2CiZlNe2ZCeIdnSRJ6RocJ407iBigXUIgzLoxeVJ51U9mC14mwAHadJjlV
neRkB+3Bd2lOUY4IT5LeX8vj3fXZWrIl+Pu4D9wgk9vkJPnbAIrAZA1c2n+ErOG6nbncxdmgBM+v
dJ0uKXWdnJrsJ0cK3l3434vHYPDuTYgtvJgOxBYNrj6sIKV2stv9AIAiDs2UZATYLgQgST8M0BpW
ycmifxxysoUlmx/eh+8Lu67XwyTL63JS0rsz3M+q/ckoHo1sn0BAVfuHXIft9VG/sfl0igcmdVL2
CjVUogJhI/I4seFnSpKT393nW6tYeEPNbg6HUBTAz/TInI7ahyeaowRao4ZpcgoliH9GKhRvsOPt
ZRMC5xtB++9DMXmEQycMoP6i17+Erjb3Yg+n0MOeBHOfv6RTMeMYuEXJJxF+AoEWQZBlCdNAgMT1
yfRhhK8fS1Imkv7t+j6fM8KzeCoPaFNrvLDNY7lsuzbQ4pPfrkNlHQWbcelKWzIhuM88MMohTIz4
1LTxJuw+29VDSQni+jguXwiK+XEcwtJHhZwmRcI43HhjQJEYbozqjuD6upW5DfbRyvQrPmywwk76
yIWt9dTB25lFvypY7z31ZxDuTHthYWZP6EdbggeQB6fIpQBb8PruPeT0JEXZFJ61Gtr8t99A4Ww3
31Wv2HjOcJRiePv/t7EKHsLKE9/RQzM+DRVcnKRryvpTXu68Yq+HC059dvF0IjaanHB44nMIFH7s
qx2L1+sVFI9P9F13yp1hLpiZuQZB5f3HjBi7JRQ8FCoEbEQfAVm63mp1AYs3u9VBYtI4SQh6ARMJ
VHQW/EJlzvq/aw3yHfuHKi84udnJ+mBj+vuHPaglTh3VrhKfUn8TWOuQklqzVpYuiJmRWDAcIEtH
bDINRrBSFZnXJnF8asETWnBWp+Ob49+czSGE/mBE8AxcFbJMN0F8yrKnKPjVq/dZe7y+i2fKyec2
BMeQktEEyEA4ktc70/okQx5PLVm5gwHUcuBX/laFf3C3MiwgeDLTR35YiIfKWEvLqMjZZ1RCjeav
zL2vvYeUImVj/jCtb7WMSuFG9rfXhzpdnsJL8sysEBqFk+yv62G2Av40ssMphfZrdVh1zRb+QTi0
FzzEzE7kKUHkOj1fuUGEPRIZTqSQZ0fcId7gI9xuF45rU1kY1syT5cyKsElqOw8qdzCjE/l7dThY
+qHqvpdOvglCaVWNP65P4uy+p6wLhQuF1wswRWuZZZGhRHNK1X8U+bOSPXXZQh1nyYSwTmmXKTHi
JNEpQ9oh+BkmW7n/eX0Us1vhwyiElQGrUyUxZJknnhxQZf+th18cCWnY9peRfo1D+osXnNLSmIRF
6ge7RZ4mjE90Y27z/HtVHVJ5qTF91ggkDaBoptLOBZ+W0raDa/d4V+MhdXctpcPU+pOBfLAhDCSh
dwaa4hHvCrt4vkIjJZXX1xdnbhg8VXld0JzHQKbF++DAUyUKIPuXo1Pvv8QprR6v3Y1UAVNwCm4F
LhwqnkR2IvC27ga1UJImOjkIygQHtdhn7bPb3w6dwgwt7vRlTS98Md6WIq8F49JGJ6NdF+0+kV/+
YKY+fF+46mA2Noyomb7ff239b1L2G6WB/82EEGWhm9IZXYhADbTNYfOEioqq7f83E0IgZVZ1HWdJ
F53Gaus5CsTEhzpY8sUzm4pUv0Y6nqT7ZW1QMwclAU1SnFK7ulMGeZPbD4W6BEiYs/LeC007D+By
8WZDStb0XKMqTkp9XyjoyyErtHAAZy4V4sB3ZIVmkqMSXFcrwS2o5FXJ1m03mr6P6nhbBr/8YXd9
VWbtOFRSgelPMCxh4X2pK3pYwssTslRQOzsrO2g2qQcpsvTXdUtzkzZ1FFKJQanOUgV/T101geRb
Lk9FGm3y8HsA7L5O1dV1K3OBjv3RjDBxRZ8iFFJ3DEjJN34INa+ZrXqpXXvaNhqafeLbq67QVkPx
9brlpfEJLnMooSEfpLGEEBjZRvNpUmJJlxLxs0Z0qscTBw2ve8FpWoXhmdnIcpVtf98G3W7sP7vl
7fEo72xqc+RcrKk78Nwz63Wd00dUl6fsiyyTdTm5CLBdn6xpMoQgjV4x8rpT2oDwQth24EY0p7fY
3l00HBwDnS6tWIgvlkwI/oZoSWsCBxNKov7Uvf6XCvbu+ihmVoOqn0OpnSsM0Kmw18ZAbRI79wsk
1eJ9WSVP6lDc6fZSuug9HS3M1pkdYWvFsQrakBcVzAjRcA/Q/FfZWtZGyxLtU2QFygGwiroGxWZN
MlooermW/Vjr1m+tlY1T4cnGPve79jPiuxnKVJAk2oUebjvT+i3lUEJrzmBsSjlvH/QxiQ+l7v0O
G5J6oy69ITylo5YQIpnQ21+CtsWnWvDpy6G2kwrL2eeO5L6Nmaw+2p4ff9GVNFiblQPltzHQ4DKo
wVprinRtFa67Ukr0gkKlcdapM2Z730zLu8JPkQfzbH0/JMV4l7ZGvyYw8Paoz2gbigzZqnWQIsnC
qDqMiSqv/U7Rvzh6DHUhMglv4BArHjVy87UtUhTxTLPZen7p8FdHfvalvHiwFbQDKlvxvqIjaG50
fUC5R6fNCnD19J9eqMeTQrSf3dt2Hd3TT2OsSt9pnstMT++RQ0Fero7zVW9N8hS9Sj9uZMprayiD
zZCiReTFhbNRGn2pe37GQXMC4bacTguJceEVpRR1nyEcmZ2s7FsbPVdjvyp4NS2FyktmBO/c54GZ
R4mXTbdzgm5k9OgDds/urh+Y9zyauJN5xhArgVTkwAjnfoAyU2KXZKdEH629q0fdGo0eDRWKNFwZ
Wo+knQHHuFqkgHPbIljZKh2rfWAq97VZ1qewToK9hijYp6SQx3Xjy+NDb9bRdmwL7aVOtHDd55q+
DgYZvKPWoC/t1fE6s6v+c18bDhTn3bhSi4KVLPLveR38bps03HW902wl2U42Hiw2a3gvio1sILaW
o2z5mSoRFOeJipQIT6aVonYn3a2HVZqW9qpKWn/h6TzNgjhLH/3K5Hc+hMYmspCjk3Lei/B36qGv
Ea9kFEny7uA7SxHT5AYvbFnT25X+tCnPcW7LsypFhnc/P6mgSMzhVEhfNYq8saYdQueTEi7cLTNe
meIUvYeaRa81HJjn5nIHSlgKftkpLIk0leAprIvtwiabGRH8tsAJyBsql8C3MTZNFOXyU1eMEN3r
IRKsyJFt/sAKIgoT6wdnU7zBwjLI4NF3s1N5CL1PTNX/9nnh9hoq38v7QOLzxvdPi0zDc6edsgql
SFDV06PlfBX8QJEauanyE2w1BumzDAGAOi1XmSt9Ige5MFVz29mE/HmCP1CiFN9HOlcMLf0+1rKQ
jMw+KiHvkokqwjU8pQt38rwxC3TX1J5zkY3Rg1Sr4jLOT2lxiOPPBsG/59BAUZSryl4SIJ+LNrn+
/2tNuJklu4dJ1MRahxCa744rT9rU9je7OHnma5F882SE0pLv1/fG3JGlckSld6KBv0jOKH5XNXXn
ZCc9PTZheygblDh0aV33+6DfJej1Xbc3F+Z8uILEeHBwVWtUBjc9VaO3lYZPvQtKY6k5ecGICMuo
vbJuYIpJT34lP+geIniS8ligaLKwPwQHBNoIxBG1JHBNQHEuctNRyHL6Zq+/aeo/zndP+3LTXE2f
p0QOFkeHh/JybfLatenWcrU3GMNXOkJDfX/Ps/q6EUXYAf9aYQCGSqmZN5VwQSSjRb7Y8fQ3a7A2
Wbxzq7+cXYuSuf438nuIvGrZJvo96dmam2T4ZSq86/9uocGX2gU/JdZn/v0plCtAzJJruUDZqU7l
0uWaTZRs2WNZxNtO94+0BSPqZjzI/vikuWibBc1ay5StmmULvkXwZBfmhbgFLbGmCQPMtxWyidGq
T49S/uCB41iY8sklfrgntSnK560/9eQB4CLzdu4yx6pxDBemlqfA7p8l3USrGPrCLo/utLgglg6j
58IO/uqlrVJFR1lfwsq991Se/wDKqw54SbrouG/EfFnUabBSozP/rDYIumSNo6xVCU1iL8vfCIbi
R8Cu2cEPI32StlcP7J0abUbYViL46g1539ixt/ZamILq0NiEiZcjEdg7W5Pa5x4h2yW2UbELnymb
WEBtc9oc+H0xMU5NNerNQPOfq1oytkGvFC9B2Q+bNnRgByVKfxpyJd1UJS2BoW+iPaB1dzkSl7xE
fgVpE924V2A046hMcwdFlAL863wJtVDmYkji4NR5anqAn6J+tJTAWMcNwqNjYC6pQ4h7893eRHEG
V7Y8uetze45cIcDLnXfy/Q0S8KV50tCl1Q7Xd6bo0EQrwgkI1XwYswYrivLLoTbumLe5/4kIjt7y
/w5DeOWWbdxXaYCBkgdcYH1W2pdyiR/xwo1MRsAsqc5EU0JMJawNLEc82NLeOwXd8BABB9YlbWdJ
iHjmTfPcI46tGO7GDdwjBDurKrU/X5/F6ftnp+vdPhlvdAQmTyYMsq7tAGUxaPsg59x4gbarrOd8
+Ou6kbkNgR7Jf4xMS/khrrcoqGgKauQnQPQgaUKatBD1kE7SEtJpdjTw8MDeZ3DyxMR3Y3QOmpiO
fyoLWm2D7JdpInDutAv3kHgNvS/a1AEIuwyBiHjAlbTvMuIt/xQGQbJq/HZfNajmBcprHndITGj/
FMqSH3Te0THnS4VdUqIK3PN4QllYqpY2bA0p4fEojZDmVm40/DPoieUhQqWUaMPB+OHykEsQLX4a
o7TYSGEcbzLDqdcRIfFqNJuWV2LVr2rTHbd566BTjjbaakwRLm4UWMlWcV4V+xY0HA+htHn1Gg2h
ryYu90Gi2luvq/QnUgjKSesbbVPHrf2Y9Xa7jxXvi5ZX3ddE1/pfFVBQby1ZXbyFUj18Mf0o2VZ9
oW8s6OTWitFBvWOnP/JGQcRLk8c82TRZkwarqE/c/ejkyZ3k1dmhCHpz7+llu6obc9zUZpc8OMEw
bAsZUWyritBgLkJ92/il9OxPQAUkDRXyQzmifH6ePzZj5uxG7ra7imTJvdsizYcAfI7Qs6GvdYec
hpLIHVAkG5mZtkZ1VnUlBb12036xy6Q5dXIZPDs6cpK67v2T2dBZWEYZP8e9Ua8zvPfalSWyIFEG
vzA6oo+JFunbHLnhTa8Z3aaI2nZLIfg7APZwrRuJsintQdnwNslWmZ+4nyzPlJ94Y8svVaJ/8vCT
OTqHQ9qjdeom28CJoGlJS+9gevWw1+AG5bpW7jyTPro8tH8ZRjJSDC2DlWVb3v9xdl7LcStLun6i
ioA3t0B7mm46UdQNQhbeezz9+aA5MyLBDnZw3Whix57dySqUycr8zSqJQmkdSTpT2kdibbd1/DXD
QHTlt3HiDnomsc3ReHY0YzDl6yYM75HYUHFXH7y7KLJ/qHnc78a4Kzrmv7Zx8GNH7YTWBk6jBy/2
WCGlNfTFV5kXbY/Fuea3blVNL2MV6bWbyVZ6FJboVyrF1h8QcWtt1VuK/S20fOlFaZp6LfpK8AYa
TfNJGZXsh2em8iN2rvm1lLIUS8X+XUlZ8zyp2IkzPw+sjnHtpc3vVAziYcKW9MQiCZ+sNNesfaO1
yuwJW1Hg0kPLYSEq+Y6T+w+8Y+O+r7HcC30b40prhDWXGZ3b4Su3i5pEvsukyCocGwdNeqR1/SMs
ws6VYH8jwaH0373aTu+QfBMrDyVhH6O9ALv7ITFv1LJ/CClR7vJcyBhJai1SOoWYmJw6dBD48/dD
mla3YdFoa7lBSSuYV8qomznOiOOp0PKOeQ5/xuoYfct8qz0GKuirjMl4ikjGjL2HK/CmVwvjYfSY
e8dQAv/OxJr8VsiZ/5iUxTcFoM5zXSgvsYfT4dhTvey0Cde+XtQb/Eq/TmLQN3yk4cjc2s8qLEUX
/wd5hR9qs1LTMd9gq2Ct8lh6wcdO11djU2OtEEK+RoGTfyqEpTEOt79oOAFjC5lmKyQA6rU5SPU3
n+1ZQMlI/RutbFoGaoEgtPDUHH+Y0Y8OVLvvZU6n/vYTfXL0Io5Xcp+2fOSC/0cdN10DzPNWTqPa
tXq7W02Gl6/0xo42DVAr6qUKvqhSKG/Urir3am5rWK4G5lOtRRKtAM93E3/04RZQ/hpZcxDAPTwI
/UFyp7IunTQ0MTVve4GbqAGOCUtf7JLCPtxqsVo+150mfmBj2KGYgGthahadq4SJuDKCuc2QWIDX
Mad02MiSG+pR6ip1i7lLGWr1g5nAyla80NqmSZW7VWsOfyDAS1cVkqk/2jxM9viC63ig5nAtlDjF
IhGHtx2nj+TmetCvEqmTv2DXXufumDf1dREP8Q9d0KVwQsRbXTWqpq1dGd1BjUp9W/TCXPeJ3D0r
bYyY4GAV8kp0GFL7Y2/tlKzR3GQIlGdeHpYTxVX8qKRNuK1CHked0QVXHXDtu8FrC85wgVEpGlZz
YVq6beNI3yRC1Pf4aI53UVK3q7axKCNkk7FqrTg/daIxDkK27B1v1mmNe3n8FZPpdBeNo4wRo545
TSKZV2OY5wejxtzRixusEQPZSq6aVNOu8zGJVkJq7nQZ5n7k2Xe+kL0VvnS/8HgInbDPakdLkmey
otTJfYEylWc0K3gL4UYSAJGEnU23cd+EjrDwto/LktsBv+ibusQPGrZS5ygJLIO8iSWn0rxsXSd5
gQ8ylr2HqlT4m/ijrruoaTdhE7c3k4KFrZTDklLx5FiXSTO62ijyVaCP2s73JXnjZb69HhCldEtf
br9x9SbrMYjC9TSgvGqKAhfKUETrImZNd7lm0ErQkYA0NFTYRRJjwizbN2XXJq5RZbZLodNz1Cao
IJn51X2BtMm2VolrtpW+sTwpc2w/Hr5kTWKuyr7B9xMc6i1m6MCX2kjax7bXbAtRF+vAbIeD3YT9
Okk7Y1PhXbqpOf73VSwNrqhiY68h7v7Qpm3vilrGFlwCNGgWLJ46NpW1GXTGakoRoRQj3F23L9Ct
HNTaX/kN8MbYa7TrBL2wnRLzj+6ZGCYHWBvbeZ06tLVnG9q4Ohj2IK8jWpz3dYSmmFqXxX2VJ8U+
rab2qawGdSWPlnZX1TJ/dFYla7g7zfe4HbFtt8bSseUOeVm96bdZq/jVKmK2HMX2EXlIMOeMCzvb
J4qnrkw1L6+K2Q1aHW28blnF7OmwedAGDTiNAfazq3ASVkK7x1pepA7utr9yXa0dfAAiR5FZZ0Oc
y1fsWY9OhqxsCjMOtia2uc7YWNMOqU12mWf5qyhrVHegPeOoU6Ltm0wgZEBVQDvwbBp7J4gwjVdr
4yGO/OIw4JOMO7XEojWmYJV4eb4uWsk4FL7abRDSMB2rU9Ib7EV9ekWFuRK5niL8T24VmNQL1KFA
J9DPXuIMRQ4PMvae3oi3KSljb3pLax1JSixnzIzaTXQkPMZCt9fFgPd6Vho/ran7WZmD+dJ1noze
YMiZ1yrStuooQFYG5hdjWHi7BkjcVURP4qYWQbhV4zb/Ek/CcxW9bbZxkqluWtsVaNMwWklo1W50
Ka+2GeKm16QFrMGxo7dME2JT5Z29phZy1/qBjbicSdcrKSt9G3o5fgW5oZWrcb5toqbjm9JUcKjg
aPeDhmiLFgupcmUbd2GtCxO3VDokBo14WHt1He4yvB5PExbQu7xu69t0orgjqsa4ZSON6yHy/WNe
x9JtleXBClsDsYlk0W/hyY+oTUXCdNJEilaoJxebCMxks2pbs30YFf83ACzoL/qxJMtcy23QPxuQ
F0Y3n0T1TTXH+iSXbfxLK5r4qz0Z/lqPcHztpeBnLMey44k+cWNvmvs3turWHQkt5A5SAb2zN03l
SWt8PAIoNbW50idrWNO5GVwvrap1V2j49goDhZ6y13a23DbrRMgsOugVON3mL2MOSiQY7PRoaVO0
UrMAGwf4045vFJYzINe89rVcrAN5DNeG7gcScNlC0bdaNlL4r3qruM+6wXO0wH/2J3B/ftNU+F4X
gb7WeJmfAi3qAPyXUXKI7Ag9QCSpxJa6QLuKtEo96JVd39q++auv4t4pcha95hXBZmgHUtPet3ae
3XPvpNyDYZIb6zHqmj1FxxYvQjnYmH6evahKYl7jnNA8mo1IDnWdTydD+KHhxPVU51eVP9FTQl66
dCPsekm6qScd64EDIVAgxbY06rlTqDElY9xg3qHHpxom6j2pWe5MXpFsAirh19nQWU+tnHiFi8hh
exgwTo6cxpP60slkL/yddFl70oSZPiS0R67owE0rLVehuTeBUYBc6s2tlzdiY1cjJ4MeYuA7qdZq
UuR+l+RlsMvtvl5psfmtYRnceEXR3ES9l34ZSiO67gLcsON0VqYeu/ApoIO8wWI1X7WTpTpqWUqP
llKEJ8UXAKn1MOA9VLbbtBv5hGlaPnZJiRDOhKW9XZCiZ3ZrUq7S7UPQTNk694tnUVf1OouM9DqL
2uIKO5vmJlA7f4fPZ3nUk2p4MI3S30tVxCrBd3pf6tEf/lfRKujVFjgG21IPxm5r4xu4571Vnsqi
JKuvZItintZ76wA01ykZc+GI3ozWqgKKNNV4Y6SB3z+pnq5sjEqXjjZ7+rGRjHwdBF66yqIeHLKU
dk4+lN2VFE/ZZjS68T7U0uZei6ljq5MmO1nf1psq9lwrsvYwrL/EVO5XbUQ1z1f62I3SrLtVBh5L
NSehK2lZvVGURNvIdqO7ai3120Dv5BVO7r+9uMKd3ujKQ16F8m2uYHadSBhIG9LoVFOPDmBoNdeq
HDTfkwwfYCks1ZscyWknMTN5FfelwTU9xIdAymN8soNiFU/SNpCFY9nA/hAimQ499PN140XlQdhY
bau6Vzn+5Df3mBAoCBdpymqAQXOlWp69SYoIg+2pt65lfFGB+dg2lb6QG73K60ewAb+isLGOksoJ
Z9j4BzezFkoIGn0/+qH1XanklPKP166UpmqORpppV3JmNwezlX4bCCK5SlvJh2hQB6fGhdihJJ1s
Jh2XoQBPB9cm8XP0Kh/XRtuCxYUlvxbDIG99XWqdMLGiP5rSIoun+uJYGnF0CPM23cR+L7koywbr
GtU1h9Mba2YE3rahXmN2LTUkoDauOUhLVadc1uELjppFl7yA0BvGuMLbQbLvdJTMBysoHK8vAkcP
/eKlQUJrLfWet5+ULnUnKZkOtjLG3ymNGxurkofrqer/jFGcPGmqYC71+Etv12KTt97Ptq7Th0qN
ilOTeBjoDIpyyhWzc0hF/XWnGNmWJNx3JeCJCBcp/SoKchUJQ8Tg6blhaGOU4tD6YYfKFZ/2Fg1d
z6V51KwSObsN5F7ee/C+AeSN4qg1VCWMSMuBlRb5TadF/V0aiuFJb+SHqUlxDyqk1H7wbO0IskQ8
CTvEKDxO8tApIzs4aUpJ8u9LyVWu2rkbad4fO4vbK6RxhgPt/GyvcV25YTCQMYh4al1JmbIvnp/c
F8FoHuIoohGZRYWbhRIwrbryXS/Uiyu1lKVtl0mWWxZWt0kDLwY3oH+hXm7tpjDJ/sTdqDvT2MxP
rCBZx7rf8fSqyqPRyDEMB3vSHUjG071BFX9vtHLkkuFKW1QC/lRJbO86pYyhR0HGHcJaBTQ4mZtU
yNdB0aeu5RfSqVS7edrMcd/Ywl6Favw9TeNwm/DY2kRV0lJEUGM3kak2ZZkgw+bFpR+o+g1P+WAM
G2+SeEEOUfo1FqJ69oA1HAz2wzZUbZ8nYSLg0vqFE8aev7LKklpWl8oYnHvTbSfMwQlyPb8vQyr8
vFS9qxif0nVaDGKnNWZSOj2u0CQTZrCR/Crn1k8aB20je50haO34bfkbcF/pJGzrnaBusG4qYTvm
UIn1VBTFHfnx5Ahq9iBMWEW+rSMqUA3yjdUOyXWQVuGFZtn70jWVPBsKro0bIJjARSWvGnpDn2xr
OrXy3lCup4twk3dFXdR1qBXyyzLpgLro2WS1XxsUladT094O0T5QHj6u5577+1/9vrZgQfdo0lty
yO/bx8Rzh0s0q/dVXNu0cbWAqYyZ2juQ3GBa3GuDN50wNqY8eFClzRhdoqWdG8PrIHON91VNutZT
vTc6gsSBGwvnk0qelNLfjmHxCWzaKvXQ8PMmdcYcLNrL5z+BPYv2Q5eCM7VU8RzNEk4E1aZTWn87
1er3T/869ExwCyAJZvvtRcHeq/pGVIC7T6JSvgGQcah4XcD6nJn/vz0PYOMs1vc62STNcVEj5eJJ
6RFZf7TSR/XPx8M4s5CIgf4YBFqeHsveJarwtko/TT/J9lGuT1VGZeLx4xDvWxv27IisIi82N1CW
PuWtlkOSk5A1AgHn1Ir5oCcdBfnkm5mBXvo41vu2A7EQWCAgzuuEe7tkRwqL5VQgPtAkwy5Ou8Pk
teCX5Uel9n9KY0v58ZJDxNmvROsQJa2ZhmwsQkqFGKxIQ8shx9kzOQT+r4+HNG+DRU/Dnvm6s0kR
suVLRDnyAOQwmWeelOzX1GzTcHSonToDG1+SqfpcQn0tgSvzvoQVAQsQDAkyy0sDKb2w7SQLJOOU
daa8RlhUpxtSHXTP2PZ5sI7DjhJt9jioAtFPsJMfD/fcdM7n2l8NDnQ/5//+1aFDFbcRSMcbp7GR
3LE/RMYnzTT/Z3yvIsxb4lWEjjs96CPFOPl4oqUsSfPx4yGcW/CzwS/XC9x0iMlvA+QkyBbFI1YE
zik0VnqNtk0xX7OfFHaYjT0Q72O6aI5CBTTnv+TVUEaZXL83W5wBKJkFoyOo2348lved+jkEmHzk
aWabwOXyi9ColJqyUk4T/TGfR1l2ymYB0uIwFRDj0/pZNOlXydO2tZ1tA+p32vD747/h3ZIA8s0x
Dl6PJrCqL3OBWCp1Xq1weE0KonGQXk9qfYGWejYERCO0OMyZS7eYyIL3F6UDdTz1dfFHqryDmVrb
j0fxblXMo3gVYgFvxMcs8pNKGU9x813OZCfNjkOWOIG++TjOpaEsbm3eHJaVe8TJMFCwCzDV2oVD
9lwE0mcOOxwLoU4tRhLQ742GICTCXPnzNVC4VGUvBHl/DIErQA4an2ygmtyzy3N1LLUSM+v+VNWm
n+FkB4CoHCqLV75d104WBOUuifLkahzQ2M6N0ILNnv34eDIXkMF5g4HWktHuABamQHh8u8FSAd7W
bBPsa6h7oGAK6JjEV4scVa5Rt78EJTobjigo26Cb+y5liWpKma2h9icdL1Y1/zq0tZNQs6/bZ+0S
yfLdvTIPDWs6C3ktFuZyY5uVivxIPvSnYZC+KLq/qQwDsXsaU6QZI5DrPluFRvJTnqwLZ8rZyMCV
cHwje8Wf4O2k9ppaVJ4s96cWVFbfmmgty66R7T31Wu7u6j5zPXEJ+fsuMWC0wIxM1iwKi+8AN8gd
GbSRrJ6HaD6tsjG9NdLCDfJylVuN4YwcZutUUS4pVJwLq2NVwCmNrQrL6O1QtbpuhV3ZwwnZeire
20DxYVkobsvVzX/Mi88xW/6uV5YrHxRUEe+mxTmW2ENODVtlvWJsm1IEvMQ5eJcvMo/gYGiuzeaJ
tNHfDkhNcj1ru5y9z6PaAnKeYaedNJ/OAuYw9NVmNCZs1mVayhYAW6HUw2nSzNUw6Uc5rvYfb+0z
pxghOL/Am/NEWKK0g1HQ0qi64RQXeXs3WhSOeY/4Dx9HObcATF4HqH5h64tgzdv5Sm2v0nWRDyeW
JC3PnV7N/bND0bZuq++G7uXjcGcuGTDn/8ItDv+mHbsx9MrhJAfgNobflvI42sZmin5+HOfcFp5J
YAQDJf5Of7uVCjvw9Ww4Uc66172CQ3h8iQrti1nLjhKGrt2Ztxjm+BeOjrO3AvsJZzqsKd8T0PKk
S3B1jsZTmAeO7AkqQeVa12uqc79K+yknN/XVH9olJN25ZW+CA5v1p4DWLvF6Qth6U4cyhofTk8yr
Ra/+FOLXx3N6LtX6a18+i6edoT0bUki7sp+Gky8ddU5gBbSOSI6tZ7ihWTvydGdkO1W6CZQ/ot9/
Hi3IUcypzL8aNw8m8G+Xqtbn6DKEknIqM9xbKPT6YbD7eIhn9tybEIuT32rKuVY9KScrrZ0h3Qrl
AuzszAX6JsDi/Ks0lOf1gDHIEZ0idRO0+74AkhK9tMqF1ODsWID7cnvOFpJLKxVpwlwyohF4Mo2f
hvf9ktfchZ9f+qiA4Z6sMUv4eadQ4EYkl8ovZ5a0CTuRY4nzjxx/AUENO42uVShToaowJi3HVn4q
QQUd4l7WL9xK8vxbb96w1iygNOfwWM5I0CHfLq0xr7NJzqUJw2DbkcMXTb2eRLgJ8i9a8Av1Hlpk
5c4CzaZdKKGcOX7fBFbeBo70WPUHvZ1OVeQ/YFq6DtRnrz81Sr2awl2bXHhGnDueiIeOJwsDv9kl
VrUQmUqeWk9Ym/k/jFj6USjFmu4V7YbAR2Q720qh+XPyymsVcYYLh+OZJQOpiWMZHPhMdF8kGy1i
AFba4qun4MVdOPGFu+XCzy/FgbosDscADfcTVQMnL9eN9efTpwPoWnSLWSrclEsYu1+HdWT17XhK
ffGlHSQybt+6JIN15uZ6HURdFGabTook1M8xH/QIgDnlfRbrT1TtfyH56rJRXgSWdA6qONuPR3du
v8kGPDp2ATDf5Su2qmgeyF6EUW/91SDHbrY0UD8Oceb2h3D2L8T8BV+VA7TaMIauTqdTaK6075W8
TqtdrV9Y42eXAZ5iHByU5sky3wap4Uyr9UQQdVrpo5tdmqfzg/j3+4st641CKnQfQ+Ue+1d7i+xv
3+yUS1W781/jXxR1MYrGGtusI4pariXVCb+ql8ZxNsLfBJZnLF6/i92YGyMqVMHf9z6WpIkVfEuU
+lauPumzMaf85myfrc3PZaRAFgvaCoJam8pxPOm84walufXpXSO2V39OB+T/x+HNBq7a5Lm4yGTx
MgLP12Kxquc3GSjpGgXL/3KAWf9CLLJX269Mv0wI4QNsqiGk69GFTXh2cZE2QjlREA1cshsFOIe8
jgyKMKSPWa8A0TFWXnHolUvMuHPbhIOYUiqfhGfG/Je82osxrIFxFBrNE8qnQO0uTNW51fX65xdf
I+HRaqfAWPE/NFfK7w4ArvYfThPyXQ6r2TLrnXbNWAs1HKNcOgXlKsRmaA/ixLj0Lj87TbQGqDKi
fPletaITU5TX9MmsCUiS1BROZOlPnz8WqbzhX0Y5lnLDYq6sxPPAvPvSyTL7tR3hrODlTmjLa+uS
TN+50XDzzwq4vFB4Hr396KBlKUCIkZZWZXVbOVEgjVNvvECsOxdFk/CsoiDFUl5mbpIpdEOEZFN9
vRFr8Eafny6+hawjuEvvdcmFwndVl7xJn06jClDUL130kNdtvjOaC2nhuTX8lwyJBtwZfrlSZ7oW
9N5woqXvdPH3DFRPll54clwIsjwewRvXalvMQXLfLcrnTqMocqlccTYIz6bZYRsnseUKI1fPOlKV
gS9Suan4QyxY0w8ff5ezn31Wk4JVQ7du2dtSqNdFtkVtxwIUfKinQtl6fvvn4yDzXlhm6nyN/wuy
WMFeaXptZfDQTWNKj+VLBuigUF/4Mnb+X0LRP0UeBerduwdIr3WpPZnA/KNhzB1Fqq5sId91+XRT
RMZTBeb546GdnT/kM6lbgXFGYvft5iySSkN0UBtPkl44lszDUL1wKJ+7XXDu+d8IS6JyTBWwxsN4
PNnmNhKrKbmZcYCXEjD57GqjtidzCJBrq4tr0kNwsmg0Ji6D0ENmcdMbo5Mk9bNfJc2V15aqO9Ew
oXKcWl9FC3szBQLhpMNgbVu7hVPTrSIzbS/crefeWjrC+eARqM0g6/h2frs8kWPR0hYo0upHKoc3
etEGcJya0G1ohzl2KnXbMks//w43X4ddrNjRL3pQNsF4qvTeBYq4vujELp9bOTrUUDYdo2O5vh2Z
aYetHcCrYWReT8UTcFo2WumGZNu4kka5vhJdaN+CdIdagbk0VGORrqM0LvclGrVbzLtLV7RadOFF
dm4hzFoGdNXnd/yyEaNPXh5kGjMe9VfB1xZdkkuKmWcj4DYKjQ/lTCp9b0ceBvDXQniXJxnMaWxV
4Hqf8voSmuXcvkEGD8E/NPKkd4pmpQVwvLM5o5NBXmVTc6DYW6Poklzy1roUaLFWfCvLmi4ikDcC
3JDyFdio45AOUC5t7fnj4+bcdoALTqpMxWM2oH87dX3oT5zXtBQzIW6UflzntthqIUAXmb5R0kfP
khR++zjmufHN30klBZnV5hdHnI9BgWdV8B8T75hrd1YiOT18kItV2PkNtrwlXsVZXqqSPUZKNZK1
xUO2yiEe1SDS7EE4UvzFTK7UnAoLGz46dIm0L5pLqiHnpvZ1+MUTNB3RiwJEN51AqtajW03PeX2Q
9VWqOPjWfzyl5/Y+9yGTyd0u68uGRxgPZWi0Cg/FCsOvQmscXo7hhYvj7IB4xCGJC9DnnbyzFaGz
Yvt8N95e3VYVYrpWS99zPbWhfBQn5jrS+vihToNx9fHwzkYmcZndhPln2YtTE1h1ms5UVvWuQhWg
om8wKY+hrG1s7JEuiYeeSS/I9CnAWLTD3jvxVjOVusXZ/qSLOx736bgpqtlIzZCcj8d15uAiMSYT
w8eFK3l5FWuNMcCxjaQTJAd3qn7BemiCLx/HOLM0LLpTdPZQqpu9tt7u8FqSx3gEfXzKp0dv2uj9
/j/8PspLc6rPS3JpdV3kfip3QymfatsdRkzbL8zR2b//1e8v/n6pmvysVRP5pNiRG8uoh30aQYhd
AQ8uvgBcTJj783J49QiWqH+kyahKJymIHWU1gWX9/BShoICIBOL8c9PkbYDCqvs0xaH4ZN2MkeoI
iE4fB5h/YHHSsVTnn+buB205r7NXI2ikLqk9rVNOWhKbq9ZO916kw85tr9RB31V6E7tVb2MNE8df
P4585iy3kMTEn5EOGy3rxdDaLJYyMcMjJ+gHvWt8Efa6y+7/SxBwZaaN5g1auG+Hp8Ye5kpDIJ0S
qQ0d1Fr2rSd5bmBPT4aabv9DMIXCIZ00fE+Xq0HrbVRJQJad2tq4R5vlYWYOOiKNjqM1XhjYmXON
Jvi/WPN//+q7iRomqzLEvPm7b0nyTa7uDIRrw6fW/pLa9YVFcu6woRUK7BAQFg44iyxJNTPLxLN1
OnWQ+knVENvhQRsEF26Jc/uV1hxoViQVEElbZBQKfBDTm2guZGrj2jZE8s+Xdikq2LTDGQTn2WKx
V74G970wqB/DD9CvoqG9MFHnR/AvwOLEUY0JWEGjTiet3Bj9ofn98QI79x142HHSMEWmspR/GKre
bEaPllb0MkoHC1O1TxpCz0VQrkNuL9YwLehl8ds2+2CKbPpJVvqryBw9uXSgvb8gVXIM1hEVdv7v
8syXFS+JMFQzj3oIVcA/+PZXDHVcNRhWQ3Shovv+axBLR3WEyjEVq+V+RNu30OVwNI65fAivQu/T
q+ntzy+2YNgjqTFl/Hx2beWufSlnOtMuByPFqT8DLWm2Lf98uxgNWN6NfoTSE1SIRkzH1vedttzL
+r5QpJXR/JJnrrS4kuGRysPjZ1fb2/iL8dlIW8GW6/WjsJ9KuMxVeGjTSx4j75c0QWb7SMqw4JeW
RZ/O7rNyihmkHN6XLWzM1InNu48H8hfq9faSm1GV8LHAY5FpLKFg+QTYIiIFPlKbLzdVlxo9uD5V
fwjaMHpmlmG75um9PdbNl7ZQVBLRIgwckcieOyUFxPvGrq8GxaxuAdbSfZy8KHxuRWttG21or7Qw
8E9N1qb7KfLTre5X8bZQgbhJI4gDiOFKsyMVwfpQz8bhMJA77nwKDU4NHmI/dk3yHcFP/47O00Av
35Kf42kQz/6oSxtzDIpTFyAq01ZT4nhGAlnBn2Ini+TYNVNU0Pq4lbMtF08HpW0qbqM86oAya+rT
ENkPTd78CXuhOCKQElhyU9hMG+pgwb4aR/8lx5Pvqhqtdm8ZZQjWqSuNPwNYst+JMorVx1/i3Nee
b2Je3NQS3935ZgbDSkp1vnZ5TCCJwt2+JKd0btO/CrF8uqm1V2UBqvFHe9PG0KU2H4/g3PlFPcLS
Z+aO+i6hyHNmcmh94yhJ/SYUu6n8XaSNo3kHH+bhx7HOD+VfrMUGHMpGS/yKWGNnbX3pN2iHT9+4
QPphB3FKcu1Cg36bRci5n6klN/9R7jbFWvd3Hw/gfYo3KwHOxZu/0k+S8vbnTb+gXOjL1lEeHlqe
QKU+o3x22qUqzpmJMtDYJINVLI7LZcGwjkK/FHJnHUPpW3eVWV8/PwzGAdmYTBmM5TKJtDRRBL5t
HGW1tu4Ga0KuQy/F45So/a3ewfn7ON5fPfi355WGbhq1brYKPIEl0MFrW7+bkioDJVWWd30x7mUL
QvS6CuMJySJLQqope7GkIl73U1zfmg3CSVGWBY7XVCgkh5QLaqu2H3KOKGttGbiKjpWWMfmW6aqF
En/XAfTdzUoHbi7y9vHjAbzf5vOJroPymn0IsDV8+939RG46kU7pEY0ASe8cWhRO9enmioaBNec6
kvcAT5eZfUCurUHijI6mVLoTQLnaGBCPWH08kvcra45CLYZ86Ey6klVBrkStGR1FdyXbgdtPnz8S
iUDGOMs54mG5vABRhR4HTcrio5qirm3C85dapx/+fH4caHLyEMIZlRxvkcEP+ajTvMuT4xi6+d14
UZmMD7pYsGyQfz8/T+Or10gkN33Q6/y8p79M4Vo012hn3JXNNmq28icF9NkXmMdTj4A6S8Xq3Zen
m2KO0sDqUrLkxoTQnfe3n50tDP1M6s20bZFyXKIhcQYwI6vJ62OhrGqxzS8ZZ88H99vp4vd5gthA
EYHoLvdHqElBaKtRfZSVOrrpJCt4lLAxPsS6UV1rXtfvVSGZzhD0l/hj79fzHHlu16Pbb70zlQy0
QqmTpqyPza8ucaKn/zBvr359cWFJY4wYR1TVxzJCCL/Zd/+hHkIrBJ4J6QO2APz7dqHZqNGXEUfe
cUCjYHQi9VI+em6COLJm93dAFO9dz3xZy2SNTz9Wt8K7ltSLX2B+xS4+vjLbmkBowq/2nYCt3Cro
LFi+cmyItfazXne9CvUlV0pSPAX8qQ0feeflLvxdzS0ErwzXbrqSV7c3hngLDLr4nnt25TaSV7ns
7CdWjOwknd9hhxQY7UbQR72LO8VaBXlgbbBkFghAjHgvJsgnoSj54PeNfmt5uthFQQZyDzXD6Wmw
jdFw5FzxdzW8kAL5OLPeSHk0XfVK2T+lDXd4b4Q90JJamMKtK2lcZVVhfvplNR+62CPB0EOQcpmW
KOwFI0sD5Yged6mirvjpxOrt7y/ykrAq+ro25k8wPqTas6Z//3gfvE8S3/7+4rRtOhkLUsxjj30S
Sqe+auobGcQECotSp0JWD5TwNpOl8tPH1myAzMag1I0Z8vLYkspAacdmLE/ttDejR+uTtiIcvG9/
fzFtpVW1XtHy+x10XZnjY7iQL56BlxKBbU0OM1ebltUBlN+HfuiKEnjzfQI6Qx8QykO6AfXeRNyU
QbLqy5cxS1cff69FnjoDMul/UPQAzgSudJlLGOiW2IJ4N/10hywcIlFXmfYsXwLAL479v2HmVwO5
NtAWeshvD68xEok1mF53Y+QmEk/wytIx/WoO8U8ppu/S2+mXqdW8C4v93OBmOJg1n2lsqEX2ystR
tUXUTTdN4Lm9f5z0bz4vxymNPxsIj2yUlUFoAkR672qGwJ1tlD0CPpp9rWVPXvM14wFmvnzyWxEF
Y0V8caFmMIuLG0D2xtSMDT08dt3XAWkiqUKMyTIRE7xUgHk3cXOkuVzIaCRAFYvPFcW4RgaaFx4j
XT3ISbDVSGfbJD8khnVh4S9uHRTZUZLRuY5BiWnvr+W206feQEnoOKZX5qaYLpyni3z878+Dp6AG
MpONMCNYLDylULxU2MGxEtmmNOPHMVXWRj1dAKMvK1b/E8cG4Uw/RHmvZDzYUlFr/4+082qSGguy
8C9ShLx5lcq0V3UDDcyLAivvvX79fmJ3lmqVohQw80QMgbKuy5s38+Q5w8yWqqQ7pTio2U9feRfG
j177EuoEg++KjIubrtBoeIHBc2MDLtzu/5mHrgB0BowCy2I+ERvsimITumVvYLh8Bz/IPy2sQGh8
3E1RtOHlV2eV6PBfc/OingW90xAVSaDVoRvLEGlnMay2n4LpeH27r+2MGc/5r5HFdhfVoU81SKXc
rK9tQ7mz6o3ztDIKdp3Cc4+37UpJPchHSe0ZBehXx0olJ1Vf0/z2j0eBkRkEZ6K/e+FgBYhZWkUw
Q1dKPnv6a/bnC0+LCplx2E5WMqXsO7Fs0iRyC7E09gIoyfvMV7svVqHrv2KeF8vst+BWqxMn4xeA
kxGTLkPRPjX9qYdczB0t0ZHN0hmt2yDYggyvOCHeOjx4ZogKXByLDI1OnqEY/In1R22+VZ+z4TWq
R9pzN1bo4m7i8sMKlji3PEYX+0wl2kpCzYjdJpaiw2gO4qEpPGsn9uoH5MwIWiQLGpOo0DY2+LJ3
Zj61gKlwsOCO5pfdIlgSYO/U0y5KXAVskySoRzBKByE3/xnk+rbLix80GD7GcD+rZfYgb+EBL1dx
BrPOgmwcATz9wjWKo5KYLQkTV3yuBxo9kcM6/Onef2NhWanPZDFVCx0L0CZqL01ZZl+GWO62Nsrq
QGDPgHQM90uW+603ov/HUwLJz91hOGTfh/aHbj7/+UCYe+DeZD/li4b1rrWScqqywlVpUIdoT612
YtEX++tWVvYD2B6QIvCZkl+9aEVUBhnOWqkqXDFJnjwRWjA5AFv0qkQfSB8/kH3bBZKO8pi165ut
SPDC3UIMAgkc/83J3QuM39jrdGtF0uTWdWfd1hEMyhZMmxu5q3ktzp6AtPy+tbK4OYQo96XUnCYX
DdtwhCAWjsd0NPdleouiiYqSAZfn9Wm98COYNEG9Uneb+YKWvUfl5EN3BMO4a0AL+ZAp2eSmgwc1
ZgKvoaVU0cZmWbUHGn2OZ6i5LEvGlpXVU1R5kztUaQijrLY3svTBKqJvbbqVpLvY+vPYzmwtptPK
aUrzrEB0hWJyTaU+dtXwok9bMtTrZrgiEZ9BnnQJSxcKv1JQvptcyBqh0q+QGBl405VVvxFYrMwd
mBiSGxrPkvkQvD3KKpCYaaRPyFUgBis+xtWT0nypo2B3fUtI8uU2BL3ChgCURU152cKhlE1cttA8
uWIuvxjQCk7xtLem+1l2EJJQJ+qQKKGvS3sIBK++6cqk3ZsdLNLXf8fF1UNaHTFZda7RMavLK04A
Ha0maSq4UyvZor/38z2c3rbgvcvizoaE5bq5lWXEHKECqvBoKSxPAjk2AR4WRh1CfWreyd4HsLv/
ycQSyGCVoaCpXisQjzwJ8SdZP9bqxn294qjOR6Es9kgCmbOmVr3gJsmhzw5xvFEZ2pglZd47Z8Gt
Geac2YpZ6mbdTEDVFmSgcv96faLWlp6ghmyFBaSBLpy3VlQxT4VUMD23Ub4FZgIR8KlvbiXh3hoh
vPa3eiPXJg0dNtSAuPCp4i2ewlkUyIpvyZ7bT5/pj+HodhvTJq2d3XMT84jP5m0UuqKVI0wAPTAf
9FR5jfvsro+0wBWSIr2px5lRu8krqEjAicBujXBTO34BbbWDsMHxPOUlhzjOnsy22Djwa2sqMXYg
NnRGX5AAzWSaqu95nptM97nxAHO5bcBwcX1J1yYAf/+rnEiD0DK3HVeJOtajaLojqYbb9969Um2k
uQhpmMTF/Qli8P9tXHTqBjnM+6DmXHkwJXeEHNjJOnF0ip6Ec23CX5AOxbciMmBgNZX+U66X+b4e
FOO20/Vix2vrsxTBUBFG/veasHAn1RL5Vz/XHa20IA9Pte4ux8SdHKXFTQmr8a2fdag+xF0FfTU0
pEdBrHMkCzjhfhdTsjHFVoe23g9utZB7tVRQ4xjTrrLJ30o36KeWjqzSBwQl9z9Gp0v7oe2yHSJ3
+q4uRTvRlX5Xt6awU0OVriSnlJAkFF96XQeQ2+WOX0GcXUwWvQ5J9QTXuGCPfo7uGdzXdtT18pMS
qhAry1JtF5JS2Gk7VA99JKUPcm/0N+IQisfI0vOHsIHFHhEt4VHIwk9lZtS0O5tD+qnuhkaEAzTJ
d4kvjY1dj5VwhG+u2XcKqMAmBooQ+ZJyo/BU+Jj6gXK0NFnZARhu7vrKC++yXE8epVZo7tD/iGwR
Nrf72hBrNwgMyZE6uArGlq7HUDBegzBR7rze8PajbGR36lRHN7GlVcc2FdHnCsr6KSC7s6uVUD/k
aT0XryzPCT0NnvAS3mk5RRYggw/c8eJO2Ve6kh16EF6HxhCG3WQiigITdP+QNwFk7QpEz34rxTeD
7BX7IW7l2ykgod20uXWbJoO8Gy01cMZiAIpUtRr828b4UIwQDddckw+eGUMEpfb6UZzE9r0pCIWt
R4bnVkbkHXryUm5toHynoSuBiE5RooGnSjtVFMyDqnmIwaFjjm5AZVeIbzgQmIgfrh+9i/zHTD4g
ITCq07lMVXE+/2e+J9Gtsg7NSncHlL0Ayu9ibzwKhvfQeeh3JLG0dXOvOBQMcsbBV3ORLmuXktT4
QzM1uhshuQK36ntVEB8HS/t5fVyrZsheUogjI3eZ1y7GiHeJp7uyCmOyIMmfWllpjrmsFTfXLa06
L+IC6A24li6AQokahF3j6aZLE6RjUKeBVj3dAVJ+jVr543Vba3cfZf4Z+QpyGLzj29UKTa0g0vM9
1xoy08aV3gPBfQRdgpCJmR/jEZWU5I+1VYm1YB0i20OZgKTw4sItkrCNO+iMXPkfJG+y/fUhrfrl
s68vgoZKQdhayPm6nieOHEU7rd3IZK5sceaLMjZdNIxgucXhhkigMx48V0qTO18JjhDG7zILCtGA
oFUI9Y0NsTYi3qKkXxSNmGH5jKGhNproqWaRpvRHWwT7Kgr/YkizWib9V9xoF22CI+mqtlN6z81C
z2lU8cHIY9uQvpdasw8Ea+PyXDlLJkA4wG7EXGSEF7sOlVEvSvOZDFWedqiIPcVadEimcWMnbJlZ
hEFR1HfJ2E2WOxluKJcUa2+JyzZCjbXNcD6WRcoDyevebEeMSKmb97dpYSvDQ9Hv5HoDkLN2VM8M
mQtgctFGEwoDGFLaY2889/kLTcS0GSr2VPystY00+sbcLct4kw7xbliPWOusD4oQHRt9vPe4zK4f
1lUzlKFnceKZz2WRd6vRc5KNZLDcEQxQdEqVnSBsPFLW3CnNESDHyf2S0Vl4m6BvC9WcZEZCr08n
euhI3Jl55MjSy/WxrCRUqNf/wizP1G3LuqGnlfSMGr7lCvJD0/8MibOU8K7y9hYqZ6m4j7stHPOW
xXnoZ3et7KEW5gEKc626PBR54RjF86D901rU8fKbQC52PQ0n10e5ug3PRrk4u3pPLFuN2CzV1Imz
lPDqVbdiu0Usr4aDpx/UjefM6gKSDJtbgOCR0xd7ZIQRX/QReXCJwCYp3vkokPXe5yj8dn1kq3bm
LqY5CUsz4cJdgID1YwpUlivX+kyHR6fOP75VH7xm4ySv+fP59mA3Qo8uLxGJktDFgiJ6lltUoo3k
DqTwG1N2mb+cUYJcTQZ4Qaqhy71oaGqiQLunu5B1uVmpHlNTf1/2A8ukoYw07i3TSgBQBKVdhsHR
ipTv1ydz5WBT8CAONIGxEH8vTp0Q9z6w9xS44mjUdtr56IpNUb8zSwS7rpta8cCYokkMXBldFUuI
ehzXIgpnse7qwsdpuPF7XhKxfhPKX+ko3JjY1WHhqGhKkKHA1hbBRS+WcZ2Psu7WUWMbnnKwRuPQ
l38T09JWQ9MV9QieZostT1dPXeRmoLvIJrq1KHe2ovjqoUNJ53h98sCyXL5j2SgKvHtQh5sXW0Wx
2lgMNRD2lemByhOM1pEHT7JDv3IqE2hp5xTDi0CtICirfamDrNMteLGFqvhBs3n+MYxp37TlppJu
MguQZamlVeRUkvpcoutxT1A5HIQyD3d6lPaOn/QFCh8abZCamms7ftWPMZb6x1qqunc+cii7eAyy
275si1tao3W6hiv9qKu+9RCUcIqoWlc74Jq8AN2SrHzyBUs5yV7QOpmfjo4eGshsQ61x9OQmcBHU
ifdj3/h7GWVjYsG82/vp1Dk+IJaXtPL02zKrdLsS1W5X5KCQdC3PnEltp0c/6r9mKb/ADA3/rp/V
KWuuxBekrLybXkW3RSE95hRSONm9X1nHohSVx6arzYew7N77vTgch5w7zdci894Ex3kMfC93kPEa
7v0kbgh+/V7+GPk3k3qIgBHkUnmvkZ0JcQtttg8VoeNxahp3BQWxGxAb3TESs5FWi0l0R0Mdn1Ma
495TcZHvaxhF9gK9X3YkIzmnDigWpGhr/sg8BhRXynQXZGhsIK2a3JU9U2XElvU+rhqSP2NSHxNU
Rw5mif6P0RXSLX9CbSxufactwnaXKA3qZ7Xi2zzmfFsxaxRIfUW3owbZoE6l/xhSoXhH81TrcHjQ
V82jZidNZfezHQwB2S4EjUQlNO9SoPGPXampd2WV9E/6gPSBXyrGQ1lVieOpkXATAyZ7jQOxYWMp
w2CHnSl9yNBJ23DFK7cZFUcNhDCYFIsj/fYG7TWzUNNa11wvmPZZ8kFof3RDsfPi2C76rwWCbxvH
bQG8m6subwwurmwlQOFKMOkM6Cq3Sj8PytfMe4ICUlOeSXfatYhw+7hR6VlzWueDXFzZRG2IeqKo
6abTDbIslWZr+uH6uFautFkrcu6oorANXOXtPIbAk3XyCwaxDyKJPJC9YsNRrQ1C46nAd8hHXSCI
Yl9WJkRcDLdTvkuesjcm5F/1rd65JQvFr/UB8kfNb+b9AOf5diCD3HKpQv3qxpkmHLyuyG+qAloG
oc2/Dm2r3lueonxMVD1yRkgyHa0Xq11SRdlhio1ixwjq5yhFYun6/K6OHpwulRgkSUAYvP1ZWh8j
Jukxv5oJnV7nlHjpZotxYM0I9GaiyeySn15mNIU2Qf6m7jTXL392s+7izip/XB/H2j45N7EIC4oi
aRR0sDVXe6gRaA2HLfzXvNEWWVlwN4xgFpiXL7or+8hrEwi1NQq3+Wcd5R7Hy2nr9kLxVatqIvLI
310f0tqsIevB6xlAGLQs8/16FoQXsZZkSAmyY0rjJxg4/wESIYTL4nwLC6aueSsNNR0CK9IPF43Y
PrnkOJgm0/XNqERSbeoPbVd+FNtEdqC8/F6Pebrz5NTYm2WvOGYZxccGqTa7C2Wk6izVf9JbLbWp
ckTOFObhoZIm4SEkUKTmJQ/7boytA6JK4q1g0ultlBVJ+ggNuWGwBicPU+k2LyBmJ1up3/t6rR+t
cPDRQBSz13AKir0uCO1B9W/EFAZauG0ba9fC03Qj8uIiLRoPz000pLckUweSkoO651YRD51ogKwI
TIFroOMurofKNitly/luTN+yK0sfZGVMPDqB6CfcIZz3se8gXdNhCwcwdKzGzpEyONj+YnvQ9A3B
/YyyX8I6cyXXm95XMdqND2ORvwKxe+9HlrFhZ+1kaWd2Fq8XyxfLIZs00+3JCoxhaKuTtXF5rTyQ
6Jn9PZTFTpetxAwzkqBuXbzKyT1CtntFfRcQjv2nKVuy8tJe7GdqxVD88rXVJaITKKc32nJ/hdBL
R3E2mOUDpVQl2iLxJG6RkyIMs/eJLiA6UD+1dfg9zvR3jLa0o1K9iZXwEZILW0OnekQM7W8Gy70A
fgAOheVLTaizkfdmbbqdkDhCAfQtqncoQuyvm1mimv/3YpsJvaEEoWllSbGiQbwaJ0KP9h96qF5W
3kEyb3eSeqOOyudKU7+jDH6TT/2tMYW3122veciZFHCGHZP1Wxa7GzFTuiJJ5vV0BNGBpF99+RsL
4H2hBgAVsQw/5Cqf0twqTFfPnkT04tLoJas3aH/WDhixh05ygJ4cOvDe+nnRg6aC4NZwK88OukPj
b8zSknHs1wqdG1icYE2wispsRnKV5VMkfE7N1q6HG814EGO6JPYtmb7euunbzm61x7Z4HOLGbvvv
12dydZ+c/4rFIS9TQUBRjWGK6ZM4IIUcmI6g7uP8i96aThb8kLxjF/y8bnVjbpdCbvEgA7biFnCN
NKdfQX+tky09jPWBAdie+RwBVC/f1GUawDASRIYbDbFbluO9iQY8mmiFq1XeJ5gAvvDsfodo7rdI
Njdm9dcWX3qbuXJkzIUqnW7at5snMESv1qSc+LhVStFBLpC26cmrb81WbW/0EgUZ3fSzD0k4em4d
8GZtpybb62JDohIhZlsohG819IcOcJRuF/pecCN1snEwpwHx9hHB8MKSv4xjpVNHtqx9a6GjEpSi
+Nohzbv3gf0fYhCVtpcpVYpUIeDr62uorB5zCiNAGQHyXMi4ZGYNZikwDFeOcZTtT70Wsoeu1+Ub
Qy6kQw5Vm9PmeoCqbU7s3lTmoUjlnLf2aLGfhfTZIDF2TIO2e+5LT6eAORnCZzEOtX2ExEftjF5q
2RQqvBuf8AhHoovI7HrVUSLb4ACsFBzwDOUdj3T1wUqR+IXn1Dp5Xov+tVAqD6VGITXRx/LVqjbc
w68LY7nEM3UdeKm5M2zp5fym0eI2qUnGQlcvl9bXapQ+TRpA5iZ/MZqY+qT3LJqNS+rjWRIqQGnK
kyVNSDYnE2kQ5VMqxreNEnV2qZYPgfkz6EKA6srWSVg9bKRTicOJ86n4vN2LQ4RMfUUA4oZTvle0
dq8rN9e3wvpO+G1h/gVnIXHYoACtSbxW4LvZwXG5E2Z5+uzPGFr/119Cbcmkw9xwAfLQgkAA6y0b
rlmU7+U0v5sMecPEutP4bWP5JCp6Sa4Q7jPcvBXuklYnZ6pPP8yiQVkh7lxVivbDINxlXbafgvDz
9Wlci7dQYft3gNbisaQ2qpVGHHJ3UH0ENz4Z+nNOZg3Ckv9mZ5HUhNfaG6WEQZam0wW20Tyh2COb
GymCtZfZXD/n7c4bBoKKt5vCqAMhEcrMdNtX+CF2OrXt0la0bBdtBAOr+/vM0DytZ7sPdLjetSDj
3Ul1FNZpS51n6/uLQCCo9LoLG77/qYVSFfzLRpi99v1Z7IJXPi9KbQlo8MyJ7qY4h7Cg8lo7tZqn
Roj/IuqkbQlcDAgsarCLrSWpQ6D4MSc0q3di+uJ/arZIr1ZHMYskIaBKQXlJczSTFQR6pxhkymVb
z7vUFjo5/Jupor6B8BPe/YKkGUhMPXciYqTLbialgU5vd/1srA5jbjok5U8tY8lFJMdBKKexxTPB
zw9K/cXzzY0xrJ2LOZ6cYTPz034RcImlGGZlHliuL95Y8lfi6H0U36nVdBP7G+5szS+fmfrl7c5O
RjAqQkyVi2qrTy8ofJyt3Sjv/mLCqNKB8p499EWYZYm5meWxBSUCIha+h8TkFpXO6prAaEwmDmDy
BX7EqvXRlzSYNgKRxFxlT+FWYXXLgvzWhcTRZCSVz2OpSJ0ace0NV7i6DmQyqf5Rbrygpgimto9T
jzwOiZah+1GFN3J5vL4Mq7sKFi3aPugNusCoeAXS4nrqYaIU4R1MIB/M+kTcSWkuOlXVykdDjqW/
uPcZE753Ln9fkGd3WgOVS8KbOh5hAdLu8+5+2NIvuZg7qm5I6s3x5UxfsETr4gY0sVat4kQ9ZddZ
jZM1zRFAzMYSXczfbIYeZhAx84iWLTldVHimGoflydMReWldM3hWrbtqNBz1D5VMyTMDsscKlT5Y
+8gSvd1shu7BEKgl5Wk0qa7ISnybBQhB0/oRJP7z9W0xvyHfBKmzLVwyiVEacS/wXvz/oAiBLZ7Q
m5WAB6QUw2zoqDp6FsKNnPXFIfpli3QDWB8IfpY5a+r2Zaf6cXkymw9iCY+b8hdrNNPE/Wtg/gFn
7mwKIlmABKs8DbWwM+FGiT6r4kGDDEn509O0GMoidoEJNxc9kWnT3sX9rqB6mB+8Fq2G99eXZ23X
0XAx9yGAZ6RX5u2ISq8bU38MypOvVInd9OJNmHg73c+Q6JPvrSnYsDeHQhfbgfcwnUDQn154UkEP
EjHvGFegfMvEb5KYg0T9Kvnfrg/rYtcR7kEFMKe4oG2/6OuDQor5LYsEeVvzwUCWVZxuai9513vt
MUiE+2jzjUP4vxwaNhHWlqkV8egHN/J2KmmoQ26S8Z2QUZUOEnT7Tl4r6k2uG+mx7Hx9L0DL6wSt
hybmaCRwWFT5RzP1uvs+6qOd0E7WXaBY4UFN/WnX8djk7a3WjmIl0UGeRmh8xY6/tTpHHzK0gOrk
I/XuBtAw79DINzs7CgVlJyqR/K4DGLSvpxpiY0TN953al3dAIUTHgGPZbodROo46qe+pCbKHcRKE
Pfp+7VMT0bqeiImwj3LNHZtGdgI2ehEfailxarOxq+RdPjxIffxS5cbtx4BniH5rGuhJvAi3QtI/
64J8G3ZyslcCY9oXE4EYnqiwDThdnVbWUicUiwQMWZ7s4oDfC1o52gEf9hwzyVt7qNEOjYoRpIqc
SE6Q5rQAC6ZyjEZKyN3Ugw4Tmh2va30H6WdxqLupZUS+7IRNpTklvUxHOfLfx9mkQ1aG0Gne1Oau
aL3eESX/h4GK+K5EhW0PajOzi1QRnLQNPLsJveoA5zvF8IG/0Foh2tXBHHIrlWKDba7sQU+Tm1y0
ftCtQBNUOqoHZSg84PdqcNtHenGofE/dKbEi2yWMVnaYSOOx6JPqIKpU9eDAkJ1BC0JH7LrgKJQh
epvZlNwU7eTxOGGEVD9kJ9YTiCL5yZ9AtQYwEKKAWMHyfwgVhc4lyQA3QNz+EbLxiJCE6saxtppq
Lw56d2/VQcHR0hU7iib1Jhqrek8HEl0CeRKFp7pUvo2DJn42G625LUEtOgGS3/ZAjWvjflYv/Asd
ajO9Nr3WnAxeY28PxeQlhddJXXYK6upBm1EbgfVcdJ9rTX8gZ2xHufBc6Mq9ET0VxjGZ0mPjNS9j
eRTFaSf3yT4NkTggs2QI3mNaWbsImvoSPFYW9Gyh0J5AACDBTL+BaJvD5zb93kvQtaiDM+Fesrui
8/cthT9BevTjJ7/XcHAJxHXvKfzsvdKVA81W62NI90Shai/SUG9MweoMUKSe1c9o1V5ir7IxCasp
GrJTXXxXmsZJebl701c/eBLyrXrTRagyz/aZrcX9ZDR+ydboM5SW6BkW7ZEjgeLkdd86f+SNC18Y
WVxNgaB6EeRTDEj7aCTv6i2qi63vz1fI2SUrNlKIm+P7KVixNvxibd15WwbmFTszoAdp7ck9KxLg
lCa7aHfXJ+jijltM0GLPQzmm+kbHAIaKIOEFyJFeva+1jX21tdaLII4SsF6hC5udWsNzihnZI4rQ
dn29PpYNK8sHXJHB0JEKjCUunbp86cpXb0vMcWO6fiELz5ZDabReNyZMlD8l047zB6HdzgVtGVm8
r0wjzrVkZM0Tzw6VgxS6SYUs4H+crUUIMKXgG62+zU5C62gRqX4Q4M71Bbks2rzdXUuB0tKiBTKg
/H2KQJDtY1XIHCIbBLYKU4HzsEbcyYBjJDVE0LKDoO3Ehss3z5Jkn9X1lzJOv0mB+ckajC3HMO+4
C8cAHgeVaggpCZLfnqtMGi1gKjULmRof/OqkoMs1qJ+JL7qZZCMKHKXfSCSubs9ZMJiEjwxr5CJ8
HdsJZjc/zk465Sr5EHbH5MfGfM9rthgV3fh0xyApTRPJstLXlaXZyIMen4yxvDWbe9k/9P4DUAYn
C2/EPDvU1Set+tBHD2l7rw/tRufCmrNCkHuGf86kjxfVfLPP0KOR05NnnFolhH98q59gy8Ji2dp4
CLypm9JTokC27ACAuz6DW99fOCriPI/sPN8Xo243TQJUa8frFtYO99kcLcv3g5k3oHzE9OTLd4FF
4BWA1BSVXa40G659bb+dW1rstxrttEEhP3cKABXnsr5XNbiD5X5jytYHRMrB4D6nRL+4oSLRLLUO
pv5TWx/K7tnX0LajV3LDlaxagfacHuRfWkOLwYht2sSCbySniMqXnH+BPiAXv7fjy/XVWV3/X/Up
DqgGXvqtWxiNrG/i1OIt9kmInG6rPWD18zNVEEhiMoC/umbPrg/V8+t6Mgrmyn8XZU94z43FWFvz
8xB2sRii2kuV5TWEC9axN/cjsXS1sYFXTSAoBIsJrQAXCRnU52QvC6Ts1AcOpOrIXeTiX+zcmWyc
AJQU6UUeBjIWszAswgXfe5rS5wIIhryR4l9biXMTC0dCF+1ItneO9cNdjGD7Fknl6iyxU8H2g7q4
SO+k+RS0quVnp0KP6ccobJW2E8icN9Z7dRhU8XC2dKZdJOCbUm1jQ4iyU2gG+2K4VfRs4+D9ophY
3Cn0lvw2sTgSdetze7ZhdiL3RiN0pY+3Zq2qdiU3LSg7HobKmH3oM85LMxU9PEBDeqONcJbIEZ3Y
5ogM+iQF/xhxZtmTRnqorAPRKRI/AWUnFc5YDuGefIS+N/oWmRnTG3dGr8JnYPJW8iQQ639+yM9H
NN+iZ6dwUAM1xHp2yivWpnbbeqNfcHXxKXTTo4CsyUXRgkJ9MsSGmZ4i7UszxhR4bkV5i01ofen/
38gy2u1KcarJkqekjWLJ1gWJ7nh1iyxh3Yilo6cH3wltEG+nKqta4gkU3siIdrYrNluXx/zvLzfX
7+8vjmHkeU1U1MREvI797DiYB2/Xt3fS579Z8d9mFte6qHh93voMo02/etGDZv28/v1LnpY50AW7
8n/ztGw/zOK8L1GrTU+xl9+HqbeL1Wk/KdFLWko7bUj2hoesvUc/hDwN+0AnD6bm++s/Yn3X/f4N
iyvSUNoG8k+P2Kh09SCyR+9DD5z1upHVDWEpKDQgs4ho7vwjzs6O5wtTNepZdtI8snskIhTtj9t7
5rk8MzGHAmcmaLGWcc1VdhJJbg0IwHjGHT5uYyCrs3VmZbGzjSjoEFFkICixO1WWOsgnHv3h8N+m
a7G/ZfQhPDkomK5pR+CCEt7176+FRedztdjYFhRHtafn2SkbPsZWQur0zsrfx8HG+dkws8QGZ/A0
FL3BMGJSQUMOtZIf2ar8dVD+4gVxNh5tsYepZwhlrzKeSvFYjfChnIRv16dsY+GXTWqhRytGXTCW
SpqF7QhXK2A4kfmn1eRfu/j3A3NxyaSYSeWeB6aUP07AmBL5vRQ+Xx/K+rL8tjEf1rOTosd9o3hT
mZ06ee40ehQQmvOTca9C/3zd0vqx/21pcezDRvfp82A03vQ5EoWPzURO97+ZmAd7NhjfsKpRaDGR
j1M/98+9NPmWkuL62v9+gssLG+JE17bEoa/T/fA9qA7N8BcHkl4HqG8gpTXB+7214GWDn8cyGziW
jh59gNBIW9neT7Z4ktaWnpZO9CegZaJ0tHBfhdWjdpGZjISqSdumTqN3dg4ZSrgBBV9b+XNDCw9W
qkLTaoWOBxMfKgPBL6Sg/nzhzy0spmwYSUT0ORYs7Y5mlET/i5N49v3li9urxF7OZL7fGN9E+aNS
3lfdzfUhzJOwDGPOTSzclhzCMkQxiuORH7qUrFZpPdT4+1b4zCvTKdvv1+2tLorEswKMPsow5uKs
TNQuOoPa3KnrPmozqVG2gddci8sIX+mkmaUHL3TyrK4RwtRKc+RNKzvXwDR/Cbp411pfM9Cp1wez
OnnUdOGTh7cP/dG3R6bvJTOONB6UsnEPul8LbeGLf1S+yPLfbOUzQ/OsnnkYJYwKtKEwhIgw8dGm
av3qQJAImR/gYC6X3XFUZ8rJyvX0JCn5zlMgRC9OWfZ1NHpH6G+EP9T+pBMNdA+kPtCsgPUA8vF2
ONSsYynPLPI71Pv8D0aysclW98DZ9xebLE51JYSLhHiSypXgECIN1iEuXSRtrm+ANa98PpCFL1Pb
XoHYloHk4Wjn/osoZDB3bOAttozMi3e2+HJoWgLdg+mpGqsPXVc/JaPmSNLWg2l2VheewIBdgH5P
srAX8bGci1KppOTux+gQU2bNv4tTCqN3bgdwetVath9jb8ODrl4GZ0YXKxXoUVXJ3ZxZtk7BmO5G
f4e22U5T6t1frBQtJFCRIJ95QUhSWVbndfMOb6QnraYoeAzbjUO6OhZY45GkQg0YRMTbdRpUxNAK
UUpPGYUBz3qoysYOU9c0318fynzYLxbqzM5iP9AAQKSUj+mpEJyP8RaP3/rXYVxAcYejuexoEP3R
a02/5eul9DCo43vBHDdC5dUNDTb1XxOLRe9DY5LKoOH9/0kO3mnNQ6RvLMWWhcVSiN1YajDL8ahF
9047de2DudVhvm6CUQC6AuS5xKEg2xSqudClp876KkavfXcMm49/s9C/TcxLdXbwkz7NPUHq01Mv
3cXpl6LbSPasnXj6nVRRtwABXPCVzJJ9NKcQt46NeKvXvQ3d0c6SXkftZ95/CMonrf2bV9+5ycWN
SQpZaFA/J+vnlw9SWe3gxtsNpnRXDVt6QWsLNDc90xMkk81cwu/8HJ0ww5gIzui/H8svChQW1Dz/
fImAvYtgksDdXRBjm0o96nXOFM4cG2Kh3/om1Dl/YYOqGHA4hFkvlEZ1v23jxCuTEyrQ03ETbbd2
4BEpp9tCnHtAl36/SYFvN1TrT5r1XmtdeeOwr31+zrjQHkibFAHZ203cpWbXtRnnpJ6JM+14q26w
9f2FMxGGIokSH2+oJQcIk4EL/dnsQxKO5AiF1llGDbmgxcOLKFKqA71vHmlzsA3za95tCQwu742l
hcWZUKKhN6ViaB7j/kYsnnTrQ/UQbzLhL+cJKzy2CO1YBID1S8D7IFijpfRh81j2kisX/mH0/PeS
kh2T+EvqvzOD6JTMTLycRUF41ZTPwL0QBaC36/p8XiQc5x8ycy3wYygjXfSLJGGdS4Nhto9eaT2n
ovWlyWiHiENPtds4OiLqfTuo6k0a+UejFL8qQRzY2qS3GxmIpfP79TMoZSu8OAzYChezjoBhCYSH
nyH53cEyrGNXq8GuGfsPQxEAXYop+5taGtjKZG5SC8yvqvMrnMMA5wNts7QOwhS8bNPwFQ80tdJW
jxNY5aPXtemdUWeP1WTC3hJ6R0EXXmlMMB+Lsb5DM/2fSul+qH71XRraD3AuZTZkpe9EM0xtaAHE
J09qqkNFfXbvjf1LUkiQtkh9BlJv2lWhcBvQtB/A3Z8b0x08ik9cZ45Re7ukBWLvDdmx1Zv5D2iN
jtY9fXy5HRbGD1MBPvY/pF1pj6Q4tv1FSOyGrxBrRlZCVlbW9gVlLY3ZF4Mx/Pp3yO43HeFAgaJa
oxqNlCNu2L6+vus54Jva9An6zJ042U2gaEjQaMkzlJ5YE+/UVD26Op4KtX8pdEJ9heQ/Yq3PNrfV
5lp94YzAs0ILLUangERyaUbcPpoMB7SVH9jnIn4w4pUOB+kOYhBkxgcHwye6zOfhOUkbynRsYt65
ZmAZfNx0RmM8AVB33IM9r3ykom/uNFt/CwShAuiGQEZ15T5MLjomG4uYgZ5vbPAQmJmyvWvH3iXM
TJkzJbGJopFkeDNEe3E8NWZQU+MZgLsfJ/Sw3BYhw5H9LQPPEiQYmoq5kMtT4YATjJrOMgIg/0xe
DkKZn1VRWvshLQEWBHrpk5UNyYHSRv+WmRndWBGoUmLHWgNGex9uPLtR+CXoHkGfPRA7EIoDIPry
l0SZA7INt2VhwhWv0vEQCDSORumWii9AF5rivRZ95fb3qAZwcHwYnNTX0heHv6Iz19NI4eeM+IP5
l8jFsRhar24+mGvYBLPXefkbMQ6ABhPceODD63KGjQJMJK9jC6DSFfj1qNe6/aZC+7ALyIz7Dx+i
YGSwH+58TJfbwQAPxybD1ALDPub2s7ZW/XrvMpLWAhgcBwTowIG7DhMAhVOhONBqQatmxYOagpPe
6jl/juxO23I7N0avZ0UCIHJRqQeGceGHdHS0HatiHaTio/VoTW63a1PNeBLF2G4ri8afYpsku7rp
ANB+W1Pn9V7+3Av1kOc9mVPxzu47FtYME8MbpGcxiv3fREiZNJobRW2jiSjs8y9VEhpNCtSn1/8m
Q7pvBDy7tDWwDKt81qvvhdF5vNzdliHlgv65SQCkRSYItA2WFF4q45jyvklZqBZ0eBoLVQnSHu3B
vTvkfjpV6CTnyutY5O3htuDrMwICAzgjLMDVaeD2kK8wG5nRAoUpMC28Mw/jtBvXpn+kV+TdXmF4
QMX4z8wQLofoKNq7Zs5sIwCHeUU36BS/vQTZuZkFvHs3aDqY27FlM9Tkw9jWGuEBjSK2QymoeTXy
Dv6EW9XZRyOj+idML/wcx/d0q9D2tObdU2qDocKr3IgfV36P5GjMvwf9LmhWxkAaFi173yrAygfW
KEOQmlmP3nwV7YkORxaxrYQDjnZQbOpuSzcOdfsXZG0Vb+iY5cURWJ9X9mbheC9+iuSoW1lc6I2a
iWBqj4q7i41H484J3vfVgm7EwCgKxkOuGnzSEWMEQwsRY/lkjMjG8h+393PBTYDx/p8AmW4pmwBQ
DzplEVgvLgYZzAOZfHdYuQcLSnohRDIkOgYiBgHsxUBxvbT10rUmkqWDOF+EZERsoCYyPStF4Kjf
iyS06b6sPt7ep/mqXppbUORhmxAVzzdBHnWmUTe52qB2QZuPg+lldVEM4AxQy18N5iN+2gxuZ1u7
ky9IpU/Ash/v7GKCKmCEELBdiPvncpY8fWtMA6VJZ/SBGPTed+MYU9fkKZoANHl7qde7eSFIbmYZ
p2myskjvA0XbYPJuzHdirYPw2m+AB4iGNcRvWNBVxcwyCzADOFkXgJSYg42iAOXRrjOf+zVqmQV/
7lKSZPvrYeqqyUi6wNU/a9PWoicmXvVyZ9G9A7iHxkaS6wF0Oit7eK3xl2Ily68A769gFsSmhjUd
C2pbD2PR9yvGcEEKAPEB0As8dP16cl3VaGJyremDCB3jUwqKic1tVbi2DvaFAMnCFWDRmNqc9cGY
KY2f1Qr3E14Wr0qRDbssMvjutrzrWwb3XgMYLy4auA/lkN5xFC3Lsg4Leo1etcJ3xj2Ab0ofQX07
rOQKFzYPoMNoAHVBjKpeAd0kIN5UJpLpQYV0bbOn7v17hyoaJlgRTOAJldOpNQanK2LWejCwxzRF
QO5rbDf+uL1hC3cVzO5AA8XQIjh65JSgUmnxVOKdDEb10KSnQt+Q9L7M82x3zkXILwSL1QpDV5EW
ZDniDD/RPc1cuS0rqyDS+zCyokPtDCIMccq+8/TYrgXbCxLeS/NwkTDaedUC6uSlUhkNWNwyjGRv
yhyTyzrmVm004N99IGBjRtQ2M4TNYdFlmALwS8VNsxFDym19nHT9xOMi8VK0aa3s2YIJhSDQ7oFb
cAF4ubfAOR61IKXNErF1plemRr6elB9MDCcJd3t7VbOVvHz9EHQhGQxoegwTXDmyNKJsqAy3Cu00
Bb7LX1b0LLqvdn9MqgjgKM7K2q5P60Kc3OLEe+D9FA3E9dN3Oz9WFfdW0eHXZEg6N42lyC1dQVVd
+ZCXB3N4ocaX27t2bWEul6Ff6oLAuGYJNPgqVKzj4IzASPvx3wRIOZ7U1ppO18AyNPJ0z7odBr9X
XpjrBwAWbE4+mLAxKHNI6jzpHJj2BYI/IgaMBVr0EMfG4MU12UVgoVs594UNu5AmPdZmFwnG2yYJ
E3vYEid9ohZmT2/v2YIqzyxRQDZDRGZfNQXxHmO6cUJoiNps5YScPWPgCiOPDXse47uNAcGkOnJJ
mN8Ep4MMxNdjbqpvKElCQF94xH5o69gja6ZtadNmEzBz4wDYVYaZMDntmdnyJOyM44sVHW5v18I1
QWry369LOqxqLGOphq8D0uZ5ROFUqxTQjEZrwz5Lx4IUskqA9WNqwBq5vCtlMrJKDFoSanQvUmCO
H9My9TLl1I6blqx0Ia0Jk+4+bbjRE6YiUjC/AU5exWwR6Hz9LAbko/U7YnQlq7i8if8uTtrEunKH
SrGxuIzbmwiY5CnSc8kaZs6yIsCrNuBbIxMv3dWCkTS2dWhbbrfZa502LVp1e21Fp5ekYCobnW4q
UICuEBIS8PVR4GcnoSVeeuG75OtthVv7vuRyTuD9KsokAcOKrj7rxbcu1z/flrB0GucrkPZJrQxQ
24GJOoyLo5oeanWfVCu+5fwJ6b2cmRcA/oJQDRAzkmEmPGlEwXHgbfepK08zSHthAlwqwewJYysW
bXnH/hU2//2sqO5YCiL4BNqs2sNmrBx//Hl7w5auy/lq5g09E4BGYDLEiZ6EkfIC3sU4FR4Iaz20
2W0QgYDb4L55IHicqFygfg9oHpAzI0C8lKcD461E/EnD6GH8lq9ZmqXtOv+6pGC62oGCI+c0NBTT
e6qbNWd26ezPvy+pVzcV46C5+PVJD1+p3yKrmalvPA7uz3pcbtN8bGfHMpll4dSzoGBQfoIDPH+7
fexrGyXFsKlSkiQ18f0STBmADtne/vzSNUQKDwiUwNi7Zg4hVWmNhpPTcGJkY9BxU4JYEWMa+9ti
lo4DQSzyDKACgisjKdMwxrETc0rD1Nm77oOmfjS0Ya/ohi/SX7dFLdwT1A1QlIbmAk5BTvdWKHvT
yBjjsKxBhxgNu7HTH1TBXrW6PBBDPRZZe+foxHxXUG8FoQcSonPFSlqeFpVq07huHCrxRvnhsL0V
H26vakENrLmWOA//zU6G9FhmhYP+U2QBQs2KXwvjqKnTSoS5IGGeI8XDBeBZdIRINxLAJIOC1qM4
BCNm/OCKFWN8rWjwi2bQoFnX0KMlXUhdJI5im0of1prtKbFofMcB54lerJit+WdeGn3IQVs++qfQ
DnwF22sWhT3opOVhlTnGUyFKvkEeu0ERugJmu86HFXnvibhrgVAATPqiG8WR3AprUrnaipiHCXG8
yEBXo7Z1up8JeezqoI3FVukwlq3t7tUHBICAMUSPFbqSUYq9NDt5jwfUtAYelmQ6tFUJrtJie1vE
QtZulmFbc+QBFkG5Nu7oI0nGRPAwL7kH6lZ0WPhafahQxc/LzgdQP0h/HHCvEjBvKyve2nvNRN7X
mSIEmOpo6r7iYXMdE7OcyLUCDsz+IBK6yVpno9klYALSB5v2lee2ldcYxnYsVeHFGMzzAHaxBQqb
R+r6d52Y+L+rm6bhKxZmSZXRiIlU9FyqRCx+ufcKGzHMajVdGKsz9pCVWidKHcdjUeuu7MKSNs+l
Z2TIEPfDnbwUlToGEIIJYWGKeXgK1rRpl2sbPn69fdTXdx+zjDBhIHBHxR3UA5diqAMSDCXVWQgC
oGOVax81JV/x9pc2zdbfy+ngTNPlbAIlvFXRDdYhDN9qAK/gLPPytYG/pXWcC5HW4VDSIoeVd6Gb
P3L9Q79yGteJ0bmMiHMAgCgu/NXBA9wGxWm9x+yn4/X0t8gpwCTfKpPsG/VZy8PWWQuUF1d0JlJy
L4qJuCOaf/vQqDXARWmfCqP/A1NyvirJw8B0f1QlOValTh8066FsV3ZtZQm2FFTWUW9Gdorvx+Xv
wvhZ63/y+5F1xW1Et+EVl1CHS8pMNeMhdwY/zbNNyVcs4eIKcN5I78IfBtHu5fXIc9Vq7JH0AG15
dkEQs9KIf+2xgPYLPgSwSfHGq7JzpLGWmLQxeuT1kkNhgt257RGB88cij16pkb5lmrG5feEXXy24
KmCggWE3DNmwJDGQHVnhQma2d8XXnD5pOoi4Y9MbknibdN+ypj2Ya0gJSxs5UzIB4ZfM/5E2EkhB
VENnV4+myoC+ifH59qrWPj///cwXpwART3t3wv3MN2n3lrGVntMlGwbfaIZ5QL4XDsbl9ztMnjnG
hMuot5+TvgSvgvDqNfatxaM5lyI5FIAW7rVRwyZFzpi/5YppHosotj41Tas8VZNW+rYtgIM00W8J
sOICsNQUK21rSxuJvmBUWBE4kyuodLO066lDb2SYmdzLd5ay1uezvJP/EyD3zWBWqyJxbvZhZW9S
faM7+z/StbM1yGjoCokTVQjcKrNLtjoQP+vf92vbuQDpnJDsS2gGuAlM0f2wfkTGn3weZJx4LZHf
QeB0qWyAqO0UsEbDbB40HS+/s5bnXfItZu8FGDUzdIkuuTHEyhIN3bu4jPRbPMbbwsn2tn401pgO
FpUJhL2GCxgZlEqk98UebM1qelhPFcx1D2r9B9YTDaP//3lDel4MffrHeqpO8dAP+Z6Bu9fO9K1a
j0+xpQcUEBp/cPIG2tMsUNQgVyqJdPMSHWoljKd7SFgBp2zt1b8Ol5EXn+ETVDTOo/A3X58zQ6ZO
VdTmNkCLM6L6A39O22PfNEe1j7yp/JMeNjBtoFSGeAnLkfSA1dOg8Ig1oVuZ26HmaJUWj2W9lpFZ
smvIwv/bACbpgV67imV3CQtJkfrgSTJrDAKDLjzXvdQMSbfL6nCi93u2AGOBe+PMXudVFovmTVtq
FoSaJRojQYT567YqLFwidA0TtAZhtNlCde7ypAaOJ0fv9TpMc+YnzXcGhkuh7HjyH+VIGtHFmjPE
mlGHprlTbWBqPgKcQUtWgtn5K1LMBZRQUD7N/WbX+L61YUVF0wx12IIusD7mEzA2t7c3bMHZQYYB
TSfgXnrHfbvcMAVTTy2LoNqgVfEs7aNTBRnfiPYzrY7JWs/hgum5ECb5G1Gq5urkQJg5eqDKyvQV
Q7B0T88XI52+OSZZnPT4vlY/u8W3sTnE7BfTKQoYK+HTkp6hewGTDQgEZzfxctvcFj0Mkauy0KBv
JMHQOeplKdhw25+3j2dpx/DmOwh00N19pc96LYQzCMbCqFM8DE7cOdoOLxfVCiDyuSryZeidlXYs
K1Rzqtx0DPlXXTsl1fHun48sHBq251gA7JfSm5xB8YbSrsYwf6T2d2J++YPPv6fE0WYNsk/JVCYd
/No6dUUYJ1+aBIAy058IwDNpASUJDVmyWy6QiXG0SRchN8HupmwFWzXDs5mV7jjAaoDo6wBlHTl+
yQw7Wg44KmYjQda72i4x25cmYl8MjOUJTjAlwkHz0D5GI5D+eHJSS+fXiMSWIxAZVNMhzVxfz+2H
pGh/1aYdVim/34k//30ytxeNVRCeU4OHJnJpal17ay1BCyqOvBkQKVB9nus1khdvdsQWoh55SBTi
ZehZ7bKVU5zVQN5ipFBn9xZtTVfplLSpiqFvFR7a06T5o9W8OH1xaDC3SygGa0cmNrf1csE6vOM0
Y5oMGWj4i5fWgel6mbtA3Q2jtgciWT/9GJyG+EmbHQUb/rotbGn/3nOrM68tyuqSAsUgxs56G5lc
4rXjo1utWLqFNwjl+pnXACP8jiG/qEZk1anJnD6c6m0JElBlY65lPJa2S9fVeXwQrZy4aJfbZRh1
5xRazsNx1AJCi+ceINpiyj+CfXvluVsUZYOnxUU2Gkkj6QVKmeIweyp4mJrp12ZKNl2af3KEc+j6
VbTuBa3D5ASgFF2C2r1sWmOkJaNRnTigqnNvC+pc7/a5LzlwxjxkCyFoZkPW4HLbXBMGIOqHIcwq
U/PUfvgg1OaDZsSHhurTERMZO65lT1Zq7Me8+AOzAJY4gucWHSN4Oy6FZ1U+gP+oF6GpP9vWx7UB
4iWtQx0AJUN4wJjdkyx7TlK1LYZxCBkIYir6pppBlK6UQJYuDiYfMO8JK44XVlI73oK7EzE8D+PO
3vxQkM6+fUBLunb+fenxqyfkrlwV39fb9DhhSr3ssrch459c1Ipvi1pcCrrhXVS+MBBEJFFV3efx
NKVDaClvPDvodH/7+4vHgUT0XDHC4Ib8SCWRJlSMUuKGAgq9PRkJIAn/QKHmXPc/IuR3RqFt64K+
GBUUF8hdFDQHK87h0nGg61R1Mf6M7k25K7QaFU0RnT0CGG7nFE+j/jT0B/Vw/0YBdg41EnSDAC9g
PqizSDHO7F6Irh/DXn/Wm2eW7Nu15qOls4aVBxMHtgsgF9LjorVjUyUWG0MleVX8XrzcXsFSmQnh
E+zx36N2cvpTGEzlU96o4USa4uuAFtRNbpJ4HyeN4andVG6R9x4fuglgmwMv601Rts1zK1xt5f4s
LBQkUWjgAn0POsXkKZ6yNkZQvOtTqI3IsQGdtGhXXoMF3+tCgmTERM8GB7TSU9i0O9b6sfISaY8Z
XBzwtmWPwxpq7MI0HTptz1YkPdVUQT8cxnynkMfM78YvamHsiPXkZJFn0V1EKVhMPsbduOtBbdIY
24QyP7YjT7X2MRf7Mg8rda3jYOFaIIqZsWxRLMXIlGRpCdi+TFCI4EXUq8eCVIfO/tpEIBcT+efb
mrV0nvDS0V6ItxdURZIk6JVqFWaEBF3LfavYmkm/YgYXzBSWgqlrZH6BayK/7tQ1MHiJmfMwVhy/
0T/kypPaVverJQCNENOgUR6MxXJH2WAwOEsM9Q2RvuVexb/evUsXn5d0EtwWJCV5wtFXFPtsD46R
FTu4cAwAAZkJpGaX+6r3oxVcWEnldiEDO8pOG//j52d9O7OAJB2NpKnx+ZiOnhpw0JLcv0Hnv19S
o7y2E1LnURcmk+ON36Z0rUC2oEUzxAe6RgH4QQAkdLkC1USKahB0wMgUsH69tDx1YiWhvygC1GTI
5hO8p3JCcRRGNYwZgr62TvYl7Oo0bKs/yFijWg//ELAHNvrupYcCJPIksZJYhI3lg+JlbSp8SY/O
Py+5T3Fn5gCSUYZQizdV6f/JNUPtWAfUKor6VyR7OSc9YPEyOJhdvdHwb8XfWDoCJNqBzABMnJnv
7vKUCa0mNIpZIiy5D1AEVvjT/cP/c8SJaAMwaHMGRxLBqYgyMkxIT1iaBzzdteG3hROwETgD1mI2
ReizuVwCd2Kz53YnQl34PSjn6IqWzqZGipsx9IZ6E4gSZjjqWf7ZVUZIaKcCpPNhFH8AO6dXG61v
JB+c6pRiqCoTK+W8hZfoQpy0XcgXT4JF0YCL7f9Q38C9Udv32w6MoAEAx8Sxo/dN0tmct1y1Jojo
8h3YkejrbdO04E/g87htGNZyERdJ73vHSwy+lg0OXGjKCYlDcsiow37rUw26a81RQC4FhrhTPFX2
dsoaendEgzQb4hlINxATyrF6BgC5CMywPByS36rmCev+NtFLAdIRFT1YssF4hmTQ86ifqDje3r9r
hcbnQTk7Z+/xOMk1wlLT4H1mCGPIgMqK+UW3VjR6/n2XGn0pQIqTel5YQ+QgMWO2O8G3bRoIff8n
a7Dhoc/9gVc5ySGhoDhpHQ6On6dYCazN7c8vrQD0LIiTZlg1zJ5f3knFtLqh4BUPCzN5FByj7XDX
E+TNxN15H+QUZlUGiDaBmZGuStuiQdVqWR8WarUlRbJX8U+MawmZhSMHUydQcBBYwtQQyV1wR5aU
JtW6sAtsTGjp6lpyaU2A9JoDhkwtzdyAgIFsBifyqLGiVO9BnaRV8BOQ4IZfBTJG2WHgcUfb3oWI
tKLb0XqurU85+8savhbjQQVNQAwWmLHL/BrYWP3Ybsao3eb3t93AY0G3ioZs7dwNIT0GSECVyujU
TgB8as9xGt+2Viq7C6o3I+Chu/HdvslOi056Jvq+I4CVMjyjb7dlpX+08nJFwxcODGmtd8A9PGyY
er3UcBUUC2adNyQoLOBfFqBCBF7R7Uu0KAKpdlTWZgRHub/OjBxGIzd1ggLssFVh+Lm6UrlbkoDE
HMwYBpzQzCfdHiNxB1XREnee5Z7HQtYw/da+LxkyolSR5fLUDczR7/IN+3L/Bp3/fOkMEhWMa2OH
zw+1LwoATDlrVe7FBRBAA2vAoUbX0/z3M9+iibuhzoENE7TgsSwK9O+tzYKuSZDeqrYdQXmgQwIt
n6fPCLNvb9G1c4Q3dkb2mn1IZHilLWr0mpVOBN5v2qYfRlPJvCZxOWgu7J+J0x9aVzlq5p+s6Vyo
tGvoMcbccQt2btGkfg7+0XJtMmDpkp9LkHaty/R2dC1ImPJdnPoJOyb3u62owcxjhmAARx+tfDcE
TTPGUMIPRkP1LHDWuncnGnAuMy4w3DwgHsrg065RwTvqIxIMfiU+dfHL7ZO/9lMvPy+9KLU1TJbO
8fkS2COpOFALWEbHbG3ed0F/MRyHkf8ZXQNsFtIVT2LDyAeziAK1wgzzk1W+3V7G2vclBa6mEn2s
yO4Fk+G7zc64Pz5ERIMOY6R6kNi56s4zywkv0dRGAREfU69In2///AVFvfi8tD1pjCxGyfF5ILSA
GdaZNsb93uiFBGmDcm7l5tRDAmYj+m1+/8gA9gduA3INUFbMi11aQI5MWVqSLsI7p3pHABGuPHIL
aopyKrzEeeQOLIXSE+Qkigqw/1aB/Stbr4ytTQHUf9YZoM2dVpzFRVnoIZhfU9QiZTwkzU5yIJEN
cHfdH6z/ZhkvXP+mrLXDLGksHu3/lyInNPRUIQMrIAWkQhubuyhH/8GR4z3CpYNtRyQi2VeBuYnE
6Ico2NhF7zsgmL2ttMsr+Pf7knUda2qpYICOgIBCvfhkTH/wQICDDgEU+oZm9ZIiUIwTgZkGUxJB
qbw59C3Z3P79S5fu7PMyi5DJTBYNGUy3Jk659SO2fujKije9tEWoaiAviX5otERIW8TyrmYGr6Mg
p9VOm9QPQPj9dHsVs4GW/HVULoHZgA5ybJU9/4Qz30PPSaOX1HWDJsNU0ERiv7C1rVW5ewI+SqAL
FivHvnQ98Awhp4iYH/+kUxFWb8Vcw5o0xfTZkHmOkQG+JWzoitu5uLJ/Bcm1oakQec/BoB0oyUd9
eKYV2xggs1UGN1CiNQO/vCrXekf0wASZtCrdVqrR1KDMRre1t/yQT6eR/Lp9VEvaAB8aBWZ1Nity
uNtEcR8xpBnhjqTI2Hg1EB5vS1jYMgzWwx2Z06TX4wp9ZIAuJq/swHBe0+bQAKGN0q+pknjWGrPm
wmIgCgyRMyQdseUW4qrPnLgtuR30Hxz9xeq/3V7JwnmgeoqtQluaDTAs+eY0jhKnbUoAbqptkuJn
UVYPzhC6vF55Wd7VSLpA9mxeZkTT91k06QKRzsiderADwavRK6f0lNHyobftDc3EDzEM6hH7+qpb
w2awy+39y8RQJ3J4DkEDq8xSG5f5CCRrSgIuygdqHuiTW+3iwr3fDoHaHunn2f26zg+jR9ps+wpi
em0P0vN+Re0W9/D8+/NpnhkhaxDIsEQ4rVYvt5nYW+w4qKE6PlRN7cVF7fH+EK0hlyzY74tFzZfh
TOjE7CqNWixKCWz3M9rIhs+3D2fhNl0IkJwa5MOEwg0IEP3oqxnaVpGcouDOQ3sj/ven29IWLpQN
aF3ULWFbMYgruTip3UZUs3GhlCSwle9NspbvXFoOsCNMFApAvXGFal6WYMPFPKUCoDTbq6NXKx48
yxI7LS93Wdbsbi9n6XTOpUkqkaWR0yGoVIJY13ovjzFeHmcnwMeubNuSHHiEaCkFBSScc2nbipJG
ah5ZSlC307Gv2WOCQfMsX6uuL20euksxnoc3FjM6UqqyAQ75FLdYjp7kXoS50QBpkAHY012yYpAW
9ADd3khxwWFAPC53Qin2kOXMVABfYzbItvmZu2JaF3YMiGiArMFANnqlZfD83s1JUpmFG8T5xnK9
ctxq4/724S+t4VyEdPikbHQrqUtkdJ6pDWTlFd1a+DwAa+YJfNSJrnFQ1KlRzL5ynADIf8e2qrdF
sUZgM7/30quAch0KXXCt0Kwun8IE11NwioDGNRXfNV9r+7myd4aL8a/vEXtiq2MZS2s6Fzj//cya
JdUkXNOAwO4rA1cr3oAVvVo4dhAywDShddQAbfj89zMBMQL9Wu1KwCQAokQ5uJmnGC93Hzs674FZ
hvIaGJdlJ4oP6VAOhoEx/4eJoO/jcPvzC3cQCHjwc+FxoMtW7ohA1FdMcafFoWhLw+87B3Te4lDz
X4pRzwNz06fb8paOZM7iz8NFAC6QTUujCSbQMkTDwTkJP9WPf/D5mR5j7gvERZQsF4rCiTD7loaE
/BZd6rkrP3/pwPHd/31fvzzwMSqKmEc1DbOaj7491psk4lu1M9lKRLAmyLgUVJXAj2gKLASFwS73
i9xna0RPCyDFGB9Cls1CW+0Cya8+2U5CGEA+KhHvGKkfi6w59MLYFI7+mJck91AO22AUqfFKFC+o
BvonQHSvIae+Z0Jlu3D2O+SgJI3j3ph4FIcmUVjAjMyqtrWhP7tuBKzi3Mq2KDrUJ1PACXc662se
291pAnqtV7ej/ktt1vCDlwzV+Q+StKjJ4ikjFTYGj9dObajX5Z+AnRzHoT6DXaHVf5hWArP3Luyr
TZi7qMGGscBTXMGbLImNi+Hi5IF+8R3tRR7RmheBYX/PrDnbk6Gqfc0B20KfuTU45BPiT33PvaYt
xEZldbNJ4j7ZIKA1N2ma5CcUltqda64NaV2fGBCcgdL3zlmB7gh33sAzu9dGbmwo7RgFUVe36IvQ
tOeIkt8gQir3bGzdXdLmLYiv42qjkvYvrpTfMLAWHyYyWkFlUPF617XHIBwy7HNVC34eeJ7lHjXb
7voUbheC2HGnmuHoPN/+vlzBexcwV2lsoGvMBXTpOqq1Vnc6ZW4A0N1W8weciHlsRj8zX0xj03xT
qx1qXl3iq/p26lbqapLNvBI+//1st51uBJi40blBWk3ND7dBb0KTOmumU6pXXEmR3rLCdCojtbBE
i4KBZSKe1ofudCjzJy21PZeuvGtyfPO3PAvRE1CG4EDL0eiAyjgmpAcnsCO98SfTpd78XmyoRbpN
m7Wa5+SMnUp3YntNb5xjoWbtijmXXr+r3yD5VHliMyfhvRNYHff1dKJeY7o+p7rXZPpzbjWb23ok
WfV/5MHWYoQWQbaMbssrACIode4EZsMwLNF4SRRt2nhccUuW9xZ98bgW6OK7ins6VZsLEJAj4hIz
tSM6RNvq1KH90UPwFfYVeasq8b2LLN9kxcqmzup4Zsn+XuSZcOmNVDsMVlRu4gRgzPmAfMPRTdfm
3eWn610G3CJoDcIGzL1J9zEDqWuZtcQOLDV0y2ozRQ+DeNaB61pN3lBs9X7YRrrra3a8h3fj3z7G
WS3kFQJhR59pspCHlMNKWGimNgLSC97ujKn4C8y/u8mKwGLWhLdFLR7luSxpNzN7dNWKu3bQTqwB
9K6672Lzk15On7ouRY5YVMe67ndEqPupM+5Eyft7n2dUIWTtsVbZXQMOa9QhrW4HVJzYq9GtlAWW
VMU9+7y0ODXK2yml+LzZZN7Own/d3r3r+waAb5gXNIjjmEwZW6zB14dIDCSo6l9lh5mh4mApv2/L
uF4DZMB3njFykLyTmzva0epGQpBjyLzUOurmioN+rWuXn5cSJvaoVzGmHpB+pMq3Uu+e4qZ6VHR2
auw7ixs4bIhCTQMHgpEhME5dvjOpMel6E492AEYWLwVWTvbr9lZdm1sIcDEOi2DfxszY/Pezh0xB
Ztsqzd4O7GIfUxjb6bvAs8nrk+GsmdrFYzmTJe1bU01JisYbO9DLeFcVYOW9E9757+06kyA5QZS1
naA2VpOyZ0o2JYpBzP3Qo+PK7n87+vb23i2tR5tnOkBnACdRrtZNOUFKU6R2wFPtsYnc/TR8ui0B
M5VXdg21QJAk4HkAPA9eqMvzidEfJDoTUHx2pTZkB0C28lDodb/p8Fozfy5THGPQb23BC99+Ggin
m1Q08REFGeFxN55CoTTWUW1yzDKVNd3FTmZ+SZNUvFRlN+5hwYYvvaNYH0sjzw5ci/JDbdjcmyY3
8huVpWApywDFHaHss83AQ7vNSDe+sJLhDCNq7tG9GD02XQPaFpKjolCCNssBSEFgMOpsgYWY7gye
Dd6kZvQhy7OW+kT02UNK+Le2tf8ikH5iWq6GHeBed4WeuVstd79Njdrt2zzlG9pm9aPSm9MOzbnm
qa8ai3tRw+HdIZcd5MKOA6tgmQ/qrtxvkF8AK0L6Q4zAx0LMoPlxbfQbs4mUJ3csh8fMTbJt63T8
pNVZvUPbj7mZkqHa2BisfjFSM/eaHBX8SgAsQk8o3bpRauxGotcfo54WPliryedIsatdlHbFIe6b
bNc0bDjVTWqDiEfox4aYX2tLUH+O872xmuJnokbcV2K98zWG7JrTasVJadQf8aBRYEYqL5T3029E
Ebd1aOmGA/YMuR2gBhKY3UsNIp2dmOaAdELErZ2bZyeUI7xMN1+dke1Lja+8H0v2HQlePCFoqkOB
SVLYjjDNGoCwGBJKd4VS7iIWn3KyNj23KAagXkjwoaBw1Q4Wd0BCUycbAapA3rUq6SMOPxh6+74c
3LtFAUjJ7A8Dm+IK5CmNUgyFWrh/BCx9kQcArZXjWXpMzLmqiQYbdIXLcVLPq0ilLYvDNOq8Sp08
4sR+DWbndZ7J+bG49JFgS4Dh4QLFAyUg2XNwq0hgiqGLQz3VDhho3OPmnmqn3iCG85RU3aBQ/9za
5lvWFR+iXF2JmZaO7Fy85Fn0IEtNRCJgykbnG9pxPlu02w9cX9nQJasM1BfUbQGRhZKT9GTylBYG
qaIoqJzqJ1pvC6/TovsKTe9agXElSEGm8ZrCpu3A7Ni7DGlyzPjrRuq1+VryYcnwn4l4d0LPHmat
L0z4Mb0ScBst9XGNPrWqyA5x577qTf9st2TTs/FoC5g3xVqRvqSUaNmY/QFUA64aU7N0cixM7ESB
IPkuzd9qULLl41s6rezjohzMHCPnZSF5Ir9uSQdwKbWY0K5Tjl7GXl0V3bbko1l+vW0Dl3TivWUR
RY25S1VSvXrMa4b5LyRH8q2RfbifmRtxB2jRENzBIF1PjeBeJxwhURT0xUfHK4uP/0falzVHyivb
/iJFMIjpFajJZbtcdo9+IXoySCAQo4Bffxa977nHRRFFuPeeXrw/siSlpFTmyrVu//x5f+fkb/j+
hH8Alsa+KpZA38Vz84iREw5zAx7RmUFOoLQ5Vnn80Jpgf9Fq4DGTpKn3kGzWw1yhPx6lkTUwycJE
ohFwQsjiPrluxlDjWLe5kcIr69B5sPqVV5wxhYCzIwrFICCIp47AST7n8rIqaKVAam5Gp6FJ5MZg
9hgUAM0GFgrWiH/17Nug8jw08tLdIYEqg6qL+E4yzcIdGyW/GwQZ2z6NJTRUAbeUepvtTDl+d6vY
DVM9QmSQpoMvChJvMtm+Mc86ss7606YtfRhrow07zkTgWMMH6dr+s4QoeCHHgAm8olWhpZ4zrrmA
eSCJGzFzE2fOWcuL/W1XWVwgXCY4AYFWuFKFQJQKMq8GnmICNj81IpYrBoyFg2nCz/6vhTkLqYpl
pjKSkBPafsI8Lf2eGoiVTOdJjBbwV/mxrYmPCnmYjvqOgrSss9zjoLx9bOcH22oD9I3v3F496G69
SQXb64Kt+NHCVQNaX4QF0PtAMegK22aVJeTgUMbs5IPthhAX8sthJdBZiKsg4ApWiqmPABXZ2ZmS
VZaaaEXJaWifI+1znmWhoZX+6FlbMawcAEvbAmxmQN6C/Asv29krzU6psnKWxU9MYlXLX8SdYBu7
lu0GYgR2c/i4E0G9CiVg8HugNDTbhbzNyxrVHHLqh0fO9+Xv259fdCE8zqeuYjxt9XkgggRfUXcG
QIGqt/QjiWwtSCyzDrjkuc9HYIZE4xnnsaj4feS4zY6OThbGTfQNr9g4HFsz2ghAbV/sKIt+9Zmj
B1KAZlFBwn5rlp1zpFW5BiFe8ikU36eoAsCmK9H6ErGloTJMSuN+ju04MI3Mr6I1aeCFG3EiW/tf
K/MCvDWQNJUMdX4NUlhtwF9bdeR8JYO1aAQ1RgAmp/z5fH0biPxCgzfHIVFbXognpggbBvXfqBIg
3i6reCWcWNoqSDPgUEfOZwraL0/1MYsVXkEFORGbAw6W+Mp7y9LHBmWcVlvZKsu2JvAHmGIQv8y2
imkmwqsLjI1MD7U29nUBKd/Rxl1AfKdbQ+wu7UwwAPx/c9Pf34VpGS0MaWUY2sihzanvvAEMRd6X
xjizyvCrNfzeojmUhSfyNxDvzIFUptI9Xssp8Mx3aEXUXT/1/B21El9ba+ZdmEhEHQ4SUHj8TOm6
y5FZbZdUpY7YrE3UnsTstYvMHfjtNxUYMmS2BkdeuLjem5s7fqWYKBK3x80/+mPz2Ipvtw+dte/P
fDBzauEMIH09jaCXT4Bt929/f14tnC54/AtAUQPNz+ASmc6Pd57gNJpZ63mLAdT0t+GEMZQMd1aH
4GSDYxrE40zh6lP2RhPei8HLV010YO/LEGw4X4C/uy+l3EdQP7n9uxY8Bj8LkHKcsyjszBuC7aE3
NFYgohqjbUcaPyvvSNf6aZLs+xjChNVav+6i37wzOJsHHRrFQBtr0ckl3QO6Uu5yCI4T6Gl3wxCO
RF+56ueFz//M+5QIR8cCGNnmQF20CkZ5OgL/PXTW4Dt5+wCI9larIbj2AnL7wBzUzoy6vRzpLjWw
7rFc4+NYnONJt3XqJL5Oog6kSVxKpmcMiwA6eWz7XSe3NrQ6va9Z/nJ7Qad9NwuR4WaAt+EdD3rT
eYhcSWBi0+ltBs3WkGbWxtXv4/43GEH8COeAcIPIXnmm0cU1xck9QUeBhZ7Tuuidqw1tgbaKxH4u
+hRN3kCroithRH+805yd/hsELglNfPyzm671/K7OQevMglovApLXQSpiUELhjTc+pI4WesDkVTp9
5K69K/p9U1WBQEtLbRl+H+2JMgJOj055ZNqAuwId2M2pgEibFu1c65HjzR2rR8Z+QCTMSg+28YN4
XwfrMJaHpFfh7emeE8D89S+4F45c1FswATN/rhOFx0bHolPcv9bdRgwndIyDhW709fGXPQCRo+8N
0EIQ6zFX3C/SBHmUYWN4ILZWmm9r3G8cd3/7V/1lFp57wfSTQLVgI1CbZzmgWTfYutC9kx0/9EYT
9u1XDxF/qldBCRaaAUpgg76V47GQr6aBO2lofVp+J9oYWNa4ofxnXJcBZTIY+3PXuCEIq4N6gNLL
W8TBSEfDqFzLzJgLIRT42RHDwmuBb5mH5U1UOi3nlndK8WtyLjcJXKaM33I1hoZ+R9SXnDZ48H1t
5EMhnE1qbjrkb0CNZWpbQaE9mplgfXi1IEIZRUcoLOyy6nF0PoFxt6OnujjX3hdF92P/2jXZwc5/
i7JHatfdy2QlRF4od6JTbeoYR5pzUrCYXY+uO+ZNUkcUdWrd75JHUt+J9DhUZwsuz+WXpvxD2QGF
jrRcy30uXGUT17QB/gjcDZAuubxp6gpK2l3sUpTpn1r5IM+3fWthlUDPjtAcOCSkZuYOT8GTk7Sy
tE7cpg9en+xAObxT4wcbeqd9BTPTAKaEJDR5Lkfh1MhVyrKyTq7Bwya6b/Q1JPDiPL2zMP393Y3c
x+3YQbgQunj0HFu1zz+oi/l3COhGQdMirACGMj8aqJ2DOcyyTkYnfN9Bq/jtlVgawMSrgIXAm+Aq
PWbmYJuukZ0+idpv9uLXf/f12fRUVe2ZaA23TrL8lBuPbr1Wk1+4FpHZRsIN+ZxprmbT47WD2cV5
aZ9kRx9o3554j36NXn7iRhQOTrzvrdW2nSXnReoDZG42uDSuEkiOMpTecThvx2tcirVTvRRdH2/y
jq5RxVyZwsYH4GpKV+HmR6750r24jSQIK9vsrJl3Vf7F7rZju0IOsmbCuDRh2AXpOllm5yQfukNr
mKhbtUl2Kgx3DVZwdcVjNEhfTvkFtE5c8aCMcZHzOIEpTcVhqZqdxrnje3YBqB03f7dxvrvtfleP
0Mmgh4AJKZpJK3vmHboqLRMk1uk5ZV8T+05PflTYQGwtX7U0LvAZAz6NKwfcR9Pf3x0CsYA+Vtt6
6RmojWrbJGIr3fqITphfeLbtrcZ5uz2spSUzwZSGrDmST1cYqnI0VRx5dnquB7vxtST9VMf0JA36
0WoKpm8iK8TbDCKPkJ6/HFdmCLy2xzE9Z4A4VzUCzl9l8/X2WK428MzGzP14zBLKIy0944X4m9L4
62jad0A+oLbe/DLi4hG9TWtUYcs2KbgS4RPg+JxdbiPqHkPR0xT3KPPr5MVWMmzMVxRCaHd067Xq
6OJyob3r/5mb96eSbOgSaZnpWXVxKPA21LoyiP/FKejUqAbSbmDG5/FzR9I4bbMqO2dGGuS9c7YG
7zyqtbTn0pYCpAbQW1xHkzLopU9AmjnSTS7lOa2d5JnGo/WVl8muaz+xCEfubedYNAZ0LNBWKPei
lefS2GDlcYb0QHEeqiosKEpTBTt4SvgDWeuQXTIFulwUBMCThOrDzFRGpclaUctzW+M0Ul8GyKfV
4y88FW4Pacn3gEwCtyzO9GsZB2Gh3Q8ifsW5zGJ9S1KoxEM/ZOty/bdt8BdErffAlTcrE3l1y2OX
gS0N9yQITsGuPjsIE8JrzeGw2hj3Orn3VhIAa5+fJvfdAShTyOywMpbn0lc8BJDz9pwtbaD3v352
vtq8qIlR4Ne7r0WJd1vXB/bKUbc2gmnZ3o2AW1XW2tMIRrYh9db8Lydovms4rUQl8PlW2xNoOO1u
T9D0j1+81LC8noP0xKQBC5jybII0oDs6UMHJM7RodoW469VWim+8eM77vWXsymHN4MJuwYWH1wnw
14jevWk6301XW/Vm3vIqP0NRE2DdJib3TloNvlcYJIwHaAXdHuCivYlUGpcRSuLzU6evILVStj3s
eVv+gvLnn3wN/f/3zTGbRNx1iE1swCRQkJhNojXozAalfX4WtuDAzvScBAp7KgBIyXUgtpGQDS9U
QDLvcwMFw8pipyyFzHsAEJAqnwwLVUPJdNAUe0b7qRjH/ti6SRr7RhfLFyyhPvqDm5kH2Ol9G3K0
vuyEdi9Ni4WytLWNzFnl2/hHDlFOlW/XLTvGCY+CvlLpU13asd/EZuSgjbbjX/MqwTIX6AakYYaE
KWjswb3Up9CCyvoM7+/Y2yeaNt7jJUcOgNxFIdaHo1lN5PrWVCYS18Ce+KhDRNw3SvGq3FY/aaX+
6hbRd8nIUG+5aAA+ZKm2UQRt8ICOQHXeFw44bEzuvulmF30xiWb4Xh+jWx4v/k+2rNPnTFJ+1vTE
g8aXzZA3GpPqwHVzgPBmrN+hXy/64aWG0fltzL2ApMwIMppbdyJzVGjXeuXrkghIgw5mqIpUPYIR
yMG8qGrFtxa2PnCJqIZMOUxU2+Zb3+n6zMTDChdme/9H1PpKEW/Bd9FBDoguCvcmnGsWRVmNm4vU
ouIcUyhxjq96+sDUXbdKArRwSiJDic2PqjkigPlTiKuJlKRh+TkboDmd3kswl7f1SpllYbJw+eMp
MrFvGsDxX278RDcjpclKnEVyiF6cNVW1pc9bWIWpbIc36bxqVAzWWOslyc5O/FmB/tiU5ub2SbJo
AY8BA3D0hcSGJ6XGCKhPzqwMrPaLvVZGXfn+vHQtBQO/f4fvU2/jbZB7/K9+/pwkKfbSyNIGfN45
AvXd8PD256czbnYGot0QPc3mBBe7OgPrIYsraF9kZ6jKBbVsD6Z5QmyOo+6gkTUkxtJUvTc223iu
yiyRekV2HvSji+PEeLk9mKWNN8HpkB9Arz6SHJe+SlPR2y6gBOcm3hRp7be88IUeFtvbZhb2Hch0
0CWE4Bvk6PM3OlpbTZR9BLbEGIemnp9oZe2j3nj9FzMA50DSAfqW8+sJAWJJLMrEOTHbM4oMvlLG
XlrDymgWQomJQHKiOPYArpxjK2P03QhTi6vzADVBw2s3tuIbqj8k48nmjR91yo+ylRTEgiNMS4QY
H/laCFjOoiMO0a9U6kV1Tp6IyDdV8UHBWZyKf0WZgDPDIkG5c+YJwuGV6xRFeTYlEnW+tVYvWdg2
oJwHsSc4m7BpzNkRD9psM00bQ54tIxTPz/2Xqg/X+LkXvBlUBqiUgpMEp5c3GwMUDPWMZxEUrLLh
pZObgXFgUYnrj+nHj0hYAkkhvBr/O38KOblOS95jNL2QQYv/nm978tJyo3sG5GWQRABubTZbQ40l
yjUOF0uyYAj7YW2qFg2g59wAigKEBvPl1ghOeOCiqzMKQWUIWp/w4wPAfY6HIo4v3OuzAWR64TlK
VJggx9i3TbI19cNtC0uL/d7C7JptnFKHSHGH50ic+bFjhAiaNqT7WXyQTe7vzpioeiYFUWR55ts9
YeNQDT0tz/GPMtl7cuU0WVoJD3E7ajETjlqbxdQO6WJtsO3yXBdfhjIwnLVWnzUDs13BVSrbxIQB
Kna6totW2BwXPo96KxI3aPFxUAmZZQVoWwpql0RCsaN6M2tE9Ua+Vvi8vnIR+UPSeyqD4PyYOZOb
yREwJSXPZgtMNpBu/odd6eL7M1eqIVGbNBm+r5L6kBL1GcmbrR2xPdJ7H1/tC1Oz2TL7GsmhBKaG
yteUr3++PZKFi/bi89NivXt0Fu1oFNDlkWen2uPci1CWUh8/+pAxpiYIFie+ivl6E1aJpIm94kzt
AmV2QHogvSqD2+NY2NzIqwJ/itZlCH/M04/CaUlhRwVWhJabsa5fa6hFto3YRFJ8/GZF4mdqOwVo
BDnB2f7TeycBmteVZ57ej/s2XXnaLK7Iu8/Pdp+NJnkD9E74fJ0eHG1T6xsFMbPb07WwBy/GMIsO
dFt0PZLg8pyLrZtt1f6/+vycuw6vAVVm3JFnOw/SwidrwI2l1UauBDwhCHEmgNql1xrolU+TAi5V
5h177GvjD2Gg/m3SWDtQUOGsXK7TlM8ieMQfILOHHwN2N/fgoh663sRL86yyXH8YGycJDFD/+WJo
nUDHZRVGKXNfM5MZazi12Uhxfk26tC5OMtQTUY+bbf+Gc+wVNRFLuOpsZeo5G9kpttLQ8+THHO/K
1Owo0LvYTgkaYZ9Kx0T+40cCwZwoXdmnM8f7a2Ti8AVl//Sc/gs1eHfeOMOoxaoG5KbOjcDK9kW+
1pizZmGa0XcWSNRbkYTwwKkDgnnYcPfLh3z7agQz32uqlCeZje9rfwQPre5jW+fq87PtP2i2aPIK
n88j0OkGVK5cjUsO9X4BZjvfrrmmCVePTso+1tmwa2gUpPyc0WzFnaZ5eLdp/jMQ7FBk5ZEeR5fF
5TrkEZfCcNHPY0UPxDsonYfIhIEN4BTRdsWrFm3Bo5DfMF00ds7uY2b2GvhpKYDJdvLgJdDxlGfZ
TKlTfWM4K+f/4gyiRo3HPN5VeDVcDgxlXc0DlQo5FbzfSC42kkZfk4L8VnG5u+1ri6ZQogGwGB1L
VwSdrCtRA6DA5ImaBWZ8b9QAKMX3GVuria8Zmv7+btMoi4EDeYQhI7tjRu5nzaGwmqB3VlJds8vt
r1OgdozX4t+c+rzdX9JGUa8D6G8kyUEK/hAP1r4e4pUlmjfeXNmZOYRq0dEReQB1Or33KUnZD8Wg
dtoa3sYU4wNBXrRw6m1Rm9tGAw2AuYZaXXJIrBuiERDQ4L03C0Bji2Q5mIjBz4XMcS6VT2TqK/L5
b6Pty20n+Xubznfae2OzwRZ23xTGYAPpltvtNkPBF1Q/zm/J3fYOCEq2K2VjB2bJtICYOmRl8yru
9141HV/wKKTSm8JXyGBsHLTI/2aJ85Wgx9WN7K1WjvU9WoiF7w2ZcW/pIMCvQOO5bTJi+Z3mCEyk
hlRzjKK5NTZeKMAv5Kcyj5/tNI3Qz1x5RzEApOaJvPM9kE0GeVpH+0qLWpAi0egxyZGrjgbdO3qx
+CHTvjqOED8Jx2bkO9VTN0j7VB3KnBaPg93VmyhvjMAVdvRQpdlb37Jty9pW+Bbej4HG7e6RNDVa
jNLB8WsDnNVDXjcHA/BGDdJvFJlckR35iPakxBvMAP1H1ja2ORJaNBb7tGPfJmRoCLYV/GB7/Akq
JWTn2YDWmZxp2xEEKwBKqgTtDQLS2mav3izmrgEYr+4xJL6AEEThFApogFtpl1tSGokVe0KkT1nn
m9Y5px8rnwFZAS5szUJWCiR7uI6nrfpuy4tiTPIx9dInuivb05iuvPKuTpTp86CStdG6vMAXIeuk
RPXCyJ4q6wctArX1DLyQPt12/et9PlmZtBmh/Qo0xTwyy1IFxpsBViY2wuql56HNj1mMtrqQEN1X
DapDJGjMta6wpcVBvh6PWBDKoTQw29/QodKtVI2wi+3xSVUfC8//rg2EYIBSnGjFrtSsoixHn0el
siceQ/puy9jP2/O28PNxCiMXhYXHb5371hBbzeiajD1F7TP9XpYfK/xOP//i87PZQaceELUePg/+
AU5ZmPRteHsAV/fIpYX5+VqIvNGnbrYnO6J3daW99Ipz36qKlcBi0Q5Sw6jMACYOcNrlJjEgcljn
VLAnra7C2v3TdPdsjStkzcZ0l7zfiLxz8jEr8HzpK592uW8D3Zt2Kzfv4pIDwIuBAC6GFN6lFVnZ
TOk6Z09lCVof8klb62C82vDwVcBJAG1EPn3CzFwaKAFr55ygUbLr8Mg/b4Pug9n6ya00qDEBcIGX
w7UMiBnhGmkbHMMueVLdq5R/RLtyly7M0oWJ6e/v1oK40OSo9ZGcsiwA/ZFMPxrdz4YwO3TpAK57
ZuH75KU/Fh8/0admZrQHI11+TdHTcEoG04vQg8aS1gfNyQNxq5UJ0q+WeRoB4IYo6NMFSNQY1QZo
43Eu0V4ov3SSfItrJrpzW+C8x1iBCB9FKB98/jIoBB+2AMNWuxSoxMDSJfulyUYPTSa8jTVOLb2k
9Na0X6+Cr9lPnD2hzC43cmAS46fOK3+VvG42ZTucHYKne1kFLG9XXjqLTvNuSmYPAlvro1FPGbgm
WLKhbhIw9ev2cbc4IgvdDEjwA2g0v+YMCd4omRAwSdtfQWIVNOJoQQpylM9e/+22qcXBOIgIkExD
YcSYDQYdf0yMrgLtCB8+Z4K+lERtb5tYOPCmpvj/NTEnmufggLBaG8wmVnLv5V+IHWTsXybsnYnZ
DcSisuKq0OACbuqL+nebtKHTPWXsG6OO/w/DwfWAKtKUkLoq7TR2G2kNmEAKnQd6fmcMb030dtvG
ogO8szE7lyRUgi2zaGPcESQUQ+fr6mdRSb/ujr25BuVcXJ+pJAo4MQ6SeXBjQBIXMQO2OBmsMDZe
lTC2pRb9w7TpaCtFPyvgvQhGLo9ac2CuAKcRTnOd7OL+YKU7FNF3t+dtaSjvjZiXRsYJCTudi5C+
igOQdf2sWf9D69e6StbMzJaHsG6UWomUgHQ/D+lTMT6Kf4gSpt0IgBjAqAioZ/uyQ3bOkD3o0TvZ
8WAg7V7vO3TlrgJ5lw4A0ClqYPnGJYKn+uWUUTPuUZOFlo29660vub5Scl+6P9C7PGXp0eYLFubL
z0tFwDHV4ijrBu8Rhfl9zMw7NiShpmjwD4uP0jFudHTdXrFv4DC1+y6yp57s73byO3L2Sb+SaFhc
eBCJ4aEGAN0VgCCBLEeTGBVuw3QXsZAam1hu/mEU4L7SoYINfPq8sluWOkXZ1SSnWvLkMMRVv7O7
PtrldbmWnJ0uxotEAqJ2sJXhvkaQBeDWbLdkIHcwmmLQT3o7vKSesPy2iL+NOXvBif2nGpFYA0uJ
WDkIFq1ObAWQoQFNyjyflqPkPFppo59QddzE2o7nvW+VX3i0KcfjiAbc2/O5cJQayKiDY2LinwUc
49IBLTeKSVd42ikq3uLc8Sv0firABk3nWIIp6raxaVdezSgQ0JD3RAHsitYj0obBbnmun9JcRUfH
RBpvYF22rfQSkEbCN0PuWBsqbOZTDoqE29YXvBP1kSkhinnFE3m2lfssAcQx5vqp0xvQ6X6rquco
IStDnNNqTmE5uBXQRzXVKCYuncsJjblMPFbrOhrCzslo+K26MwrNj7stRzd1tEEQ7aU/b4/sr9fP
JhZIAaQuEIOCz2ZeR2giJNWyDP1CtEjLTe8UYMIySbJhZaPthVabYSv0z+koqs53KvDedk2TB+PY
1H/cyu1DmxX6oyeTyvekg7ZqDb1yRpVU3zuzbl7yqhp9sxzSB1VCsBq3lPFslGhP1mNE1tog4Khl
z87VYH/vh1Lse6c3Ak1ruy3SYeChkUOXhUXGio1dacmWjGm/qUvItfuZ18VBj6PkFI3EfmkrB1wv
ulzTXVo4Zi/mZ/r7u4dM3JhaUtMGzYC6Gdb6NgGkVSA88T5+xuIxaeLfE+UIqvqXdrKWekVf6aD9
dfeFfizwGki2t9d6YSgXJmbhvERILLICJpDQMaHT0d8lw4H8/gcj2CQADUB+ANN/OQ4+yjRVrHNP
bvpC9T0vgyKFayQrm2XhPEDR+P/MzAIFMGeMrZbBDGB6IbKluvknUWFfnqQEu1H53S1WUjHzftdp
d15YnJ0BmUFIUReNCwotLxgbN3A49Lcitmm8wo/E0Ri24KHyDf1nLzatfbg9rQsnEAVPDKgo8Fj0
4CGX09qXTiwNAvbkklnHvrSPEas/KXeN3mrpDELToA6qxIls54pWMKkGmjoEirxpWQRev4nK2icJ
7hFSAPv9w0jvcmr5UFL/h+G9M2tcDk+kI69SVbknp/jUVTueBN6azvjiDL4zMXNMNjLC2rGEfm5c
/DKH9GfXs00v1h4xS5vs/QTOHBNdOoWjx5hAs/9aZPtySpZrO7WGFF4aDdpu8bAEEdl1C7TDIOUq
B8M5gRHal8Zzxz5l4Nm8vSpLYwE/EQ4N5LuuX8sajnEn6SGMRDtzkw9eADZeEA39qNnmtiG6aAk9
qzqaKIAMmLu3VZhtzrUY6qe1aLY9d51AjmP32RQe1KltVn1zKCPbSAcfQtMztbWiKN7zvPR2Qy0S
tAl4erKNCDHvFMtLtJ1LoANNh2+klYBqtcryO5uBbkcRagSjYQ7fLbtAp04pNR/CXCps+9re8tK1
OKoxKgdbg8Wr56Yb7T88K8pjb2XuFk/EdFtLigyFw62wbiP3PkEnQmi5rNrywukf9ZGzw+Bx3E1o
kHhsBqjzQbS08EHAR0A93rorW2dh6nAOottt6j2xrugeYyehcRaZ0Gu2RkQJb2lTbik5Vijc3F6k
JUNI1AOsg9j2uo+HW01ZtLrFnkR8Ssw30r41vRPQYY0pfs3O7JoyKgfOMGJApv4zz+4K9qvq0La1
pmYybcRZ4PM3mgSFxF9M1ew80NoqFnTU2ZMyhjACx0Yh1lREFkdiIGoETmDiT52daqOeVZqdDglY
y+BQtib3Ls8/mw7ZE7mmTb0Q/CN4+78dNJs1OlZkJAR7tVSfabWj9X0Fmtu2vpPjWa1h6RYGNmmL
gVEX/a026q+Xx3WR9spGeDcRP6NrROxF8QN+7iv9+bbLLawRaKwADUDMPzWOzCJi4EIrzmsK9m+r
CBL9FWW8lSNuycLUlzJpDaGPc75EwgIfx9DG7ikJ0FgOSYm1V9LSQT31pADajVb5K4oEEbUAhoDY
6VRCnyMNebrX3O3tWVpajfcmpr+/C1FNL5WETiZq/YyGLkcLwGASf7ttZHGiQMMOJmC01l1lM6yM
D3TkGqT/rGcSPfG1G+B6N6ILfgKiTf+5Cn+VwXDTdTXc10SgkT6C93tlpReeqxf6MLMIqqsahwNe
A1omtwtk1/3GaXooatc3E7wmKtmsrMqavdmGbNA819YUCA2StY9mRXd53O5jA5X4yLsrmmalLLXk
Z2BEQRciFOWALZ8dZ1zjtQUuDqCEvJMif7r2vu8+nqOh701MLvLOzxJSd47QJuky78HUn7PmuXBX
QFVLXjYhPaakOQ7MeVKLcga9MZBInVhfvnKCUqTrsP1tT16qvKBRE50KyJ1jruY1T4DN6zFHW+Gp
c0fdpwJNf3vUCe3E5znfk6q4qzO4BuO7SE8DOXgHmzSb1om+Zhnd3f4xiwNGQeJv8ha95LNspMpN
rTOLDIiIRE9ACZR9res1zrwl10C7GqjZbJxAuO8u14004IKkuQFPtEjlF7Lcli3t/XUqskVD0EFG
ohhIHTxkLw0lTS9dBpbwU+OIh1Y3t3qaPdrj2jsWWNGF08J9Z2h2L6DTRY//gh+9zmTHUnJ7a7gM
ZEgq+ork7rjVACfhpDIfepOU23Ewo0PToi9ljCx7m0MmYeNaZR2Oelf6rUzxHqbWLxOImV02lPFd
PjoQGIiA1iFGJDbos6CbhKE9a4i8Dsm8aiJekrb33VKF85TlngiTugDcBtH0LnM0tpFDW/lVk1Vh
abA6yMB+C7AMIDy513XHDDzgB6/x+sKvXAAunKiwQ0A6q6Bjg7XNZZHfoZfW21K0QGz7ss98s7Vy
n/RQdK89296lBQ7ImNdqryUTTYmljeCzdxC2dird9RWz9lzXo8DWgN1RdaM9Uwfp7hF1RPBA+47U
hkctio2DaY2fBf5fj3Xn5ZvRGcddLeh3x85+jil1tkZP7GOc8XuqiV2GF+6GW0UMYcRS3inVZ4FZ
qtxH/67mN2OMqv7AyTEesyHI3Jj6bhsPz1qJyFuiey+oJI9C2xnxB+S0N3mCclJrJMVnK0+qsNUL
LWztIttBxZYGpDD7AMyTzSMEzu0dJa29aV0t3lt90Yessjzf7uQnL3WV7o9w/A0yKMIIVNPaASpX
gE/VEun9mMUPDkhFw5L1o99D+MnPzPFPOTgjLn0dzcOFUUIttWr8PMXjAUDM9rHLC21D+yELBzPJ
NgboVY+1Yjpkt9sOPzJ6bSvb+BzxTr/zKkd5wZCS7keTx7oVgpsamptZ9Nlr0tzXEblvhde+ia7r
ffA8iLe4JT+gV5E/jBkeL42Xs+d2INyvW6UCYD0dvH+ls9Et6T273jbR71T00ueu95QQYe9Gq4nw
WwfnKHOrDeO4hJKkB7BXiD4E6z7NmXgQkAcIulZ6/lDLBozRQn5ODKd8Gt0MzghXyg89dg2aIXoN
CQyGJ4oOzUiHVOiXtjtH32pMg9ZelX6nWfPmVJV4dNvWDKa+gTdaxu6WijjeWQZV9x430dBbUbnt
aSHDrAGfeUad+pSVkDwkRiy34NTt7lieAccOMFy+QQM5CR3cxMfaUvYdqmUYaC9YmGnZH1VF7a5T
CTsTzliQ13X82bCV3vge71C4jeNOOzhFOuyErErfjPXkTufE2xtaYwXOmCQHEenurqj1HvTHqtuU
sqIA6NZRMOYqOTCzlrtufOtaI0jgtyCCtUOTyg9SWE1pIzTto8cIop9TXn52JjqjE1XGWPOnim6A
F6ErcdPCkXvx+dlJqLUgBdCiiuMVE0FVj4NRUDsYprZyLy8cuBdmZldIlHR1o+KGP9Wj70avkm0T
uY2ilRhzzcoshmEDVsuLSv40kjtLHgj9VNQbcCPfvnLXpmwWxug0cWTjYUUYerhlCZQBva+9lehv
KV04kTXgdTSpPKEv8vIuLGqASdF1xp8GidZIn+Tub4MhfZZZ4/DQFsi/YsOk8dYTVAS8FVpIe4+H
Ik7XoFcLIcbFL5m5iFeB6x0iMPzJiUJz2BBtZahr35/5RpMkQCs5Gn8yho0dDmsMCAtxNLqdgMJB
28iUvp4tl1IpMbjCcvX1WaQPBsjG0yeTHZp4jUl1cSDvLE2O8y6+pfmo41rr+BMlf4AMGPMftx1v
7fuT+7/7fiWIDW1pbCKvyqFESWkKrca1psaFxDimC7UqGyUdPDpnqz10pI3qDqstQLLR90FCfo5t
tJk6BuoYfBbid70m07ywQhP80XJwRII7bd4ypqnOUXZRQHDELhDlyLb06zzZ4v/8VkTNvV11v29P
5MI5gYAZ7UqgKsLWmmcLwWtoVnFVg2629/ZmCT2Boq/3oGdF4GOsJXEWVg3G0HEM+Pk0pf9D2nXt
SI4DyS8SIEeZV6lsmxm1GdP7IoyVF2Uo+/UXnMPtVLF5Irp3gZ2XBpRFl0xmRkYITokulkdNH6Dw
NNnh4mlU3ULS76N8CgAxtELR7Xq9K4YuN+s8Qx9JZQ97szMe+qVWZTkkLg8S4PxZiMoSKuzCznbr
wuv8PoMeXHnUs2Od77Xp7QWKKxPC5kaDRaGRBSYGevBqMzATLajf3NODTKeLlxteBB5ErkUu5xJx
smGlGU4QGHhvulzxhpYsBRaYN6NwdQ9s5eulGE289ZaC4Ox4obNTKh3JPg9oDDiJ/lC5OIKj1HRj
bSpvxcUDOsvJRcV0ed4+GFILBubFBDIEY+B/v/AwlaGlTgqqoAhUlpAZ84bDf/u+sI9mo2E9HE8W
uV9y+zBrij0kcSQAByOHjY0KsmURNtEkHWg/MgB4G+LfZP7nYv6er3PIXJSe2Y93DOXCljBViOcJ
l3HNovmw2E/6G1n4ediHLl3cWQTKeMgwizPlaWCQWWgejVA5Qf8H/rUzekB2a1erXL502i5sCds2
qy2nmfBEi6yqSsM5yb+uIxiaK+aUaK+sSdDk9pft2ZM4FPSLchANzye8QgRp+pJYbIEuQ1pnRz2+
WzJ6k8Uv20Zku5nrOYNJEm4Lm+J6N8eutegjgqLI9j+QKihVPVR8XoQKAJhE0BmCqwtwaDEPZPqZ
lSMPlUdxh9Z2vCGZ/sOIIdLqvx2qdWVIOPggz/Z4Jz0WyPjpeV9rzQ7i7plQBXxWsg+uzAg3VVV3
kNgBd0UEHieKDp6md9FZmwYkeehNRSwj2QBXtoTjo3lNWhSGmUdDE1nxcWyibDpuL7/UBGCgf1oR
cYKEBKoNMSfbbLD8RfaV2fsc0aWu2MbSHQCIFsRsOTeK2EVHlsqp8RrAKS3KxQrSKk+fUytPH9s+
03et1ehvT6Gi6PS3IiQskbm0WdFhTdCLZPqB3yYx8otavDNJvO63p0/2AgHNuAelFq5e8aryoJV5
wkg6phEimJ2PgCyj6y+v125MiBOTNP1t9vp+RtUliF1/P8b6r8KO3zPei98guKYalH9QV8F4R2N0
wg68eD04wJAseMcz+2qw/Gxc3Hxrv+ZeTPU0qjOt2ffrN6v3VNI0En/kgyYN9xMX14O5axt1X1Zs
ZXYadaCfCoEA2V4w1eeFI+VCqSJJYgfVQm9n4PL+/o7PI2YC6hU7/lXvPRDCGZQoOyyF5k9o4Mvu
jBnQ920jkgPlQyLgXyPCGIYaiinTNKSR3kaW9S11rKNpVqGhYs+S+AZcCly9xwM66xXFI5QUKtJz
O757XtgRSRzkhVRQDtmCALyJlQbsD1ltYTBu5vk1awv0E1m/gRBIdEVnn2wQSMVAPwvVO/OVIto0
+E1f5h4WvN7TcufTfalyAtIhXJgQtmxaV2vJSpjw232S7Nzd9nLLR4CYmbfuAXognDrk/MwmAddT
1EDXqCJGsLB9RRVZIf4AEq5piLf+NSLcA1Qvh3xyEGsgAUD6SM9uNO1Oa05F+W1ov7NRAfRSjYn/
nAtPwoq2T/IE5qj+HKdZ4BpHYinSafJl+XdIYmQDHsyq0FHajkrnXLhHTbEsihkTgaSVttYeHbEs
UBfbLdp8WrL51OrD3iuH+96uHrsJnC7JonBgfCE2FkqsMzUtINX9XMCs9k9iDUEeR74Z5fV0nPs2
AFD4P20+U9jb/rQMjl5hEpNFO1INqlp2Y8bokxwUz0LFjjD5al7siGmIZ1yfMOTQn3H64EBmBNS1
24OROc6LTS6+F9zENLrOSJEmTvZZdmqbe78NWhVSQLrvANfnVXZQZIs4ZvCZZ44741WiVdkxLiA7
8Y7WOR/Mu/9aEC58Q7NQZwCWK3JpE0wv6BYJtidKNQTB5ThLV3iehk3Gio/1aXyjyB1/t+H32w4K
wxxQRYS17twaWW5HAyrItoNsfmiXL3X89jj9ygbfbxf7CQy3FZs90OwYPg3r8ddKnvvhoK/ot/69
PVl8Ml6dyIvRCKthuX0yoVqHF8G0Z2sXNOAaMI0R8ixs16frYduafGn+zp2wNH7OHCvpMXeae3KM
YH4ju/urtREuAoCISWloHp7sxl0ef/fyz7TwgrH4sT0MPimvJo0Ae4BbB4hbR/Ar7TB4rbvOyGdX
fjSl9JZmZtBqa5gXtuIVJTUF5V/e5Q6srZgRStqkJe7oZ9FaOQClLCa7g+LrcLSHeoq8atIUHlq6
QuhTB8EXwE6vco0FZXauo0YfeSnkbCrOomnXqme11Age7Fwd2geBmLAN5hId98iiZZHdfs/jGllA
RSQr9ccXBoR9gMZm6uSdmUVZ4p6oB6yy7zyRNNlv7wP5ONAoBnVT/kIU9kFWlh0IVeBp8umgo4pa
n//b97n9CzfQZatNlxjXSvG5RclSxUQj/fmgXIeWiYkSpFgI6CFRkXV9hQJU8cVmR0Rm7/j5F98X
khozKpsF0/B2LtYwGR8wjv/2fWH6zblvHC9t88ibdn61V722pEcPYm6cVQmYepGxdiWjS8EJhFTy
+tMkSzjXAIE5X+pVV8yTdLcixsc7AnJP8CfXy+z3VtLgzsGNaDhBBcQH4CYhmabd9nTJxsOlxZCN
w90Fxv1rM80wT3FRTUj9uh5PZFVgoVkJOLZVImZ/5BhE/wjFFaR/wJsJ+KdgietrmMkMp9Wl4zGN
62etRzfWqOVVEBsAWFDoThfpuKvT41Suu8FfgrZy74t4PtLWPrrp1+2RyzY6uP45+BmJb/iF65En
CZKftYey3TKdXtgbGfj+XDqXXxe2uVW33TjGuA3YV2vZWaqmL9nuuPy8sMvtRWu6pFiQGkwPdb9b
6o8We9meH9nOQPUUCjmoX5kglLien9VbqmlqEW74hR00z+7tUIGyXwWv5E5X3BVozfMhMIRegVes
FQXVZ8ZcnKc4KYKBfGBoEi1OE31sfB8UCqqKlnTRL8wJd0DndPMC/rg8MrJPeHsa7HF70vikvBoO
l0uyHJQYX5H6+KnjFFnsJdGqWx+tYVp2aQyke29NNw2zdz7Snkk8vAyjar/JQjZwlMEx4RAjvcE3
zMWtMGm6lvsGyANxux6qad5Z1DzMpnsyTfbUTb7CO6nMCd5pNavZa2qYS4Hfbqb5UDjaDqWlkEDn
EWC+d3gpMJsADg0xKtR4+LJejK4Ymywe1ywFXCV/aa0CINUCRREtIEOtMCU7WQAhgnyT06yjdeva
VKZ1E2Fjn0aFsxvbIyiwADfa3iQKE3+aqS5GozeQKGYuUmpN/WLQz33yY/Z/bpvgEyLuQ87I5AOg
Dryq6GxZQSriQ1goWtrbov+a+p+3vy8bAqrOyN5wHhh0dlzP0pylVeKRrIjqFk8De761jcfGUyFQ
ZaNAJUe3kamDSoooFY9dhgSRVxQRib/Xydd5OW6PQvV9wYvWjZZjv4Liy+4OQCgVnSKNLXOhl7+f
279Y6BKK6LEFPYCo958AYNTT37r+w1ER1qpGwdfqwgr6P72EpXURTf3H5Y4wxSBkHvpyEMJRT4Yi
r1AhxCDYHWSsgzb/VVKASIdbNKU0muqhrpozYWdpSzO6JoO5eQinIqDxI1mOyoyGyopwD+i2txgx
4zvLhr5l/5La4JynR7f4/N92mOBNHHdIu6zHaLzmd7fWaHR/2TbwJ5ssnvSL5RGdCbSKms6mZREV
rn9i423h32rxWYs/0exnrs/hWD+y7oflnwfI4xjazag6RIqpFInjDTdbGUj8iyhuwmXeJekpWdGn
fd4ep3STQ9AT7gyXqy1KkKSla0LemALCRY42MC+Kz8vuMzB8/vt5IRiser9rTeBCI7Qk5eRQ/OqK
fWwcs1SxXK+HAUgfmHcBeuI8VyJuP138shpX1I7xpg5sJDfHYHueXq8Gmn1RfSZgdgHdgS64NPgb
0GN7rIzQ6RlM2VeQL3X6zVyqVGhfXwDgYwbdGAwB+vYqOqRLjgqdCwK+pnkZl8fOujGJwvHITECv
G0wYyHIg7Sh4Txtwy0nvxiyqIb9OQZup6s2WLcalAcFxTvZSWxQE1hGtWADQA1N210kscJU/0Ljw
beuIq5Eb3sjWtKqi26X51E3P22stmSDgRFAsAe4Fr0SRmQRp2clvNQ1rXUI2B+qBI4RA/VpVI319
AWBDgfcGYoWgJHlVrXGS1lkLkpaodj9U8R6I74cyg0zEKa36G5u9+f1+bU3wzFrtdKTzYK04kQ+Z
qv9fsiAWFJg4AAVoc1DiX9+Vs+lXc5tkTaTlXjA/emxSnD+VAeHno40CoEYGA16+A2XhPOy311xy
vq8G4F8PoNZmV18bfL9uvs7kZqpCNt/k5OntVqAjimZNQBTRHyqcjCyfWevTvI0QtzSn0Tp3yalo
TttGZFOFZzecIf5BgCesRdMZseFnEKEjP1r/s21+2v685HTg5//9vLASw5TpdDacJmrKMaR9WA07
L17DdxhxEGV74KgEXF/AGrmutmYQhWsid7jpUj8Y0AyaLYrEv3Qk4AUC//3/yvFerzl1M2i/UJNG
LmRNTkVWji92lg+f7Kn1d9vjka0JqKFMB5hpYFfFDt2qaQnJs6KJaHEbmdqbK2IAllx8nW/ui0i1
ctbSIQW+zshNlzWBpTdBNymKpLITAtAtEPTo0QMbhXBCCqNMadVgSWgyA+55XpaIok1mVSyKZKZQ
28ccwfsCUyBKLBBtiV0XrA2RrT80dVS8fSGuPi8EJBouXq0v8fkY56OJVG5KsqUAHkBuEV2TkGwV
0wUgxXHddrYoUB1o+WmBiScoJO781WCKyEpqiYCqFxlTbkoISIieV8TKVxphzwUFiNONMQsn0IJs
b1y+qtdhMIfY/DXDl+tia8WIQsfYgpmi+dx2M+CMfmCSj7F+q2mRpbFwWn5sW5QOzOfVCjywbfQ2
X1ts+xoSoauNpZ+rYLZ2C/2oVQo/LN1kFzaEyWMjfFjFbWTdT/DD75j3a3sQksPCs2HA9uigj31V
2fU0py7KaU0is7lb10etHo7ZQE/6pJJJl43k0pBw9N0q9zQAQkHUFmYFGuZmVeArWQ7Cha/BnoZ2
c8QQ18sxumWDVlZOTmu+6O6BWWdbBYWSTBZEFoGBQsoY7kV0juA+hzYWG7WPpv9k5+Btd75D1CpY
3yjYg9wxAt4LO8JcoenTr4YedmxnCmj50qoo7V6/dmDAAqQcrdKcNFO4GuskW4CCShLgLFqcFC9s
EjPoeyMExC+wurczgFybEzwyqodxUTfgxS2KLx259+N9nx5rW+ExJRxE/J2AmhUHEoCTQdgBjPa2
3popODoNcP136GGtDgakLljzaXa/umAlL+rnuJkVnkeys2EWwSTn4AJmUTijBUA/SO82SYTu0epl
zv/j57n5C8e2mkPlt34BJtWiDzOTN8QqPDRfbcF1Xg2An6wLCz3RC9/vwKGIprly59Cjln3RU/Q3
7+Nw29tIzyhBqwSaGlFTEJHTiGKKvMzABlpW+qOh+ekZjIf92ajfUSTFXriwJDhny6VoVOWCJF4H
eq2wbBSRjHTR4WgIKC3AzyEi2CzQMA5kAkVr90Ofj1mj2MuyicKTEQloDznvV7SWy9TR1C5AFj4n
4wtjdF9Y/i12/ttjGFzJf80IfoBVk83WkXOSa+bLmNlPy/Ce0wGAko5bEsEryAKvN1fskr4bapZF
Cb1dutN83N5RMk9m+gi+ERwj2SEGe/1g5ZRaBPhdl/M5mrsu93c5vaFpdjYsxW0sXZW/xkTWflun
jV9TFyhVyFOmCfkCqY9gnOxf22OS7S2k1E2QWSBYdkXvDIYCg5YuzIzs5leuK067/OuYL1wygCuJ
PV3QjrXQ2ww08uLs+vFee7syACev/ft94fIyZ1bj3QVEtc0efbc7gpkjBG2BwivKluLSivB2rBPi
tbaOURD6fNDSL46rMCDbWGC/dUwwfqCv61UZSM/Gsac4Gq6Jfu8OfN9x9cj0+Zz72j7VoKX+9kUH
gQ1BJgdpNURK1+dkqv3GcqF0HSFcCz4MeEpuf182Hqh94ctcHvNVQUiv9NLO0J4QzezGGe89cMCj
m8TfZT+37cgWBk6RB+L8UhFRPGRYS3swW9jxqjxwhvRkas29R1RUubJtTAgSnchJIUchqltpYN/p
5hbz1dwVoxdkg6OYMLkBhxDwEMB1iTS11B8rtGDP4EfrUkhe78dcRY8sCyeRoOAsX/wRIQKF1szL
3cWb4bs6bZdPcTDYD8OU7kBCoBiL3BJiPWjBIDgWMT1Jb3i9xxbEe1DLcatgDAowNsyO4npXmTGv
9/Bql0XiuTCTTKg7APvUAtpN+/7ozZ+3d5nktYcqAF7dCJUBXBFROI0BzMy8Mh7ABsw6kelgG3fo
ZHMGvPjDuFPc9hKZGwQTF/aEW4zGoJkGI0USLQiUawBVrO6Artg6yA4lyNJ2GWB+9B0ZhiujQtis
O22ap4BiRlYZNuVOaxS7QnZUXRDmc9YdyP6KN4EB9i/LoFAa8P37bFx2dXubeu1/NML3zEVwOeqL
k5fggIjW9nl0O4g9nd1F9fiXnVWkEYFORg+7h0jg2ojlm/NUuHhcUueFjY+LfdrebtKZ8l10liLH
AG0PYWMPvmVSH5JU0WBlH4d5OXOc5Qj9k20zktYrpDB0uGgwv+N55giTpS1m67EGwICh0fogYfFN
0sYHSyuilczhsvBqnh3ScQgg5REO8bRzyrczql3/BuFmdcyM5JS0UC33D55+u4yqAq/sJrocpHCW
UptkfmfxhqLpNqcvml0f3NXZQaEksFXqnbKN4RnQH+byoQgRhSfhMDduM8UuwnR2WqHmqoilZPsC
BI2Q0QR3zWtIG79tPeS2kqg2qodpdu41c3ro0SyxvS+ko8BLACRcOrJcNv8ZF2eoXRGWGwAdQnxi
6Q9Frrm/zY5kqpemzKmCJg1vM6Q2XufjIWgygzwBsXRnI2SjxrFuzn6ZBgkYzlIy7Qh9GogqzpLd
GZdGhd2gMbNiJjPSyOPUWXUK+N9Lm8Zhqqv2gmyxkOniA4SbeKVQ3FdxDT4TAHsmj96nGkpmPs3C
zB9+vH21Luz4QkkADd7rYI3oMYOUyy6ZjV2qon6QXkc+aBOQSjfAlyZWToihzbHZr2k0685tszZP
ceV9rAct0MckAkPAc9y3wIo6UVEMOy1v99sjlM4kMt8IXnCoANq73o+6Ny6xXsR8zdIPqD1GY5wc
Y896zwUFrk6XoxBRYBHdIbqfZ2BgpzSymgVlrt8z++U2qsSkZDDY1SA9AOYLJXPx7qB5MtpmV6Kr
woR8KdHOaz8dtWJWuArJPocZB+rFCPdAGiq41QQMWJVlYs6y2UUxewZ7kBMm2kMy/Hzz4oBNBRRB
0MazeWn+enHGJp0yyqCYZnb5ORmtIzNIaPaOosoi8UkIuoEBAAEJ10cWzFSGDU4HcGpEmndK0qOq
NC9dlb+fFykBzXTOmbng+dVoYJ1bGPgcf4ym8fbg5HIQYh93DXxrkhXQyetJj8jEh1A2eNtqVQwk
y0yCnR80pVC8AFRCtKN14FObkXWN8uGLr5WHdozD0m52OVmDEdyKRvFkmG1gZw/be0Fy1V7ZFeKW
hPoTIQyLRNBIl9IU/HOfYnquV9DZparrQ7YjLAwOzAvY6a9emJDoXrV2nLSPKPf8U1Z12GfTp7eP
BwBXdFjhXzRSC4doYM5kOjbU2wz2tRu6vQ7Am/8duPKdViqabCXn1UU7Gn8xI0Hmiue1dTsKbHib
QAESUb4Hua94vw7osFvfUULmTtQB6BNMAuivuz6wdmIjF0+RyqiWfl+sxmkAmMZvyX577v7koYU0
75Ud4aatHTY0NLGAOl20+1gjYdtVh1nvj1n7CIKZo2WUoR0P4YgGL5SdTr3XhDNVtQFwv7D1KwS/
wXIoaYEMELcjswKb0bAqUDGfb4v1ix9PQaGDb2p93B46H9mGTRE7lvdGBcgVAhvX6ZEp+JB4eTgP
7H7ozCOhU+QwRaJQchRcRBkgHIJzfC0EONV5y+oG7dPYYbui6Xe96gGssCAOaWhza7SYj2AmuweI
OXDYr3fMGWANgKmBAxYvn+tduRRWMyHLk0RGDS7G3QLBFWPnF8/tdJzeAfRCMeCvLT7Yi/i2mXyo
E1oQi4uXfWLduuWTPSsy3RJPCBNIp0JaCcGEWBuaTZQeUp/gGTrdGvmhLO7Bqm5/dFVFKOm6XNgR
pk0bjMSOeZnT8h/WBqIH37eXRTUOYaogPE7BqYbvd9neNU+dE4L2d/zlv51Sifd84H8OLUNRS3g4
tVqnQXqqwsvGcZOTt8Sfm9n+lI02C6aF2ecc3ICKy1g2NDxxoOOIKxKLJZic9Npr3BkBrE/q5IO3
+Mkuhc/ipLdtmI+rf/Cngv7enk9JnOHiPvEh9QvuqFfRUtfbZg9NGBiFRF3TfUdp8XucKO4SqREk
kJDKR8yOf673d29A/wWUsEmk99+ZrwX5/AlsS4rpk+08UBLxvjQkv3BtXRsh9cycfsHzJs77YCZN
oHo/SdcHD1pOTYUwWQxias/tNQAM04gG7nyb+bd2i0rLl7fHlciyAGwIUmuARcS3hUvRlkHzGm8L
/SXvbtL27Q1HSAb8NSASq8LZ2NOqV0g/OD8zd59UoVWA5iYwy3Amu+3dJV0TOE8U2jEi8HVcr8lQ
lL0/sAQvau1G23veefvzsn2FLm34d9S/Xhe/GJQnhrr1tI+tA2KcpUE/DFiJ7oYpVrVNyaKhC0ti
5QtS5RZLKCr4vGVv7R/GioUQuw1K8nb0p4vGZpDdofKFhnoxPFj02BkXXAVeAv0nsPl7t+lq1Iq4
WBYQXFgRb8+KlP5Q8byN65UvpjV+oAM5mTZ5SgrvhNgz9Iufb18qB8UknoTy8GQSTmdrsrZbHC4A
w45VyoLEDC1bMXeyRUIXHTKHFqoir0TLnZUWAHoB/2AOa2DoHyoD8ZTbB56x3x6MzBCqCKiL/NFE
FGODUSunfKYwFJPmJqZJHKS2dgRv7S6h6zsKY7i2eaoDmwLiIYLzTHxnBPMB2kapYYaQgnPfTt/K
y6x/DfDRXkQfPtoXyKijuX0i4IcG6/P4DjcAC2DUsoE2h0qBkBFamyTWaGKj8zUHgbZeB4rNJVkP
wASA5uM6LmjlFUaQkJUxb+Q49nQpA4YjSk03dJPxV9d/21562VMWoEr+MsJ2RgVZOKDVmhdD7KCO
GI/xndfRX6QdwhQ892h2PCXJGo1dfuM39p7RUfVc598W4vhL26IXcso5sxMK2yvKLdZ8VwHnN+m3
TJv2NXlpuyy0JoWnkHhwmEQKmbe68Qzs9eYokT7wkxKp1zYDR/5ynPU83J5RiRMHByP2BtLumFPx
MPX15M9+3KFTzyUhgp7Ansiu9FX1UqkZNGtw0U1EO2IOGTXBOdOLFWkuy7kxBiP0vPiU2r4izpbN
F6oXyLhzzU0I5V7PFwAaDtU406flnvoEtPKKKEfiuXHXgYXmT+Lp1bOkasemx65EQaSoQtIe4/EE
nrDR8QIK4piKuIrVkQQ9HpKCeJ/jPYdGaOHoWlXb631tFXiu0nDJC1S0wb1intw0OXXufnsrSA8X
ekV4RzrKcq/oMSmLuzb32yLSaRJokCJLSz9IRwNuaQpMMO37A0RUflVE9Tz60+wuHi2Uhnmyw0dN
VTzWSEq6aW+ihxBYM/cWoKcySLvOvmXlPAdI91Q7x2o8lKMoDWPkFyFjMRTBSKblxnMqEM859V2c
dXkXsNTNH0FJ0qPZ2fH3LfV+pe7S3AyTPe8bxK+KgFG2sTnUm7OtwcuKEUNtegPx+qbArVc8U3sB
lsnGNUFVQCZZ/gQNYv8aEoMGp6DNApavImodfw6onp37Nrtz8ZKkkAYeT8iI3nVTvZuhyWEk9KCR
8txDxW17j8gOGFBUSIpzajn0q10fMKdukxF0PBVYC9hxSrVT+o4CIJiA/1owry24czOsgwsLJQ16
/XZQSdfIFgwREMJJD//hVXT9fatrrRLHrYqGar3pymcPdBCJ+eMd04Tngw1UObgzRF6sxjCLyvLi
KiIjJ+HZlSqci8wRgdT7XwPCnZu1tpU2BQwAhXIYymE/LZDgwGn5jbrNzdTpVbBUWrrbHpasQozs
ApoguWITinSCP5qBQW693C/BPUtDK/fDxAHfVPGLZHXA3BtoNvvjR8cpD277MwPUZ9u8bOkurQub
byjHmpDYRcNZcxd3/r6ykoPXq8AWPBYWfRGorlHFQJIXCm78V1wEZMA9epA+SCrkUPoAlEYnaJie
47QFT0hpnifkBQpe+ba9m9Ucv9SLeevN+T0dkl/bo5WFVZ7HMdK8MRSu8fp3MMgZD1VRY6O2aBK2
/a7Zawlr9uBCG4I0sajiaEtmF6IfnE8W0Cncb3xeLsat1ZXFep/WKPPWIbB7YeY+GuPzmwcF946M
BxdvhuMWTrev19W8zLhA+xyAI+D0AuZAjxYa2QF0JrdtSXzVlS1hQNBcJlUce0VkVAfbDwoz3P6+
5AxiGGDZ4DlWqP0Jsag1oNGOzGgVzK3HzCD7uLlj5e+2vB+qfyC0qbBmSMLPS3NiLBAPHUDSMcx5
5oMBpcz2bIDMNS3viQ4B6/k+W6Ck8q3xhmBZnljyuMzzroas7/RtjH/XzkHzf2+PXzq/f8cvJums
wVpHtPqW0Twe1gdjPG9/XjG9f3zRxX60LSj+dFpRglJEC/31gXlQZHoY6WMSfy71f7aNSeiBEDFe
DEbYLG5t9KPjZ7CWoY98/dolt83yj679arzbPmaBFt+WtA9iZoY0/1iyM8ozQW0r4n3ZGbz8FXzK
L8bcGghfcLWXkdY/DU1QJsGqos6QuBUMlKeEHF5ydvm0X5hYXAcStT1WrSDDnqzagejlqfDNj0Dv
nbYnVT6av6aEAzJA4oroFUzp5W2V9+EC+RMVTZAkQkayATBJ1K9QcBaTm4CQNVlN4K0bD2pmzj/+
5O2WuzLsk5ftwch2O+JwfNBGwx1w69fzVswuLjQPV1+ZHxqIY+23Py9blsvPC44xtRnrTAvjaPNT
Vu50D4ynAB0ct63IVgRwIVzfOu+6EiuY2BQ+s5hZRE2608vz1EHpWXF/qkwI+6v0+7WhFCZoZu/K
5J7yWP4dAqjIMaFzAAhydCrpYveb3jqLPRkuHgxB5t4l5TuuDo6pws2LxxBSP9eLrXn5gDbUBcF2
MwTzB9DZKB6S0lnCmwHYR7wiXzVA2kOfk1af8GxIKugp6WE53tmOwpvIwjXEiGhLxLMblUCxY0w3
zHGpE8xS03h3g5GdqQ7sNVnDBtIByKOFZqtBczcxgrytnzqnDk3oS25vOdnGBj0ApJTAcOjg/FxP
ZWtPtJmmqoTmwqAfIJBG9lAwqE5FBRU05oz10zvsIeoGEBPPE1B1XNsbbb+2u6asogwzuiAzcxzT
ryhUbVsxZLcTgAb/muHDvnCjvE3D8mdQK+STezdVTuAl1YeySPe17d6moHPR02JXIz2UuuuN1Zjn
sQZbvT1+Iyx/YWb5YciafWM5907rPSt+G3dFQgSLzh10a6MRDRSdYraXp8hMfYnLCFnfH07LGCJX
dL4O0Ci5SQpwfoyFXQStvkBTx8jvnL49gg97VOw+6cJf/ArhLjP0eDWhmwiHuUDd9/OqU2h39kFv
f3rXcLG9eSMsVl04rCmu58ZqSRlZS36vafVRL42jleLSzusG4prpB2e2Hzt3+VhU9SdnUQUq8oH+
a19E3JXpAu6WBPb9+cmaHxMr0DsomCh2nMxjoLCGW87lZ0l03Rmt2pbZRY1RtqHFPtToZ9azw/Zc
qowIzru3Icmol1kdjeR7zU7a+GM1Fa5VdmFzDlfUiQFreVVnbfvFd5PEqSIT5Xa9vVs0P9Sd+aSV
N23nKMYjgyoCSvrXmnCtgkltttvarSI3/QelHbRLpSGS5MFoods8T8OkA71wdWPb92iuVayYzEVc
2rauXUTT2o1embCdDySo7KfRT0MQzAYODl+ff0JtTnGpyBJ4V6MVjpyLHICedl4VQQH4MPcg7dSf
jLneD8ODx1vE271hQ81xUEnbyrYNcUyfUwvpaE8WcipjRxO3XBlyNmjq8KybpfxmDCqormzjIOGP
PYPMDWfsuJ7OqXH7Zkngcdu1e1qJf1vVxg3THVSzZvecxSoshXTvXBrko75w8T1Ym+kEYvBo6A5Z
G4AwdrV2vXfMCpChBqP5UDonpsKD8lGIvptf1bzciX54sQBtOeswgUcAYGstLI7U3G8fcOnngTXg
15NhvmrF8Us76U0HbUUUbGBVc9/2p20Dsq3AQY1/UlNI9gurVDrMZ2sGTONIHkd61vrHOFdEFLIx
/PGCIHQ0kCDh/vhiXRhlc+5ZELgw69tq/OJmighWdm4RqPC75I8SphDpx3Nm0nTEEGqQiVGP7JpB
e0CCBt0Oa2R1475aq8ftWfvTwiEu+6VNwU/lJVjn2gywWRC5H8q6CMHCc0y4rnBf7AtQ8CbIcg9V
uUOH04G26SF2sh1SwkgE463j1VFbrmGGv3mM3lUsvQMFybkmzQ6jCVOW/sztYp+Zwy0DTZpWtTtv
YJCR92+t2D23trPXq3W3PSbpTrDgDRy8rNEXIywTUNor+HZ5S+F4Hujepcfq7VzUYI5AdhXPFngE
IIaudwIi2Jx4WYPu3mGHDI/mKE6L1AVcGBBLpyY6r5IREN3IIV5ArPMCAlrCyoOjPZTuvu8fmPaj
A7mZ7qlmT7oJ/w5NzP5Z0FxCEwEQyIMGDvw26NznZI6aPoopC0sV66j0SF1YE7ZfFU+OmZhAoVds
fGLpshuLQvXkkaZYLidTuA+dGcBEv0IxM3aKU907wdiRoHC6IMvsswNOvbZevwL+8Mk220NeeQ8l
QacRscJ0Bnfg5Hze3p+qMfO/X7iRsUC9yOO1VTcDayVDXWlV3MfSE3Axq/zvFxboHI/oxsChNvop
WOLTyh4tFbhbtU+EU+YwLTPdASuX0zGM7ecFRHVJeV6K8VDQH4aviGlUkybc9H3BSOPGOBDacGtB
JSNvFYk4WSkQZxqvbvDB/Kl6X09akoPWd4WyeJRAx37svsb5M5IJevxhNh7q8YNHHrW1D9ri09h8
qco2KOnehjq2bbGgHI+0/GrQ72yGbLeitGzwmXzloi9+mOBsssWtknbBDyucDyPNdx4g80kX6cvZ
7JddYwHUTqPB/L42P/X629ge0vh33p/r8WV73/4/5+j/ZgiEjtczhM7/2shKeL1yNcJWcz7MgPcF
mVEfCOKSlelBD66exO522syOK+tDGz8XvNMnI9ZvwOv0c/sHSScGglYE4DxU98WXybhAxaxZ0Ejc
L0NgsTNaDU4T1OF6orj4pefpwhA/CxfnaZ0GezVmNOTY5nJToy7d193toJQIkB0pYCXRQQ4SMoBz
hGM751qcpiXu/4WQEJ11vTOFDUkCiDmB0jI5lrGqQVq6ty5NCqd4XdKkWzt4+7Ifw2w4+N4/M/LQ
zH8oMj2cdfRpFOlu7r/O2QHdQqGpzXtn+tBThNu+SoJB+oyAuBcBtTJwVq9QFIavWWXDe5Lq9cvS
HKFlGVTTaWg+kjELxuabzb7ORbS9iWSO5dKmMAOOmZbGyB0L8bNTE6Rreto2IF3Vi0EJnqumfWys
BQZFpmaPdq+wbl58RwvWnu0M+2lIjtv2ZM8VhJAgl7dQTHzFUMr6IZ/dBbuoa7Lj2M67KSYo0Ez3
Dm8bKf6HtGvrjVRXur8IibvhFejupJOQ2ySZmReUuXG/2GCD/eu/xezznd1NUKOZo9nSfohEte2y
Xa5atZa5Mbz1+fuvuWWkYpmi4LYJDwLXWAdsudgYztreIyB2x/4GWgj8IOd7rynB+E90HDom8L2O
ODjoAs6b/eU5W98HJ1YWIQJ82eYcuIaHTqD6IZ9s96apywMYaCb23Ignu7hPzFvInwak+9SBwzbp
n6ZhX9fXl3/IqrOc/I55tk9OGnBhmFoy4HcIdVu/+kUo+kC3dsy7dcnWmLdmdnHc9Fw3x6KArSx7
16pH4fzA+Znnn0vZQR3wlToPgzy4xVePHgTpgrnx1t5iRlwNdKGshRVGshug+8XEq6FRWgtypAer
edSHF132YTFcFYUTgEo49BMIyhE7cN3HYmtfrgFb8KifG50AKLFQfz6fa091KgeRHRqQqpHuBtvw
ngYhvxZOVwdorf/purTa6ZmR7B13KACULn7l0mTPPG++jUW/lURZXXp4OaoKswLyEuFCxgm0inPT
GrPZjqb6QwZhSw2vsJyV+4qVERdbr78VEm0DU/CvzcXmwinM/I6gQQ/wzRhAp50ozV3VsJ2ny702
iMiui/u+7t+nIrnS2zzCURl1Q34rLDP6C88/+SmL1XA9YTbj/BKwJQlArh3ms9YfC9y82o3eld69
Xba36v0n9hY7zdBEowkTx6Te49xHfznUc35JUr1fNrO1qotN5ols1As+x63sqrH8qOKv3YATLKFh
qqPQBl+7bHCOBpfR4umSLu4zp6EDmP1xHudp85zQ5kc9TddZ0gaNBOmv3dkhb8QOhZONe2DVLpLg
uoVuX4Qvi+SFp1ljBUET5I8yfmdU/W2jd18gcLCrq/JG15rrvFQREX/Rr+jjiW9ayC1BBmSJqmoJ
cJdGg/5i0y+vctVeU2D2BmBlOsfZmNlVjzkxNS/1ydncZkab2Bk2i1XJnTC0J0PxSBT1BthoXqAP
C4huFuLo6PT8UEeqpyG3qQ4zZTMEfX5jAkpR79gWymf13j4xs/CTRnKz03yYMZPhvdTsX0VLNkay
7hL/jmSOVE4nzEqTelQ40UC1eJdZ2a3Z8SrQpCMAsEODYMXeVCl3rYRs6OVNsDY4jA3NTSZYrIC6
O7ecgt1TjD1kghxWhhDtCBK6EZasWfDtOfUDcCxUbxfH1djxwhA2AL+kuR7irvgfP784nXymFUhO
4PNa/VXm78kWqGf1589km8Bh4LGxLI4Oo4afrwApRyN4nKfsEVtoI75Y2y6o9f/XxGII6GurLG4A
4G17Ue6EtQizrVlac7BTEx+WuR1y7nBEbUNy44PVi3QC6tzyvpY8NOzyJ67Rey1l4WXvWtuhkLqc
i7CgWgTF37l3talKWZMp5JNyZOXUsLMs/mpXaQxw88YkfjSFXDkwceieAKQM/85NNdDqAHE0VOng
gsA95l8pIpE+IY9t67nR5WGtxGJzYh5htmWBR9ZcVu21vFZ+MWspgW87VOoH4A+BkkWgtYd+fNON
DtsIuR433xXa1kt0daDgS3QRCPqzes/5QAkflGknHYSV3BH9o8Axh/rYWQdEaMwIXPDZbFn86J8Y
LYr10LMDINBc1o6mEXjpzsSjno7aC0ihoYRbItGzkTpYHdfMke4RQFfRyXM+rmRUCYVkBMjOJNRL
ucN2lWEfK+7fmnKLWO3jdsCITmwtdpzrasp3GO7CkhTgxtduytqMhPT3HUuivK53+kAfWS022jxX
h4i7d/YYaBYt3UaVbueC6QENktyOWDOhXzUdAz8fjiWFft9lJ11bNeiluQ5gwMi+L3M+Kpk6p23A
m2N2P3wJFCd2OtE2YpmPpyMok5B++E2CqH/oTTFZYtCsR2LJkWpCUoui8Ea3+KDWjJgzrH6WsoAP
Lm5HYnI52gMCptZ7RqdF4NRbnANrc3VqYRGwjKNTJmTmKlGgxWlaVO8R/eWJtfvzJYFEGcC7LviH
P0iwpWaCdgiOyqFKjlS7btxgGjdO3NWj6dTG7IMnoQTIuVKdDYhqZVsEkw+JideaycgtDgkfg9F8
TIZYTn1g2J8uD26eo/NoDBHEyeAWqwRaR6NSFp4lhcV2XW0Hmf4lQ8Npp0qUMQUICLb8Yn3V/p3O
xappg5Ey4cBilzufeM0OVFRRAYq0jZ20kvM4H9riGstID5y3hKG6PtD0k140od9eGeavLPvGqjKi
1c1ov6KBMLCtYw1KbpuL0OLXJHu+PMdrB8jJHC9xLC0k4SCDhnIF0VkW6KPzZDb8WLJqz6l5fdnW
xnr6i3smp6nno7aOLL8fG/IW6X1fL4MEOU9XfSFb7a9bfuub536b9yK1WwfPP+Xfl/lP3WRoKILD
dt85FMSSBhwgzYzt/26Mj5cHuml6cfPkkDcxzXGeVRrp7Ruw0nn3c/QfhIcbPfliqTsobwTuWP1v
x8ESLmGgVajMNAzZH3a1eOyM64lvjG3edBc25bLbjub/vykRFb2WtnmdsuyqyKChzauIE21jp6yf
1P/dkf7i8FH+ZCW2h5kUxi/wdgdSfL68VmsX9+kGWBwyXqY5hc9wgmqWG2QamJEGENWKfAANRXbT
a17M7eFh5H+B05yPADygkYLD+JaAvYm1hVZXiE4sLzuURhYooz70QoRj04aq25fmsUrzaKj3hXXj
jRuVrdVlBEOACQYKZPuXyGZlGL0z1TiAfD2ekshNyrCVz672SQIYenmG103N5T1n7qFcQvWatOiE
6PBSGEEcZ4ZDG7XpIXMjZ6uGsXq+gMHyP4aWZ5lNcn0qZmRAAkIX47VrRTADEOv01rR/kfbp8rBW
KiZYwBNzi+OMOnVROs2sd+k/Vw1wbXULifIXtzvq1o+e3NXF1Ug3nvWrx/WJzcWZlrbo92+RNQMJ
LTlQ79akTtAPd46/EVeubrsTO4sDTFqZnkFPGFVsBxnAVzr9uDx5W0s12z+JKewCb2NqYhxsYjve
mYFFyY4IP5KglWFmG2UMNe3LNlcv95MxzX8/sZlK32saKI0/OO5VBp30Kqyt6LKJTZ9YHFcNtbme
15g3R6n7xsujtHEeeys/gkQwqvGW7HT9gBL4lTHJDdurBxmok1BBn4E3yzdVgzZZHdyLOMiaPiTN
bQpcEIRisuekEHsv+db+uUQU/B/lO3AhowSMxrnz+QT+2cyAXsrBm2Hs29p/H+siQp7u5+U5nV3h
w4WDWsHcBguFpWURCqR8tvAanFRV0YWj/96RDejXloHFODqjFcpNcWkOWv02jVA+d9Nvl8ew6u4n
Y5h/wonreVox9nUDE44jAyt/8pR3SAUN2uHRKF7taSu+XD0mTuwtXL0oiUr7FnNGTWSXPmWjFoz+
fltgfXXqkIoDlbOLWtAyc5AlYsi7CSwQBQ8hr5R4h8vztrplT76/OO40fSgk9CoBiPLCdHyCKtVW
xL82AmRd5gBj5kNYMkD1GRgyfUkwgtzdtSiw6H3052M4tbAYA5caz0rp4VYCa4WPgdhWd0BZ87KV
tUsWbas6emM8f0aMn3uY4h0phkbDJQuuD5PxnRy/aGkfKNsKy34jkF+ftH+NzT/mxJ1bvNoLs4cx
tOHvWX6veVuSg6sWkAZAKy4yNx8A4wPtfFZ5LsK+wg9qDpQfCy5P2JaFxbJ0eTXUdHLyh0++einI
6+Wvr21AYABA7oriuQ+Sg/MZSgg4UVNgYh/6oNWu5BiioDpt9SCsnSqgiTSRkUH95UMeXNnChbQ8
eKvy+mdX43DM8xB0i0GJHd+kgVVswDVWfcxDiQmZBrSTLXe7T9MxJyPsSThWQr92hh0W3ufWsA/S
/XJ5AleXB+nxWeZwrsYsgqsWgGhnapAGosbnAXifH5c/v7o+aLNG+h0aLhCOOF8fmlhaVZX4vDs6
O22YImUTkJvnIR03LK0tElgTEOObMw3vMsynqFqbXEdEYAon7MciLLS7pr3p2DgXIeMsK//CsSEN
hXZu3YZOxZJWg0tPUBBeIrfVRCKo9PDyzJmrA0J67rewwyyzcz51flslSd0W5UMhuY72ggpV61Qh
T2w5qG1Oo4q6HExzKL2+GQC1fxUNeAkyJ6G7SkFcu06FCiF3bxzGvhh3GsjXAvThduAekeN97nZj
oFL0wCa+8cNuZYtGua6LQI6MLiLNn1AqtvSo0rj3RXSJ2vDwxX1jIwWPLDj+hxQ8AYB5cYrS0RoS
reZjzGkeNnrM7K+2ohszuAjUfhtBrhbZ71mDFPpE5xPoAeTAq6KVccG0DjcbBLMl01kFtIU5HrOh
1d5K206fLLemNzYoWbYC4bW9heqvOytZzDDtRXTQFQN3XJAQP2gZpFJ06K9hF2yVARdTCUE5EEKf
GFlMZTtVGlUV3ATnHy2LwEPCeLT+4iI6NbK4iCRhOfgwYEQLGm8/bXXOrk4U3pMABOJN+aEwYjU+
2PwzVoI2xO2POnUgYKK0YiP+XDuLbA9UWrM8GUE2+twfbMnsFPBJ9J3qxVGvtKAWzQ6NUoHq7I2z
YXVRQNiFJizUZsEjdW6KeH06OplTPOh2J68mt2rBxJuQQCddfnX5nPidXlvG7YA3Yi+Bf9oFc/K5
LasibllpNnpAB7QhOQr7vJ6Ide/YDTQlMm/0As9qJqAME77rVYIE8tR7nzHVX3Q5NKEu7Dbqwb50
TTRhw3eECnSns5AF9lmMO5dFlq6B8mdg4+cqh3hszpg8opebBSmqx98TqYsE1FbMvqfV8EUXMrvx
J1FHSOzYO6/K0a9pc+/OQyEqVJlHHmpENaEr28/gy5iemN6og2Pxz0hAvUtdlk9Gil7PAmCqG+m5
5W5A+xHon/C4k+U3XdL0MKhiJuUBjq2RCgk+c3oWGSugZszN24k4STDouRNArygGDbh7NbbECYax
xd6v6jwYRPVF9+XXDEQvITAkap+Vr/X0yVOPLTCSYFs5gHJN7kvGIf3SqCBLijEagdGCzGkvQNsk
wzZ1wqSFRhgxvEPn13VEe/R6Wq2FzmwbSc/WqtqwNwfv6AHsFlLU4fZF19K/OQCAAQB0EL3nHzl3
eFspXgo8eRV4PkxWh8p+a8XGgb0WkpwamS+r00iUV2ZfpVkB4LgeQiv51az8naohLDOme6z4xv5Z
gWHPmm9QsDWB8kQ31cJeNWCsQzUUD4U5iKDJk/HBz7T2unX95KaFU4dGJqcd0Uz/xuB69txT1NLC
Tp/GO/TjunuLFtVxQorgMKSVtZEdWtveKFW7eIkhs/dhe7sWem+kT4uHyVdhpbdRrqOhqHzZ2NmY
0+XG9pE3RLMaZBU/sC9UTdIVNsODJrfdam4oGz8hNPxeeaoN2GC792nNxcHADXPruo2zcXsuxjjf
ntDXRvQJuBPoZJbtP9h8vZeM6RBzt7niRD4zn4QjaJc2lnrt7AeWax4nUrR4BJ57Vld5pT0MbvVg
yDd05SUbk7gWRZ18fgndrQyUXVSGz8v8SKcjYMLE2YtuZ+Xfm/wv3MIDSN9B+y1WbfkY6adWB40S
uvErN3lISXrnglqbV1sYrbV7DBVwoMEAfMauX1zGvGhTg/sDWrJn3HyDXmI7ylpnr/GNq+V3eXbp
gaeWFrvQhb4z6p4cltz0vuCjHnDNvE6gv+rIPAQiOir7KvD78coiajf6Q5yZ1pubTaElu6uhqiNt
NKNx3LrJF775O+YB68LcQogIEjH4uc9kpt4nYzJWD4x8t+2vPv/pbOk1rR14pyYWYVVjGZJ2hazA
3P8+9M+pf292+6R8SsHad3mbbw1mMckVyEMzk2Iwji0Dv74eprl7eWM3r/sMJmyOfND+swgSepWD
vbXpwRaDtHkyiZAgw5OTa9QlNywtou7/rM2/lhZRt+bqLE9aWEJDiR6CsISFRa6so5kU+T6xcD/l
LZRu0w63oy5Rbb08myvrBqgz4mHwyCBhuhwoOKk6UIHX86sJEG+n9m5VUlwnjXNFC/etsbXdZXsr
zFEg9kI2GCRV4KXASXnui4kFkllfpBMQZpCPK6cbN3vTiLEv+hhgGC2pd332mfosIPTXaI9hrh87
9t2znvFiCDCNaHfO7w1vi9Lw47mHSBCCNHgKz6/hZd0JsnpalqaJjBvjTZTdzqWfZW4BOPZT9fax
858uT8PHacd0z+85ghtx5ng+n4WJuqWm2bqMu/xprL/R+ksF3u3aKCPdeL9s6qODnZlyFu9iEGaz
1pVKxmWdAIGz94tdCYSxR154+kBlBM6+ywY/3lC469EvjgwTOD9Qbj0fm1FpZgaFCRXX1r4QUbZx
a6x+HoEuGGJRt/uQXeoqaUnpVCpmaRW1xi8reb78+1eq5BiAN/M4oQSJdMVicSpIviEnq8mYT/f2
AM0d81qTb8yLy2Hf2w+1/bMaH6UzbBxsqwP71+zvGs5JzNgpoAK6slAxcG6u/5T9BZ4OhNiAZAGh
CDDfByVlkTtV1hVA75cDC216k+dzq+JBY68bE/j75j6/CM8tLc5o15U8y8sCDTINmpQt1P/3zqh/
s1LmvdRQAAV/Qet+Zh4pruuqs69L2+0iDpLBr02i2DdCKJqMHfw8fSL9fkCzG/pOLLmv9f4VL0Un
BlYLDAh56e4AaycvaZL+KDlxeJgrJ/mufF2CiHnq915F+WcrJ58K3pph17vNIXVs8ak2pmLapYWf
37PWNH/lYyr6KxfPgRs0n9AXTTAadtyF7t+YeLd53U1PtK4ZskHa8Jh52mtGSv8RWhr1zq9a/VDJ
CcmhtCmzeExddkDF1ykDaCpYO1KD8SgUuSeuRV+CjNrNNDwxOdCLlZmmgQAU92CJEr0NXIOcRGpb
+65P+E2dTd11YTh4N1KhjrY7ptd2i3ugUEN20OAwIJ1Hu3wPCoS9qKgZpYOZPBiI6lFWQR+SaUtE
vUPfh6aVp37AHd37PDa1dp8VTNLAGR3xbfTG6qirvcf4r8Rn7zaQ12OuXanCigiYXp6ywmU3vS4e
M22wD81E+XXhttMuawF9QnOKjpcclaHo7CEkoFS6T0THYo5i4BfHzLUfLdpY9vlUiGfb17Qb5VMV
SmsgX6k7l2fyob53mGSH0pUFVthQMjSkk31l3PAeW9yPoLzKfyiwbe57hbyh59r5vu5ovzP9jOxV
7rShT5LxiKoPlPmsOrkaM7/DIxaaBoC7AHfYmlNoGGVxjYYdF18ZRcgm8xtvvQakA1JFyvGyCIHZ
EGoN0CLhi54bYalN5ZM+kPpFtcx7Ks22uMvAYRW0qDjdNCQ17kVSgYMjYTVwIBBh6oy0e6M15wfp
VSSswEN/IFXi3BlWiu4VtEGAjB65BWn20KyEdDa658kQGE5FjpXTWO+6tLRfxoA4yi9AguCiyfWa
1SXfiVZvDjnXMdljDdkMbyx2SNFBSUG2w55ohohMp+fXbtIaR83i7EBSkNbmCV7jmjRoSPtEhGZR
mAfXpggqas/ZOPc/xkznm35xbNqJ1hHGyuIebV170/9M84MPDvnE/375eCErNxqS/GDbQFeoPVO9
n18wSK6lU9lM+f1kZe47dUhRQzbJ6Y+J5XLsAaSpuJ14O6IP6goXiRuo0fSjzqXsSIzSD6a61CD4
/RU5xtCBCsndxIo6NPmXztYhaUuGHc/RgD+qQT1ktT5+83p4jOnm+34YzRBCKWZI9dG+b/BSOkBN
eNoVIxpzC173EWVVezckg/WEOhE9aKZK9iKBQMhkqvEh55oWdX31Jv2eXeUOMiOaXZBIcAEeV9BE
H4q649/4UDX72vW/ywYqfylFrpWo3A9bP7HuJEVSivne3nR4/6RLNe4836PAcpaueKZWWV1ZeKnu
WDn8qnsL6iQMxAWW1PlBuDVDFKCxLKwrOMQE2hfgHHS8RBJLBKTPh19DbtiBXojxkPRQBspK6KrS
qs/va4N3YdNn9HFs5Fb+fuE9/7yfocqNKBT3LnAC54uqYfzEl3yIqZ91AW/bG8SC+8aE6InOyAbv
08KDfhubxVuQbZwJkZdRr1+Ufq1QwY9J7USTo92BrPoB+pR1mHheiVYzcw8Jnh9mq22E2yt3PPas
jow5WgVQdFnGRnlbaY4wsnucci1o2dBR14CRbGODYKqWty+ab3E2mJAj/FBEMpMUWHmpsntzjCwB
bs2dKiIU+AseXTa0OpoTQ/PfTyKWJC80hdMThsR9YudBU2/ErmuhGHJ0gFegrIOm/iWjZpMZEjql
WnZPLRVnMnup+CjA8z3+Uvn4mGQOMrbmHVo6bvts/NnR6WVjhHN0vJhLJFkwk/Z85KCieT5EiDAV
NugXk5ioVuZB5tb+oQf5wItj1lZAofwRuUNfXYnCkVHPCb1lddXvxm6EFOhEiy9o3zfuID2d7CqI
OIbK7dKX1iB15At4AIPQ7D5JdP+KJZ7a44L4he4Zekf9qr9Oh7RjQOoY1b50qHhqKuU+ZuhrCY2+
krdjhsZTE413kZuTKUJKG6la5ZfTF4lVeUykII8gIk1/JcxrP6U6IqnLk7NEFf2zjfB+saF+gafj
MhdVGokzSNPvY9t/1rUrRGxBzpoo0UooR0aZ9sbGFEfORm518VT7x6oNJkzAfNCn+6GQWNKKpJ7e
Q9SlixB0CDyOQUPQaEjvVI5/aEmdHaZkC5G88mRz59Qq0PMzp9Sy7aavvV4AQZXfVxa5a5MM8iWJ
+SoJPfpNdUiz5HFjdueX8ML1XNC/zRI2aEhBfvHc9cqJ1k2jE5wVHWlv3XyYbikyXLvR4eZONU5x
xCzoAmel6d9bg+vfcJVpR5SVky1BrdnLL/0Uc/FTODqaDOFm9zMRRFv3R9/qnpQ1/XHFCZKZBGUg
QDgIXnbL05E7BRGlk90TwwhxUwW9+0IlCq/jxvN77eA6NbR4n9CSahKyrdk9998KEBpVgJpeXr01
C84sWw6ZPegQLYtnkvqd23ocqQpjCjRHhyzQxim/2AZIHPlojMLGs8EUjcNpMVm+8tu+0OGPSkME
6Smw+jUB07QAta8ItPehuaWMsWYRHJqAyqLTBv28i7OwlshK532H5ak8coOHP7lVjq52RkP9OOtc
3Jx61WfPajC3ZIPWLgKwNOpIlYDNbc5UnXtgJUWpe4myYtOg8lCMlvlSg+/riZiqvvYpEF4u6i0Q
yHK7fVrgSs1o7u9NZaS//nhhUXIFkggJ5d+skec/xPCkNaZcWnFXVce8bo9bWeQVz5nFneZGNBAj
I117bsCkTVmmMiVxc2s4981Wc/TW55eLOGpT3lsg6hnEsaquUPO8PD8rR8XZz5/jvJOYoBV2ZQDl
R2LkfxvxA0Tv/ZbmtrlyKQOfAK/HBsOJt8T6A3pnG7LO3bgjVZmADkAjYGHKIQAHhoCR0B2BIsHj
nH+UB5oD2I16bHfUEiAbe5Y+QcozQLOjtS8FaR8LzdB3AoWw95I28gvNEVgFCDuRsDecLQDkYvb/
ubuwe3wA7HX0iS5mv/QLNWoUd5eQLMhK9xlQjG+XF2BhYj4XziZnsQAgFi2qEg14MSFP5TVjf4bA
xgigew/fBIoHUk0AIZyvr9cAFJDY3Ih5CX2wor/FA/7t8ggWLjSbcNA/DbAQcm/WB2iStFpD+rIm
sZeZPPAHLXvVs2TEA0zwDVOLyZpNAcaJQGIWPZtlqc9HA/4AbURYJZBiSP06qDKbf8s1JFb+eEQ4
vdCW7IDuHg/WxVktTBS88TYUwO8AadTmIRdvmfHnT6jfT4o5Jpop1ZfOlVMkHZxGjnEyWbsK1HU8
27n67cC3Gi5nFzoJB37PGip2Nh7gc3PwEtRpsCEZdTWMsWHw5rqDiPIuY+DR673si4GtF/357J2a
W8webQkagV2Yo7QIkBGIJpXubOfHZSsf34SYMzzOkBhFRfJD76XJG8JN3RtjMc7y4+7Bk7Ftj0FR
vPdAevo2Az6u3F82uuLqCO3wAp0V0SGEsAhECDhVpoZNMDqxYDIfXEaD3NoImNecnACzCvowFOBR
mz53cmyzweoBYIvtnATqNen/sKn0tz+cGljsIldSbsPHx1h/hVh9YO9tY0v6cF7jpcudmpjHeHKt
QGhHVpWCifRKBwOY9iNUCRJxG2fnmmMDmgjyYFSTIDy2SGE1+uAlLYcVJQLNP0wQhNm7fzVbc+4K
CGKASK3FmqeE8H7MShFnvb9HLSOQeEvY7s/LnrXyOAMeBLpz3pxmADPtYte4g8doaaCzu+mxMfc5
WgwFEqMZID03pQMitVe5RTO25minJhcjyzWgfa20FbG8s9rd2FxdHtLW5xerM+IhTk0PE9enj4O6
h1j6n38fGPWZ8RhnNNAC5z7Wea1poP2Vx503BNlckNgiVF7b7rNQlg3ULVZmWYhnYDRKge3mcVa8
mKkbVeJrXX3+i1HM5bcZgAg/XmxGVRJpO07J4z5AmB7a3VYOa3UQLgpkqMChSLa8ZoYx6cEkrou4
NpFyvy79/dAc/mIMJyYWMQxnLjEKboh46I9CXg1/FqPivJqreshY4N+MGV9MUSf00iuYy2N/aI/d
0N+5/RMwdX86BgMy2hCVQTCPSujyzp/Q9GA0wzTF3XBEKR/Zncvf/3gi4vu/2ccRAdsgDDj3VmOU
JefALMY2+LeE+4ujRpKpY2KLXWVXG0XXVWME16OPliqkI+a/nxy/HkRtcz2tp9g3muta3vnoUpN6
HuiDE+j9X8zcrJaB+xCBMlqSz411ALf6OOplnL531pXnbUzcyskIbDFAzrNQD7aJt/i+qaymKpk2
xaiHPVgmB6WS14WgBXlCZzZoZJn/YpflsybS42CNL5eX7ePuQULWmLVpUQBDfXxxiE2CpTa3OI+5
Yb5Wnf4JDTI/rT7ZGOTHs/LMzBLHZbtMob9n5PFYk1+6BKsSMkWXRzJvwvMrGSYgd4R8NrrGkZA7
X6bSoGKAcAyPU/V1sLw9ch5gFukjkKhEf2EJ6Q7E6sipfJBbT3uv1wyv43FpyRtCRRoKh4YZQyhY
Tf1GB/ISxTWfDjNW0UWNX/dxF8wreOLriZ901CJTH3ft2O5haQz1mrLH0UjJjT+a0467emiX98AA
FwHzmvRYuE6HaisrnyWEeHeZmftB17lq13LXDhIhhuvLM7KyH89+47w2J7/RVq1RNUL0Mav0XZmB
77cam6MCV45tNG+y7naX7a2tNTrpkOABD9BMIXpuD+k/T6BI28cpNdvATLUrk4odmhLvhmqTc2g+
uZaOBXYj5Ntn2VwQv54bY9xpdNp2fWyYP9X4M9c+E+tFyAcDBLsN8slHvdSuHYbsOf0xWRvv27WZ
PTU+b6yTmWWmpvkZp33cNz2KZub4Tsn4MpW6H6rGvbLEVh/pUhjpt78RiB0i14vMEuSCzy1O5awt
Z/V9XOlNP5cfjStq5RA+NpEjqCde3HSVVdxzE+wQOXPS0GeATjnM4CHuHmdjpdfOJ6RWEGvr9pxa
XOzqgVZ1JTI1xGxEZ0TfafelqH5O2Rbubc2jTu0sYkUoMCP1paPw2NA7gxeRVmlhUWXh0Pwhn/w/
84t4HqHKXERa1pC8tOq8JGFA5mZa+g1kMX1QlkX24/IOWZ03VAaAsXTx1F8CyFzRq8mVxhAPPn2Q
jbwi3bTL+2yDO2qJ9P49Gg/VgPnSB4Zu2aXTs8HKKtNCzUUJtfPHRu0SA1ikZNCsoEHUH6UAQ4Sp
1VWfRFPVO2kTFQHPYqCXoHMCahpgLmoQlNRc/0PY5PzjQFwEAAZyApClW14JAA9Pg8zLPm5AI4Ia
SWClR808Cuft8mSv3G5AMuFlA1JoS0ce6nzL9A5K4LmAHaG/TfVPgzUbd9tajHBmYREjSDRGF2NV
A5Q47Tv0fhHId4u8Bnj3mRnoExlf8XYPXFOFl0e2cvyc2V2cfXWNCn3twm7fvVI7Db0eHBhXfflU
JK9/bgm0FzPJLeK6j0d60jR+Px90TvkObY9sikXzs8cbXj1dNrS2WCeGlo153ExssGNy3FUmdLFv
t2Sitj6/8AVf77PCTjCOCTAQ2xfAQmzlu1a94XQIC29A0aOuLW2+FLpY4m4nbYJewXJfD6/KbCJ4
SlgaxV6SjalbOVTQUIDt5OPk+sj7aTqJBkXvrAcPby13vLWH3cxOcZtaUE65vEprpkD24syQCAgN
LcubaJev/NZAZtr3y1uS2VdZcsucjct1y8hiHpt6NCHaPfZxMiioyLz15D1HW9TlkaxtodORLLaQ
S3q05nuIjTLvOp1RFu6Vbb441ifbj/43S7NrnsQKFKylQ1dhOCqLchLipd07YdrfFcPGqb/m46dD
muf1xJCwFDC1ukLJO5E3euo8kdL6dnksK/cx6PP+Xf/57ycmpgr6xJaGWXPxFkqbb7llhCZAeVvs
HKtDIQT5D6T4YXARX5gDJRmtsJXKQjrH1HX0aNJUu7s8mjUfQPoOjYtAIs/loPPR1CUab9x8jler
2n8SDNUcVuot0FiWFw15Q4+DUOztstG1KTw1uvDubCyyKWmwhYzqFgiVzALo4lZrXi5bWRka+owI
stTApEBWchGKs6z0Uug78jiXrXo0FZ2u9Kr1rj3wRUXCk8Nj4fOt7qa1IJUgrgECAi2nmNPFphI6
dpI04B5Ke3T7d0bcG5aPO6hAheg4O1BXRE52l2TFXZJMEVMb752VgwN07Cg3gE0al9XSa1ruAxhc
DCzurSYYUxsya6/mVtfuyszCCP7DrWijvWoxRmgy6LSmNYszwz/mKSByHbvlEwT6qmMnNkOM2QcX
zxwQCfwGmaMPAPXGcx+183Goy7RgMauLR6dK9MAsGARCy3enn6HtZZkHqbBfasEC5mbhVNNif9mX
VjbjnINADwJqX/aHxjxRZQmTtU9RzC6++vRLPvKtdss5jv8wyn9NLNsP8EABOVRPaFwaV8ir3hXS
hVDPs6mKoHOHJ9v+C0+BYsa8hODmgajt+axaFTpKU9umcd507y7/P9KurblRXOv+IqoAcX0FbMdJ
nJik07cXKp1OIxAXcROCX/8tcr6asTFlKj1TZ+Y8pIptSVvS1t5rryVfRNc8KxLh2/WpW9js2Hv4
PsLwCYgxW71Omno9tlb1oKUGXmmHvPvStaGV/LhuZmmFkF1BmAvUAzLGs2NZuOgOsuO6eojC1jw4
a9rCS6PAG28K/wAhuXD5oeh6rESF2VI2fXUnxGtjAxa+chov7F4AGQCew6sSHZLzjAr61bk6ABb3
kGfmbaM0/thBC4jJFTMLrjZxmkwQLQBioDJ8vvSAUrOiymIVxTT5zqnxI2rd323n3Oe5EnkD8jqe
hj/511fo0upUpkbRCEA4+xKmlditO0g+qA8meJGDsRudoNIVz4oN6EOw2B8itEJrw1r27dIxJrNI
wCMnowEFPWEkTu7rTI59pRSZ+sC1wHgR2u76qD4m63zfnn9/doPiYYn7m+P7oAPNPNAIQ4keMrZB
J7MHaAFuWG7sur5905PyO140r3U9brmCJI02Fr6SNVEwauZWDs7D2CmeS3XQjRnHNCI3qSNDLlzs
Fb05ZGMlApV0L2B2/iLj2NdjvisdsdH06pkVHMApgba4WG4i5OFa4PhJZ32twUuPt3aCWnr7tait
G9abvqUQX2u1OybEDjfnSgZ8DjrB2xZNJRO3N1KDOCnndRW3sJzUYj0mnFP2ODKnu+3LRj8UUhM3
MdW1J8h+JsJDY0H56Brqm6K09fMQM9fyrG4XWYfxZ087ngVK4rCDG1lFYHHnreY1cqZtN6zshksH
+fiZE9O9jUrNPK2kGF1pAxJqHQYHnTbf4+C6g4Cz/eJkt1ACAjQROVn00tvTdXrigXbFBjqUjXko
HCv3q8TZmOnwvelGn2j9BhIuiadVcVBFqKEWZIsuw1uzJmCOrIo9eCxf0ergNbIFNLmOQsV29tJI
b4qi3uNzQQmxEZWVPugQELoNLfgZwYdUOKwLBokHeO3Ej2rbslu0E0IXJjPe9cG5i0sdFW69PnY8
vs8zN6zKOr6TZX3oaImscVJtrBJ9I2myS8nQ/YlJBUR7lDZBDUFqj9sgKi6ifie5861I2xRwIvlA
ZdF7TGs2ipbd6VPwkZCKeD2FdG7njs2+SqA1lveG7gkn6zcSkuJBwlig28ofh6e+RHuOkxRo2ykh
f6lUni1APQMmo8RjQ9JuI+SLKy+i2Q/pWPeiaL8lphv0hbM3ePVoas3BTNOAEPrUtnQvI3VvtO5d
BAL9JG1uQVT8DT3We2pYN+gfAkVvF4zNGLA+22qWfshlc5OW1Rc7qvejGd+PNNuWyE2N7Y+y1IK+
MTfCVg5QlsG53Lsbs+cQ/hxuysH+olnRU0YF6sZurQZstO7jWkUWsupfjUL9VpI+QL70wcr1TdW7
aHDJHgrW032uCCDPHbnRKTzB0Tc0MX9B8upWjdvOL9w09ovRjT05ZHRbanGCloTkYSQpMo59+pTI
JiCt8UspTHtrQHsoAFYfNC198ZPEdn1bJenO6iDqhnyWxdH9Q4aAdZmxM+N8b9g5mjtAsOmjTQtg
ZCd6TRNa32a1qwV2pQJBYveBA7y3h7Yz6ncx/ylbEIZZkbmCZ13YgqA9A1AZ7GdI1s0bCfOi1PqG
CfNgKO5PrSy/UbGyyT/KRefHtHVq4iNzcbIJ8ZLJ2kZ25kF1G/UhMvQYlIe9/m1QymLw0aOGs8kk
gaZuIySwh+BR1PpeTVJ1U+d/iOrsCrDjKmA7lu9VFbRwqkPZNaiKksp6yNUa/TtWUJBBbKD5PQZg
ih+/slRr7hkUZVbunMtgBIlNEwAVgrMWj41ZSjiJqApohCYPlsX9Rj40UJeq+bMT05VZuzy5zg3N
nlDAS5t2S0YEbeNNqbyjMkY/n+k4NQGY1Pnh2Jm9UPCElocEsgnpF15tq/bTyZRzE7MbmhfoOeTT
dLF8M0JtUvmproWHzgxpiUsP7oWUuYoH+9S0MpsptKvwCJBg82DVdgGc9FjvdKd7LoDp1CjxXbQk
EbdjwaiO/dbVEn2r87ENalV505thw0kXRIzmmxiq46MQ4JNxrely3AuFPSlW8b2TdYAmtX4/yizD
CRvT+7SFuvUg22rDG3Q3srF6kdC+3ltK6teR8kOteNgrKprA+6d8JKEyFGB+M+6TvmcHqYscemzD
k+UWG9EZOx0XQMeN7xHLfro5/ZbFuemhx0rztbpG0ODK1yIVP02tvddVfhgMLUgEP9gZ38f96DPq
Es8Bt83QJj9RvEEoY5r3CYp72yGOS3Rw6vctWKZZY3xRBxN3WeUbgvhqXW8NKpDoAnaMCu0OW/Mm
ScdnLSOm16fuPRKzz9ev5Mv3KxYLQAAopgEFepF9p5mDNqZEWAezFTEus4p7vBueOj15KlXFiyxr
5Q10GfpO0HPU6EyU6dA0P0t4sIGVuWCjdnDHAowrlDrR7VDI9rlnLvRI0V+MnUWH9lA0Q7m9Plhr
+vj5yYcz2kIXPRI8C5hKR0f5wu6i/kBB1XZfkbp6sfM233dtRXyB7NIOPXX0BTVNZZLzsH5lAF7d
AuAD6tFYJbcQPagnAVLnK/p3zfs6aRkEq3lmeKZN0eQjq4R76MhLnocikxsWm7/KWo+fu6HkzNd5
Ex9lqoonvPDNjZnFIGlACUb9qnOivjUReA8N0eIaxj4AW/EIRCZY/35Eqtlu3dJ2X5xIxwE0KAXS
bFV/b49NdG80XNxVDk0OipJUAVLM7c2ggYJYdFELTgItuesaCbYvndnHRkTDlyiy+hdRcJzYiIPf
Nb1BvzQ800/QLxt5FbWUHBT+VuynkajBJCrJDuzQaznX6RyYLQYOCOSFcHaD4GdeNWSp0eOV7IgD
adrvtU43lSl8pyJBgVMiN6vt2EdPySqv8YIDguJ1eriqoDW5eFg6ja04iZ70hxIgni75UyYvtN1n
FGVENEGU5uuKz12OEk9k+BsyinjQziuJeK84wumGAffGpuseRb4HBbqxdq5fRg0oBU8dMGhwxck7
B4lVtqh47BTDIa3CoXj8PPwQkBcTIlUGhNCxe2aJix4S4m2l4trI3T6HdrGheFoXf1MtyN18frpw
RaGNAUVtwKtnFxS4WHNbxkQeNPns6Fs4nbTv+jU42kLUADjdv1ZmhxC8QuP9tJdsknjQRtxl5Ec7
pf3Nl+vDWYgazgzNJk6pQJdbqjCkln/wgABZpqp++28mJtc4ieak7kiT6TDBXD+Wh8bwlX6l9fXy
ksDyT0/YCfR+2YHaMiPS2nyargbHGxQk6WvV+g2QBsnnwzk0J5mwg1S1fkHvxDXZjW2piQMzbfE7
ydVxxyAU9ZikRN+AhgV4++uzt+AJUzcUKtB4O+EmnIZ+MntZWdZGxy1xAE8n2rvZjYFhFUAuRHJN
enxhFgEeA25bR0ra1Jzpp5yYUs3RGHLcdAfRWPp+7JJxV3Be/c6pK59Jq6a+LXv0i14f4MLJgN6R
KVsHiBIO2dkASSRZVymZOJhGXW3qQVW3wh6UlXVb8HMT2Evon04tnRccxyapOzB0cnHQ+no4VnJg
yOfE2mboyBo04wM3NLs3UHGc5MORsAOabBZfMlWL0aTDxIGOIn0QuVF6GqhxHjurao6Uj+SNDe14
sG0zfqjHUXlNKUsgKGz1gJvlxY92dJLbCLf2hkd09IsWGDQl69InV7h4jpdahEQSxFxIMY6elZt6
58dtnm0y6F94MqPgyJAtGMirstpKkTlBX4/xPS78zuduq3q4OPsbKpu3lhsCaEcFe6Yrq80gy51U
JV6bgoPgmBQgfcQ97Q2W3NQUXH+9wxJEITL2gPfzeWrGW0OaqF1ktrtPSIuTd6R6oFeKue8KSNxY
qZF9Q0/xuyZb892Vo+U3vG03raF1t7rWR5uEttUuLSr2qBYdeOU61EregYJXDpnT6plHtBQ8I1bd
9GGbRn2xkudccgu4BAidLWBAL/JJPI/1UUV3ycFo1ejQl2Xzk4He5V5ry2El17YQTSCtjhQbgOs2
8rgzPx/riBMqWH9olK7YjpbpPLJIRI+VAmlIMDWRTdSW2b2tZ9E7nqH0L0Y6UdCCcRfYCFSbzjc3
a5gC5G3dHxxteKs79HlbKbSl4mwNcL5wipw9eGfj7LSMEnANyQONPPTsOnHgiHBIH8WalvXFyUjg
CwhYgDtFDwhitPMRZTIFc6eSsjBWFQ3yhN2Tlg+gi8heDQDNrh9SF37yYcvU0SqNt8EFLNQpqN1B
25WFwFcegEX/khh5YJPi93UzF3M3MzNLFjDpDCC/LVloWpFHYx2s1UhCxsqGMRBpudvr1tYGNTun
QNqiSBDEspBbWkCRi+IUjTrWz/9i5TJpgL72PCtzFirizgFPaP1YrjFfXB8IEHHnnoDO3v83Ydc3
er9rfutrt/BFTH62MIhfzy3wOq9BmYOFgdTnvaTaj9ypkDcyQ6JFj3bcPze6vjJvy+6NwjA43BBr
fmSqT25jiwLhl7qShTVgtxAtKrfUQu/47vrqXNy+08BAdTBRmCOimQfOhFi94lQqC13lOzs65bfr
n18cBDozELmABhk3/Pm8RY3ZuSXlLBRcBwUJOiti1byR3bBz6mL/32zN1kgWrZNbQ8NCm6BN/AZd
bqCbr8YVJPXiFj0Z0ewcrajDhyzHiOzITfEUlUFbG/didPagorsT4KRbiY8WpxAt4gSPUChBzlEC
OZ7vgwpauJCit5mFOR/82laAEV+5nxY9ARoKcDjkWRC/nC8VOhxbS6/yLHTkXktuss/eP5OjofMB
j0zAAvBIO/+8zayxyqgzufOrqjwR/ibSr3/hAAB04C0AsqILEuyI86bLEoygBf+xuU8zT+Q3KNxd
t7I4T1CSB6kD4lUUos4HUsYkE/G0Hm0ev+coGpaK+XbdxOKSAyOORKUzkXPMPFmJEjeBtGkWMlBM
A3yFKE/z6NpLduFMm1KhoI6fkCGQ+zkfSFbokap0URpqXbXHaHVvaNvaqyBL2EjnYBfK1yEd13h8
LsIgdISeWp3GfnKslWWWWXYcs9AwxUMZJbc4PHzD7J6bYvyjS+VV4d22pP1K1WLhigCiFr1LFtpd
kV2bDbbgyF2DZZiFjnNXc+Y18Z0FgYTr67ZoxDLRTYA0xxRSno8tlgg8ckdnYUV24/iguA/J2vtz
wfsMpKZRfIb3IWszO35422UFR1tymGV+44No6/oI1j4/26XQ7OJMj/D5MfGG+LZaU0pf+v7/spsa
4CxgCzifoVbQISsMQINaggKoX6zkAdY+P4ufOg4chrTw+TjfZOmLtNfUHBZ2pgG+nElqAfnoi17H
2NEj3U2NJATuyHMg/9Lo9GYAhFpW44ozLZqyp6sZiQ0D6e/zqUpyySsd/GihbVCvKvD41/+oeHrJ
VYHUpYMATRHYFwhtURSZxYERS8G+T7sk7MwyJJl1A4o5n4HLzTO48r+6ct98ve5oS1sFO/sDdjDl
bmb7ccyIwPuZJ6GeZmBQ1+/6pn7p0Td83cySQ0xgJltD8HGpi6DpJXeMJE3CsQrj8YF8frtMXbVA
Mk++cJFVEGOi86LTZajXW+dH0m6u//o5QQxWHVmtk+/PDpTc6Su7UkYZ4kHNTHPLjQcJqr7a8bT8
Vrhf4vr7mCc+1AauG14IctDGAqY1pLigWTJ/LObANvUpI32Yo7pl9m8ZucuVPXqfebwStC34HrK2
E0EeUFSXBFR2LkihxnEfjmWodHdDij6O8SfADtXwTYWS8/VxLXgdrIF7DSc0oql5ZoZAg3MQChFh
7tKDklrHpjBfknatgL3gdfBp1EjwNkVSa35/y8ocTUW0Aoe0QCP8V7dbCULXDMzOBtdt9aFCJShE
v1hXbo1xZf0X5ulsAJP9k0u6Qf3dNKbvO/mvWAmkCvKZ39eXYmHhz0zMDoA0AombDc5SDOGL2icB
z1ocNQ+Wmm3AX8oLdWVICy59Zm8Wd4C7kvamJQUeOsho6QXKvoOHX7Bl7bF2VoxN83OWAQTidtLR
shFzAAM7T00kbtdnpcZFmNbP5k4TXz4/d6efn72quk41otzG54fMA2AhbQMXnfFQvKK7Kv9+3daS
KyAd/CEvhP+bH9Sxa+aNU5UiJGBGaSFwMn5FzmxlXy7cdY71oc80wRyB3j33N2QIDVCR6F0IXIYo
UWQ0TGQCAW90+t314SytDB4hIMnE1XqpNKE4LEVFPO5CCn6KxHgbV+61le/PV54XkM+RcdaF7bHR
AvZp1hg41snPJ7OJ6tEyw8Cg2IXE3Cfp3Shvm0+q3k53josAHdErZCZRgJyFaE0jwQ4cZ22YaLe4
WzJyU4L1vFlZ8cuG5A8zrgU6j6kjeY48HFiWa1qut6GDHHTaS2jcfS+iX2Af7LMXVntf6Y2wPPtI
3xXHp+A31nwzvrnuDJduh3cckr8QmNEdHbnRc7fjjQtQ/Ejb0MBvyMBSTQEgey3LT0elYEtQJ/4N
AvQ2DoZzM/gNIEiN3Qbb1Qa7JnJsn2RZx5qdW5i5hdR5CVUYWADLbNpCTSC4PlGXXj2RtxFoYeho
Vr+oeimFXZUq9JrC5CugRbJ8vf75yzMGn8fcfPjCZRCgV1ktuJq2CAZvjMQvIRYsPrvv8egEu/KE
dp0aguZZFJG2Q2SiznS0dq4AxFaspb0vpmgy4OKBCRIxVNDm5ySPYlXNDBYds3uAMnG/fHKKZp+f
uWpVFfkgTHweTRRa13ip8js2V2KxtSHMd36XAJoRpdEx6ghasZkHWujro1iygPoDNv3U43OxCi5p
YoXEnXssh1dwWed0jVHpwpMwTacGpqjjJHCxStfOdbd1j1Fdqtu6AZgJ/VTGPQfQY2W2lkzhlLTB
uAzAMBb/3FRBFAnmntIFOcFBAzCz0jK/H1bSFksTBmUDVCxBioKTarbsA8ozRlxx5ZjY4D0DeUx5
lxXKGjPN0lCQnoWGiYmRXLDriBxS1r2s4tDpZGi48Z3dkx3oeIPrq79kZipkgyMExnBknc9Y4iKN
3icg80cy8OiK/iFVQWO/Klp1carDB2DANFFLJuismn7GiQ9wndsKGlujI4HcuVP0YENPHoCoAGRx
jbxp2hFncR5MoXEMVV5oO4J1e+ZuWZ0ZkWBuHBYgtX3O3OxPKYAHqiRUfBw6tY9FrvMXe+jU5uy1
TkZtyHtBaRgYzRtp3q6v0ZLDIUGLsxj4d/uCh9joqwGIrDoO00E6G1fYVjDGRbS5bmVpiSA2izvR
Rc/khdwJMJUDa1H+Dl39TzO8DvwnV3/K4tenrSCFijYtbFAgC+bdTNlgdmnrZDR0bFTgI79tdc8w
y6BN13I10zrP/ODM0jSrJy4HpASTqprSsEGDsV3noQAttodG2l+FmWxT3X7Ouf77L0ano5CLrI1+
CQzpk9TShwi+N+gAxiHZDf4zdTgkdrLicJdtklPm9MTSzMu5M2qNXttx2EqmB8QFDW9KLL5pDMV8
ThS995oBHQFghhr9FKqRdyUfIQOSVQTCZwm0Vv9i4CYEftFC7mAnzI4R8NwXOVVBl1a6pl8VT8pY
eMT4Qdw/1+0sHFcQpQXppAFKMBTNZ9chBCt0TZptHKJhIPZJkms73e0A8udob7huatqzF/5zYmo2
wy3Ut13BhzgcB3FUhqGA4mSGTqs28rIamjC5641jD2a1NeLTRceFRinwZDgsL9o185QPem8oCvj0
89gbE/4HOfQpufkIGvqvkOb66UT1p4lDJ38CHhqleyCNLho0QSCPnnmDxyFaTnZ5zzdgIgoiO//8
IQMzSJ/hfQEimjl8k5ckNyqLxmEmBxSEhkZ7YMCdbrpqGHyWJ85KiLm0iFOZExUGHXGgPvPLUgON
joVmFBw3bnOb4xG6tdBg/CC6gwItjWpTaBwVw0qKm+ves+SouIAmuPLEhzmXHCzEWOg00+KQFNGO
gqrEq8DSBFXjlQldtoMcwIcZSEycn3KRw3oE0ThxdHOL4k3d/WrXhrJwMWAg/5qY/n5ykE5wXMtg
MQ2rGmCi+K2xD655z9wv12ds4ZY7MzPb2i1yEIrkCpaKKg0gU+wVwJyVY3NxtgAV+VgRk8y5JzJH
7dEt5ODUdNrNaB/q0dzk3RqsZ3EkJ1ZmGeIKjVHdoGFNSAlcGxvrbF84xtqRuzaWmWujiXzkYogw
lthl3kDALV3iyQyarBVXXh4O9JlxuqPUPU/QGkLESJ5O6y/dsFeROwNPyPW1XxoLxErQ3adbEDyY
R6EVCqsjaHCio4NI0dOaIt/Qfni0JURtr1taGgzgqKioT2O5wDxbNgfo3S7wJIzpc25YaOjQV86c
xcEAUgbOcFQFL0Jq2uG8UdoyOub14AaNMfzuyRDfuYBCrMADlnYmHgcTWxpebxcwBBZVRqFzGh2b
JoMoj16bO/S4+YhFuW9lq3yGSwNDJAHUq4MaxAWgu5YZZJxrHN613LZ55VkW1Eg+Xa+d0rMnRqYF
PDltRkNpyVBNN4TrMeuB1QcmVm72pXFAOGtiIpgqRPNLiMgSCmBagjMz2livEdua79edbM3ALHQY
8NICsjGOw44Vup9HaGIypCU9syuczX8zNXt5AJTLzKjEWFQclna2M8x3tdz/hQ3sS2gRgEjlQtU1
7wtTLysEJBS3NTpTm7D5izTHFO/8Y2J2x3BBzHzklnKMXBXqVsg3xSvlmaW9cmphdr1Yca3pscQg
RraVvQb9Pr4posIncuW4XAo5Tg3NFn90xlHXKyx+DhUtdsvFg5vdNsQzHC/J8L+/ONDQj4IQEERt
BPDm8/1SEAfFZwXjyr2yAkOUXMsQLJ2YE2IaIQbONBBjnhvQI6Ueq6GBgfK3xt/WqsFLewWnPljk
p/zTRUTYd6YwcA0jM8CVIBr1h6x9KSERf92Fp0mfB/No+ETpFollPFNmg+iw4m2SFIipC54LL8pU
axfbpPGHQWngD3TYZYnoa4/3Tv5ZTiWcaMCf4MxEHDrpqJxPoMnUrNWsTDkaaDcctdIz0xWXW5xD
vNzBva0DyTwPNlmKm66vmXLktpWHULuObrO0JDd5E2UrZ+fSNgIhP+CPUCueFM3OB2O1CS8EH5Wj
Kc2gV78bSKgk7Af278qKLbqdgwwOcBYuuPdmK9a05ehUKdyO0I0Ncdc19PDa92f7phEjrfO4VY5u
fA9RD7t6ue5xa9+fnTeEm4gB7Gnb9FDgApO88+O6AW3Rp09maHbQ1FHjts1kIXF8Lfe0xEu/Km9o
U33TPv4VCqS6vPoP4R4aRMCHsaZfu+h26LghCAXAovyBlDi5qsEuMRB0XuLQ7jY089H7oq3hyRdM
IPnpAI2A9CF622cJXcjqSNAOUOc4dHqgQLATyjyPZf/7+lROazE7Hc6szAL2vkB9bTAU+1hS8jV3
820p42PiouYR5/07+JNWfHvRHuIOYC4nquF5u36l2lFbQ7XpGEFq1O3KG1Mwr0Cuypc12estKq3X
B7jgjHgAmygeqmArwj/nu9ZEJ0NBae0c7bR/Hdw8UIfq23UTSysFwAhwfAisgeibnXJxYyQd2ILt
Yzs+6PSZDI9mu4K+Xpq2qe8TQTWAKRfoK0jLg/imSN2jpZSpV2Tag0Ib6XVG/s200QFMjHQl8vmo
Ns4949TkNLEnLt7opIogxeZCNL3fgWwGor7lhubOQw8QpkbjrZI6O5q2XzvRPKqj3PQ8e7IG9Jbr
2d6k9X7ga6/LS45IEESiTAN2ZAiJX5I9NJKOxI3xvoA+1DNXkrDP2SYV+W0bjYEU/F2L8eOqApqM
lKzslIUzB+RDiJvBjYbgeX7TSJiKgLBwj6TLWpDfRC2ocjK+o3XMwdFWlfecpr/SzF1jIbqEXU2j
xpd1RAkOuLJnFw+khkAHGynuUSs6435EEvNGNrl6SNDYdC8qM92VktH7rpb8KZe1ummBdNtreft+
3c8vi+TTD3GQSkJaCTy/c0CptOykTWpU/ayEmCD7a8ARBxL5ezSCazeJzaC0UGXMs/qoe6wbWt8X
Nfjyiqo2vkAQpQziMi38iMtqh3dQLD1aK9UBZJXs+/UfurhUJ79ztiE7jRPSJ5F7BLqD+hTiOV6J
EPulHfrI561Fd32jmoFLy7W1WjoKTmdotmm0qkfGoEuiI6S0A4feZtYQQKnx+vAWApGzZZh+xMnO
lLSPrEzCSA6uB/C+ONtS+KO98mqYfurF/odjTUABhHHz3AezzU7paewea2JsXVFvZbKWEl2erX9M
zNEpPYAvBWJf59iP7GsOgDf6EsO+Xw2Bl+xAcAa5D0jzoCA7m7CidxTLaql7FPFT3CDpKY1t3L1f
X5Wl+cL5TwhmC4WAeXkn1TsjGzWcl0WKAgCai6X7dN3C0rqfWpg5lzU2qh4xWChH0PzdVNav/I2Q
lftyae9YBDz04EsEG8mc0sp2i8KsM9c5qqXt1yUAHKDV6X6POkTYaenbyeb6oBbXBqkiNDFBaE6b
c3qnrhFFaa+6xwxiKxsrExzBTu3uKRoOVt6LH0swd2ng4f+xpZ9vnBzZKV5rvXuUhvNuUjBaNNbB
cIdDmUMEnpph3ySvVqR7faneNOCHGoR+lBAqvj7kxXUE5zDwmNbUGjL9/WT/CojtDs0wwFPQ7Vt7
BthK3liNdnp0JuVvI1pMV+7yNYOzGChNa2N0zRGO8zKSDNLqr4nqVTfXR/UR5lzMLhi5UW6w4Dtz
Op4iBrtHmjD32HR2v0cXx9eR6xq4+WR2ECwrN2rDhqCuLPPFijKyz/IRTYtjxn2BToVjQkURjIkD
6eEx73YGr+ptQzrhm4Xb+y4QoNue0SgoRaVDiRhQU9Qf6MogluIshBdIj+OxrF3wraWtMrT1aEdH
RtIdsW5M88ZU0QaO3oxM/MUxfmpr2oknbqD1SYUOARcYmtLmT46WRTfdENPfDi1bn4sqWtnZSwcU
hLeQ/MP7FT1JszBCKYWWJnoeHWW/1X5y9nlsyAeCES99ABDMeXxkKjwroJaKRDa7s44aO153r6Wy
L5j4gaCYcPqo1M/eQ04jNcFzIzoqSTw8W2XL7gfbSdFVZxs+qemrGMH/pwymfXTswvk1KCpo1HJV
E6Gdp/bfTCYogqFwg9Q93jLni9fGUTFWU9qe0EA1fWjdXx/u0jGMYB8daiBaBRR1FsKMTpm2ZkWR
eFTKn1XUfy14sWlL6TU2OhfrnP8BE+Lf2ERtGT3ZqDhdwNFtoRctb+GQvXJP66AzvvEq9xWBd+Fr
pdKVDP7SwQ/l9Im2BHkbe/6+5ahyxHaErUbG46i/pUgUoFdpZUiLPn9iZHbiq6WlJI3pREe1ZV5J
c28tZ79kAJRU2FLICk3Qq3M/KNK+JR1ImI7DRiN7p1yZpLXPT38/OSM6reOIibCpqCR/nMR+REUt
uO5pS+twOoLp7ycmqr5PozyGiUF7dMEW3u+MbmXvro1iduHZLqMj1zBJzYMqnmu68vm1Ecyut7gj
SWrbMQ42Vb2Nm+jnWKgPUINZSWaumZmd1zQqGhOsT9ExKXYRCaLOhw7jX6wFThRUaDTgAOflGbcp
SBEL2z0OTuAoN8JBDW0lFlhcixMTs1EU6KlsmwYmKF5BBCiZlSEsxRooLeGCccGuhhLTuTvlzEql
FAKHiLqLYmT/t/X4s1ojzVu0ApF4dE8Cd4NI6twKSXO3sNUKl0Hn08fc8JrnfE3BbvHdDSzlP0Zm
F2aHs1AAJRgd66J4oAYHkRM5gNz4GbFz61UOYvxuzN+7UQZx1/gZ156uu8NSNHLyA+aXjJwSqW2N
H5AXSPrE1Z0szPu+IM9ZLAP06v5FXR0UFqDLQIkY7JBzREXKGsksUHEfwfqLnngFLLPKinssuh8B
8QgMIfvnTn8/OW2Yi/aNMsbTvKb2NjPRj2StCUAuXZ3oHUSCCNcLYEQzDxz1BGAKvNCOdWJlyEik
5GWi/t6qdqvdxh3o3pAtTANRof32+npNDjGPgDFzuNPwfgLnzcwyyew0pw7OuUKk31F1C42UBFyi
e4yVG6gt675ij17RpCsn0+JuADEc+E8hhQjI9/mkNuDZJHY3orLPBnGTKQRhAuLqnbQUFXSOTb29
Ps5Fe2jEm1Q2weAyl0/XwIaKUBJpuATyC8kf6j5k8Zeav1y3suT9YEdCFQQRwqRBfj4qG+FqlvW6
cwTqbaMh9OnLx758SSsk/LWV4HXF1jwTIZB+T5WUIC3d/cril173ODJFEHLtqx/XR7W0AU5GNfdO
PVZ7S/SwJPRAc/w1ya+1z+vnk8b62lJaPOuPqfPaV98/3WGKDCDkBPC4ww2FCHF27iosQ5YyspCx
YV7MPLHGYr/88//9/mzNBdgdR13B97Xie1TkXpKuFb+WbvF/R4B00PkExZoT9z13nKNVPhBrZ0Yb
NdpfX+LFi+PUxuwcqKVN8I6ccihqvC+ZFuhJe4tn00tTKk+O299pRv6kMWEFZat/V4s1KoVplubn
0Kn9mRPUDUHZFTfnEdI5EKh9ycedW9ueEA+8oh7tw374fX3IH9f6hUlk5NGTh/QwMmDn0xrhNEja
InOOilolYsdrtM7F5Zg8dXVk/Hbx7HzUUoHkMAcF8aG1h3HX1FF60CnrvJjT72Lo2Q0aAqpHC3ns
jeDp+JhT6JzQjH4rQSi7U0qrRqamlyv9UAunGWqskAefqCBxY8x8Onc6wxoiA8/GHgmv/GFT4j/2
Gv5uwbNROJ46NKYG5ou8mjqkRBNUs49Quoy/O9lKgWjBrZGVRy3SxVCwO2cx8FhbA4hZUC3kMX82
k+R1MNXGa9T85vpCLwwDrJb/rvP095P7u25KdOSNqXM0Qc3PvW5NU3XxIEbrOnI36IlEBub8+6Jy
6yq24+n71Ra1yV0fEW8sd0ZeBiC5+otoBJy6/1ibLT2e0IB4COYcWX6bsj1Yrf5itsCOoU1N/1iX
adVOZouWpNJEVjjHyiX7qG5eBHHerptY8F6UiP81Mf39xEQDAcu6shPnaEB6Q83ekNjyjeiulV+u
21lwMMgQwIEBJAF3wbxwG3dpSc0KQ0GxOPUzy1R2dVrIDXeVbOX8XPQBNBJAqRMOgHaW8yGlBNcA
CkfOUefNgXf5FsmQW+joPI1Dthfy05xT053mgG1uwqgYkFs4NxcrCskoyBqR6d3X6aoQ9mLWGWy2
EImwUM2/YLQ1lVo1k7ZGPNoN7H1AudYv7dz9P9KubEduHNl+kQCtFPUq5Va7qlx2VflFcHnRQona
N379PTTuRWcyhRTStzHdMxijFUkySAYjTpyT+5M+anuj88xbgTKIAMAYDlij2/XAGXAmfp0Zs5+0
leaD5EdfiXgW1xNoYEnBJ/UrlI2ca2VLBoKKsjDtXdRNO1JtGu3lstMsnhYe6AVBWyzbEJWLUHPj
rM3a3Atd2vuPXbUmELTwfdzgEiSDtBWaZpVwobC7odYbBFP69wyYnzXegaWLHDRXoArGueogLay4
RlVyszWEh6vBmJ4c6Jla4NkjebahqfaaQALcdwtIXbjDS82t+1KsESssFbwB3QLjKspKpguSnVPf
NMFuWVclATyDUN+1Hqw8C9ruCysk7HnY1U4XJNwNdPf58sItnCondpUIQphTXGmQtg9Ld/70yvm9
MuhhskH91EkBicvGzmVfbDQL4HKELpgUHFWPyYrFRWzkLn+OgCvY0CJN9tWcYpukZNb8KZrR689K
uq17/SMbWIEDjjzrSZZvJKbdNzjXburWSDYFp1/gKGxj9THkbgvR3Q1x/9UF+8HKb15IR5/+ZuXc
NcyidYzC4c+VXe15r715XXIX1cYbVDZ2jTUEvJl9z54OtHDus6hEqsBcOSfPvf/0Jyh3JcSWGOQb
MG26+NC0WwttQZcXZs2Acj06QzLpiRxj/81Bqzhb+fz5EYTfj5qBjjZu/C+1Yoq23KKroKX9LNGb
jnioipcedv5hDEdG5BiP7scmo3mX6jCSFcFMgmTeXP7+2iCUyyotq7LN5SBsCvGZDVp7zGxlns7v
w9N5Ulyt7GdKUSLlz8X4Petv7L9NQ/d2Uu5Mbe39uHBbnRpTnAqM0bgtGwvjmb+32l3kVChufOMT
1HeATvWedKfctfafQXd3UKXK4t3l6Tw/eE7NKy4HXSc71yOYHx2cd4c8A8ngRowrafVFK4iXcfOj
UoUSxKlTgA0lqvOR8meB3kEzMKo9XiGOu708lkXXsBBUgLoCZRw1JgdkJzYhG8Of22JrGjuv3pXt
yi2+uEOPTCjTJURJ7Z4S/py4X9nw4bkr31+aKKAPITQN/TOECsoFm7CqrROjLZ+d9Mme9lYgJoR9
Ky0wS/4NHgoUuwCcgCaQshpeAj05MHPhKKVPg7iL0ECald+QUpqGYmUryfk4faYaCMUQ9qBkg+Zy
dUns3rS4zbzy2Z08Py5jcAm9xuNtO/8su0PhrDzK/v7yM3OIlaHeBRnRs57NWqRMxDa8OY+6Abio
yhyCDPiKA34bXuaTLqCK0zOo3vNkN1kQokY/3YgmxIn4kablB0+joFrMcKXQsUhuCbBnO+bQPMAT
MA+0pAIZWw+xltcWjIJfDCLibZZ5Lth30Imqt/Wrk9Vsa7fdpzPn/SsIp9xXTpD95KDBv5kMKOqm
TgvVmbqk5aaPvfFnk2ZdwJFb388kQjdaN5R+Uwn+Wphju0a/eO6/AL6jbxa4OuzDM8E35CnmeG56
PeTTt6j4KOI1+Of5Hjw1oBz/ZWrQSqQwQOc9Em+bVAtQCrz6DpBGcJGhPo0OLhUXZ9KsEKTz9HC2
ORiJukBoL3a7YuR8KyKhbMqMK+JQdHRap2cWUHmkM7W+fsaqBBYk5/jX1vsa2eXKFjlfEgAfZDoE
xEdQJlJfX7rZJYMGJ3guaVCQYB5Wvn++Iqffl+M8upBF5XZQe8P3TcgV0Z03bT1+NXRNYjekFCYK
sjIvfmpicjLONC9Kn5PO3bSd5yflyrm4NAgp4I0qHfa2o6KKC1LpiV3z9LmmdxBK43zDipW01JoJ
5WgfYo2hDb5In4c+MMuAOdv4+vQEbqajUSin++xyvbMSjIJA0KbYFtWKyy650tH3/ypfHS11mQKF
W5Ic9JT5n7gofG+Nrm9ljtR7fHJn0ngxBjCnb6T6MzRNoK+RxKzZUJ5CtK7Q/J/DRl8HOnplrFt7
LYZcwFrLhcCWQ7nDRn5N/oajiZqzOam0WkueXSBSdaMKJgZ430PGb/roa2FBmBHYeO97n/zuyS/N
+83TQ9LvWNPuro1YTn+Hsjc9a2gjbkTJszA3vbmjyYZc34GIW1cmXDzIj0g2utOhatEwzlUHCkwK
kDbZD9GXJttfP4pjE8r2d5thcBlLUrwrkGuFWNUBkhKXTSwcxiejUBYsSiB7ojUwkbrvRrHV+MGt
A+KsDGRp/xwPRFkO3AZGrBUx5iratuOh1v9huRGUIDbFpXUut5pKNd2YWclzqd/U2bbi+9bYXp6o
xSEcmVDWwspoN7S5Cc9GxZwHdI3yZvH7LqJTxI3U1W3FnVrNYHWXkuQ5Jj6Kne3aG3VxoY++r/x+
z6r6ckjw/d57jAs/448UVMTpvyzEkRXFnXgPXpYmchJIlO/M7I7hxKdXZ3Sw745MKL40zh1pmsLF
QrxTJ6A08LJbPq4YkRfGabx7akR5PI4056LjmK0x4bsa2i4MyUvq/Ojtbe8+Ez3My5d/8K+jYSm3
pAPxgwS5u+R5mneRu83WjuY1/1KuyMEC6odM8vtWQK2QsJVbfuX7KhmflnIPsC58H3jW9ne+xgS0
9nnlaWV1mds0GRZEmH79Tj7/X5PvKFejyTqL4qxNnrvuFvpzw1r+aXHzSZI89LxISLHiTt3YUne2
5uQZ3aMOuFnSx7T3ufX2D6M4sqK4EDpg3dFscAoyGjjFIfI2l78vN+/Zpjj6vuJCLegEytjVwcYk
boYwK26mtar5yjypcVZfmpHdjhjBqN9SgdZrFOZ/V9H71eNAGy/kuZGqleG14kt1x9AVBfnw565E
B0VQAV/SrQBZFtwVuCCkuiEAgLOcKksxD11qV0kP1Ct0FT33V61PKyftwlQBQQzGIHwelSUVVwum
Wp3h8SBB0NZmZnde9sUdD0VfrwQI8pcqi35iR470KKIzLI0OXKKVc+07uJkDzXs2vXJDvBTc7N+h
Xn55beROuGROuUBMGk+mF8Ocbr0XWRgl+7n4YPY9FLivfr6hZeEv/x/yGueCg1FdF2JmkR465ADF
S5c/dv3Khjn3AmkCaTPkBBaSTiTGqwFyX0YIBgk3trddshYhrlhQAVOC5llb/LWQfngkGNfScudb
Hp1GiHrQDAqgOrDUyup3TapxiNaDYoXseua8VMV8AAB/f+2qwwzqXpItVrI+KjsSime6EKwzUB3i
h6jo9lpT/TKiejvO5Klu+5W9szgqih576HVJGIMyKlGBuGoG9CuE9Pitk0Y+5bqv6z8vD+p85yCZ
ggIzeCax/mdvISBA0HiYIFZokukuq8eX1m1yZMjEzxHi4dCY+0KT69OcsGnKpgIQ4uIfShSZJIPX
ZGOuh3pRJb5gBTqF3V9WPR4ai12tMIjei+NskWKMWVbjoJhuhF5704knREiXJ3DJuY++r9YMM040
YAGxQ1Hg9fnGRffjPxggknoHDRnncEOHDI6RIrMWMvtLmv7MUfm4bGDJ0QDeNLH5wcIP7pXT7QMC
0tpqQVwcJmlKfBolZA8IcI3WH4us+PTiZMnkM7ToUF9VQwyg3ytj0LAYNmkhzT4HzlpD3ZoF5U6D
VpwZi5rCn/XqS5KVXxwjX0uj/kVcnp7/8CnPQTkflOhAZCozZunQ5QbuDzNGsti3M1wxiX5f1+1X
LbF81xB2EDft71LUFdSiU3BZl4eoMvw203xSV9vL63d+yaJXzwBMyKSAgutqq46Z9oPeT+idc6yg
/qYZ4B4Pa/EPKwcEIqIRsMGfs8Tq8+xCsdkxwsxKigNEXUEGX4HO4vJQllYPbGnAmOORARoYBS7I
vDEe9FY3whR0T/Er7vT/pwHlDKdVNAyy/xb8BPfpdPcve/X495unW6mxnRithcIIReSPyWZNUG1t
ehS/q8XgDKWOz2vuYahuSn0lNl/0JLDagqIX/EuWiqjuq4mzoreNsLIDKHO23pNn3JvX51ngr0dW
lEmK6sLTTW7hRK4z0Fmnmz+XnWgBLAAMCZiZEVlK7oKzMprmZAhqUj1MwddgfOGE7RMnTMxHMy3v
G9H5ThdthnwCz+bTsKZGvLRGQBxCTdsEcwTwgacuUHaiapKaipBSvkljvjlcHt157Cm1tNE0JvW0
TdQ5T78fs7KsckOIkE0AgfqgM2kCR2P9twkR0G4wdX7jWPOwEvEueQaOa0NGoehVUKE/PDP6Fu1R
ejhyL4bqSC4enBbltbIDMhHVxH6lSLlkD5ViqUoEFgaU105HCYbgxGriFreqQfZFRw8tv8nJLotW
ZnNptY7tKL44z3rhlHMtxxW9C9YcmnL+dv2CUZR4sFiAZp1FWDUUooVnzCKM5nLvJNmDo0Pq1h6m
h9x0ILidX59Ew5QdGZRze/QYyhMjS6gOg7x9d4bbktSban4dIIl4eWBLcwcJB0fq2UrqEvU0MrWo
HoFdD02gFnov0MWa4MWiBSC1bQkdAGZQ/vnRSCwxV6gozkhkpZXvgPzDuL48hsAGgt54/ELv6Ix2
Ia3SNIZ4LNYfTIaRFUIM1c/Y5+WJWgiwjo2ot9qcd42bJTBSjsbkIwjfVoULBIS51uq+bAghNY4G
NLKq5OcZmSJWyPqu1x1a7VfU3TXj6+WxLCwJbmapZS7/A9L40yVhoM5NXY1ZYWG/x97v/PokFMUr
DhygeM2hw0bd+KXRiUbTTBFm5UPTvg/1niVOUMwvl4exMFMIl0xEoUBX47pTfHeoa6OcNU2Eaeuz
7om8V87VbZIYCNgXwaADQjYETqcT1TaxMyMZJUIL+Pq0GB+6KdrWzRr5ytJAgHTHJSdJ33ApnJqp
jMamM8VdJ7QHXbSBK7KgqVbqrwuLDsgzkGOogYASSX1glxMXFnTJcYSVj/r8mP++fjGAucTjAz6F
TnllqojmgfSXZtjmVbIDQjwsKu+riPSVs35xqv4S9QNW7cDY6VTNo6vRqR/hWoO5n7Vhx6ruPU3Y
Sjl8KfwAlRzQ1ODBwl5U8wRuQ1lDeIzz1/Oggm1q0KXO0xvAQnasRStjlyUHHhs3pBKg7Cl/NibE
9vos/nJ5VhcCBclohxAB7X+yQfR0uBNJZmCAMhHmw7Qb8+RRc4pvfUberAhiEu78ftncAnoXvaHQ
K8TTCKxJVJU4B6uEHuVDJ0JnzMwdOpCzX33jDYcU4d4mAfH1dvYAAEOXXP7e9JAWKCMbPIgAZ//L
GSI1YPFkhs4kUlunI48b2uhQYBNhDNnUBrKCYMoHwRoL3Gxlky8ghiURPegqdTBWAqgvfe7ohpqd
Iqnb3BGhScr+IYnZG9Mm6I4I1if7nJTlI/oDya3e2G3QoZNr02vuPzx5sfHxpAZuDG2k6lkGdo/K
LXpDhFObbC1aQV5zTblzIRw7MaFcxHzMOG8tUAcgJeCTCSwu2qaJWZDFa4jIpaNGPj/QFQtZQOCU
Tyc0Ed4UQUVehJ4VgLMqv56WGYxigHj/3RgAmSu+wUaBTJiYZzQGDTHa1lfiZHn9KZkBbABE/dCc
gGKSmvD2MryRBzOdQyOvADv7nub6tja+FHEcTPELyDEub7qldcE1I+cJ+t2A7Z3OlincxONRM4d3
pvu2C7T47frvQw8MvQSy6AdK0dPv97WNAiPr5rA7xN2GJI+gTU2T3WUjC0suu8pxw0i+tTOqETzi
JrceZieE1Hn0mjVf/+Xz2Jvyqkccps6RHfdEY50T8uI7h3AaagKXDSysOX7/fwbknx+dAdxqtSbn
MICjYN+YoHaNho1HX01n2E5xHQxmvLlscXHG0IUEyhIq63XmqcWE0XHW09xB0nabxvti5bpfuCiR
owPvi4FxoY9KmbFuHBreQvI+hMRtin3yzLN/GMCxBWXK2FANpHVaN+TiF0M1KLXclUVZG4Ny+/Vp
bLYYhBv20dYwtnqzaVf2xrIFwFtd0JQDUykX6WjZrchyStl9GCbtLVKzJbs3o+DyOi9sbyzEfybk
TzgyofFal9RVmCbgZwtNnoY2+86/Xray5E3HVuSvOLLi5NQUjcBAUv0AYm9zDW4h3UU5E8E4g74e
8JAirreV73uk5IC15m7oJD9IeUunfZX+sD8acT0ADuUSlCuQqJD1DDUtC75Gr6AczKAi/2i13151
fVLi5PvKild1bxCct24Y0SEY9W0LtCbabat5BS+/PGH/jUNZdvT7m+kwYByjsR/sQ5RsbLaLPr1+
e3nhF91LtjlZROowqqkkNDpqMxI+JNScz1wLWvrE7CD7F+86MqKcVXXUm9ymEQEnEH1LCvPgRv2P
y+OQ83HuYP+NQ3nMZbOpp9aokRDPsI96YLuYDzMamdYI15c2Cm5D8J87AAajM/90o0xlnFOsObqu
S3+uN3G0uXocnlwHqZGHiFJ9oNTCS41pHkDn5e2d4qb/hd7EyxYWRoB6GwrxsvIGlRol+jHtduhG
izhhD6b4n+n17IIUMTdolPE3SCRUvD+pdY+3g4ObsALyPqsDkJJaw+u1Y/BgATcfzhLoyKljICMC
IXvKzLCdgtnyveHm8vfPvQnpZzCvgtIEbQtnwAtBnLgE4yrKKOi8BXZhW5psHyfk6k0OM8SV3Y4G
Il21CErRCFA2hmaG8wSAh7Yj7nNh3Hdsb+orO/B8m59akk5xdL4nHdFZ2cCSNn3x6tsCSHADaM38
ehDGqR05sUd2KpJpRQnGitAgY2BbT32d+1UXThbfNM19dz0MBw0sKMgjzAZ/2hnBHvUaO86Za4Yg
o4IXJL4TPwyu4Zvi5bJDnG+aE0NqiqWcK8j5SEMRNbdT/70B0u6yhfMDH/gbkKVKAh1AflSXHhPC
0XdbO2EFLSxhM4h/ZeNn1bFdOrBPU4zvl+0tjAjAIqRu5StFYj9OV0qr42jojWkK3dH9lRMcNW52
NdJOnjF/CRABFT17GBtWabdZbk9h5rwkOztZWZOFTYoufykNgNQtXuCKr3VVW5lJjM+7b6y/b5IH
cF38wxwdWVCiFsfti6mIrCmMGPP77su8FtwtLYJkL8I5j//CeXa6CHpC3dQy+Rxm6Sxpkv0htq4/
ylCx+c+EEgQXMSUTuj3nEA3tQSc2I/KD+bgSpC4kfpB6ABkGmsIR7p6J38blbJlDD28a2hsrCrjl
83pP4n2sBdiOzrztyYasFTkWZg/1NXD1A1cmeRLkljo6bOKhKVjTdUh1m2NA2x69yddPHiwgkY6y
N1I86iaJbGjG9VaJZqn4k0IvfKo3A9tfdrKF/BGYlpC8BVWBzH9S83QYeW5FeT+gVlNVD7Mz7xh6
wHROQC1xE/cPcXmbD8VNVV4dyMIq6h1I30udEDWfi0QvTSYTSfYWpGqJGH6Otb3Vuf0dcjMrGbKF
jYrpQwUHdCk4rlWSMzN1CkPvSyRdvQMffo+SSv/b5UlccoVjE8pOzViF5p2+Rr610zZQqXtoW7bi
C4smUONClgKUu0i0nS5TrRVGzbQUuc1siP2h7B5NfVyxIff7aRSLRQF3A8TPkDeG053aSPhoianF
MLTR24Gw4qmoaUCK4XteR5vIyAc/beuVY3RxXCgeIC2Cfpizrcu0DM98jtWxuth3kKH8dXlpFlYf
zoTEkYXoHE8J5YwDjcKQkiqawzJ90GvmT5BTGNLrrxrQXeDjCGsl0Z1iZIwmytoYKb1caJsMipnF
2kNpYZpOLChLM7dCywYDFrAi9KNfa5OV/7qy8kATSu5ZpHSgWaw4cIX+HbMB+WAIypfbskhtP4N4
D+/mxzozH2lcE58Ztp96a4mepXGhvRG5ULRCSZm6U5erJ/A6Jz3vEUKNAdRrA8hxXnYA+dPPhoYH
BdC5OhgC1VSSFZHZ7uekD7Vu9J32ftb20+hb3oqZpTvIgjYdjlAEG+gMVZ5mpQ4+ZEODHasab/py
p4NqXNcOTXdLqDgYXbJhnO9jKtABudJ2vDhExG24aDGPZxll1KuEFlusD3n6VRMsyPvbuQeyLb8e
HAVMyZEh5a6YrU4mzPM+FMTKAlb6WV6vlU6WPAL8SfgLEek5dAblodTNqnyE2MGbxgBlW9mrS5OF
kBPyYQh5gKJVDtLc7EF1wlDiqwu663CWGj25sWK6EfnK0bYQUwNxjiKQLWnGzqSq4lh3xqLgQzi2
LyIet6z6EWsoXkTxLq0+Lnv50jGHRwgAtHj9ShzB6T6y7YLYvIP3mYl7IFNXBkVW/gIj9kq4sHBF
oHTxnx3FA0Q7GGNvZ32Y/iFx+9D8tL53Y/lQ/1wJ6Za8AIk6KFGAVxPBu3KidmVW5FY1dSEbNp1v
1yu7dWm60C8MBhrcdtArU2o8I0uLgbdtH/ZzHk5ouIvq5sWla9j5pVEA1QE303H2IG9zuioEQAVz
LAj2C0s2v2NjrQ996dhGUhPSZHBmFFjVVS/THKzyUR/qPCyzP/bwhgDe6O8rNHxl3901haqlrQNX
Rp0c6U3vrJWTalbD8xznTARNDZ58NNXPQqBwvJYuWOAkAZfwkSE5r0ehtQflVWq20lDxaLXZxubT
vRDRwSLV19rqfT3unmxW7kDzzgM7/5XFZINFXvHBhTI6foZU/5FspIghlMup1SE93um4nLhZPzhd
9zCmHFVcUKw6BKwC3aYrijddZ/ftwD0fsNFDSq3Xyxt7cc5xVqEYIjmp1I1djYbXlD02HORG/CI/
ULDbu+9lRDeX7fz9kHpPQs4cuARAt5CPVXxpILkzaRFOEGd0N1PM78p5eq3GAS2WzejrM9kUmb1J
+Rvt4s+p7/zSKVykOnjQ6PQnlFs3Zjk99hQlTYPtKyt/cgtj2+prdAVLWxe4H/Qj2FLXQA1Sex6j
5J5iQiD+W9b3DG3mlF0PLPPALgZsNYpPCBxU6AyyuJ4D0OYc2voDN/bGj8uTvXAuIG2Esg1AZaCh
VOPFMjHj3q7MKUzL1q/enPl6kDEejDjecIkCogm6t9MNJMbEjByO31+yNKiRDwNk8vIQFo4e25I1
X+9vikXtYC90Fld6PU6hlluBSwuko5+7+aflvCb6ZzTf0frLZYOLc3ZkUG6UozMhrkqP0Qhv/Fq7
11rTp8X7vxhAUhcHD9b9rHZDgDxyY30KHXvbeJvpHxwXr1CgmhHpAsHkKgOo7caZJ48MYex6/iM1
vybXkxrLRyg8FyRbeFefUTaaHS3dWh9Cq8neNeHtOgFibw/ASFa2iT84a+opC4fTscG/uYWjNbHt
lEEfzBhCN9fBbrMb6jSo0i96d/0T/sSOcjZBxNhtmxx2GPUe9JneNkn/mnjX01yfzN/f++BoOFAK
MjkfBVYIbMe9+UiaVz58TGs0UUue7BgoTyBYlgghZXOaBAxLfYsIdEh94dxH7etlR144IdFDAxZ7
yfqvUxXMVooxA+1vP4X2PPitCQgLoB/tSsC5NAiwxuPRCw5yhDdKIEjs+X+3Ixep37KX8nolDEi8
oiEI6WgTOQmqXL5eUjV6PjZj2CcIL9tkJZBd+v3Hn1cCzIZaIDgV7RjW00a4AVuLMOXPU67Tk58v
z88jX9JT4OzEiO9TyBh1fsT3hnFbVRBN3Fxe7RVDnhrKNiUxMnQDh1a7aXKwPz97c5A7yICuvDKX
DaH3xpO8w2eRCKedo0GqaAwJWPw9Ow1iMvvMfdEFmE37Ffda8mFIxODlBCYt7+ztNJYa/v90wuqL
j4p9ofp9Za8cKks32JEJdeLQtdBOHh3GULTpHlxqU4fOQxBC3+XVPSEpmOC3l1dq6bQ8NqicYg23
jZYJGCTDjyK/G9P7sv7I1y6B5ZkD4BJkQdCZVsFG2uzawMrqY6h5uJTRvmQnGtQBupX7f3H/4LL5
PzPK/kGNO8qBBYbblRvR2ntPW8tGLq4P+jyQj0LzObrET3dQAeD91MQ4AOpGH+/YMNQPXjfmQWQ2
/M6dXANZNn04uO3sHRI2O4fLq7U0jwj+kZoEOvuco9SZGfL7E7oqy+iLod9a02ZYa9xcM6FEBG2J
Fl8AdPXQKD9mFm8M74uHVonL41haqL9oRgAaIbyk5qXIVHNStCaKCO5Hu+n1lVB2qX4AZC96aeUs
nVMr0mico0r0aN4GQs+p/bb7xvv7Of85O5lfkh825b6broGrpHupxytqvaAaRsXyHA9e2/bUU2sy
wt74GGizrYxxV5l3Ht9EjRFICrvLs7i0VGAE1l10z0AHQ81TllYyk9wUetiBMi/A7Zc/TsQenkSl
rSmBmfLqPBsbUiy4vgGddtX+LVDcoCoEZfOQDvOubZ9S/RnlhR1S2YHTbDpDBDkOemts/QbJbE3f
ufot0Q5i3PIi8m3jEwqtHf+p9+hWYjd1PWwvz4WxtDPRdIP5AH2vLKuc7kxaeTNvLLRGCXsfdW5Q
RsaT1ZMAz3Sw4N7b6R69tYiEQWn4w7FvWP2MwyKwJ4Qh1vMw3CAA2lT5Wop8QY8QMjOg3MaDCugJ
BA6nP6t1ecRojm4gZA3s4t5Lqd/pB10bn4vyU+PZM+m3tVP6hXs/1Q9p+SmgD0amwa9EA4En77bv
K19r4i3NnsY+e6atEcTtuAJtXF5eTJ+EXaBVVn3Rt4xHAzewvHX2zaOJP4tHvXsRdb0z8JiuKFJ3
0dab/hTOzub3hXVbcaiBJXj8841pNNsmJ4HjTqDMjHxUBZ5J9nx5fRd8XbZYyDoAfBDv7NN5jBo6
TlGBXouhbeeXuTTj+5hb9ZbweQ1BsbCNkV9Bm5EMhYHdV5YsiwfNaVosWaW11T1ri3k3ZcN868xD
G1BRta+U9dVLo3nazeVBLlr+ywmKZKlUNjkdpGMyx8hQ0wlHCuozom+M+bGdH3kT70awd4jm2mMY
eXlkGwGuQl8ATi056UfxIDdYZldZ0UHB/s6c7/5cHs1ZaIGvQ6FZ+j0qUNhap1+fhWaPOjNQvykd
L+A9S3zggfvAEVF6AAFqvNJhcuYiij315hprrR29sQtH8GtOeWJC0h0ICGQDV6btLOiUhmRlCtkv
bG41CJDAUNaNUx8a9UCClsT0DmASy6da+tUcknmP+V7DRS1OpiTmQwsNKkZnZ72X94VF7C40pvvW
NnwtuxMlpFxW4FdnF7Mc2pEZ6aFHHoEIphvMCWYs7mx0m/nJ9HHZKxZWCUVD7C6ZBoJzKD7eEgsS
ZYZoQlck33pR5y+8EkZgeZHxftnSwpShBcwEEhlPTqTrlX1MCwJsZcphKSI/QKD1pBXeTTTm2yHv
10gsF0Zlo9EA6D6ERwC9K6PiqTDcuHZq9P89l/1znt/o7uvl4ayYUPMa6F+FsFcJE4Z228YQmDce
x7X+4kUbJgpEBBtX5ptOl79APTVJ66gK29QdkZspBgQxef5YRMJd2UQLq4MjAeJoqE2ikVn1AzOu
Z68rqwbF462gN444tMNhyj8vT9rCVgU4Ad3SEoqOwFnxgSKqkBAkWRN6Q+EUftkZ06HXatM3kLq5
K7skP5BepCtAkvMk/d87SnLkonKNvKwSjERz0adWjMHlwy3aRKrornKfXAP79Qm6ln33ztKnqL4p
6MrmWti+aKhGjIb5hM+rWRbR5+OsmWUTko6xmwxCbwF16doT4Ty8Bq8GtjDq17LzEVHNqZvUbjFN
IxFlGPfda26Yb4NpBIMVbyLwpANewzZJX22M2pkDL9FXnsjnPmoCHAaSYySpHDwnla1mRODVhGhJ
EcbZsGF6DE4R3b+e/gndz0dW1N1mW0VZx7ooQo/rX0fk3SJBt5d9U/7Qk5BaMaFstsQhICccjSIk
xZ+5fOlRGQe/DIRPH/r4e5WE7tWIIMWgjPGPDveksqBqlptFmFiBZ7i+ZqxhXc/9D7OG7Qa3QIuv
rp4fwqvqlnawUP5p7vKVXbX2ceXnZx3llM34ODPvZmMzRC+X1+P8RDr98cqmBeP/BCkLrIdGb+vX
mRyK7GBXh8tGFr2XIGFF0SwOZKBywcbE02KntYowc2/j5n5O7oizAiZYmCeZx0Wvhy4R1FSO82iZ
W+5x6J8mRaiDitIfshW3Xf486seAFgFbpCK0m6yE7KXGinAyNo3p+iJZS+OcH9o4VyRN6P9akL/g
aACFOQxAGBZFmJtkN+U4WorkUGXu3iDR/TwXK+u+NCCAjFH8AtwcAbFymiVpT0qI6hZhV1J/tFjA
jODyop/XjnFIIm0s36XgYjuLGPWopCMUaTEiFt1NXvoei+I+cnoQdut3WqcFHcn3ttHfJoa2NcQU
THX5kJJu5RElnUs5cU5+hjKxlstbr2R6EQpnYEGaTk9AqW7bstu7oAYExP932oiVK+mcVvrv2NFa
ipgC1CVn1AVgKaZaOxShM7jh5OWHpE3voXywa0AyO4tiC4WXhymZfcOrNlYrAjZlqFlnTwmodPWG
bWv0R/uXF2RhFxoW2rxxewEof3aH9L3XEmHqeWjMDYAcIZQFNnm1VvBcOOBhBRqI1DEkEbziWJ1b
auPsujkgUPczhaTEU5K9JJwEVcP8bnxp2LfLw1o0iBcJmKJk37MKvUC7jyaKISugFfzkDq2fzLsa
db00eWhs128rHZkEdv2BBqZ+C4ldG1QIZ905mlaKIetwHFj1oc+3sxGjr3wlPbG4XP/ZUFsN4hKP
n45gXAnSdzSBhfR7KtYUoBasSE5JIE3RcyATNqfHDoXElkkKl4cxf5vqN1Z8ZebXywu0cNScmFA2
YCpslxmjw8NeP/w2vf3lr68NQP750bnZYTNFeoMBJOY9RNUOtvNDy/qVs2zhljwZgnK7lIOZGVYN
I53x1unF3oIK2JjMQbxGSrxmSNk9ddM0E+44Hjq9n1ibGLBFdlNYa+4rV1U5E0/Go1zIdkoswTjM
ENEHjP1y88KvnMSPkh3S7Vs3/3Rr5A65HdCx3nOS+6TY8zEKRPnk9VqQI/rV7/VC+ES7r0W+ycoP
PG6CcXB9z2OHmY1batb+BGJlfmMWO8iwvgpj3glvC30U3zN/g6jE5+wtb2coonCktDa1a2ziWd9k
ECGjzi99+MZ47LPsZdY/JyQ2utIEguKrlzzoxtrtu+Cj2GrIbMiSPZAUihelw2RGecEriWkgZrlt
nWxlzpctSLpQUzbnq8nG0pl5RRxWhaYxBSNFT+Ia8HVhJ2AM/1lQQsUY/eVz6aZVWBqvQ7RPpzdH
217ebGuDUE6LvhtcjzZ5FRr00zTvG765/P0F9z8ZgrR/tJmHrtErneH7o/6Qj8Do3sxiF6/Jy0vv
Vrz/xIqy2Dpx+sk2sRSuRe6Q2PLjaI9YyCfVTtPGrdd/Xh7Voj2wMVK8+6G9rhYCDabnmm6aJToG
iqCKIV1YhjrZVWO0MbW7+GpGAAcQbtxOaCUChQ7QaqeT6CBjYndjVIaTsO7s9iMvri7ZSwvAGoAk
FHq6gCCeWphNC8/QuKrwqL/PXL9bg8AtutnR95URdLPeoeu2xG503u38s2Qrwe+im0mKTMkJg/e0
cpxbeS+mujHhAFAMKvuX1PyW1yg2rIH51+wop7k32FnKIqMKo/+h7ku648bRLf9KndzDzQkc+ryq
BYcYNViSJdna8MiyDBIgQYAEQYK/vm9k5qtKu6oru3r3vNCxTigiOAH4cL87IKmiTea9ns91ioio
P9n8/MsHLIZpBm43Sruf20CETwKGO7H6KOIc3Z9pO0g/V/yZDMX2Z7LhfznL/OG7fhqift+GGRtw
7WqX7hSCP2crjnZK//Ni9WKe+fdT+mmMyk31aRvglEi9TxXNV1ka/rtH//96W/83ex8+/jbmp7/9
F35/G5QbW9aYn37928u7HFv5X5f3/P1vfnzH367bt3GYhu/m57/64U344N+/uHw1rz/8UknTGnc3
v4/u/n2aO/PrF+AQL3/5//riX95//ZRPTr3/9Ze3YZbm8mmsHeQvv790/PbXX+AM/IfJ6fL5v794
89rjfZ8GNvzTn7+/Tuavv/gfEhTRoBFehDPQCVIU2sv75RXifYDhCyQNl38wUQIGhhEph9E0eJv/
4deI1gvHCbaGv3bRpmG+vBR/ALcKymn8i9GqBfn6l/8+8R/uzT/u1V/kDJiklWbCmcQ/Vi0XTBHg
LIA3aGM8yHAvB/jH1UF5m8Pk9j1pRRSjGunIVcJl5K7neYinYkyycXtVyeBuQtnDrLSZVt4VS5vB
7irw++9JE6wiD7u4/sj6tX7iIPC/NItQjziixquCYA5Z7lEdyrxhsCWt4sya14HAEzkn8BRwuQeh
qc4zX3tNLqidb5Uh9VZMGeKuCog45ZjXUTRAYxmN8yHQWM4qR3T4xV+myL3J2o3+sz9zuMSPk82a
PUOxs17HqWiP2aZ7r1y4H+tH6YNkyeDh48ePIQmEACJN0l2EugrKw24Qa2UTE2teyEH5YZUsymVY
VhoyH2PnW7XnOhv83RpLn99PkRph4srQuqxnEsVXHmP9NVNcjDueDCYqhXVpnK/NNH4lfN30Lo0N
Rzq8GMTtgClnv0xJ2360fsQbVrgaQHKVmTXst93SjtbdjvPkoLoGfWQsDLxps3KbG7R9nRYU8EWr
ZF1EOpkBnFIQYbNAptlu086bZB4MvZ2+DXVPWOETEMvptNKbVq7tTHdT08Y630LwdO+gH/C/ZaxF
jLMXLfJ7ZCQ72z5Zp5yP0VJpo5DPpyOxDDtlfUDfac++RXWdYW1P6CQqzMhem3t956c7N+ApzhfJ
x4dUgBy8pyyzrhz1gNxzi3lbFCTItuaY1XTz9g4eBldm6xubM6sEMnU8QbqCupp9n+uJIZFdGDwF
o+vqEYFExK459iN8yge96W+TTcGcW8Ar5yBmcOi6kEsB48fNm7jMJ41AOd6NPfSErkVwC+/dlm+c
LXHJlK4/T52ybRF0PHoF+HVus1WqPUZkBJ/xehYPGl7AF/ZfJFCEh9024PFMuhu4enjPQYrJ7Sw6
OzWFpVO35kG4JI9INFxEgb16MOXgDmA3A5fV/lus48mWwRa4rZyyelUIxBlZV5lYxTdbq9v3DThF
UkyyHe6CFstBNUzb8LVL2XJmTZOJqs5I05dhT81UOd3JzysNzFfkHUVIyGj65D2wbTuhtMv4V5bx
5qMTsm8LdF84KbRA0mIeNDB+zK2KAVUkEBSznKuoDXPRxOxoBWuDDtpYzsHdahsv9+m4kaIRktwG
kkZzma18cSUPzXLkW2B3HRsb8A28BrjdTADk56p1YaFC4xHg6BPuqgYc9RJmRHwhxgymWFsRmDxk
0fi1c2Ef5VGfmpJ7QxLkLumT+pAOge2rjK1AN7BYwQdt8zkO1ZAgfgg5Ai+KeFPm67ilma6SyHIf
G6B63GerhZElziGh+3TxxqBwkJVMRV0b7PNXY8ij0bUm2E+19XsHLozeuRAGa9BeeIi+ln5oVJ7J
tb/bZtJcR50isuRbx9/XJhKPTZeBaqbw3I+5UX1/z9yUzcBCXLzfeGC7woLS+TrPjX7BE7N6lSdE
OhwkZpQMp1yrUzL1UZCHK4sfgwxZADnyTlcQS0DGD/Lel+Qc2Zq+L+0STrnPbHw1wL5Z51HXqQDq
1EaySnVynA7JliC2ZEiAb2JCHaO9ROyoLWkt6L6BISA5xAM0Yr/VD//R0v5/Xbd/WOtv1bt8MOP7
u7l+Vf8DVnjYNPy7Ff6hG+yraF//uMr/+pbfVvkg+AAzVXhRYQ+KCAHvwt35bZX34w+g9qEbAENu
EGLgPvP3NT7KPqCVD/AeLQ7YRMBg8Je//L7GR8mHX8m7CKAJYdcWoZb+D9Z4kIp/WuRxQGCZ4hCQ
vB5f9B4/1ZcguogRzxDclMY+aL7UzZCMucw861XE+tBUqmD0p5xl0HQVY0i7bymvWQ7eW4mJYjgs
rXAjxlON8US6IN1vdchfnG0l2uCB/jIsZs7b3s8+s75en3o+hdDNbJ+ouhCSqJvLaVX9p42MdL/Y
7OIrk4j3zih+tpFoPi+J3e75iBzX1LIrkHPIAWrmtUpGK9+CyLXlIlf7pOxE81RTclejRrgCkA/h
R5pMekeTpT8EnmsKp+PxhEXs6+g9WZyDYC9dg3BnHr3BZPFjJj420ZOq6/4OcKOuaNjb48amIp4X
OE2xsH+IJsDZize3czkOgblJlE+/MmeD+zkZtjs4DcefpfOELMHW6vcByxwaPEt8xzsWHzMbmxP3
QGFDIqk5qTAtEpotuVwJgu1nnh7qAWwIreC2PSIoGDvjQR+WhdafMxtEN3Wk0aZQ5dSvC8ypUm/X
O45ckiDdbuTGH+dEkTaHw0hnq9hr1qtQq+WMMNttN1hhyjlizdVMp3pfx10RT/TNF2gPGDgjgyNJ
12sb9vKqFoEPay3S5UPUfkxD5ZcmRDqRp2p+t4jsKWjrplihfTrP/YRT6LB+QBI5nYZ6XEvlT6e4
R8CmN0bfSIrTbkfQppHc/IlQQq8v9HaYmJt1D6d1ebUGShUUc+3zsskuX2I6FlgR40fe0i/aYxTq
5bouiE7Cq4E1al+jo5ADz8kUQllAv3VSv9VcyXxxwO0E3cgpaMAjC8dweJ37pxizMCsoH+8QFhJc
L1iiCpuZ7yoLHFzd1Ozf9q4WpYwHc73iuCqi56mM5eadt5XaDZfBdPcpk3OxWtsfEsHk3m7zmDvH
cD/Map78JVmeEAOBX4XzntFgeKReZ88eDFbP0FtqUNlmuwsoWUrWDUiU4m3e68C74H0RoMDRuCJY
g+VUL0Owi8MmelEhoMCpcVnZjMq73mDjWoWm3fZ20EEVIbL4lg+pvlZZymFsq3kvSxSTX2SwugOS
N+bbQSZYvKxDD80a9wwlGwDFtWUMCKfp8wn2AYfameTQtT4rrKbJ7Zit8VAY5EY/yWhzBRRwLpdp
7ypUKE2J7KXkNGckLojaVDW2LUI7FcMTzSd3Dmygd4ijHd9MJAeshP5W6pH5jxELx2Ndt56fo5qS
JyBa/tH3xnDHuPiyJDD1kUbyou+0V3WM369gYCIeVC3ZNzw9rxmHHnraVrSulmFA/ya1OXdyKrwF
ocATGiv7JoJsCZo7tlu3+GVLGz5XniNZ5RbiY4jwZtfDefrcJyw7LlR4OU10b/Jti5G6HiWYgQSh
AJm36VYuanyA17Y9ecnQF80geHVxhTvDp7NHhwWhIznUiZ9ivuhzyEaSeyE63TIlLoDIOSDHeQkI
6mwVHCREw6+N3JpiCOWWZytcWzt/UjvadPqcBip4IG0QVKyLroJtuEantf0CPt39NKAwaqe5UoMI
bpKIqKumYc2RCPawuc1VKo5vm0sdlyajzDsM6TxY1jBfFzuX3ST6nGoUUKNLRA6YjeF4BtzBYRFX
NfjzyAuNkq+RcO5xndbWy/soeYAyWGz56LFzXde04vOy5BoL0dXYZxHGhEEw5OIw+w7KekeH6CLm
869tcIgigtozCXZkjl6Aosdxj0TVIYjzUCS7VemvQIIj6FabBe3oWRwa3cNqSZKW3AdGbLdh6lS+
qPAogAiCgauwdxihdzXwPhWtVVUz+vXOqmU8jh0q6GxaIJKnvPK8HsHe2Jh5NaV5t6XFyPhHpNTn
6JeRMgyEPTM/QL5sDMB9NjI4ZNv0EKXtrfPjthjgGVtNoehvZkGgWId75bNXG1XNAXmBJYjJV0bT
j3PPwx2spavW1p8lTY46WMxhdEF2WqLsAHuZE1jo5gEe4Du/EfOeLMkxMXpnGPHOSYb/1QgAV5XH
4hawux52bCGnNcy+h5x/BCtTVKMmde5W9uplTFXEh2ELb7U6QQ+iy6RHi2Ic0+3NWGR3pBPGKY+V
Qemucwak+4oIzzR5UMc071EkUu3U9zEQX2AIx6qI9MEnciF5epAtCrMu720Ek1/Q55qDjerusAWE
fmnjNr2aVJNUJE4cupbR2SqWVkNt4Sg2Y65aW0thlFGvR54mesc2oa9SNV+vbnSnpM9QI/h3GGQ7
+DVivxO0YGQm242fCn47wykKPH/jw9fNhtiQLFLkNfOnXWrTbr/aaPZ2sWr8vO2G5ntma/sIKrY6
dNGy7BOIO26GpXsZpiDcM48lx3iC9VDcjN9t03UI8c1GBZx/SB+EqqNCQmNTTLplZ5JOZD+ZZIpy
L2GirElN7/VGoxuWzQpKpTjJmZFu79Kmv6dGePulz+LTvJn6uofb/07rWR031w3nxq/dkbQLON3L
ZPJ+5OTRs01Q0GFZds5xrHYGQewm99poe8T+mQ95mqrpHW7xkIxlTgflqBdXJFgnvoqaJnlCTHTK
5JAVnSTmiW/zDKf0ts0Bcy3fpAoRdAimKztzr2PXPRdpFRNTsMVeJUEX7mCCcKCz5+26ztNHzzi1
S4K5BHrwQNUQfRNLhAuLJfvYeWF/ZUNjq3mK1qr2gFyOuPhJ3nVxXHkhqW9XDk2JRpFVNiRIDxZb
zZeJbCj10mOQZucVNN44WXMRwToPUb1emBShoroQXn0S7YyEXXkYM36e4c5f6A2T90LCZtfw7pqq
pWiZC0+DVVFO4nUqwy4sWzF3V0PaRzs9yb2Y1xM2buoOhozJ3VzH/W7tATLEzL0RjxxrteYbkAxv
dR+dObcw0PGHdh8qXiacfQHDJqzoOlx7LUJs2QrAiLgzRFy8GPAg72c6Pvtig2OdzKOhp3nsjVPu
lrHYRlMgXe41AwWoIMKSfTD1+GxdJF536El07By6+KBglDrL3ho/S8oGEew5xsiu7VH3kXHO9k3K
qlksXzV5MUo2Lcaov16nWMrKcAPoMGZglzt6n9bjLl5xJdfJD3cAG674LB5F5ne7BlzCKk1QcbHh
nLpO7Vt5m7lmRHAO3cNyh+du6MeCTxC6AsDvS8nst9EPkDW9GFV4RCpgbzp3YVoyCNKxz5T9kQT1
22CzJxqfXDBf9yi7ETPq84p4/f1Yxzh+ew41GD0G17juTIgBg0mmSbA2dmi7qxCdQZUBhHNQO0TM
/yQQiORzqsoNe4nbujHfmmU9r40Bcc71cbWAYmaisBLe/BLK4WEw3Tc7su81lIeLxw+NFDpXdtyP
LaoVJ1xYhhS+FPUyF0Cl+yvioVEUWhS+s4W+xpms9L3+FLFg18xxlEPx2SI0GrV1hxufx4KmDxnu
NXYDtlBxCE9S+9yESJ9Tvq+fNsd2tmlvGGVYLIO2SIY0xurcPcpBQzim9BNLghOH7GnFfAqbeXO3
Mg4bKHY0czScfM3XWwJfk2f0MA8bsUWmvhITfrKbJH3e+O0VwUhGBtFJwS7CrfNhHPUnRdug8sEv
y/uWFoBK+Q06wuOJ+JIeHAz14CuD5eSz0kA1p54E37uN05durWHdBLDF9SdU+7ipg6k0m4Y8jIOi
W9WNwGOIvcXalLSL0ORtWAxoUCfjuw0ztPPgBVkMGk85eN87dNW3ynnconiT5GYZW1Wa2P+Kszt1
hFz31sRlAkjq1rMifTQpkvWw3/BukpHWKIpAUNQEoKPAx5Yw+6c5UqumZ59PS5Fk9rb3Z3/XbN2w
t0aTM0QOHnIxsv5aZ4A2UvCCchQuah8MyVAZde8gL6Md6CNoalF/LCYONCOom5ybV2ug6sxS2MuJ
3ebF7ipdVD45AxVScIMAppNqNdhUTLanKW33zvIvbjTDLUc3Kx+EPQl5mZkcXGnFwiqzpDetn3nn
KbJ614zav0ZNEud0WXwMgnUXd8O1S+YX4dl4F63bNfA4LHjIVz1a3iHWBfri46zTj1gCgpxs9dks
Zqi6Qa/PUe1jX6GXdzlz5MzEzMsjU5/sIlHoj2TJka5mUfKP635owuumne6N7vgOu8gYw1lFGCft
5w79fGCeE8v7eKxvrWfiz5ObGDbnGeY2Ek1VQ8zXDmGByGhmOK8uTHZZzHbTOnyKuv5Jwi0TFy3+
bqGpC9DJw2pYyhb4J8bpMQWfNh+D2Hvs8Jzncw+E0HXOFfXSY9GNkJmxLThOlY1hvpjtrkfaXp7I
7jVgQmEac3B54zEKiNS0ldduwRtcJPYSu3jTXsB/SfeerE9SDF1JfExhLFWsYlT1z3Diq2B8458m
SksKcQtW4RQTK0+eEP7eFl1GT2JIC91lV02woFbLwvWogMyjfsCkujXk3rq4qTZKr7s0qTCB1eVE
mjh3HW0rUydfajx9WGvi7hriYFfZNngzwfyEwuh27r0a/cftLqDtmcroS8B1VHYS1U9PgzJN64vb
LPcRdOQ9RyJJ8y6SqMvT4BIds0hshYanIdtmwPaNdx3GLRhCWHz3KDnVe9r27jQhRhMXcXbY0HU9
9vZ0/jZzP8VTvCrglFPWocEuCf88pKm5psk07xPdgWZvN44nXrnkVfZbsB8hsJPYDYnuFPC+hqOB
DZ832JHnNG7JueV8KVhDl5KzGVBfyLa9a6A7GOHr/RjMGGN1P8EtBhaUAh2WBAWms36Dpcq1xZr1
9Lkn3RLtZpAEG24ACmyYpYGQg5qEn87dxDp0qLalfIx19DKvU39kfOhPeghoIRSUQzBONKjf7Vik
LGAF3JeGK9JG0VHOJikBQSZ3ASiJOfxvvSNmvfaTpDHfYYdHbrLNYdVNTKJzijznGwMvTnCuPPK6
1MLczSaThYkM/U567PnE5vzrjGfrJz0xefAYNN4Qfmwy1xikuaVcP4NQ4h2Mt4kjBqO9xYAKosKL
a5R1WyqXfIp6iFlpTcJcAZ2vYiX1/QIV4cs8xR52XiM90CbgeMomcj9kejun2AoUwYQ9/agkrYBI
o8Eg6nTHvNrbp3wipYEN0S6BZKLOldqauyzoUDiOMNzMVh9yagKb5Cmc4q+jCpMzrA+yE65iy4sm
udj3wK75QLcJA9GGYVfBRhHL+Cqjvq1U6tAVIalacY8DZMhk4bjT85KehVjh99Nb+IlOJGk3iGeS
uTBU+LdpozT6VCkhaFJM9ty1NP4Su967HpkxhbO0KxMt9EmwS4ZI70/HQK4J1iNR7xBUzB/jiL1q
YHd3a+Je6cVRbYgSstdZMx5pzcKyy0JWLA2mK6EleiomiSrYmaHyQ+Izm0sd9tc9KpSy9QDR1dtx
GCQgkq0Iemzv420neouDbT5BV2BgXwM55Dr73+icpCcU+VlJEog0WqLTA1XI3W7k7B1hnxh+kXou
uISa0pP9lMP1DVUlsDSCpLXGZNBY9s2JeFN7GEmUvQ3eoA7ZPJKvanbtDlSmeR+PjWoqAxHZo+B9
/OBPaD9ykmG6StA8kvDXud88IEkW8EyxQIKNZjjwBSz3pPT7dDzoZLVgJC/6LgpU8ozppXvOLG0/
saZObjxvbfZDMIX39cwwCcAUD8glNBTHrfW7J6njmyBiBIewwmuj7Jd6eRBdhJIODvEkQ30VrLKg
Le9v/FWFzyFt/Os11X2TtyzC9muouXeMpPZv1zBakipiTlyJYR6TgkeE75PEQS0BAe19BMgGmADt
5i/LEJELDZeyzwvWLUSmYk54QHgqFQVNiecDYwpZUIUxM+cu5PH/R2Pgfxrkj+yifwf5f5pH0b/L
djKvP3EB8LbfYP84/gABfwwhqed7SQQd33/D/jT4cImP9BEqHIMACgrtP2D/AJQAcAISkHmhLwaz
5O+wf0g/QG0DfhHkKMDpYWv0H6D+P9Jk8OkhYjMQkunD9zrK0Gj4sa8P6DuUHRVZFahx2i1RNBco
If3CAWreLyin/0Qz+SO96Lfvw1b7QhmGrwUCD378viCeMolFJ616oSPotk29lSlhqKH+cBd+ZzD8
kbHgX3hQ/yCa/f5FMBwEWQFyqH/Sj2NFTweCzknVYWfYHziA3G6voza5MayFnyIfSNYWMdCJIfdF
XPvYMWShKrYW4/xPDuZH3g6OJQL5DPcdHEeYpPs/BwrAIQh5yDSuqwar0iHVPgNemMozGs0gs/77
E79cwB/OGxIP3EjwScANC+F18OMFXsdk1rNLswpO0CS3iC75aGhrjsZmqLvM2Jxls7UfSWCnt3//
zT+JDn49TZim4lvR86KQ+f7EG+JeAzlxbLNKJf5y1SVRc2f8eLyOlyGLct96EtWwH68nYDnTbYPr
vO/Smn8C5YD3pafi+szV0D/+yWEF/+KKQAADfQc4CpDE/9TV8pXkliCLoaKDVjusM8lBhg4OspD2
FOiyexDkQx2ADnxbEjWve7MReQ6VjksX1fLPnsx/GnG4QRDiwIQ1RCodht6PN0j2lC3U4AYNiL8y
SLnUsOlv4ZebFQtK7OPA2J/KD/5p1F2+80JLjGBwDlesn+4MHPpcHGxAwIdVm6uuw+ody+7PyI//
9OiBYXmxCYEEFt5beAZ/PLM+GyC8aFdaJejrhDezb01zB04pxK9jQ/q3lfQiO9pAJuowiH7Sf8La
h7zjp1uNSQU0KWQRUDi/Xfx5fjwCTpgORnQfd2r1QLcCKQOc3RySSS8oRjHNrxY2my/rFtAX7dv2
MRKeP15lLtM6ryc1vEoXdgjTrDvU6U1PZaW8dt52DTTtWVm3U9vlNcyDfdRJpAluZRB3twta9E0F
hoX71LHe048uNfFdsDhIIHogE98jma3mlkxwasnjeIzYIx/XVfF8XbUH7qOcHQVs6Ebaoorqxu1A
GjGNRzsGqUCVZrHBjwDnqGIAHeyqRcycqcgsZqSY060DpGRi85ELpNKvxLGo0jGNmkIibnW5FCFN
PedkgIjyMGnY5d1qcBaeQtCVrxK34v4Acup19rUfYgr0zBtkmAkUuuTCuW9kNpaDJ7AtnibfeKXy
oZbiuZJ+9L32cNIPdrTUHECm6SZEb/nb996pYCgRc9i8oWu3kl3Y0AgxPWmX+nkK2sKEIrc30JSj
F+2DBmOClyVK3IRStdle2sBMJEcaLFlRUC/1thsXZb6IKMsMZo2+wbZr9fiXZSNrVA5gFTW5hsic
lWBfZUGOvFGSnuN28tAIVBoUZgC264oNd9hmZ2hWRnNGNxbVTUfA0tiBpJIA7kPBGJWof3S/j2sb
kYOiAdn1fTC7a5Ms0XUAAxkkaTTKQ/JyndC5GGvVHTowmZO83miPxLHJAK4IQw2f+to2TX10w7Ss
RT3E9vs4QJt6P2FajE+XuOM12Y+6a57GRIzhlyCsV2yBtnhpoDrxBq8KwUmi95Nf86Y0jW28r1s2
ZuA9Ya8iHxDJW/tn7Bv97Bq0mKyFWs14Ky84nozleb4wbfaMms7uPW+ZYLGxDJgbSD60OpPnbWHh
5OfbJYMP3Rowp1XVTcaihB96tEX1WuOpw8bLSjCiEjPtBroAQpxFVL8llrTiJLpVs3KzpIFyH6s9
RLEk47RcwbcCzxr9LJz45gBWQBfFOahKyjT7jXaxycep8+vzBBZbVnCwxUAhBF/3k5/M0XXv3LCU
MzxoRKlpyGCt0mbxruvTmO9rvaZ+mcadEZU3AKwtwMcSXembTt+gf8NkAULhfMRUSnAuUaZlCR5U
ZMow3brXFjswt8+0GPluW4GQ345+M3iwFOHBGRKtFCMUkPk7x49XUYf+AvYaWkaf8bjGBu0qKf2z
kQQRy2LOIJHAZnnr9pgwJvvShjLAA26TBd6gkmFXRvla08PmDzHaxOkivqDFIroKVdBKwETaGl5F
vYq93EVqWnLGBvCBtnDxgAwZtqyXeWy5WgSHpoAxBD+WXg+noXxN0H2FPAXkAEo7DggukZCs8Nmo
GPCZRG9GQogFuK7hVhVmpsSvuhpXtpBCBPuk74awiG0KSyLdLWIF9RLs1bxrvfTzxtr2Bg7RQLqV
ar0FM2HqbNnGWz2U2mn/W1dHwXGBIEpj+Yr8q2FrxpeGizC8ICB629PQkO9ksGgRxgj+XG4049jj
IaCPLTeM+Y7uFh7aq06gPvhMWaK9w6ZrJGy1PQM0UGyGUQEKY9unvMBNs2hoUi2QIc/I69TH6W0r
sc+HRYkPmAxZ7MF8YZty9DjBVHhK/Y1OVY0GBSayWqjhoQMDDFBqU9cdNIApwFzj+9yBxdqZ/pQt
y/Bp6+hIsf0P0Yxghti6lIvfXbwcVQeoFcr+bjetG+5NKm02X1n4UK979MbaOc9EiLpngjHws7Rd
4MrejRZ0YrYkezDYyDum5YzkSc2I2qkmCL9lAuVxgVI5nnZ+Cz+jnHmh/YziW49FIqNQVpiGfXQ0
ZCjrw7huI9yNIsR/Hrekb4YTGnNAXAlYQ6EGKgbu2X4BxJpgfydHMAfRswxyAXBjK7II1k1XQL3N
O/N8qe4RI7wkoLiK5G6MM7Wh5R6281U86fhapUsaAfCqQYcb8eMhhUtRsO+p9gzEQ5J/J1R16I1M
TN9mibpQIutsTNFhiZKN7IJYjz4YmRa8nfM6bu20o+1qzyD7InmgN4pO+WRd+NZ7G7rsczdDkNNi
9jO5QOd6zXmqkoNdVBuCSjQFbc5jGO/koubZEUwMgR6HHIKrAfVGhqVraCFbGhr0G5JEKe/sak3b
Z0O6cbjSEcCtmwHG04iO6jIylkvW2S3N8bRPMrjtyIrdd6QwT3o7Aim2OEQmXLILz8Jw8D3QqgqC
0vTRmIAiuILEhKvJeAKAWpvZ//x/2DuPJcmVM0u/Cm3WBAdabAGEFqnlBpZZAg4tHQ7g6fsLkjPN
y6axbRazGLNZ37qVFZGAi3O+c352CryNW1e0e2r6vl0rhgOW43zsVSbkO6O/uFrbBSbbLmtn5NGi
MKoDNeV9vqlUR1fs4lHZdGe4ablASWgSjM/rGpWHvaxxNmajzUCdc8LiseKxfetb9r2oUzcHJ/Oy
Em8K3vIJuS9dXkbh1KA7RZeghZjZcO9NKYSu6gwrw6gFudH6pFxw0bNSwyypshR7REt/V3KtujNC
aTDG5tyP6Xad2jI/FlJPhx+JqbqEZBqQ8nvfDhRczYFdq3v0wOE+IcAmPqSRJW8ZpFC+L7t5GBB0
a+lEosNziS3BK//WpIXjfLY0KGRbfzVWjoaZ+zgaM9/zLPvE21LekxJQK2r/bumZ1UKaok1Zvtog
9cCZRzO/M2B830WbeHA8xsCaApyQQQ11aNIRMIE0Q3rUEy3MV91UIf4WWtHitcEPO8unl7mYancz
aIF/z5tvfnt6Lk64kuC55ewuP812Wh8C6Gw31BKrf8o7ka/cCdfumieu157SOZ/LX/bUpI9j4K4A
p7JM2zP6IGWJeAV6Txu00L4XU3DmkwWdsHXIJzc+VD26xcbNqrF/Ghxk49z15yUaEfKbk9Gb/Rhm
/VhpsTBLN4hLq0g4UOiiesj0Cecxd9D2wD68N13XZm0zlr6PHm8VGBydHTgdrZd63x0crPR0My0e
TF3OzGdGL2esBWBTPeCrEyTCiGj4xR/VvELzwYG0ScWcWEDvTW8ab155kpV7qpr0Ok5RIqBvzMoJ
WOst8VoWgCFxOWfqWZNWP2+MXBS/DT81UMeWqvmpJn99z6UbdGhKivEIPLWGy/uS8g9K9Vx/YbZB
/9XcxhWF7Wga72uTizryxCq+uaq14yWFTnZxHirl9Q+B04ztbqLWLI/dbnbHN56Hwf9ZUCXcfuh6
Z8oDZ8fAWDZ9MqUcVOGAzTyuBjt3Du6cBGpiEw+cZc+oVgEIJrXmWueBxZ+ZLDFwSC+t4GkShStO
lix8Y4wcoGAToa9Okt3qT4nNglaaTk/8knN2wB5Zp/ovxwR636bwyHzVY6mbgERrcRZyUp8Ippnc
ZkrKFy3rVIXQrc3f8D293HaVVRRbscyEDnptKV68JJmtOBis2cejsks67ji/Ik0jYYiNZ5Rw+NUy
yrucFp0bV4TPtnVc5Xb88ar1wlZDygu5diW/dCdPy7iYh+C88AUGoQ5kDC7iePg4GDLVfnGKvNhl
dlWw/FaV9T6hDnvx2tvWZ9oP2gebjT1u6jlhSJUpuIYg82fTp2eTPIt0MMUi9IeMhlVjGZwyrNKZ
3cSya5HHY+n149Zzl0HEdZND2cMMzT9TRvfoUdrkubMNfM18qEe7zHdLmYNhNNhyfeTgMJPs0AfG
xOJ9jmnc6p33Q+c5gSZtect3WTdi6ppBObNBpavnhia72U8na4KznXgBQ696x2KuSYNJFOVtZgJI
toP3gDZetHv6fwi+Ks8Y36wl9bxtowgihIQiPDcCmW8/GpVN6wYjxfg1NjSGhU3N0KSomQkT7M2x
X2+uy7jqx1HT7A/UPgtqjvf4Kkbh/SZfwCcwuhZnJc8D4146rW5uCJjwfKx2656l3xbzdhVpLjB/
puW3MegsNYOVzfzYtAsAF+zZfBsDb1axP2pSbfBpliBaq8w7rw3oDLGRojKOxMklt3hlKPeSUSvk
HarRn/kFFPZgAmXpg4UvyPIwbSa7a7kzjStGkk10mgVP72CZGKNShWumw0dNjqcBcvLDd4ZnaNnW
7JTSNhkXYz1MjUK8IYUIf6PNoCVh2aQ8UV2fTXacNEP6ZeUGd0y5moW3G6EbP6a80K2oVtP6XdNl
F8Q8qkUAJZnPWdgN5urH+roKa7eMOgogIxXksDeZMFD+rBw3pbex9OfyAAGqO/BhtLfuRe5iv5Up
p+tt7UBF3rE+uRMtgIrBB+NYTH/vKv//HPv/YK7VP4ho/yWpdv/Vf6Xya/kDx377X/4maGuO/Rea
tFBa7NvUa2RtNK6/geyaa/7FBUR3KR3hv1DsjRr397SaZgR/oZiPNJtNYc9f/+P/1rQ10/sLk7tR
xG76DRKS7f+fqNo3nec/RVB6xG5h8oAgLnoXJLv7T2m1Be/YVG5abKy0fKoNU4auVRE5SdL/rlXs
X/8ktg+dMgqXsu4/Kk72VLiGZufFpvCwSlupO/dqLWyENq7P//A7+BeS9r/6URRemCaBPj6h+0/J
X4gNOZojH0oXxr0ohyzSDOexgw349z/njwLl37682zQY00CMvam6f/xIOGwdwGmQb4rZHMqIJB89
2lBLp5by65DdpXj79z/w9h39828LmwPdzKWijxmif/yBU57a2S2tuwGBKe+AFD5zlfcXDeNiWwiu
TY4Yhujf/0yqcP4oivI50cmJYtzKW1EBg39+SLDFO40tV2zoq/TutWkpf9XtkmyyAhDAEsJ/muZW
XaGQvI01Du0+w74/zu3kXRNPwi30Vhk7bVG9BQaXHCJC6jh5unvP+u5HdsVlUiyyPwQMxdobqes9
caMAITdYAodhKAGwKyYNh1XTjqcWsu7IlMjig2NGtfFMEZT0sdcNykjRjrE+9QlAUjkb78k6jZCV
hfcx6Um1ExbAYDioQbvzJ9v/kegJAwT51SEmrjCQVV/cclFy5LJ749m8pvwpiimPME6uE8N1T5kZ
TFHXwprFXAyRJGiVhe10jIiDynzy+56JK5xBQuYcaG809vlXgGm1MQCEtq4rmXcwD978Sm5g2GVE
ge8K+kTh6d3sYPfBuHf06kuHVN8nnUIzQdBMX3W3Mb56WRhPLXd92IC5IByCQvGD8awNCTPF0Wp1
FPSsnfhpWFbTFGuuBNwNMhA7ejByeefkt52MY2H5Pbp4zwnBzLMonSaPBkktXFFpPccbqvkNu1TP
CNPGwQfLJPy/ulQH1+a3u1palGcc04c6zayYslCNKAKzsLRMd8Je+fJH6pIPSERiPGtWi+zqN4mT
RctY5We3oeFmqsrk0Gc+QdYVTQxCZziK1CruyBWm90hTycHw2H9Ja1nFHvxEMyJmO5WoFUghBakT
N0z8OYm4z03HdhrGJ6gI5s0xOeumvBLcO465Iz5Sg47QcPUT0uUTFbir4Dxhrbp1DDyrhswZ+jRs
xtz8McG/SICsQe5VAqETirFH8TR7f29kUCPswj0jQWVqxHbVIBI22V02eOsApCl/jiwBx2oOuI7q
rhqQP6zeeBx1slygpcOJ2I97cHW+XMBZa5sNayciVGKyfHWH8NWaOcUk5di9d+6UHtwpt0C5JrEh
MCC82JLTGpdTjb8ORhZz/lN7MAnndVRTc2+2brcRaV2gm7YJo3ZWBkCbufuu2ZV+9CtRvDr67Rbf
deXnooH/dI1H7Hb1f41GXW/HOvPe0dyMmMPa8sy8vvSxnhz37E528JJUBRfD1PVBrfT0GCBxX3Te
PtJGiaG/WKvQ76TVJlfDIGwJglXPTyJx9LhoVPIzI+d+NzsEFFZg+lOQzcWD5gzDO+EYb3ywx7Yr
Nxr/jOGHJmwYA3MJqHWDJ9abraonFHQQuHWcQvjNpKGSCVJol05m1+0J+ZEqnG4BhbijNFL/WQel
Km+8o0x29dr59S5xfGAjOqCa5iL0IdkX1hDkLwXamxGmS6n/JNssve2iq3TZpJmhtxFOaJFe2FL4
vtd0LvyIpIf9uQLvjfFsrpyEa8i9MdaSwlZHF4NhIMXj3+sjEReuHM6uhFZAtQ1aW8VrsGj5HoJn
rr58b5HP2URUCZF3LTwUV9O++P7KhbVc7EodQZOS5lgHy/RWV7o97QzXmr+qyXRcrq0DpHBnDvMP
qefaupPIW69KJoF3LDwx/q7aYXkylkpYz3mRjE5UVyR3Iq/ijn3oNa2w48qr2vkkcssYY04E5WOf
pn6oEUbJkqLf6S2neJdIAnrVeHZ0ZtosKYf+fvCSWI49OQI88KhHyIqRXY6pL7ZdInng6iV5taas
lwyRY6qYWFbyVgIqtQtaQpx8fP5g63uhrdFnljrWsefiHCEL07AmXdYLvo+DNmm/uLlPSFFaez9S
5x/ppSSj0Djm/lbXFfLwPxU8Xs2oR4qj9l7n5+2M2ePZE8HzIIe73nX3SV35LT/rlvTqhl2bukfT
YxYu7lGNb2Ibd6a9vMrbd7SKHTvQxu/6kzeqkyu0A3fEUzmXr0p179ig2W5Olh9OZ3xZExruaO+M
fjobbvvi62J6YR/adfQR6qhSB7dHZiw7RE6pSAqhBaUI1fLQ1M0OIw2P2V1fi4XXBnyfS5u3fpVZ
f26K4sIuuRuD/vfQGLvG4sBut3FVtk9NVz5gMiH16PZOudYu84T8lKwNYSUSWtM990DULwvRGuwr
V//fwlbPqCNUmvKQBPVDa8pr65n9phHBGzPVW4zcpQmXMam2xM8e/JbnaFr3nt6dCNfskqWbIsC6
H7MeRGBAYRr8ku3CJcZB61vL16aFbC6pFUCEzFEib0ZfYkVGV58dZyYL4e3xSKIJistqWHcL9PSc
sRLj+NVP/ItXOg+K5Q6hkLE8Qxdqi8F5E2XVJu0x9GoD23g3Dookju5eKfFg37fkxWEU8ZPt9YBT
/q6b5ueKqTsk2HumCfrJvuorniOz2juQtEsbWKFXLh+Jo7XkPcqjUuMGtgBtHJiHxVIzSS0HTczg
EHsnqfQjpMWsxaVWbmSofnfLiIX45At3aOBxHw2QSqZd0wmIw6W/1wT4nOFPPuFsu7+TmXdvkcNo
Q9SJ5lxSKxCamIfbSWZHO+NWhzw2hl5RPmcOR0Oyjhe319JdUdZbSm4P+uqfnEF8UZrws7b07lHY
KckgqvdsE6raJWjWWmGKdPYUVP5p6VLrLtfymiScFuz5AXz4vIYdW2IMZSr+R63farP/tiTLL7tt
OKA4rowkYUCWU1lG63DTekYD3pDxmddMhysoywZ7Q++vbUvGaw40+aCjIB2CxnkftJyvjLhaALcH
86sfurXSd2k7jo9EjpJt03RqW2kJOSFTfZnazBgebyX3tqj7JKv3i57IyO7N9VJozqHztWafqfXQ
p8Mcz572abHX7w05g/v6xmVa3Yd6VsW+N29xGzvPPwrSV0Jrr6UIhnfBDQl3jzFScjB3S6Ie4duK
eJTZO2LjsO1n8U5wD6uDHxDN/vwwTNlrY6jHyrdPgYIVDsxG8HAnu1aZ5pXU0wUJqIuEOyKGjuJp
XvSrYU0Hq2ofAms5ymw4T0aPPVq7JDYDUasdIPXFWMt14+sVU4/TE3L1vpnVHeR4vV2kebYdpuIt
xu8iU3vP6h47kbySGXkEQbimRX/2SnFfBKQcyUZujGVFMtClFWXL/MPVs3hZtI1d+Idg7PeDArTs
7LPG6xqSitk2Q3FpRHpFaMu3DLm7NpPxbc0VrRYZIHnuh9nCEkQnx6dhd8TrjSpybO8ux1iDddqa
0I/Yi0VE4DI2xEqpmF4/I9p810w5CWvy70Kbs7gpG8J6HFlgdRk91/PBU/wiGP2Zygri86FQsogW
vhf2pfXczcZ5zXnXh54wmmy0PISksx69brwa/MfQt6WxHwuyOHPvB1CgFuGfVtLK1pov2mAc6sYn
89WvYAG4/YdA2Yj3vflT9/klorCFASpeZBTaj7Yko+Ok0j3mmIEsisNL2dhPGJvMcs+w303FTJuB
TkER9lafPTg9xgSTT4IwNU0aLRsypdKffkxpgyg2tRfpkjDLkHRWXm0elYBai/pzpkXMG/L1CS/U
J89BsXHhsTkNIz0krQoMZsOWb844kf5s1MdSGZfq1mXuuQbfbVs51HQMxt5ehyYe5yH/aU7etzmW
u2XQTkvffCW1v2zod7tjmdrYLl9vmZbjtnURgzrXWLekpNNtf2sZ6tLpqW88NpfWPfD5+ShuTeit
/VXOw8nXMdYnF8Fcx8aPsiEJQjh0QbmpzfktD7wQF5k+CbMcTuBF9rYZZ+2wlpLYRWI09d7Ni3rX
rG6uxzXqN2fWtKMyGjTaapZf1QqETk+HgP6XGUtmW2/Msut2YyIdRk7IvA0R6+bXtVxm6tA150ca
pMVzEfTXYcjR8Ze+elplZYXrrRBCicQ8VwUjXCPAffmq14zqKW4NJno1qO8atANQuhLGprLIqGV0
A8RNyp3v9i7y1KVpGqGxNL+MWaxnrc2c1yl1gt9eKqbdqCwNALnK23jJ8D18UYzBxh+CNUqnUjwK
33S/aD6b90i6l9WiWlDpfnEtFzP7lcvVww2nkPRToxw4krbGIE+DYzU1NSDXFKLgs90G04di0JdD
Jo0OeftmXq11zaUpNSrzLJI5P466kaEodh2pgnG9TwiIbF3lzNe+aMancRycOwL81aUvgo9mtbDm
R93+lZSGkYRJNnK9cVOXIkee0YZu9nPPKrizx6Y4U1jqPvVLTabTks4Vxx0t1mS4HiNqu7jVOmIK
ujPd1ZntvjImY6XihgBQmCztAG82eSeKlQeJlzgkD9hHVVwYBGesJON1mjr5li3CPNWaYTwgDoDi
BMIqLiYq6/PNFaWVBWiCEBtNGfSXlN4P29CaTcsG+jbzFP72PNlvplyZ33NglWe9WNtIukt7ElWf
FYjtOWcL6lUYONilxAcxHP32WCiVUgQwefvOToD+k7HcYLn/kkPngZLjvd1E1ud8nq27jqajJ0UQ
M14GxfGsMg6CQRZhMflEpoxkk7KQHIc14Bc9m30s9LZZTk66ysfeqW6qhpfPhMZzEwJivv2mjoQ8
yf7ygglOTeZ9Sf3NstAkST+//7seSIc1G0rONIcmcHNZ5EW3u8zAG3JXvBegIx1rM1xcX1mbbinA
DkpFHm8zl17ZoHhpxmUgGWTfu3gob6NdLQRv5/wmL9v4ZZW9nA3HZnGt1HDQRTqRIsmaYjeanf9W
L451y0qmkU0AheiBi/3Bv56DqLC2ddKbW8MouzN5A4GL5g+xP9NL0Syd3Dh+uWyMrkp2snKdrRG4
aj9JbGHakDa9tXQRf0fcqLaGOa89JJicdk3fGmN0Qv8Mz+iHtkzuO+IioTEHQ8itDQSDjX9FyTd7
TAN+XUU77fio8xHrvt1x5X9aJtps+AX7h2TJXIJy3SYfVXrJh/nD9tdfDG8j9KXhkeAAaxtQGeuI
ebmz+/XRL7jkUIN1TPG5oqBJp/OcLmNcroaznedebKZWyuNYZP2lHX21k+VangTu0DHLO+CpxbLe
k8D9MfM+E4EluAIKVW+bkgk/jENeNjgYz4nJIXhxhq3M8DBYHsGh2jkQkTcm7mk0a6wm+pIufeW1
26St+8PYOGTGKnLhYb3O2lVWG1f59FmNjRZ77VKE5C2+g17w5NnAkxWU73YxOl4sUjhVVAn3wbHt
U+8s7sa31jP/HnzHJSDpynPUhU1Abr/1dVD4xjvzKmMn955FxpJuEbNA2O/b9jpj6hwEMM42tefg
2AXKWIhsL/nbQGeVRaFOyoT5vvwmw+HGf+WB6CeeoMyKZjcvnb2xh9SJgCqqOFPDV0ZYE46vxs3J
fG0rkjQ7CGCVu66Rj3mKheD16eukA3d5i7oFsJfPeQSkafUp2VRmE+x53719ik28MXFqwmDSt02F
DMEgI+t9qWpi3RME/4xOQCuFdUXqXK4dSm3MrbKKuWLIk1MQQbWGQuNI5DjL1jTxvzhxRPT6eNij
RRL2XYJ0l2rJiYval24Wv8man4TP0qzWqrzm8+JfsiC580kWhU5vTh9UJ+UHEqEzwYDJ+m3YZtKF
nSHrF2diFSyr9KEd9ezsazWL2moF2wnjew/Cq38YLMwHXHmGasEMXVjic+x0f9hzjSk3bATAg75X
klIks7j0nnPQB0duSrpU30niQb24/nJGB6/u8lktXHTy+lsjsvkAvE59ch44+Ycz1vSo+UZySPjw
m6HF7+rM0VYhEn5ykJWojvSygAD0o/4YtA4BsqXXOgZNa/qL30k2S81yN1lVy6e61iyi6KLdNL3X
vaVaqigv67pLrurgoCWBkYf2SkFVlre3Pqs8aAVmsp9cyRgbpMC710UW64GqDyuaLI+n0+rb2DTN
KkwV+TYiGhHbBc9bRUbUtq5G2upUlw+kqbyAU5nX1ST7UkuVGcHWgNRarpUxEbh0Nwe9dqQftCSk
XVaIEM1L0SKzr7HRJI3wooQ+ew6LGg1TYFTxMls+HVrrO49Dvh/61SacmJukUZrACM2JI6jg9Qip
JqAGi4PyYHxWdtPsrRHONbc0OvGa5p4JXtRv+5W/lQV6fU7vQBT4rXtPVp9BYOC4JJcY+LB6tPwG
me4etCZ7GUvjxfAzgJya0qqpcTj/LR0jy+qeVYJHwu8DPbTobrdG97XTqBKoscIpH4YP8SNV1IdA
1ht7bj88KmvyxLqHrP6s5umbo5TDETefdh3cyh2dHD/tdrW3TOmsNontce0Yhm+RKhzLdjl0mcYl
D8ToYPTKueed6y9rU4z03GY2vTnGELdZueAFpjOJrVuQN/M0ndEMTXFcVHZxsuXN6hYKqDvJjU0t
T7BCw6OtEDi6MU0ZB9qTQDZH866VNH+QfVF+WOGfhnamTtKUCluxDt6SYaG912q5R1m+dmkkh+cy
I9/UQiilVHJEpT0/wc69wuCfGng+0MQiLguHHa5P3bCfu4/aXbrYTNSuneaj5xEsdMm2du55oWHx
s1vYRwtBcNyp95Mnn4jekgTy46pYH11oswgFfuvkSCGZ3lz8daKPjZZmy8lHLO4se1A9DAaQQ8//
1EAZhrnsDuRLDx71fR6AQtDrp1w5UWubuzXNj2ln7/21ep5t3d+WWRXBNe9lw3oZZA+DJp8n0b7g
wjL609+jqW7FXG3IWIdBNR3TIYtL4W5Vgi+OQTAYXry4wz0cpPMJgBb3yohLg82WYWWx2WmbJu2p
+V/WtxzqGN8ZC8eJyommEg7qZamd+o63tw5Olmdsq2RSEarDdtbmiCfjnujLNnCq11vFqcj6jyUl
tYcao25XmzU9prWIsOu3haFvbW0ZP6aKlqTCfHI7Jon3t+o4RoQdl8B9SVrmfwXmprQlT9EaBwV1
bgCBYS4S4Bktck32N8+jFppwNR18FeD/da6CYa+AmNk1jspU7buyrGPl9DsxqYMt2NUzWi9SOHrR
2KFpFxwR6ukMNLDjYsqzmljnmgI8BIMIaiqa+JcWafPR5n2c5nnE/hHfKq9xQ989jWXQT9m0dfcM
c/4IYMNLrY9IKzWLdwJP0TA2dzL4ZRB889zz7A07gfeN5nFvWa0VARREAOsbb/S3GgDVma/yEjjJ
8zj2nDJ+WMo8D1m2pVjv3lb2qaNcIAbYfnaT8p6iC9Tlmb8E9ZnLTkBpn0yZdxdQxddn1VOid5dy
Qf1iR7dGM167aopnlwB6rayHVMguWoPPpYKO4eVL2TzQR7X9bOYbmFUzct35XPTDZfBb1gv/osn2
VA5dXDq8y1pzoJtz20jesWDG+AtbRaESu/xDW6Zna8o/1SDvF6LdWAgjKdiViJLjPyKsLxwDyrhJ
5LhxHZcyUnKZmnYTMPsurJtpfrAKE1nbKdgQxvyeDf8B/PjSc6SEJERAMJHW+PQFLGnhBCMFTeKx
y8Alem86tSUZa4kQWyp9l4lg29rGaa5kHQ2KWCqy033tVGfbqqjQStXj5CxPokwonjBPmdSnqLYG
tZEWnUhjwGqaaCQKRWPJ7Zjp++zG5TPQ6cjdduPm9qflJz6KhPxobPkKDz3ttHJe42LwTra5eLRF
9T91Jdld5O9ZzIeeCLrdMKS9zj4m4T3gGL2YTk1aeZGfpTWdViaFH/AinmmNYSXwf+BxXsZAfC9M
FxRTsIVduQfQ3qd+wnKJ2WPQ2Br3SQB43z8qB1HBVMSkjGw+dbZxcIpqlwTOi79qdzDn9GvSfRAO
qf0kMyqYEioz7LS8qKn6lTc0KnTmrp21u8AVX8EwwaDN2SGxufjdrnINH11pzR13k9jSi5NTilMS
zI+F2z1KSmgj4QzHuh2u7H+fIOB25Br+S5mKeVeZ1ESVnr9JcQWjamX6RF+ce1MWu0Rb324wnKrm
UxXIu5LCJe4ViX72Vz17MlLu4Rq5/OsKcHxQfpNy0phM+bRm1XORA+uLBJmk0LV0CeGSuHaR5z94
gQhCQy+WszIA4spgvbZ9Nu79gfeC96M8DEvn7dLZ9q8la8h+pFL/Zbn5gnpKGqA2/HEJPXMMDtBL
HXhujeDj97XYKY6z71q+ULHce8F6AsgxLqbjjFTzDGW3bTpyokbf345AtM9gJGMid2WxL8ZSPFVr
kn8Xlpnfl0uH6lPQKRNaKtFjmWUmKfnMubc8ofNhsiDdV0mh/5omBgUwjUlJFqKEDHKarO2WYt3v
UsxJv0/IblthQ6L8Q1Pdwg6pGnVvdJLCFqZFU7ExmoW55+/+lmViUpNS9w8d7iGxHtN7Imaxvrma
49+11eRftaCDDUQ36jdBltJsShEsFU7lfI90aH0kmtA/ydCIPX0+wRw6ZdLeqmSSKMeGKzdZGnS4
PGO1TbxMPXb8ZjYLx5tN0g4cqkz2sHpIs6+AWjgUi1XG7jzOEa66xXmc7hY3H+eTI2dri51gcrBL
gkdgMyI+RFaWTcnhAqRYM62tgUrCwj6piz2Z2cVfoPBoljPVa1knhBm4uR8nR/lfBOzZn01U0LSQ
No0+coqVXc4vuhzzUFnpr7RgF2iWhVrOUbEB0DXR7gezlkdfcidS2fAzF+LTG53xLkM92Biq6J5l
ZQNW2c0wnUk1NLQi0S/bOwirrcoQZdBVwfQMAM7GoYUAK0WvUH6IoaSYkgio8IffNd6gCkUQqMOs
EXoklML6o6/e1vO79tQ1fc0LxNLGvLHYboxrg+a+nZHdHgPyiVToODvAhAesIetRUAuzgHrxx3Wo
nnj263ozcdp+oylsPUCpopMNYz3EnGGnjZMCJKtsmeisvU1qtZCaaB4x77ss8S9J42nXpRGNG3rT
3LQhYDjKRTOVd+aisMxqao3sflbsHSq57Sa3wgTVpvKaDZYVSaaVnhJh5w96433SIt9t0X+GbVow
zYizUxARGa/gcBs2dknO/apPXkPKMyd1ypvhFEfpFMFTQKkd2QjZDD9XgwkmUSr7att5St75Lbl7
Tnm1iMHZ5G5SAUy3x/GNK75n71Z76EeOBTlmei9SFhrGxtkX2g5tikfS8WgXLYkseoeprHZFW0zb
ama+kMQA7WPQ8YSzv9nbz0abQic6s7VGOIYoACPU611VSWpj2kVbODGOy3UuKHVgxM34bgxGtS+m
TMSBowSKzugwsGlu+Ds199omgxdTaoRKyWCplchOY4Z/Xm/j6ltpICXQcEj3kE+1dsJ6TZWJ3ZQM
wAzc3BXvludpdN8KnC36XmbdOvwZZrczOqzITToBWGFvQPjijY2dTiGEN4y7Pxe0tg2uhVDR5kxI
D0XGz4oWnnHG8raLeE0TizvxX7md/xtM3vSrH2X/609Uyw5/2sr659dIYfv/Ay2zPjHw//m/Mt3/
Bc7bfvXNrz8dhvKr/jn8I6F3+9/+Dui58HmMoASR128jzW6DoP7O5/0He2fWG7eWZem/0uh3XpDn
cHxsRjAGKTTLsuQXwvLAeZ756/uj7LypCDsdfRuohwKqCoXKwq1MMTics8/ea30LmR1xeZDmdYe4
ECRQf8vzUO4hGwAnaNjE9mFLR4bV/ITJa/wjVH14ipnOYx91/ok47yQ529ANjb4CFk3iK8jC0sQi
dHuXNBIXeajpHQE3+BeauwalLDKh4HFRqXh9P/l7p44aT3TzDExLMbbCjiPk96mg8ZXkGw6Ia062
4QPdEn03R+G1TXvuoCptcjdq1u27m/sb1Z08Vqf9uFruy+LSx7YuTmVigw3rtFByuRoxlj75eapZ
q7Ko7UdIbCZDNXS9HNadvRDlULiD3jHm7OtsdFsr1vYttO3GczSZMeqQ9g5orsRQlYJldpwO0osR
oVVm+qp8S8aYBQsQ5XVcWVBEJpC3HC3i+S40aQN3oDQeStsHGomVSM5u7FPwrQpsNDZdH7/9EFZG
x2jIVJJbTQDAjlKrFJwX/fSTk2RFdEaP+BYd+G/d3nJn+B/IBbZNkN2i6Tx+ju2QzroBuXRV0c3i
aDptnMHMELA5CuhpC4FibPuI4vtQY/gatbDtrJzBITkB2YpyHtNlGVkY9CfGILlZiruoAg7gKoaR
Yb3G8/PnR/kWUnBywRATuFbC4SyNR3p8waquNbAS0bXVMlAeWggiexUdxhesFIz76sgIL1RRohwx
MARh1hL2zvLlIyMuVDQxx3Ccd7qBZ6wjb8kMKtyUg1SnJ0ZS7ZOf8RtXnZ9gb239Jrzvy2a8G/uO
5bAGW+OOVN04VZCpw0+TY/xpxmZSc75LMXMIDcqQ0Q5azclUhl87WKT9Ku6BfiOFo0vbTe2Urptx
LO/moW09zhIcuyzcA+MaYM+jRUTUcwe+bdWbcAvbyCo/o0bFYG6AHUe0U3a7fKR4Xo2ZrbyEoqt3
k2Y3X8HbMzYjvpqLhyI3rZlSO1fSsJTbAVXMTZFNbGhOq0V3f34cy/r0Tvf59v4YHOXR/S5BxvzA
48ehVFld+ypSuEGiSKktBuquFXNLJFgANIUB9BxvWABgSm7aXq5BkrQ4493HYPYZPdKsNxt11et1
fxuhr9BpN6vaY4XnacYMI6sbiE0OzGaJLwrjcRBfOViT6djPPrvWoJXkV/jFrgzzenBrqPSaq+ok
HIwN/cZB6w+T3yThCnQKJ/RKaSMcLmHqhWHC4pwr3VPaF3O7SZAbu8jgwyv0q6TEBWYSP7Tkfdgu
Mpt6JdXYh1nLLDbhR+G3ZWamoMbEDqeV5KG7NtoVT4YSz6/aEAfZiOxSCbIGAQ3N+E3VKxUyVNK6
Cht2UAcxNHCjsSX7dk519I5ZigCmMyN5GwkTo7k9rlEFdeGuSu5Exy7ukqUAtBnaXY516iMcICYC
ZmGED7U91pCAIEmBA1x8v0GzZtZkP5lVOh70DEGVmB3EcWee/W8evSNokBm2qtrmaRhzSqA5svJW
rLqUlwvNqHpIaJpeV4g4t/MgzTXN7eYVY6l6Jq/nDfdwugg4bI0kJZI2Bqrg+K3LgED5GR3WVSPK
wkNKM77Ey22tDRzAdp/u9bartobRZ3x4dFUchdZw1IVXnGN0zyl5VQas5WfYBW8ZZCeXBbxgiSi3
+OW/qK61US9GxljayhmIdQh1q9/GZUOmCdlFpFHA7abPY66w6wDFRv/hUrKlHxjvk6IULqhD2atb
XHRyLQKGSsriaQkTPzgMzIER4+XyC1UBarvGGM+sq9YxduHtQ16U2+TToPhX0Y4f39KpQ+yMUBtU
OFL4g5nHEzRRTUz5zkffi6m/bRij1c6zmmbII8g+uUnK8nuYxXBfEiNkEEjtvfRZVJzijCsy9UZP
YCtuzBFknIjqcZMOc8zgbiJhmikqLWs/HyqPs1DnTdHckDtjVmtfh6prcB8/poaFPYmhkTcUOOjd
qFRLHJoTFj+k1I4bjvNw2dTKTewPNzOqpWGl4uR9FK2JaVllrA/0sE4/y8nXa47KoXUV+6hGgCml
+yVf4t5I0/E6yyPeXA7XOouVW9SBdklWzay4yuDYl0RmQ3KkMIg2jR3PGLZZqXTZTM+itcOH1I+1
5yzSxEhjK6SRMRM3s52bnslbHM7cTVn3TKNSIJcTQy7/bb/op5B/9ufP8Q3NcfL2WXxakDsWWo54
e8LvS7KZDWjSOFguu/2j6DR9l+Y5ZHvkMt4Cy10Zc0OfYKrUSznO0U5T0fuNij1tM73vvYwmhxun
lupC5i69Fhg+nT1T3/75OuVv3jTLwiYATJVQN8MSx29aE2Ac7kKVLaPPko9VJe1LhQMTSSHaJo9N
KAGqI7eLttzrUJas6qp6qfpkuHDIw92KOXJ4x3SJ65KGaW5qAoxnX13Omu3SRADXbIf6h2oCWtbM
reUFZjndlmGseE7tGi9YjOLrNjPDbWZ1GXQxYkL+/APfCCVHD0KHwIHoTuNv25Yh5PEPVKCo21k1
8AO1RNwGtZ5cqB1QJrXwyfqorXoPgj46gKFF1KbDy3XJSYg8k3mEi+EWs1ZnflXZz8595NovuzVX
RgQVOyjNc9whJ1V7aWd+rpqZhjJWj291K+89ZUIdq1n9nnl/uovq3CGP7tlU2SI1/WLsBufH6e8o
M+w91enYAsNCQ4CfqoPDUh2NdeaUHoVuvR3xuqooK4cvBmf/Xe/0DBBEMJ9bj5c16+RBALGRVP2k
9S4HleMHMTYTIz2VLOgmGNNbvyqbG/Th4qJo8KrjQDfKW9o5zacC8MgTbqeA9i6mC5x0hnJJSyCi
gHRS7RUmG+JBmFOAFvTedOcJGz1j3Bk1pjTxBvcyibdmX853dpHGj2oVl6iIi/pzngKDoecYVRdQ
qkb0UzI+Y/Uxltfp5Fcynsfop2O/MeH3HP9KDmk9moEK5THlzTqHlLXSBVEMQ2jPH7pJ13FQjT2Y
izhAFdsM+k3R6+jqym6Q2UoZwocmtgxqVlKAA0QzYfkF88P0EM31pdrVxWNWM83ACsJs0Z3g5n2u
9Nl+oi4wNr0SFK2rpQnF9CK8HTTf1jwSMpgDIDcG8lESetNPhLtllrzww7B7CgrTfgZYYV9KLGWv
Q6tTMJeOYRySSpgFmJvOvER2XFSYJpK9NuO9cDOapejL7Eez7cbnctRyErSKD5y7em1bhk2x1bX4
RgIF9XAaiei/rmXx3ywOB+fYf+5T/J/09XN+nIXD///PJBztLxZvqQHEg9Okast+9KNBsXgETXBp
2LGozqRm/rtBoWMtNPkWccDp/G/m8n83KCQhOTrrwuLCo0fBwvlPGhTHqwxrr81/PHgZ7I287Iz9
jz+KCkNTlbeLojoO+7skX94hq2cTKNJyzM8UT0L+8uccQqQAIPEJciukOPHbVUYWL/RG5Hd1oT/P
Thu9qlYFWyWlQ3llK3rXbgagqbVbkN/y2shssUMFor+e4smUuyxP/dklsC2+4bhBXFgQNp2zBmYf
3+nd0rQNWzPCGyWdDN5xm9GMz8th33dqjiSPrihnU/b9Z6rFwnf1yadC7E1Rk7GMcjJmahFnT0ZY
Z0gg61jecWotbh3GFlzLMnIIMFD3K5JRdBxauh09w0UK9oOVLtOuGU3CCiv+MFPKlug8VUxXDrEi
vvjkSMVCm4Ui/KlxCFNdqVrqpORNZiOHYUMhj30Gpo3U1LSIxbERYF0TMFJ8bEY/u0TPFd8HuVXH
uxjTfE+WRs7grh2qzl+pvS6owrqquu17SwTQtqFDfcM7XZketJX2U1A4BjipcJabaayNZ7vp6HRT
8wnTdVLso8Bl8upJHfDr7YB39b07J8F0ZyVtDmF94vSwslEivghQyR+hEKXFWkWJhlQjVxeYjzqj
UpTqMHxClwVrCQul/VEgGZNojNvsFShbNGwKfcKc1VUNZOeG4ovTZ+BodwPnPwmMxGgMDENad8eZ
lwZ5NXRZu0KhanNmJ9UMxOxodh1O6xoMS5WTuG7Xk/Noo5IreV9sA64MWlZU8YplfgpHk2SxrBX6
ZwW1LMzwOZaBZyaYkTZ5PVW309D2r3E9MNXo2LY6cFHdaKwyvUFHgXZAfNBVAt8Yw4/2hhAVvCaA
iiZ1ReAB/JFywGMEUZk+NG3I/qb3w3Tm6JvV1Yo4KUyTCpMT8nW0cStbvf5GXV4gIBHtsMaWZaUH
uw4HZ4VNzfwaMJfQ8DxO6mMe4GdcqyGYE2/CH4eoXq0Zzmpp3z3rZLgwUkTRGbuk4rRM+xNr+ESv
YwTrNpqoVuqiVslIqCzMU3o3CSQu+uBk+2xqdCwuekokFK+J8mrHphWuhaI07fLW0aoBqh/yZEMf
uFBiTxy1Ri1FQNCFSvUga4PFQSLMpy8pRx22U6ILVAxk994KSYVA38HRkxURCi3dTEPUidfPEkVt
RaILsBIEdYnbaQmGKdqPw3eagiXBKnbK18xlPBpyHKqdGYWN5dFLXeZyylSGq0GdEO8Ccmq1jXCG
7rFpa4h3LF01vQRp474xGIGB+h7t62zMmSGGs1F9nWXfzSsNd6BJRpZTQM2wovZzCWg04j80KCwv
tAnWgMpGj1J0pU9hE0UWsSFzIL8NEgb+Fe19q9mMZc3eOQO5Ny4cBsGPYTqUgwe5ts5h/lTtlzSc
zXbV9Zkqr9qpSWhXjnCw3LQOO1xszTzXrm6mhPSYCmMVGdfipiVs5InGsPpY4hC8DxxYeCuCsvpb
w0kNzcMGJ6q1kUjKkLf96b9itvDfbKPW4K8tlewf9+vX7n9ddc3n9yOFf//7fuzbhsG+jXPfQhmI
f5pC/F/79vJPKMrBf2qcWti72dF/+v6F8ZeN+9TE149xyzCXk8PPwcLyj/iP0VVeXIMrZFTwr7nH
z9b8j8jg36fUnpxiLSoCoJo0InTKdUYbp/l1SjcXCAqQ+iL4upCTRuJT7K9Df+GmzUKjusOoP9D1
IlUDZv+iElbJFJJGstGNMNkYszbtRpytSMfaVWPY/0OUYDmdluxjaqY/vVy3UfvlMwfA382t3v6t
PwdXvAd/WZagE7XEI1Ib8q78nFxx7PzLMlSe7c8C8N+VIbP5v5gw0j+D90AYIl2Mv18xhXeM+krT
HapGgS5I/JNXjB/1/rxE15A3mLfM5CAqNO00Th48VlX2uIGuiZRRvAyHtYrf1CUvN1kHCkEj727S
zzf8/XlXW0rNd+cz/h5EXUmr0rFNDeb+ySm01rMx0pxQXCs5jkQ1XDaYqAhXTU8g7CA+UTAVG3qA
8Vbxb7PsGQCqREAspjONF8Hne3whEjqDMAQlO70XOrbHNXExZ2Y7NEVxXUosDbOgmsvRNmjZCD+r
AcmX+1sZhcs8DL4ultHvQTM85JYt1/qIgyO3mruucFAeSGz4HKLdMdO1e6H7u5Zc101QZNW6qiWu
ilaV6zboo/38Qgg5bLpoKM6c7n+QYI9uLC0EZH2GDdsByaV2AtMoDeBnBvqkK2wvQbhCcIYpVH6B
PUiA6kYXF526Q2mvJ/ug3dTtLm3uKB3qW6fcE85s6TsD6eA3PPKYPeptU35ubG8WXh26uHf4vRW7
enNFhkhxiMGd5SsUn9iTFo23vjY8LPHVmkCSQL/HHEI3l5gdM9+IryjVEpKUQne+hgFX5rvwo/Yp
nUCYbaPmQpuIKeGsvi8QLd04+ZO5NL+KL7l2gUW4I2VsBKKx9ncFJmlmTena6dd01LVs29lbYgNI
YqNanAllGNajsYHpMJFJoq9CB2zgurzvbkkFM1GQ3ZUfrBf5gr9sotVMtY9YBoHgJms+wmWE6Vn4
a2TWygHHz/Y1IInXVSxX+1jcKR8dVGwO7VSCmjY+Yp3my9h6vVgXIV6kVfuFk0zlM7ZZZ5cEf3yC
/QhcLMFZvQTIbMnNNSiWr+Ira0/t+1CBxOpc/1tjwW527dEtLoNXnprx0PCr4t1kgalwrUda4Fuc
Fdtwi8cgvIo+zoAYJrCSezK3nJvhaeNfOYfu0r+eKNEfi8t2kx7GZ0TWOqJ35BfrPlgHrzNazNV0
UW+MvX+fEvkSo9RdjeUV5kqIqvK2V1w0w86aeIzkxnlJt8phfsle8ysb2Uy5jtFRbvyV2A7fiYLw
79ID5o4DVgZPRfnkBqvy07RH6vpEc3Llr0yP37hn0FuFbuoRgxdmlO2r8nv8HS1U/D2fSDbYo7U2
Lmo32BSXA+F9xFPfxld6seaGvuRb4oz3VbsmqKDbYDL7SvDF8xRvnXv7MG+dq94b9s63/ppI6jvE
MQpK6Ov5M59t7QUSGIdL/ya6ZQJ7l99RqTrdGrxWlJAjgI6MhvCqNH4sa/9TaP1vIVhI/nNP5KH/
TFek/vq+xnr7t/zY/qT8iypIF1iPAP1Y9rId/GyLqCQF0CdQUWYg7GDN+ru8spdt0dKlzQiG8uuN
Y/OzvLL0v6j02adgsi2lEf95/6C8WqBJ/14y6ccsmx56bFA5qES4wuMtQFHGbk4aFTqb1Qw3WkGC
HUMooXEiQS9tH7SqIvmswxs5cWrEKnZQ+kyzPr67Yb/bEo93oh+XYQMX1206Prp9OgLIGQ40Dk5U
vCgRJgd/HHVnX9gO3rg+GvxP0TwLmAZWmT53lclspaudaPJissCmXUegO9wwYhr2JB9gOtLDoLkw
k1rB1TBVOGsZI+fB7ZlrpjQ5unU0dQzJ+ERQP/Ac3zQm78cr8exoHHqlZ4eI9FRJumDkW+01AOPy
sg+E4dEPCe+bRVyPONXcZ9g13RjJ7WXQmxxfY79CPRH6du2eubTjtj5FOZfGtakSyY+K0W259HeX
1qncOk3RCMkbtOzSmgCwOlMQe6jB+g0+4Lt4juQe4WSznrFL7qLZqNH6EyR25kqOG+4/L8Q05FL4
2UhLltLr3YUkQ1XhIgvxbc0EwbuE9OTfsAClt0alDPg+7QXJMANQmubJP1Nnnb5TbzeBjGHqLRPC
1mkbvPYjJkC+xfMxJWb1sR8DlsAuRrTfA9Vz8SezPxVV163/+e2noNSQRKGXJqXg5KNqmNhCOiql
lweB9DJldGBHYErcMTBcCCBDVu/VnCPz0pK5HzokClMHJcZKfOfn6eQ/Tlfeip73X7gUVLUM/zB5
ovYS5nKb3j0Cc7ZrY4aV74lSAYiLwQa7QqxJ5AaE6FhiHUDejS/qWEwUEeaYfi61Gc6FCWWdc+Xf
6+L/y2eOEg26HGuXYEzP/3FScA46qct+0mBrrvQpdPWe+G6LTttV0CVMaAcz9V8YADkEX5bpdaT7
0weo5NVjb5B8aeZqhXdqKl9qfYTmRID0mnYJgghCPM8sSL++t2/rIlUxojYIcCdPkKwzI4CS7TAN
CzuaQ6plrCrm1oe2Dq4E6p5rmrD6wwQMenfmHv3y7XIU4sDL1JazDU1zTj3vnxciU7+vq2bB6ZL3
SUAAXawCigoSZKVUXyKA9R81bKPfEyccd2NhY5fXx2iT2FZ7ZpL0Npg8ene4AhtyH++QzSnrbXz4
7t3pGBARtBIAxYEt3LsJpFY+1YJl7dDKdIZk4eTThWCFvpknqCekFFZYE9totJ11C7D7Dq27jC7z
iqy4j/BM1kUeGArslDkmlYVko34j1Uk7KIaEbFSIbGy3TV5YKcDkNHVWyTRW55rzv34RNBHYY/g6
OewxDDxZlOJUmkakIeLVjbbFUzx0OwhTIPjDIVr3VSE3MpGAZ3IRfxn7XoGTNvbn1ujjQycrIxdh
GXRHLI2diX9x/JhZkkGkFGO34TiEsqlpK/hoGDhJQmutD3mWnhuz/+Zhsrmi+mUAqjMVtE/+ouzq
sdQmp9uM+jS8qAjKN5gN9Eehprm9rpAsrsqmHA/VXJQH3JrqxWTM4YUhWusuL7KvjYA1hI6MyNFJ
xE9lYQae1Rvk5U6cXMKsgWhDem3vhkZWoAMlBggBi2J9OfOBnJYsGNfRJVIZsfdqFFonm5tUpD7Z
id9v2ob5y7rWVYxCRdc86xyU8e4RuuY7UG0iJSh3JQTtdZMV1sPQlHeTXpcbJwwWA5Yw73W2Pc+I
DHRgibRvcI7265IV9Mx+cHLOXp41UyDWvGXtM03O28fPukOajqGtHjbQm6LvUqRIRAt06QZt8Dum
FWIn+GD2nSGye0sZvixBwQdRNPEanIUZeTNK0oPt4/QjybS9EZiN1q0iwQiNZDF8nAtqex2kGV7d
9gMm42QPWPBKkXFsYXJfegxK31+P2pycqYF+fYmXz0hjiWCfFTyQ4x+G4KWy41zrN36nTgcM0J3X
y764oZKbMAXr8fbPz/7XvwfckTqOcz5IPPrtx3/P6KCDxkyyNmIc82fc918pOqKGHsPwCoG8Tc6U
EL/5ezqK60XBRY+J53f89+qyz1ojwUQaNYb+wQ6N5Jsyj9alYVTo7ofKOLPgnujYljeFkRgRYMxE
beYu6skNtZI4R84fTJuyLoxVJ2F6u1WRPQxRwjx/glIJgE5/ACTXe/pgaRTCXU57wSlUyMRWGzwy
gFFXbTuaZ/alX786roxxna05lHJ8WMe3gshhBMD4IzcO9hDQW46GFQAPlAMJ4Hpcoo8ygnxwkiKx
k2govD8/+d/9efrTVHJ8/Xz7J4sXwb16KDCfbnD44chRSu2T4WhgJDO79dqmletRab/ajVFeoOyx
zvz4EwXPj+fCw+Hp2DhiqF6Ofz1pnrlEYj9smoKaxbU7x3is9bLCzYKdZx3PzaPT59ZtS2Y5nkJ9
X6tWfyMnw+bIbUs82sxcSPaBnriNujz48A/vDrIpkym5hMPLQfMUtmqmXTQQUiSR1ukLHyYWNyR/
hIdUVNXzYMgv9pChYOer2uAXVx/+/NdPVETcHYwF/Dd7KuMCFGcn1VLUVIBgnEZu4qgWyj16jeLD
oEpnuI4bvqo1qQ3MgYEslK3XJA09jSgo6p2G4YuWYUy+zpnvdnkbjuoWLgjlIgp8bBH8qpMLwvnW
qYR166wTA4F0fUtHzVeL9mpUkuEFVvihU3J9/+fb8Msryh/lG6HgB9HEy0CX+33hls26DzdGA28b
NJKDHkKU7y1YjS0h2dZW74fsi+Xk0KRQDW4nuG6l++cLOGksvz0HZ+kNMKghuoobcHwFYziYSA4R
zLU+LHTIrjOQTXBeUb6fhFpd1AXstP0UdVW4JgdnOoRKjwdQthoErDyu8uXl9bPizLe7tEtOHwd9
WT4eyhyuyjh5HJE5iRZes7UhEhwMxpxWvbFyrC7HIAXzM/Rsm+Sk1cSNyQHMmxnwQEACeJPhCe3H
XO21VUvK17RztGJ2AFtOnB5kr6jWmlhW4yGKBiQLCqle/rYZBP1b0AfjcO7+Lk/w+LXScN+Qp8jS
YqvIq47vb11kqVZquLG7pIn93dItSXFl4VFcEeU0SdrngY5CVzZtvPIRWK9JR7XIx050I/EIhpva
7RAFzY0GQStdlaolSzipWDzPXOmvr6Jgd0ROyc5lkBJ3slhbhdmCA+CGKzR/IGBNBpJI9WMlUudK
RBPk30qbXo2y2E7mv6RR//HE+cumSYFDgYbgGS4oZ+vl4t4dGvSaiCyySIitHqRyn+RBf2uGDopa
jcODWvvV9Z9f+xOV9fLaLyMgDAcYV9BlnOpcaTA0phaSkx1irX8tFTluU868a4Wwi4MvFb2ATWEM
O/ZUAgIDRwWCjQ9TpCxEltJmZMlYoE5R2FxKCARbJBzQDvKUbsgiLH8OLcKDhqmhvpqi9sxSdRKw
+Hb1bPXoG5FGsfGfbqxkTceK2kXqJucNv5a14zxqWMwvi0ALnghmRzI0KmG28qOpJdXO8FfaQhQq
xxKgsyXjflOZSZCfqVlPfEDLZUmKEf4LZa6Q6DqOn2JNy6QoZzlv/DoAdjOw72EZFX75ITJ1v/g4
6qFa7IdJQ7agix6wU9bV5qGdJVRjwzd6PPsKAsmmg/rtTCLwN0OmTMPlUCFPRF0R9cahJAb8/+fC
HYptjX1acPEnF86bIEgQUCZkvyOZ15WTDbmXdKZzm1um/5K3VQtnTEtz2oeyW8SJmjZ86pocShVb
NWMJQyFLGxpdrmFbsgJr1/kMBmkCLBV3o3XGXWjpinruwpca4nh1YbfCioZbYKn9linp+++GODwg
mhr4vKhS9RwQjdZ+Ji/rRktlcJdrY7vJAlv5pBPmcReIsHlcpKWoO0aAei0f9p+/qt9sJrSF8XGg
DtZxVbwdat59xi2Mhok5rLYxrWHaYPvs3U6MJA6ZRnPlN2aZEaxnXdjF4FwUSjtewwrJrvgXe0tM
wZnZ3q8FmAG8nq+DETJ3CKvX8c2Z0iImqg+7txkRMCr9CRRkVg73ih76SxtCXEoYlZsWK+shMOuO
UKAxXXconLy5w5zTkMV5W+gyXcEsSM+U7b9ZgTgBMW+0kfw5LEInVyeIlrZqtSLU0CeV9Ar2E3JX
E2ncrQLzq1ilTFGtj8qktFtDKIO6sQF9jZ/w7lMA4YxQCtAs8ECu6J/RS/YNVLJrwBHqBEBrBqM0
CwzgYHirFqKxgehqkyJ71/cRp5Zzt/o37yGDhaWapDmyzOyPb7VdDomMExTYeQ5cLArh0DWQtTdj
DL4KCl4zX0EmyPZDHzwq3JNbWcfmTjp+AyOWjf3P7+GbBP3ks2BJ1yjiDEm+4Gmb3eTphR0ng01o
ZvM+Rt54nbc8Dbzp6kLilZrXLmkyOVoBzx+nlo5So97ayKM2YdWTGo94MHNxDlqLp8AhxiF8Y2Ki
8iIEKmP2lspOebQMgDxNFsafKizoBdLo14iMmJc0s8ynP/+m36z5HGEFv0YDAYwSYHkE776tOk4m
JalNZyP4wG5CLZEwdoN64+Rp8rkH3on8EpaOUKOJwYbvfIuC4ZUHUa7nZgrvWzU5F2D720vigGWw
wi2dsdMeRYxpWCTMWzYBjaJDbTblIeJ9dWkrz2vRa9PWTNPu2WFXumZdmNYjRZyr1JrpzfyUm1kl
Lv7Pt+nXKp42nQ3gbTGFGDyg47vUI0QdVc0C2DsZ5scpznDqmEZxRU3fe6FSKB/0BhLRn//ob943
Wr68a8zFmBxQUhz/1cSI+y6zOTtApdK3ND4FoPfU2sZNRo5OmGWXCN2L56iGRVY2qvl9kMnnEE7D
Muw3im1it/WVksLrcYXMLw3RmNAySFdKZlIW3Nxxmi2wO81T8CLsZ7x7j0Uv4kc2mkOjzFDB/vyD
EHNwxe+/IJ3HunzIFpM1yQnl9BeltVi2RMJa0RE6K6w+5rxuGRs8YvGfxrXSlzU4FSYSwZpFuCTb
rRPOfsyWYCZ94sjppklbMaBG51E+5YI04zWZgdPsjfiaxPWkSgUtgdrDdEFHOXokZixg0amGGRRD
mV8nufloJOH0TPomagw7T55IxSQ6rAuXlAojz9dKpbUlUQJwt9xYonoFE50AJmypjztqN324TZBU
0n8OrQH8Q6iPn+DiEGNAKJdGVzPx0wuJ4nbweujCeHmzJFvZZqUQBqiNirPOawP+V4UwNAVYow7X
lkiVejUZ0r/j1hFNiJ8t+VZ3kYw3SjJ2nFz7IOgve6ocfyf6ZqjXUGrwfvcWgax7KoTkjkZO/T0S
YnDciR+3JstzTteMBwZ7VWkAl6Oiqa71sI+h25QNEZ0FBI9xhZEm6t3KMipiI0ZIcwWRWcpl55Ov
4JNNZq7wzYEqmZUBuXbhq8CJuq5gsyeG0uGoYWL2bYyqhyowt/VG2nHizoTh6B4mN3njNJOiXuAp
siMvmSF9reHHV+o6rPBEbHEbl9pWJk16z82rVbdOlhvlJ4G64mtMEMoWpvU1q3LA9WffyF9fSJZz
YVBVAA3ghHL8iZWVCSKHJd3LtEi7iEGMbxSr5nvRquhK4qMBjzGm5UZjE78g5jLZc37UzhzXf+m1
8QcAKiyTFpMJB9/78VWo8DobmxMjesKy3acI5S/y2FC9FDx10A35Xgbmg90oEd3UoL7M0JOjS3GU
LUMRxwvaCa0tpO1vf/5cT09PP65qMWUtGjFLPTk9lWA4IJwGvlcT9PYtTcZyNXZWfdt3QUqoKsqw
P/+9X2oXVjhOamywCDwxYizejPd7ETCTEBp2b3m2MzqHePCTi1oN0xe778UqMiq+jUDPr6EgB/sG
li7W9bBfjlnwo1wz0RYOKsbGJxNW8v0SCvxgkPAwrErLvFKJoPTGKpnhZfcDQx2C4NRzbxMq1dP3
icJQQwdI1cxWwZ55/BMcfTTIDkh9r9Sw2HuFbtX2vkorM13Z4ER018ReeeGnLGhbNZXzQ8X7hwKq
m1VnMxjacDUGNkDeZBjJANZ6DrUrM42Kl6iBDupqVrYnUCQhOSBv1M9BQprAqs+BNOM/qnOAcmrZ
PtW5fgmULACmZSFHvUD8X+PESIpwvAszG1IDeba4mebSyp9Dcx5Y+NqmzLc072xiPko1AhU5BG3j
FSQMp17fYUTfB3aat7eOv3jOY6T/F8v52lkLtdYML6+DAqPe3GevZQlVe0P8ZTJ7PieJV6ur8nQH
v5usTtOpKRxTve7IAIm0Wb+IZ1/Uroav4DAntMbWScDzomlXf2WBSNtHmjD1a1jn5NiXXRBynAoz
LbvIwUVPzNIZ663tTBrXWPKJJ7bVCFEGUUjDZ12dMrHRxxhMf0HfD8Yt1CB7jdIlD/aMxYJxBaIa
TUCKDrUhD8lJO7cEekKM3zgbpUtyoT3syEhN8wsrdfTpKq4zcvHyYS63gzr4V0KwtE9qOS/3Wtz7
hUNBhIq/TtzeT/Uv7Ij2rWHgllm1cZStJVJ54vY4Q2wyFQsGfbHqQZcQqHd+MXOWkLGBm8ygUXsz
KGSPrJAPg3kG4qPH6zBRxYsdKc5tEwdWDKiuSFSPrcjByZ0382OuDIRBEDWc3hIbQuyhkvT91ZgP
LUnWkt9YDGbe7FJCt+CWw0uqPb8DW+o1ipoLEgtZDoAp0hh2u1if0werzqJr6nwrvBjtoN8Cbgvy
h0gRVeZBdW+qR9ALXXNrWUUOi1NnY/JAMClfk5iz6z4w2DO9aW500zP9vPqgBK3Tb4jNzhXYIqJG
5q+06eiGPcBMxrVRfQnIFl4B8S6mxXk+WWiIBRhJ1Y1MZ6huCU3BNimjKf9AjGeLyI78GWJvfBiz
K0ONu23GQX9JO9XtdlvG8dAf+j7R+IdJ0tV09bAhbWKF9J1NMZfpfc42269lHk1rI+uT/LbRiFKF
7d0Rhq6OmgC3rvLqCjzkwVVONFzs+fMY3eddBlQw7mx/PIhGzuWDMpcwW1K+zWEf1TjUENMNk7Id
c8PuXd3uLMZjY0KuE/E+fuvxgWf8almOKWEnSRoSX0MO1UBDP/uWkIMMbGpAlnuRlT1KObqjdrVz
ejhmMPPIR12JqNI6V9Dp1D3FLhOyG2jIzje8eoAfskFHf6mHab0JACFbG9OuEVI1ml3ugE9XLOqc
Wjjk/V/KzmNJUqSNsk+EGVpsESFTZ2WW2GBZCnc0OODA08+JfzVdPdZls+hNWVdlJAHOJ+69R0ff
tO0q/P9WvpKJGYx3fJHoCbli63muDEjKeSij15Gc+eCJA2XZ0nayVlSN+20Vo9mCfqq1PfL2CgG4
QnAJKmIpeW/e9xa5fjjYKWUPljvCY9zJy76F0LvajfOBjEVoW7WFztDdoleQUq51aZvNe52U1D+9
cSbKa+gWWO54ABx1sDVIYKLmXLZsBtNHRYDYPn517Z7YDkhn7ZAtqrdafPV1h4wSKvZIURlZ+gz8
aJ4zTSDqe6Xn8JdG1vZOvCa5xZ7hwZ8xPWQB16FuGxxKjQ7R0m5tS8k8Lwq8pSQcMcYaUn7POxM8
yu506t1n3TseEW/onXmese9IPTGqHesOknZm1cVUPQnuGKwqbttPz4HgFz0gdqFiXO2KMKIyWElA
jKr6R2mFRpNN0ENKpA7e7j6bUz9dNKnl6KLc3dJs20bl3xNTJr4ZTYWKx56BP0P8EVQrLNbHKRs8
vz6NqgiI07/hgGIm2TpKi2XCeODV4fRsDvP0tquRfAe1VBPRJUOpcNYzL7DfIke5v7m6XnttaLDs
jPxe993YXBKT0TqRL6eV+uU4o2LcvC9hnRHENplnw9hBmROZNPov0ASMPPU8T9vHdeXRP65UxEtW
1mvxNo/AHcglEa1z9guiTokWq+dzNQ/dq2IOYMWOPzXb/SoNBSAJNRc5+QQKInAlL61Kh2CiSAtN
ZdcxUfF75jFLI0x0EcS7MEMiC6ghekTgvcAUVlXGUJyAA9gChtAcEkvXhtzAgmTJizPaTXsxqE4J
cm1Grn2799NxsxtCWfzetD9VNz35a25IXuVzraPx0ol5n04ttSkV2zR/6qO6v7J+Lp63imc02/zS
eqpE439ZpqBbj5VpEne/dWp9DRwlRKYa29kfp2q/kXN2DJBxpVyOWOHiVEr4XdaSfZ7UQTpVo6D2
Kzus8PtgosworSm/CD9oNO9oaX8W8wzJ2dkj6Vy5D1SedV49veglIF0ejToxxKjw6pFDf7WCzFqd
Pnxmd7B2h9Xqo1+ixMxHaNzAiBJjfq8Il3B3wpWExb/iTV1/Xhdvve7LonFN306vGBo4b8GJigCL
2Tai2deNZPgWzcy+N42kLq1IdiwOZQVL7jDxR86pXtwliqOxtC6j3Q5d1mpRv2+9U5dXzdx7O48k
EIICsRvdpJrN9EUSQgPFvnZb5NL+jvrDmOsRDXHr4n/nsj5UiAvDJGicW5ouJdZ1CzpatQU0MFmG
9e6Zydj41rXzjZ3VZ0HC0V3fA0uAygQquZfhdsuFZcB8ySsAaVnLJoSqQDLwwkDmvyA7mpbE90h+
+NTUQpsPgHChes/F7H9Huxb1rLxtwLyYB9uSWUQxNgmk2elDTLeELW92+Gl0+fvXwCAFP1uWaFyS
sNuxXrq7VvgtHagf8bIO2wuO233KaljOP+c1MD9gMz8XPC18rmG2toTThQHT7NTL0e+7Cn9IZzrP
+UaWIIFFRoGkjw2UdW+UpieBrFXGvd0azMuDaEVZvqxkARLzVzXLgUQYwr3BOwVpMxCLBtwiDC9T
MBvGqWxrro1pNcWbZPoaM9+sAP25ShQI1VskBzZTrSax+o6k+hLPb3BmJrOeu66wp5d9bQl9CvbB
/RW0YrVwOPSG+bwbY9ARbJX7+QGExPTsRiyisqVS3KmUFFRHwMUoh5XKy4hOfS86EO9TdOG96k4p
MtUG2ARK2OXUQjxZDpwavsow7/lbAlBW2kmwMJI75XqDf5LPjvs8DI6+Zf5Wxmny8O4mAwc5hmSt
Ga/XPciw3OtD9xy0uVXwKUaDhSBo5NM8hvv0weDTvO98ZRgxwBmzJqIbGs1T0fgw80xi4lhrWk5l
xsqzmiV2ekmUG/VPdJCdse7HsJYTAwilhHfMexechcFatDzzC/r5SzeX9hkBWr7fD3rT4tENF29E
1mcZ5rHabOs3QydHQwWtTSNxzR7IQ+02dhZMKwvKhtzJd1eaU3BqpeU3PKPS+ajoOuZEGWgIUoK3
9vGBOCgqy653i+HkqmoM03ywAlynDAGCrIuKpCnmBEyRA8fRF/VHYTXBWx2FrU5tf/bN2HbrwX6K
WsWZzh4Ns4JvrMFXIO5w/Pq+LcdDn9+I8sBOxHKSw+wXX7Arm8XJ0614nObGHq6c4MxhoH+sDzps
ouriaDBbMQ54uSfBOujyQP625cVRsc/6rnR5UO+cnTHHo+5dWZ9lU8g8s9k0PIlhoMIQ/Rja8bxC
9jnCABL6TkSzi/kAr1CJHBp907FTs0+BoaQBgm/jTJWO07xwy6NokUhi0Vy5NYntgRzc7mB1W321
bBrNlLxlPwB00us7CGg0EbyDLeu+0MTHM31xwo9JdJ2X5ZvZ/SRAsCD2O2z6c95aUDrrkhH6yTQJ
bh+cwe5OwkUwltGw5NZJtKJpY9YrxR539eqAJZk0n2QN/EonG1Hi301ZGfQhUhQX9KYR2Ke+5BIa
A69s3czhhAndwTUNX8EApc0KOINhIal3pmL4VbgLi6+1NrTzUBrY+CF1NN8x+9KVrroPEUoBDyKk
xmiGX+tI/XbuZD13R0+0WHvW4RbLobtO9plh5EVziAyyq0lQ3ebuEOJ8il01KDdZqlwZL0077fOl
2m+6WI+Y+k+3p4G0r8abyWPSRf/OvnJ4tbijZertfVnHPTQHh7M5hPEBdRtgGZyqUsWV5UovKZUz
HadulWQBC5SB2rKK37oCfnMd5qFSrBuJd4YGT+a+6ZKMdzHKSGtCVmvPTd0QBYjPyWWnhJy0KNZA
nT8V5NyFh6kx2w+rVJU89tI1yytn7/SsaSUw7peN93MAiWoUODod8zVa3IbA2qI9MecmEXcmapgF
JPF/H5G3mw9ypfKOm5oAKeDzOvxEugJ/N9x79hUKUDVecWdW3W/IUqrNlLLy8SiNnhSFOXT3T0sx
98uZjVJ+1/T+6CelbY1uKpDBKng0A/3sWMg6JL97DpaY4OMAshTgKjPNw1Z8zEE/eElojXAnV5u/
Qx45v3QThPh88tB2f8rZkO8EaBEN0xT9+srcTryMQ2f+4K6oqkxQIbWx9vJ+P1PKT+Kh6IdWpqO3
1D+VJdTJ3QIyJTcM/oKwKNFt8BM10YM5tYWZ2nY3IZIGsNElnjVY9hHLA6GyFQVccCf21g7vgna4
2Y42tWADs0m6TseAnQjZ+Lq4qVMoU4lH8aMe5O1WEkvI8tFLV8Z2Ly6arjXdlz3knJBDPhhxpOy8
eaIKqu5aNzTmOxEY/imijrPvnW0OZqpn8oWfDG2TJd8txrLCAbKJdiaKBhOeW6gNUBdO9De2PC2p
0agRMWYURjTd4mgG57GvNu+4ljP+dhPehyQuuI++OuhAsxw5OS8Bipb9HNkVROLONiI/GXIxFm+i
GCgH7LroKTGB6opoI/HQHLrCTcZNkQBDeW11F1eMMoDOu0ccTyzyTmGwwqxvR6ZATm0u7oPq9q6D
G4wyKelKZ9cHV0Xiam7C/NBTEBJATKVD7lRk6su2drWbMHSQd7exFPQ6La0tw8kONI9kYGCSlk9a
UtvbnPpeQGTz1TPzBXd9c+M+W3uB28sVlr7mgb+PmdvNVn0QLWEVEnUL81fML4sOEv7H0IzR+8mR
92EVwguomT2ruCm3oTqTNhDVV6+PTObkUQtzoJN5/jyqHORDLrRHqHyAE7/M8+Wb2BkwHAY2/ls6
swoYHkUX1d2naJiN6MGpA5LhmVUHDNsRYPOaDPXXMWp5W1FkUTa0LH1TmHUFjU1RL1M890HePoUG
FfN5LNvcPgfgjFRibC3vlMFSYjitBBRggaiHDjdaRMN8DqvZw1fpN8p8X+llt2zSlD6kUMPXPPRl
hR1P9VX+UZYh5yD5/F7JzgHlfWqEefnKSwZzJLtnez5xW5kz9hXGZlfDk475yFUOvgsCJvHi5Tkg
N8gUa/lorTg+0mbfrR+NxVQ+IaV0X57zPpcigxOytqeylt4xqDqnPO+rvjWJBG1fSrclT8VicQK5
e4eRI3Wkb1CglbSHuS6QDkSCuzXpLUyXumV6kM4h+pdUBu74efeF3G5bRkx5qyIj4r3zeprXGWWt
OIyI5Hg3ees8PUzzjuodYc2UQqow5P0aLNqiXhThcA5G2uHHtjar97Wryg8QLl4T20MpipNd+qSM
kNXmD+dFSVAzQmkB4aKaksnxF358FG6f9rYGzmbSda8XOp2ZDV4351m7ktufMqkSFxn1i5ESjehY
STsMPUCNwgIlWphleY9VJ7+WwRj0EMZGGvd8WHr34vHi+DqxMZVxL7T7HZpOXWQEAbb9veswFTmQ
lgesRRCpz/h4r3amdYwn12sUre7+3FfE5h6CFp9KopjIf9FNUI5XbkzNgWz4C65VNTZfrE2wkWx5
Rt1HaZQ7If3TNuuzBfz3vhJGE76PE2Sgp9YX46Vuq96iKhymJokWxSzQ9wsiqVZEovVRLT3el1V1
9a8l8AO8UW5Y/qaxh/bR99We4wbf2MG2nXa+L+1qgo70rPBBRPyz8B4IQj5acuTzAI8G8GTXnvGM
BNAFTyxcmbGhzqnaVigTcDfNcEv5UijEncBwnluGPRblMcBaxHCznRW6Kc1TSea2Oi5LUD+J3tsU
cwquJJ2hhl1c7XNE/9Qu17GBWwopQRBbOm8RKJHI2gYdG/xGG3mvlaTjHpCHxay+VRfXMmh+obTZ
z2E9W98ZDqJjqQH7Kb4LKzVouDCkdqr9su1VZdM2bTIHeN/bX8tx9UXqI2js03VWBjZocPMrHT7m
DootQ6mLMJWLzdhXv5l16wACKQHwBw/c6wg71CKaZ0Qf0h5A22H0tXTuEHmrWMQTgrfb9a3WJYo0
MoAV3jutJjxeA1g3ILXT4sR81/rs5bzA0gDcHgLzaad8W+nWX9XGQOMSTsPaXHoxmPeT08lX7fR0
ZAoiPP1OF0FxJILxONpjWJGJGlJibl5tMDwE45OnblHRRtLWiKeih0Ed9yokwIQ5RnDvhhE5beyn
iaMnyLXVD31EWt+DGWwe+OR5g4GzWoTAfMxGJdhMhno8dgKpeN2bxrfGB1ON4hI+ICViS9JM1ff3
iFO36JyjSy0pGQxQ8dFSEjOk6po8HcubFvc2tAjChOne7h0H9NbBo9lW2HCmvdsEf2vd/M8MMfsm
G5yuYdYimxtqfCuJ6NmQMKosx2i1XIba8IxXCE7mfplsa5YnWVd+dA7KpVxIxL/xNyFFhcadVMtI
VoYm8CfOOdF2oCnUqE7vLZTaWFUHSolmto/G1tmkFhoR+bSP/SAgvvXlxDh1t8dHMjxr66QbO0DB
bkUU4RGzT/VtIAQpetA1bK3LSoLNF7cqg+/IgW2RiHYS5tEHC/Apd8bieckxZJANYxJ+L8eq3K64
PKf2qArHS8aRl3o8mD3qrW3ohJlYwMO2O49y7zPgMt5NunCIRlawGVkv+zu/IccaKHOXwdnXiKCZ
z+RV3zTyOSOotKEj3BhZqi2rKIe/d+A8v5vdXHzLl1Jtp9DQOSIcv5E/mfHNZ1fPVnAYzRy6bBcN
hJmLqJxf8QsVVkzFB5NF880w8xV2iHiiaMbbKBSfvTt449kureAztIv9JwTAaTyr3gPrUFSNWR54
nnv/WEhG5Km1TM5K0m+lg2sX3cafTIa1uLdWe+nI/MlFeGyX0fzFlNXNvwRD2fnfWN5u+R3to0s2
cGlBl67aqg1fekRJDp1esC6/fHsjPcCGv+GklnZRrpbcic7TPlCUJJUjGYRTzYFaJTOpvlfVwgKQ
/XD10UUCvZG3iTYFdhIca0l+GYNIZ8Skj4zlyMXgxwxWTo9veyOzhLGPcCiU+abGmJhJUT+IwNfd
YWcp/W1ZsVY8YRWSAsLDUhHWa9twPnjnZKPbSuMwMGjTXuwMee6fPLE0P3tbeYI4sr6dfm7dNKPw
0c1WxvtYLGShhSaN/XbDK8fMAaroXjC5es7byu9ZkiH4SCL2IJ/dYZDbXa5x1YEz8mXKK4o3gmbU
5n4nzjB8VyQpQfV1yvoUlYSQXOQ8sd93ZGGDtgY7ZaeQMs3690oOd5Vo9Jn9wfNaf7+WwHaIcmVA
7uaolUZ9kqAwhlSje/9JO11u6WbZxm/exjRUvTErGHPIFU1YPdw9BIAY7BC2KOpPUhK9c9eSAOWy
RGVinwR11UWJW1eGnYp2G15U2/LAEljLIFWKPgyzbiptGN4yt0kOECTtxutYcQvnodPMR0NyAWIL
Ggq2WOTSQWY2g3MxGngsiTT9lhwEtvOpt5WOcywbE+GpiWwySMuO/Te0FJ6uL3rchU3LWTj5Gwu4
7hG5yOTFYh6n6jovvQNAEkG3PNYwOR7xjfl5vBfk3Sd6KsaZMClePSW24R8hXiZye/fVPRENbHzW
AwcXWL+90ilndJ7Td9kcagyXTQx6SDpeCsHSOWYY4JyNWntdgnOUDOVZOcWDnJqxPCybmvSRq8Tr
hnhPAkyBeEifByxkPOf4Ra/O+bIuM9C3jUmn8iuELnqWM9pfd/P9lOGhUbInQhMPUlp2c0qaMMO5
xVqHJhk9KWk1xqZ7xu5oNQfH2JfgY7V89Wng6PsyWhU4HSyExOhbcnLuhe11KqnDdX/fxBBaFwTB
wG7g2Dmkm40O9BunD4Q6h3MPVHLqyV49ARHofjBn4Fr1Yro9TlO1gD63Za+PTVOHRyVYzSVmPdbR
cULITD/VyYI0EpWv76oJuh+58jQLVbaWAZzcID9pBMZj0tLlEU8SErOXOjp0r8vQ76xiDQZmcYE1
m0IuUMI/8rTP7pVqFaOdWjz/F63QsCZTuHUeHUetwwsOLDQkObyZI8XqCC2hKQu0MKs1lxlrJRDp
ANmtx7rnlk+Qb3JQSl+gMmDKPN6biLfNrNcWWcN11G8HWFsAm1f+l+emsZYaLE5dibPuanFnwskW
d56Mxl9r5TZDvCy1QaBLWNbMLfDjE9tON3poGxGWp2ZhgMNojT1qKnat20cRmAiVOn5P/xigYXUP
Yc0SkCWCHO/YHzIobLfc/l0WlcPnCerVe61HAMOHnKScmja22U+WnFmnx4bDADsZjQ0qk0/T6pB4
HjKJsfzaoacitiAb5pUr3qxeflFrbxaZGnzzmwTdDSxg0+vyN+3av5ReHrZl92b/CFE7Eh/xTyFE
AR66jqw5yqCndUfFUCWdFm++mIZcMBB2xc/CzFdW1RZJb0w+AMB2Pu32vDuXzQ/zWAAnvsDo8E9V
N9ZAxifx1vPMUsAXxVfLrL3MVR04hyav1dt/K1FuH+4fMjVyKDzcdgQSoeg3/T9UHDVIAn9hXXLo
8H/GtW3Dcg0C4r78xTnXqmaL0hKF00Vs7/6iIQmcf/1s9ya1hEvKejhw/1SQsKXaQ7fq9sPi2epx
viUG5ZNr2ZDlI7M++LyxVuThrL/Lo8pDnaej728+kdEwBA+4G8hwkHbjqxNETtND6h4y26fLRiOn
VeVy7FBkyysvuuJZ6UZ/KgNb7w+WLEMSgYpSVxTxPQrm1crnnIWG3xQUeszoMpeg3fEgljwMY5vt
DxsWtjReNuZr0z8UpBx+lp57M2kPu4QOtaAP34ZJv0nc2U7S7tNPBz1TwkS3/YwKdn5i0zFmZliu
BbqWhWCeQk0BscVoS6eeLo1LzZfky2dKlH34EGXuh6k5sYaDYGiXH/u6291GRpE02i9MnbGGK9cj
zFN4XfUTchsCdWtzzKd5ydG9sL8tlxdRjMt+tFx0V5zQefeNSHcsx6rTxjekK8jLiRt3Z2bZgMmY
stYGE22nykmCJpLya+kTavE3yf2/hEN81ai/ULv6ONeYHf/zeXEZ9jJ+D/B31sZ04IwN4wo/0tnm
8mfOVFupDvbl+xhVXxd/kL/cvCHostjvfTdg30xK+qOWfOb/fhD+pcXFGk54M0twLEb/84f/82MJ
ZiY2s8P1gAqlf+BlZr5HopyOLuksrx27++PA3RAzYSBkaplz593zdZ44qHYT2xZLFdu6cf6il/tT
jcuH4tHgGtkBWhyyRf75oSa7H2YTl/7BqPviMkYd2Vr5PJRnwaEYa5rOs4fk5m82hNtT/89TwcPL
RwqcjR02dP+0GPvBROHkss1SPVNtOSoqz8odHxDToyfB8MwKje751RhqeRnc5TP/TPsI+2U/FUTz
HkbDip68ylTZPlbUSv/9Vf2/Ph35Hpy1Ps56888byEINXbEGtQ6csI+Qc5UiZKkZ7nu7npe/KOH/
ZbOk2iPYF66G53JnIPn45zcg2DILZy44tI3J/T6rwS2w324qm8j7/klUapMMsrMz6cJAaTuTkXjd
B6yn8z37//214SbxkmHe75oBORX//CRTSSasa4r1kEs9vYARaxg3yShKwmEvf/73z/r3ayG0UUKS
Wmnf3Md/Hs0MJ2fkFQJURtDTmANdbuJ2cVgKQvkJOXgq8WUO6fhnioG//Ox/iTGR6JN/+T9lJNb9
P2E2ag1z1k7c83BMxYtu2ACE9tI4cahg55EkaIi/3FC2/ef9jpmekbaN5wrbg/nnY9bTuBihtPMM
hx7alZCEI8GhZHYZmcnU9I6cl/Nc+CaERDS7XTK1VndkgEWLT0tkAhR0qUj03lrzd9OoyFm1jJ0B
ZUUhwP3CEsDJcqrEFFoizZ50p1FdwPwNpCjsHYuV//76rD+vIYnbZOoG8McQfXPT/CFonaqVu2gQ
NPBonb/T7+yAM7EtfuL4b69D4emvQzggs2w2zrQmEC2SsYhpxnhzyPL69eLZWZgGQzYEBms439ag
KO/++1P+vz7krfDAsMh/iL3/uKERiDcNe+7j3HXAi4Ejzdub2RnE55rTaqkL7rd5+vjvH/qvB5pL
wy1KNDlCbjvE2P7Pn4p+yRxdIn+OfQfpmclPT2Xmei/UaHm2szG/d/x8OY0b2xNQxLeGUUMmOLGN
/pvf73/u5P/7nPVvSWIh58vNN4r/54/qqzCIoDTZPx1z4ATg65EHXjul7HuvKvbgrvftRl53er7q
gScit45Y8MrgDM1JYSYO2GLEQESZKmBljBbwRUC1Y0Rko3VdeovRzVYr/sQcFce4USkPQiXrnIPv
hArKtc1xFsPeNcXJVn1+F0kUHLG/K8bG/Qos5r5B5RBcCGLexKWEo5HfeTsDtlRp5jvx7moCEiST
OZs9gwP5kAZ07yho6bHuUN+rLx5ZMtvXYi/N8hFcJgNdeBD7tV8kyG/HHV3nAVAMdZxXwmwuuNXq
xJ0FhrzOmGmM0eP6bwEm7zwlZdrTT2jbIG8xvsQaMeKEPf7l9vjzKPB53Zo3xwaefkriP09ZeOIt
88bVPOI8MHNCBiLossw98ZkVZkCklTNg/ksGzwwXnE/CMVAE1iHRhLmc66u5hhrRz2COy19KgT/f
epzDthOQw3TLgkA//4dDDJ+nSfpasR33ehLpNBU9ztSKp7W4WVX/4kfjRfrHkUj6BmYUEkZobag/
gj/eex3Qjkb5U3FEuhYMNwWY1T3m3VD9bhyj3zIHVwRarhJ52PMcKf0OjlqGl5kBYfFINLtVH6u5
8MxvBZjWMl491EbPzN/EQ9Sgq0uKqFjca4UoyfoKFLBePw1CDnU2UCavWd+r0cy8kB1H6mmTcl9t
hCHBPWXejpPlfxe8IwXsYTeByQL+BL6bBasu6iPcOMMu+GvE8b/Psli3kyKbfH8LLPTfsR5ch70e
iSbWKarIUXUNPG3pbT/6JQKc8WvqcqYohRWQZFcwlaOwa6fNyAhqa77ZTWEdTcvP/UttbchwcWkB
CBwqjEs47Yk0ofZ31CMa7tFjf05tdWQjRlqoEtvss48qZpXNjrHkb4qt/dFn7l4noEa7H6tjLu0B
EdJIZr/oh0/RaONIGQZj/t13TRD3e6TrH7w7mPg0kTOTUusv9pBMQlqftlWWeUI55Iyf+8orzgXt
U3N2Z295cTrQingb8y4/O0G+/oScxBqKrYXrJU41z59Cp4Vyq9keOilravXl9soiBB2JKQGh5Y2m
Rx4tDFk/rJ3fVm2DQuvktP1qkVG+OnU1Bj+rKkSPbojBb4d4zvOqxNqtCfUls79kCcHNcrcxkKyS
VhG2Hwch5tIMvQ1o5t7M54MbNC371XFlrsjyhy4G7c9sJHYoYX6XYFI1dp+OyHfYm2Tb5jVXHANL
WBZHuD0AYE1rbr+GK3PgOGgWm3mW3+ffeEHu3a1sE0Z57NbAy+wS7c2pWMvNfsc9i+XY3qflAgNF
noPF2MMMYV+IkZp1HecZSfLhqSbuqEk9Eapfa7mwd2ysgj5yIM7BiFHAsXdAuTbp68ALSIABJnYr
Nuh/uxNziaC9irkvrprwxOHCjD3AkSUDQQqrI+T3qWzLHq+xJgTOsmTTJNVodWwvlh1OF2c2X4No
PVJFt2Vr7ZT1ZfFkS9TvzHU8+HWGo0uVGY0HGdHxVfNqonX2Yqtd5TVcKhf/wOB7vyAYMujHmhL2
ie7y7bHhr5NBy7EaPjIjRwlT7MbT2gXjB92/H90mUxt3QKO+u9Xu2QfKKHqdAMt50rvuSnyu2/QB
C2KxkHm0WCAH2obySYscWEQ5OvLiW5VVZe20oLczmvYTrNzt3KIj+ImoZDj7VShZC9tV5R4IRTaj
c+vwDZJgUiO6xCgT9qlBH7sTpNptYcym0LmTNsSd07i0KIEnT/VIdTDIUnwTrnAB8yfeGcfO430x
9esL4c5wQJemt+7QdBpjuk3B0N4xuCQwMtiDIH/R9i6ia7mo0kuRtnCThuNuf20tk4makjgIYwZq
XO4W3SKmMqsw13SkjF2BPqwryyui6kZ23nn1ZNS12E7bymgLJVtpT6i8mHTg4cGoENdePnE1vF2i
NIoKTiEA0/oQ5K66A2W+6YzYS+kwiTbaZ2T7wxeXIVkQQy31XuSy+nAQw6K77jf7fGxSIjhpUCEe
iYe10p81coDuAv7CTVu8AF8acKctaBCj3dO2L4v1vJRh/YWZlrlCR9rdItlZyjQJvq2SUKdIZDwV
jAR0D8i7tFr5FbBQt5yiZpBfcTHiocmjQg9Hu9779wLscUlqWwDbAqQbhWSPxKyM+efDNy2lLFgI
5eXnbiRniMAzb62zHenPYS/XZsiCphqw2NmRmR9aUcoduaVdbs+T24zguGvffWr7ghVH64ruReW+
Z6ej2d70ITti6eS2y5nihlQayfzedn/0FXV7tjR70J8td9q/aF9QhjiKO1US5+V/rlHkozdBs1Sm
jPCxJdqTwUO+aBb43QbbMekqxz5sOaPQxFojLzP4gy4J+gBFrjC94YcvPGqktZMkfaCaD551deNP
t2LKvzUNu/pkJqOI4yeMUDpOGvboDJb+bSfaq4lXd7RfqdvaMvEX4gDORIXdBO0RhqVk98YuXQVb
RMZXtmHHq+ka4F9sM6iv7JrW93JlW8o5vq7ixStU9XPUu/Vcmx3kdx9ILcrG2ZibuICz63222Kv0
sEyICboQwGBgrPQLXkds1z5bVYtNf0HQ12WsOv3U3Fj1FLW19p/HXthLOoYtsnSOKbbNLqGEBHxs
kbs/Da1ZHIwI5VKy76aUp22iVIpRclvmweidhuaULYB9rBd8fkBaQ/8g3En4h7KzwiGBDtX9wvIG
inOue66zGNBEILep/RBNYpDhYbpsIwEM2CtnrGG7LdfbDLsbfoQsYU1GvvYtVHlbveC0+E7ufupV
6KwIrufFelrtPfTfcp9bL8H8y0uNLCdmW9GSgyDyEGCkZZkXL3aJmwcL+LIeoaVT8d8IP1YcoWrj
ikyMPoN+3ounmr3fQ6QQAKVc2vmbs1VGXsdVYSzBQXJK8He0FRGCVxh1NgYr5lBztU3F23QY8/Mi
jVpeBUntb5be4KUwtscAxrh++lEh1GoxXwy5+RyajZsFM8k+KWIkMaIBs8oWuunwefJk5WaiRc12
sAKB3WMLScJC4FrdLB5Rw/KsLoqXilP5B+LvEpid5bj+UStMHOh3W3nY5Dq/B8LMf3jWHq0nKEdr
Jqqm/6hoFPfDIJvuV1CEqPxGnkziswsEWHgWumZOB8zFLYdTxSxMaxmYqD14d2HE8KY9WXB2gh7T
w3oNaHnYBlv7ok8GOJIymWiB6YlJ9Hqwa/J63sjrhd8+G+sQHKa581+nqmwITHdLzrHah/eSKjOq
34J90yATy2i/W7qKgE7SgNpzbdMS8ODNfGvT/6HuTHrjxrZs/VcKNWeCPQ+Bem9ARh9qw7Ike0LY
ks2+7/nr30f5Vl0FlU+BHNbgJpBG+jLYHe6z91rfynxkraS7XhUeMElXFjgeNt6kY5ocQoHXTwwq
2mcpaiLYvEUzTve4+Qqog3WlJ6suHPR0VcXpyJzdtKOI6Xauvw6VXwqY7oWqb6MhtohY5vwO8iRb
iDsbwXNg+8UXJY1U4oZQPn7tipGEHp/QZDdV5w4RsYlEAftjwTg8jZpBWuu0zjJnssuh3PCk8Ab5
Glu+NJ7G7opxTvkDwhXWA2WQO+NWYqjcu4Iw3ZsJRR1Lz6QUBNJmShhcZU0Gat9MJu+70fnGr5Ll
xHC6PjLyYzZ26h1uOAY8uJ+b2DySup0Nq6goh+ggQlifqzhlsb4CjFEUM+M0Iu1THkJ9rfaK7t3w
0k8C4Vw3rO2GRetaYgZ/PWhdo0MwDg3zi577BOEoATTPg8i4Sat5K42MJBBd6moyyrKNGlXGFVXy
NK7sWNbR4US5IFlhCEhXHJBAOBlkGLEL/DjAAkz6qES5AQ1oPUrIe8kwZlxj3wQe+4iVoiqTcIc+
Lqfb2DCH3BGa14o1VXUz7SjQvbpdBaTW3cBgVpVVpKJuWCOYLKRVNyQUir6MW+W5QEICr7/LS4XP
liRpq1rVm2uY0lJ6IOAu/DHJrUobmPCyF8/kXrvYa9rmKlfQyR5LgnzNW5hHZve7NjwSO2N0/N0+
iyb9XopC3dhSUdWs+ijchpbQpZi2NqWN/U0J9Gw3BKEsHP5fdExONdSbu7AOBCOITs3kNckz/NeR
JGFv0wkC969C3bejU2L2gbwxWb26fS8SP3iwcGPOfsiC1KkwjuT0NpzQk1yn5WAmG+whfv+sdH7B
drweBaFKHkOpKysJvG7LEC/3Twl8bPwBZacpLUMfsx43ppl6ERLDIRGMZgMF3yVaTCJezBKVCkp+
qb8D0FrR2Eqi/N5vanTsFsC73tV6ZldXfk+/9EkP9Pwe9SNm9ylAGkB5GabP8uiHdn2h0/Wxh0Sl
j46FpDpTs8FonHdzMp+EcZU91RapWn4DBeJ7gYOvd5gZy6uCaOcL1Jm5cfa+YwM6hDkBIBGCjHni
9IWL3mbznfTj2G6jMe4eay0MXb4E0akPmnbDtMJrXTvrnwHNtNfUu5eM4393eBoA0MVoHdGpXJxu
K0w6zBVTCTnskS+1uQTjotb16muvB/WjrdT+76TJUU7lYX0ladLvz9sjy+PPExv6I6i5uRA41+fu
yTuGCu3TsapwS21p1xDVjYWLLgz12B75U7MG41GuJ5F3sxpvzrrEhbH6/Acs2xJzF4T5DMWOQlda
1RcXoKCakKG8E5ZLeBkgD9UnoLmQn2xO/UqYbffN4Ft8ofP+AV48H5VWELwwk3ElZf75aft489TK
C2DNS/EjE5vw0PVZ46poVclSi3A5+JEQx0iBrpGg+z7Blkgv9H8+XHoweMYbPQGG8Zzrc/4bhOhx
C3NntgFlaH4wTKhuR7lvu96FgFhOxxJ0VHYKSr16TW1fvoWp0tSbzy//W+P4/fNPUQXVBHYBc1iT
JtniSgBmyXJybaj3erDHdE676qdcFf30Whll351QraiWW9FNMWaPXPNbpRAPN0Qg+811E9VKcp3o
vSrdxZmd17/7hmiyVR+aln/k62JreEt5nYjibSDAdMWUrD2vsAbW7gA5kh6YrLdSNbbruEQV40qN
kshHEvTQ0w5lkPebQpdNbxcBs0q/Yr/Q82d04kK9EVGL8cIIvNbf0QImUFE1wVPtEqvtdTc2aYJs
2tzWEyzkOA6dQdIzuccwbORPzN1HYpBbNX3FOio3Tl+hHnQLwGEPdN9Jb9GhpiTHOB0840KT/MNc
0iIKjM48whzYOIb1Fnr57pWT0dCOVtzjLAPrvBoQxmy8XEwro1TDxwgdyJWR5MOhzdPcySmub6HJ
G9u4mEfn7Ri6uVzku8+fAuXDY8AcjPmbgPJp0WSD/Hb+MDZTkfkSHLqNXQs4Tz1OM+nQZJEiPTZj
ChdAeB3OSGSUpetr9pStW4vC6KaiXcYrksEKfRxIqKj2qNpGeYt4RyEVsaPn8Yq3un4U2Ob93ejR
L1r3GdmQFjEPiD2HwXguWkOYlK5W+STVVRIdhggBcAIot9z4qTx5O13FWuC0pQoJdlAztBlwMhC8
pN5IaejT9VsnoVcgG2zjzjpi1+izA80PQ7/vtWgoNokOXfaLIMK83FN1NjIznDzQNxjde/IipUhc
xfAP9RUoe+NJLacqQedbDhW98tbLvhWKRTzG2OgtG10AHtUmj+ieODZWOHbIHZ0nV2kaA8mFojbR
3Uidah3Y/TDvBjw9RetxiKr2luzQjAZiVlYnPUKqj4tB6ca9CQjIfGwVuFm+FGlop5BnmF+Ju1Qf
+y7XftSS0RbHeqD7sg4CeG0oYFUv2GQT0xUE0jWy3EDNp2mToC4Lb/qm6tkf15N40Dt9NNy48KdT
zYuVuTkQEXMVURoEm9STaKpZRtqHbOdaGw9xhE0BLQOzMMaEdndjdJGdr8A00DCHD1mtuQuTt8Jj
OMab2hDtjyLxdXI6QK4cBsVHE9sGUb1phzEyXYo4TiEgchwBUw+vE32AXju2lyrSugYrH952EYib
Qy6nPOYGeqLOtfwi71/gnSLed3gAYDNDW21A8zAHk7Qrv7Ln7atSSxzLN5Mt8lVBHHlcy4UTSlb9
zI6MOhjlC0K4OlaD4dav7dI8KW2eHNAyKQjHhZkE2HbCdovmKVc2nhL7wTaTBsU44gTkpEMgceEN
QAPvGas7DHQ7FnoFkgEaVVop3i89aPBDJWOPXqyH2niok8GqD6NUoWSSzKx/TOO6tRwawXJ74SO2
rJQAHFL2GnP4zRyeoi2kBBDPCzkIJx+6FnA8f7Cr+6ki5YVqZtpnPGj/cIw7H48yYYZ6cT/ITDxf
IqhF27ZTOZ6WStoX+MUvcHyQnSI4+RkYVf/z8zXpwwyX44HKFjbBEcgWYLCeH8+S7CIBEoMbzjLw
zVjVcBv49qbCB/ktSiHLALXqkiNR1YRYhb2uOI2tDltG7eKbavo/YkvO2B+bOmNcC8Qs7OhIuJnX
h97KRijnUg7lV3HRZVcBtmj8pqH+9Pk5LKfu8ylwBqoqmLwoQl6sqmzPvKCNoe75A9gXzAbKxsIX
tTKtiZarrwJEk+kCXrW4ErafH/otG/n9h30O4UNTD36N7zostsUwNs9bZJGtZ26yEMcN6sUYQG7d
ZzjIPNlo7ZtM7bAToTZG6VqbPlIPqY+m56EpjXalNlDAXWpGyE41W2yMelqr7thjYm0AvzW9kE3K
s2ZO9CVwerKHcbH32MFGGC1aZr9UpOsitGywObSfOufzs/vw7DMD4NoiGmEJIv5wUbVIWef5Wd4V
uJPHaGXS7vntR/BcFQWjKUJ0KbpQpmrzNO78ckIaBGKPCI2CkZL5/Gn0YQ2CH/LLbT/KNL09n7gZ
0aZQ6nBe8iHQqz48WnQj0q3qV6bqRNRV2goDkNau5SaMR1fPZfwl0DlsxjpmlT5mdaI3CBBCPANs
x/AhW4GGx2hiVv0ope3w1VfL0N+jJKJXP4cbJmyK5R1uvpQtqx41+xgJx0vB5nDdz8NjVt/68e1S
/6NEstv/baGu82L4P5k6qx/Nj//4lc15nDc/0l//5z+PYRX+/NGE77PGlPmv/HfUpiH/BfkbpQWJ
XuRBCzaF/a+6IcvTtP8y0LmBx+KffxLF/pXlqv8FX4g5y/x8sGCxo/t30Kai/IW2af5ji4RIJkTm
P0kbeyvG/v0scghAXfNmUfvzDuiLZWVuG6Iha7q7kcp77ecQf+JufIX41L+SpmztlbIxVjlWW4cu
DR1LpU6pjEz9qJbtpb3UAn02/xrUBSi3DBndA+D0hf6CDHCQNh6pGH1CJGUlaQeFT/njYDCzk6Ss
2qXkwiBoQOJd2BAiClKRVyGtVULEv2tRb2ItEemqTEX9MGhJte0qnRlSr+FEGsATZZ39DEyluvBG
LyJx//xum8E7a7NQ4Oct1pAh8pqW0WB0J6NkTzKZqozGZqLU8koml/o+rzp/LybRYPrpcMMJhYEw
oKNtXxj9kTC36qVNu/qxSGaX2yFVlF/vHsq7Pzf0fcTpAqL59gv53GICIzlolu4t9sYdzliIS/zC
lE3Rialc9zv0MiIpK4Sr6J6Mo4xd25nkMnYBWVGegyLZmArkDmEnMGLq8laHBXOf+Xl9QykEVxPU
Cu1BcK2VnGabIeySXU5Yxm3ZtP4V7f9xbfbCXBmD7V2QILwxP98/tggfKVNsk+gqRk/sOs+XUELD
rCqWiuoWg3WfOp1caToORgP9uEjp/obB0LtGQJlqSB6Cl0b+WUqNecu0uUC0SGYVn3z0ABbIcSJl
6+bGaObocI8EJLecCumFUaDwXOzYPO6JtJUQKdxNVtD+YioCqCZoM+uhML6wLyV/qRZXWFia7TTp
KfkgTaU0rjcBd5KKJD8OKG+JqMAsDTNVw2gshf4G0br2xJxLf0gQ3FNJa1j3nboIsu9M4idams0v
7heNyKRBl0oQOoYtPtRguBhBYthqkI0jb/DaQxIq1YXnZX7R3l1fy0Rap5kmCjFef3pni2UBWkNZ
+3WYf5kUPk7ZpBBhgA74Aih+ufp8OMyi7tQ10lxEHuRfmiksthhIgy1fLDtw6txn4KMIqFnBd57A
2f3t85XzZCbEWvuQjtLz52/IQtRiWOQhzJh8suksBDTgwc4fKdz8Q6SNZnGa0okNvWYOYOgNa2WK
XFy1ipJCEbKrbT8EkmvgAf492rl0RXIwe/uKwLyMycZBLzHBG9Z8zaIeLd9oNbdJBOLKlUrtdSCc
bqvq/Y5ZPu8K6uCjksbKztQbna2wyA0nm9sOUxM/BfTXr9GnFLeVwDZjBVG+M8Db3tlJr5z435vR
uHz0w1zsPr8UCxkcl0LAJKESopeoWqTmzSXTu7YCZkbNa4LBOxWaytRzuo64DjVdDfCMbtibB7Po
XL+BwdDnX8rUdC8c/8PTh5+ADYlGpTkHNS07mYVKygTUIP3EpKY8GB6Zt5nVHygTUzJtSUvoZS+E
vpd1a9pDwtFj8N6G1kQr/rxyeyVOruJ47C/0d//2Z1kyzS0aaEhtF3Vb2Bhqy6xYO+XK+GRi37wx
Qix4n5/8/Kk4e/PmcxcybjTi2dB2L2rtEeuyF2qTdvJDoW1NfMWDmVd7nFwXXr7zune+yYbJqz3L
halKlLe8gXc3WZUjUetMu08TwzVXyvNgBsjFTH+zcXhMc3W48JWcf/n5mbFQz6niNKjnKJj58r47
YAX7u00UrTn5er2Wu/F2qEkRSc3XjljvCiikLcz0wjH/5lE2sbC8lUoqmFx7cc/oi8TsB7viNMCr
6KfqSzAKd6qgIw71TytSaEZYqLc0OrXBb1VNL2ydPp4zswCSA2gQUwBiADo/59BMdbyu/XDCkQgk
MDNHdG5t5lpd09/WjfqTn6Ril2ovOY8WMF2QQuo8BEAsrdNmIg1ssYLrWVsXLX6uW70nSF2mn5VC
dzv0KPsihz4RW8g6nNaFR+rcFKfzYMbvNsYYl7uypRHD5yi/IxBVvXBFlPnT/O4xYGlBpcGzRxUy
b2O1xTobdyFvNhXxLaO58b4VncFkrVfdNK29L4DAHHqUntN4sbbBoXa06oGd5dC/ipipQWll4a6l
aGGIgdOQgWu/SmWeo9Iw+TzMqIrPX8dFe5/rSGYLlegsrCTORFsmOUlkwykg/6Vb9ojMcqEpdu2V
Ylzb2gj+gkj1Rt30kuR4yXRhGV48O4LJFdMkWp8mNToN0EXJxq4UnlTfjLdjBvUdujFC3Hnn30uD
UySKsSGZMtoxL76w/C5WoLfjEuaG7tiCI8mrev7MKhCbMEMG062GRAcwQI50zKpjyGKiuXB151N4
/yzQFqHAYDFQdU0DW754PdqxVxorNOO7EbDXjdVLVzQhsV5afGdwzDnBqA/fLtzQ89MTbDFshUqY
EF4+L3BhFs9fypYrHL1qOsmWPTlaiokJ6jYeBkmrlJ2VTOna7/x0r5UkvY+1+eLJpLXnFunv8lQp
ztBL9InTSGwlOQ0vobjf1vd/X5K3n0eFzjacCSIufn2xShpDQH4fAUEzTOprDtN2Dfgu3Aox2le0
YQxX9YGZyq0cPON+6688P6xvwhaiaxwm/dFiBgCRdpYv9YW5FiZtUhPSKbAMQDHfCHiF3Y3mS0Sh
RYKNWdzgYZiuqxieQDPoGDcmPJtaOxy0urvU+VgsSn9OjikZtgN0tDxoi0UprHHsyH43nRKIdWBM
w/ao9X28LjCwtYSz69ImSRH3R+Jnm0KnDgB6QiJJ73mIvqqjN4M206l9+fyROH/R+FXz/pfx3dxd
IxlyOSfWQLbHrTcqp6iJtVe60BlgsnIOvAdWFYTS8E2kebVBy3up0plv5tnN5sgEZ1Jm2WSA4nQ8
f9VkC/qgQXMHu66VbKpAojlJkN+FL/2HJ541BJU2rTvSLSirlgtJ45u9UorqxBLXbSvNeCqxfqw0
xZScz6/k+fs8X0nLmC/m7L0STCIXD69mVjrLSl6djCbyn41caddGZh/BnaEdHbBigaW7mB778SIy
5icAkbE7jiCU7ucXUUAS6vgatKeIvcTGlAL1zizRCoPrab7gILTXwTj2j7OOcC3XHZKNYGKHYaLs
0fQBImrWR9ADrPrSSnP+pZuvxvzD5nd4zplXlt2MqR+IjSq89sTQnAIkVJXvoaq3R8/Tpj1iQu/o
xUj7+KYljsrU8cCnJaJ1EKurjGZFwC6MYZPhb2EaqIekbn7mvvilZ0BfGmQ8F9Zi/bwt+efnEso9
m22Y3fFEnl9HNSMXQNKK6lQBedhMZY/0GSmWv7XKDtFIwUQG5vxWtyp9g7NkOHWdgBg2i2O/m4Ek
YOLa9Z68pICMr9q/YZfV/DSA/WwNO/SOcNfyX2oWpgd8pxqUcT882gVNgk5vVGZKhn0VqCJb62B8
b2BMfpfjuHxkYah0urCKBQor4HM39dVN0Hv2qWsKsQkYxTmtYtSHotRLWqSZ6YZtGuw/f64X4Vtv
14blAVXDvDbziC1eVGEObWp2QXnSPBOx+Jh7zBhLQEtSNx6w0BtXtRyIHWjYO4PJ2ZOH6vQbA8Xn
WFTphpUXAYSJwx8Mx+iOdjwS2aIHB2x22c/Pf+p5Wf/nl9qUfRiYmBNQ857fxajNQPwHUnGCHN7s
7DFB8h3iBMmZ/K6aybjkPPz4ylPNawbxCHNlr2nz73lX1RN0ZZg+3LwT2wz5uR1lKCw0PqrQnkV4
pAXaRnUpG+fjgiZoqGJ4MWRCVMiKOD8mXD+aNWjwTjmIB5w+IfCNRodUqw+XQsD+5nJaqGwpUOz5
AfjQ2SOn19QJ/T0JWvYOfGYfmxRsyjCIs0PSevHqn94+28TwxVJNLxFRyeILCcgxCKhB8pOobemh
L3qogohLHNj63ZpZRHHBzvvh20c9DhJWx/hGSik72/NLWddNQ/BbSNejr8zdpFTIgcOgAxtZm04B
q82JijQnPRU4x+dn+tZDOvv4zV0GHS/i25aQ3cr5oQeIqkWEw/EU2lL/bSjD4WehFNNjkxk3amlo
W9q28iYOybOR0IZvYqMw9kkA2L9QpNaRiL1ZiS5rn2FSzijbmmwcqR8Y4GH4IDZiGL5LCh8dT9TV
LoM66paM3J8wx/tPrcVshDQtl1c53Ghlg1qermC/S/qmPQIdvKDU+PDEzueKWoNGLPaxD1K0ogJP
1Hc8Rn5A9KwgdBMTfScocJNx9/l1/fBCLg61KN+9doQ0pbAAiAIRv5TUz0U2hWwb7KcmKJ/VsVEu
PLOLgRZrDrskclZpxrJrsPj38zupdwq0IwTHJx5V+TDMOEoX7kX+jCIbxz7xPVDWgmxd9eodjPpu
xRKR38gpU6iqgg1PvBPfQUlM8l5PRowqwH8kCZW0HWGEKHrNPMEer44lsRHOCD2EDJ7m17ytWBMs
mMsQdSbAmFM+RccS+UtJFsKhSdFjf35pF5vB+USZt7D6s9rNc+QPLQxpLPJctPEJvsy6YTVEwTqM
bjfJFYgTaVjZGJ6CTmtyIISwT/Xh8fNf8GE5mn+AznSIn8GXaNlPSPqO3nxcxadB8rBWBJKp/yLe
gBjkLmq+jn0abz8/4KKB8ueUBS5cBjIMitgKn99bGYhvEwG2O2lhaR5E50HmnHZGzlcZQmy186Vc
v4F85a8KqO3ASfUJJdVwqS32cevAmTMwZYqG437OUT3/HW1lW7RK/ORUwdDdtjbI0Fi3CGLCuTY5
bf1L9Tysqv4g1l5Xe7g3DLrpSHDpJBgwzCoBNuPS7fj4WjPFYwvLsIoOixCLi9PW5GoLychOSmiA
MbOYlEw9+fBGLCn3n9+IxWzs7UbQjWdjyH6Z/smyEWELmV4W+4VTUYNbyUUQ+7haBtTSBiS2dQcU
+gDpm3AJwRtWEme8Qa/ZHuBpi0PGMNs1dEmjk5BF8RaOcO1oSe5x5VS6cGBF9tZc7LloDIydhwf6
kpH+Q5nOhHGWqfG9RihIV+78BuqKBPg7oN+oi9R0QHuGG/qc4tIrOl/y868Kh5n39QzWWZLMRcOP
1YDgeHROp07yf4WdtetD8ZSXGj415MC71gAQmQehd69JIeN9r1W2uP/HrzFNHvCjZPB8ft/+7gWa
LcMW9lwKFvY/5+ftTYzEQjvLT1LGljuNE3sN0jw6hIX5QP03XWfjbR3V0tEqpweY/+2uu7QRWVT2
NHF4TE1aOXPvlQ3goqjwJaVVpSbv7xX6Buu2ISBdj+XfqQFlM7Xqaot7WWy0rGvXKa2sNO0udM4X
OyF+AHofzeTx1ZjtatriGmjgm5jmydWpaDrTLaY+Wed19JhFhDfVhUQYaKCjIitpzWrKJUzH4sH7
c3CbhCFtfiropZ3fADlpDKjWRX3CVvCqEt9xRTM8ffj8NhsfrvFc+87XmJO0ELMsnjvTwIRY9GZ7
orUqtpre+5uJqbTD7ciBBCO/opIyc/xLPkkQIQBXPez7tUQ284NZTPEpRrj5w4zy+CYDBLTVlNhD
elb43/xaDre6ApgW7RkorZmnJdAHboJWJZs2rWGd07DZNb1gQJ75t57X0zdtu/o4BFa8tZTguTOT
dKsNwJvghVU3ZjySL+710nqMRvs4TUN+HQzEK1uAyR66wQJBRajIJlBrgu3KTneCIP9eksI5YhEL
QaLCn7zyN59fw7f8yHfvLu8tAlyNjbLBA0MPYX6M3u0l0k6Jaw2v3Km0wxcNeKer2kTmJXCsDScH
sjrv6UXmRGAIt8hmiu9ERH+Di0wKahKHPzFCN9cYTYp7gdlu7QdBjd8syMnBEOaxQNhHtFHe3xrB
SIhOZ2QrQwWXh9d5BJrdefiKKj/ZgV6UL5zah2cQUA59XBoBCNMZ6yyeDmRuFik6gXxi79A4NRLw
+4xk97t/fgEZsSAJRhc8K/AXF9AM5d4evEo5tQlR50OIccxaSzTKwe9uhNJ8CRDHSoO+DVn24j5z
uiy7U9Jt5j8Sgp5lKVis8RpKgYNjiES9XVI1D+TVY/jEy2Bh/NTYFWj9o8EX/8JC+Td3n66sAsfI
VliuYAyd3334a/5k2o04tVaewpaNfbcSOaW9rg7kcmrAjCusU2C9O0J+HJUxIVj4KL/Wy5pEOZ3O
ToebxS2ifiLeoj9MgXjpbKvYGq1hH0rG2fedzIBBSHLyGtsVktchAyevdhABfIMxp6r2uzyykwvf
7mX7gAd7rtfYQwIYEegdF8WLEqHeDQJFOg3Q8DaehnkbXAPYr264m6auuK6kwH6sTWRnWo/Gs4dn
e4NwenLzkclwqIebUpbH0ikn1dcclpSI6dFgrnBHJ6vPH6JFTTPTblDCGdY8paGd9za/efcSgtq2
6t5u1RPcG4VGc27vq4IgHBCX0oWtyt8ein4h805QQrwb53fcH/sJ+rWsnlTQ1Oy/ymRrI4bAK5J1
p8/Palk//jktzmt2R1A+y4tSbTAapZ+aQjtp0dTuYt1XVunod7SM5CP7X3Jr8nCfiNjfjor92BCQ
vsN3XK6a0CduV+HtkKP8n1Xzb79JAJqhK4tGjHXh/Px1LAUYKyvtREzHb2rpAk9sZ3r3YHmtC3d1
sXH4cyg+wtxQGkOMtM4PFRtygLO11E6Dkn6VbHl04iw0V6aEq9/K/e5w4XLP1dz5Us4KpNNwnts0
hFAsFjxA+jzxU2af7FbLf5oSKCqICPEqC3VQAEg/leehV616FQbZbvKE9CqMTkxOmA0gfE22HHeY
rdc6Uq4nSba8/QTiE9N2JjF2yzGBf/57F5tmLg+9D6ZKQJHmIfWy99l3Q0o/cYq+TBo4XWlS+xdN
KbQdGiGNYZva7qssNC5URcvScD4qxjRUWYzBZu/UYsXrig61eJeWXxC2m/soZ/SUZmaxAQc+3lYN
KpCsHbQfLMvFCs5sdTulpGbpKN/+3K5/JMy8Dl+qnAyO5r/mv/aSF2MFKL35v/919m//6+SbJk/6
/1++ef0jmSFRfxSd+9dZlcl//0e7qeh/zSoJJBKQ/5AGzf37f0k39b/YZKCWRzjBFJvZyn/+x7+k
m5r5F2Mtbb6bzBPmb9n/SDc14y92cZjjFAP0FvWw+CfKzTfl6LtXbG6nElWuATZk0oK2b/nMyr2f
SiRbNShfaF4JEJG9vmoNzyWI+D5DoROOPxpNu1OSH1NwJ9qvEEiB8Ttkr94DrthqEQE30VUKcKKu
vxAzS77krpIfUe7v5iinMFXWPjyzKkpW3rQTyv2kNq5pPE/FtRnCv+fQffGATr5RCDk8SsVLHqxs
aa2MO/+rOdzL6OuqB77laQeJcsj2JPIQDTXHriK08wgjpdRKtmaxNT3fpbN3yPkjKwHfGu5FivEa
6IKM1DysfiVptKrwbsj1XUFaSqP/0vM7Mw1oOFRfwAKv4uL3BNPEs59h0DtKWv5UIJg08riXNCaJ
MVJFf1cZ2nUspxskoM6QPov4J9t6FwKuyxTakVrVMVkUFc/Ne3tdjZorxy9qUVzlBsgUdRt0PwYt
fzSEvx68HrEEwwe8rWQwPtrQeZTC39DTOvplsIYKtlEGZS/lHRex2fRKR4S9tm4kLDZWsesJkFGG
30OfboHrFtb9GH5HqtrBfNHzb61/DEgXA2fnyDGB2NVNCgVFs30cb8QeeS9g8dMRy5q6S+RfyvQi
pgfJ/qGYrdtU2lpJWzcYfxoUzI0fklUbPLQigKe+Myp/XcXxVq4hVFjPcjjtR9IM24KdiC45rdFc
0z1Bubr18mBNqlc9KCs7S1x/irfE9NwOpB+Feumq9cCYWIForW3HrnQLs11XtKitobgBzO/g0VfU
HOhAj8cISpoEeFmU66D8QeCFi98eob/uyse+I+EiqLfMcdy6jVbsLo7FDI7Iv2ilM0SvhNu4ZeS7
CMBWerMfhO5U1Xfs6HwG4OEa9HEj8l0zk/urEa7I820kxNf5rkkeH1xlV/PrvVlv6Qyshhnp1FtX
ZtodLQqpzNPdIgu3k7gtGmhH1tqn2M3U5OCbj133rUASm+JKrD1OlN/AmzAf0Te+K23rArly0+xb
PCpcJp5UbR+FL3Cm1gVpN502rEreNmSfrl/CJpUrZwpi+Nfq3IjZ1KW20cNpBxbESe2eXw9rRRlW
IWEOmfaSxuEuA5DkDNm4gooAx2nclFAuzH4geUh1E+vOrDhx+apTvhTxcIvs9d1KePfnY/1eM2zN
5de/v+H/WmBgnVGYzDrQZdVKLJBqB3iaiNL4HeLsqtOvMeVz70HT71eTeudrmmNLaKgqcaUDHh2t
dK10wTzO30hev80TbzPwPevgcXa+6fj63WwUQ6DBXwMRpPzMhtOUOHSBml8BLMWQv6OQuWBT9I/J
Ss43PRlZ1Qxy6o4kNk3sQC0JhAJmK6E4OgZnS/uOHkLVBnIwH20pX6u8zYzq3A7NA9IhMV2Z+iv0
GFwU0hHFZZnmmOv3UfADhhWAXaeLt1L/kMzBQ6J2qeQd07ytg1OKVcUYtp9f1IVl8+NFnQu1d+U1
g4eUZDou6pR8lUlE1XPyjAuC4ocYbPz3kYSUTH4G6TMRZzKSIlxe0sS9qQqW9xXf1axWR2DEV+r8
J2SglgQM5NaJCcLUICuPgRsPK7++SwK6MD8nzUlrdwqstTFTiV1DPenmPpOeS2sPBzHOb1kqZPVR
Dq9466VxPxhHn5xXsgpnoKC5K2TGM+2Faum8gn27cLRv0AjR16P9uRRGKjwxKP1Jpq7sn22TrFrU
GHAQiT298Nyfl67/fSDNtDTIk7piL++Q3yatTLScw1tGGgpcM/SRYtiGYnfRso4KY/mSzRterOO2
KoNVoqV/fjN6IQ8S7kvUL+SzZebJ8pR9WPc7PwUNZnarTAfNhCJaibTnnohgvMBbxdjH+dpAah73
14lFrAwp4E48Rl9FDfwmTjY+XJgxSZ9kYlt8vvMMCvh2prsky78gpF712mPAy9uHzatUYcAtYBQm
5T4EribPq3lbwMC+6esXYui2jTHeEUtTC2LZzeow3OryfSnatUaz1B8BpigOKuKVbf4eDbLsNEaW
vJiSFTsiqhy09qTa0G/xiu8dEORcHq6GpEHdzVLSw9CpEtr2j7B9WGPLfcEkQQqkHV7IaPqdSnd+
XB+qYCtqy+WpILxiAKF+gw1MzYn1TVX8H7B/+CCKsiJD5EEmH1EUjtHsLBBZ9H3B1G4w4zsg1h3o
mI71rYOf3hdPkvE4f4ZxEmyN8SnQTfiN5DJAlLeDyu30L4U1umFIZoF83YPrGMZXRb6KRbkCdMXs
5WGMQrdMXkeRHuSUcDrjMLaERdu/hfJqcQk0ec3kkvipH21MiJd1a6ExSm+7ZtfK+7ihVaiwVE3c
+ic/7lZy+fYFSPOnprVXpTBA1oWrVircWr3qlZVGsoVECFEKUy4R8HSADkzIEM2AJCXeVnq6TiMO
wJpWdT6wepKjQlo86LBSlzl1m0wYQGCTtm+m9EEkzTbwBd/PkATWDh6Vpe9mlFONdQWx+cjJayQr
2XzaJgzwfvSikjsnJ8oRfTyGNBenf0DvOFFdKAdba3yJgpJYim6t8Z7kKus93z78FIZ/lZBOBiNw
jf8VnCdxZebarvR91HmYpx9jazqgKlfrbaaRoYAKPseKYT4qnr/u2nJnmXdNq7OUW7v5kwrNzkmH
aAXOazubgmQpY9yInsxEkP0Krf1+iMGDAbibYRiTvZHjTao+E5CE/oK/hstfowfmG8LtjGOHXzMG
YQpHaG8AUsSy4gCrIAOD9pIHGrc+TSqpA9pXoiSvNeDiYKEPSkED8ivsFEIbNIcBjFvDRhPJKqYr
lXonUItbIZF3DSWsvS/bl37QqL56t5MZC8qHbvx/1J1Jc9tKlrb/y7dHBeZh0d+CACiKlizZkmzZ
G4QHCfOUGBO/vh/YN7pNikGWa9dRtbgVruskkInMk+e853kJCaBxTc52crt9Rx+fQhSrl6/DZBOP
IN2r9Y+VKcKiwU+rjHy9ea3Vnd1/bMS4yYxg4tuKDG2zdqtCVwQj94w3HWs1CwpPwaZJv068e8K/
yX1ZgM25CXGd5zsLR6T2qXWB6muYUO4MIi6A2cFSehzUyqOVfh7mR3R61zTAAK5KHnJIe8sY+xpY
C6HfRZhjOI3YDd0PpWa+zOdpoJEIPyg5TXuAPA9rSLkSB9ckYol9uomgIGl+VB3wyWanE2vK/M60
VehOX9Q0eaIzKVg61bfbOCS+MzqaIm87L4zdTyNJx0Ukfhq/6g2hpiV9lTKKovkuegyCbklAKunB
ry3uFrQiTLPDUr0vcr4X2kkN+XEhHHWHz45+G7PNduPnCNGISZ8AGlG/N5cQIBV4ujmQ+nOt7jsl
bCy++XElBl1XJAgjUPSGfq/t8oTCCRik5FOrJPsYQI6s80/eRBtCVABjsjD6o4KmFXeOE4d2K6mp
LFctvDOrwlRRkm8dzKBMsMyj5XjG7ViNursW5+bYnncZLg6FfW0I4hYaHWybz1h8jYXcQte7ZraQ
nn4asieteoWzQwwNUtcuAgoS15Ekdso+Ia8Mlxq80UMx/7S49sBN2+FJwNAfFcW+Am+1Tyi+Idfx
1UR8ULqPbb7AuCPmxdYS9R52ILsUNh1JpE089NBN5WYx5tCtHjgaMMKkG6l4VKd3SLCBzV6P7rtW
+aaRSV5/Sk9eUwPfMRUBLrJ+jD2hLfiltSCs6sD+/Zim1aeTzxZmp8Fq7VVfzk2ImGnTWtByB3OL
gbQfa3D/OIewP4JOV4SxZW1057MlH0pAy7C+/SWvUYn+1Ppl3fIGerw42PFqwoDaoknEd767y370
MGuGV2DdwrF9F/VPubobcA0ZxVU+7kb1y4QaMe9vWmwcG6e6tsw7BcdL1GjTB4Hn3riL1asm2pv9
jTE/4KfdRjBBdJ7gxhENjc342KnergMn1Ckv3fwccfci9vEsDNVQ8eX6O2irGOtcTe3XpfrUrOOU
Bf3+2VcF1txotV9RHeHQXPnZp7buAjdf2F70bTc/CgfAk+QiwaL1VHxhM8wvYtUfZhBXMsCCDuhg
7MvGAWqFInBqtwuWZ2Ksv7rpLsf/FIDaux7/X6DOJnfYPARL+ajV17X9fsQ/wfmq6cWTht2qqb2W
cHjl6vNYBzIxNhhKBeWypThFSyAXE4iby9d5xJBq2QKpiLgQJem1MSxUUEPXRYMngghBpVStjXTY
wFcaKxwVDwe+ClBy6sNWDmaTU5ulinHdZuHq2tibbAxmbTUL5RsV/baNQCmSjk/gJLOZWvj/9MZu
1J4Wz/ygYzIMvpWPJb/KBdbdrrdpPOVzy1Y/1eOW3plN0jzM3c0wAPLDV6mImhutIL02wuVYqxgJ
vY7PXO7fGzT3Ve1TNL8oinzfGeU1FDO8Gugi7PJXlXpT29MOmVxXeLfUCI3yL4oxgAXwwgoxq1Xg
uaNWt16J28HMRpwPgRVxnX+cjJ5WBov0whB2BvcVlnVjjxsBA3N9fldyP8Lcm1TmxlZ7v27jq6HK
HqFNspush1y+hxhCk9+0KccopFQU4jyN2ilAk+KDly55P4BMQsFiz6jYzLxdgycEOMbhXt3qehOi
IgMlgSHgiKHkyHneQOf3yqBSd0mZ7XvV3OSNDPIkDWVBJFfjLsfhW/tYORCc4L2M+3Cpzu8VvmUM
S+nHeIUYDA6tQBsdBZZzP3v7Bji3a+DtlfMshl+ay1VsKpRuSpa+dQXWYrP2tNFQd2Nw41ei7GVU
LX8VPoEVRInc7Myu2JYqLo5rlGJ0d1k6PxmNCgV/p8lyKztQfAWrR8W4Mq6DOkJ2EtVBDiImKv2h
y0IbE+oFKhCwNjub38N52Lh5edv0dyVWUkMpQsinODdW3/SsfT8IeuDx39qUyQrQJZAYfnZsmRRI
97Ahr2M73rroaQgR/bm9X2QadmW2Rad27RGIJh4X+jh07PIniqbtyLbfVugnxFegilsdtVnOPNZI
LSOH0wF2JRTuLaafG9cq/VHZshn36jvs/4KZNo5YSbem/aV0HwY6AMeY4696ZjWbka9BvjFLXLkA
eucKlR64nEX0FeIjkWe5MyVX5XqBIv1JUAWGtRgW9dNSPXEp0JtuC+hkC9eaPWwrmm8xdIgK/tui
PMci3w+mBhHqOXafy5yQchqvJnlrQCyFKFncKShsJ6O7Xvr2ai20koSzzGI/Ejrha/a7LvNXmWdS
gPz3bNr530tOX73Ua1d+d/xXHSS0u///64/jl3pt5j/4H2CGaez/MLwI+fGlG4rfye9//p//7h/+
k0x+lA14gB/1UPXr30YbZvVnnhlk2B+JgzdYAR4j/Z4eZKZ//Ru/M9O69S/KFDQgarTveeBTyD//
k5nW/uVwc9WpqRG9mLRZ/E9mWtHsf6EtVTWu0C5ZY0RL/5OaVnSXP/NISZOaJsOBWOJvctNHdT04
4Ot/OLkwUkCzdVzHb8hc43Hexxt7FNqHbu5ZtlYNC9nVt3+8lRM5KqraB/fnVQ6HrIp785oJB/9m
H92fu1aQJYmR8uC65pJ14BicVIbOinJW0MlHs8VuDScU8aeNU0LB9mvP04NTRtW3pjeq9zWZ9E07
JCU5ZyvfjSYX10wvuRgl+ouHwm7XNPPnFM3ivkN9d58Oeh+g0QOjWUTmF4wm3Qe8Ld9T3/U21mx5
YWeNL5KDGIuI2PiRol733Sh+jiAEkp6Eyki1ukS+1aeIyBGtuilwIy77d13Z3wNt718iI8rFhgah
765FdjRdOUdppxBDAeksRjLTAEFHGuCc0vPFIEz8RYdqvYmSvTJU9uJRNEYgV7t50TqATRqQEigt
ZcQt2C77+GWJ8wXf2DmG1qR3bKmG1as6N2kjBsv6UCqeksPILGHWqg9eQjZVc3d1mdYRSCk67Yt2
r3orGn07zrWkPdeZ8eZ8lnoh2KKmLB65PFCQvRPYZd5Dmx5+FHNMOA8j10yRWlWgqOZWmwlLBvOa
Do8sgWtCnxt1iF754sH3+rCUUf1zsOsU2hI+qj7G0LCrR21t48gmaX3tlxb7VCjBlrfxErw4N9pU
e/HeSgznWdYVN6EZ+vCIWFEFhKYI9ndCnoia49g94XWl5RDbyPrvzaVr80Br1UxyYUFQirquJ/kj
sd/4TK4h6/dKl6Nvx2Sb5QaL1PH2NdS9FVbvcergRzhYYVyu5mIeA9cYmVstbVUl5vLbpo2TvTM0
ysIdPoumTb6I6pNl17Kn18LuHzPVmryN6UFz3aTqYL+Cqic7sRSYVW7iHoi0r7k0OGyIszjPtAUX
SG6SHSGLIVWy0zUaq89dRi+MD/EazPZQVsrLGEG/3Ii00H+6Ta4sV57ToQTG9Tje5OR3UShliaf4
o+cqI8o44e0XsEZQacHoDhtjTC3ujcq6cmtDr39kACRIAEUt0P3OhVXrTA6+f2Ki2Yf/d9/+XPIV
GzE6ETkqpXJaG6vNgvhQh8UxbkfhyT7+0PUTbjpf2ZRk073kgo7DQO2T6YtZKMSCq5h2j2cT7W+G
nXikcTu4ZqSxCq0N8RCtkn1rSUG1qO9LVFNG/ixFQthUGGCht1KjjE5aHe5C6OZYG6MSzSH2KXaK
WYiInPiDYWXuD9ZEal43XYRSWivGnF3Ewd58De/kd5EoiRn2eo4QCr9xkYb54LKbsHzKL/miKg8A
onM3mKgc3mETQxo67YzC9SH5LvqVV7NmNpOMpw/lCMRwk9INDHWiEGQApGn0n7J6GJ4wDNWd677O
8etkB+Oa1DmKHLnrWVQA7AkdZj2r3UtlazArZJoOYVV5g9z1GJIhYKxNqw0NddSze3WkTdbBmHv2
k3rMcVqsK6p6iaKQRdPa9FmdIRw+G5kHikCzhh8al7mPsCtLI6gnc8l8RxmhrDfU28kpjGVsbtHh
JwphjZMUCyqNsJV2dx/BdLRR15KvCzWrpIqBP6/4SI7TxTtvbQInCdbEr7lRxmmYlfjDEtPSpxUM
UTbmoegL4hW1nOvhTjUliRavnHuH63xEfs6lLRAT9iQVZComDI19uLSOvvfAMTTXLcK4JRyT1ACO
31t1G2hZpj8PBVVZf9K98SqeTanCW8A+Em2PqcY3spUpOUpvkna4VGo/c/tQW+VRx974R59HE3U/
102wt5m9Ed+REvEYxbrpGe8BAl6Ny4a7meFX5X6qK5hWTDQru5877mG4sSJlw+64Zh9I+LHY1ajF
+KlCSKb7sQoi+LbwcOn5Ws+x1b+4QqvK13asFqyNsYRdI+W2tXRYf9okPnoAQdwPHZcGvNR1qyqk
BD6PrpYwvVGnBzolIPLJKtUIXScnWmI+FXgkFIGjBBtLH8EBvP9N29WKcTUImU13vGdNuS5dBWNf
svMjJikGf3+0o7UxH97FNNnySDNWG6OzwZchMl4zJW/KXY/gkSpB148KuZbasaRDz7GhcNvPZFWt
HeWDtrRB3FPswbrcabunCWlJB6ieKqv7yZEyg4eDm2L7kf6syQhcqevUvKRVm1d0czpFOBntyFaC
+TObX5uX6T5OtQaeZ6Gbzr3SZ0XL7U4HLOpz0A7PpYaG+Eqt0MZfRUOWa/THpCZfVIu8w7drGqBI
wFVTa37MO76OXZULGnkVRITQJUuZa9lPg3ZI7zO9vb0KMsuzoiJoatFmP5ax1/vHZrBH/Vbi6l3e
WlajtcGMC+2alplqJ7lpOib0KhqbMnpScx2xNSmYMbnSwWvT3JZ2YoFDWk530yQNO8QYJU1u2X+n
6aVfVOrYIwa5Fq4AqnEzJ+yv7yaa7UYyBonBJU/ac/Ux9zyl33P9tn80mgktUKm9bAjTrqgcuri6
ZLgf0JR+t7QpHl4FePjkG6025XBrDkUb39Q2dpbXuVrhYr/BwKNP/IltVHU2Epdim8tAg09J2AhT
AHRMzHgx6W6WP2erNDfzTD3Ky9Lyva3Q+b0hSiHNLiTce/bUxdpB5U8GH9uPwgxqiRRAN7qCezBZ
SRkhsrbM+THT7eoLQO423kQrtTtdCuSIEZbTxAzzq1WrRSh7tq0Nq7PbAlSFeZORjsbipboDuY7c
FUhn4zcjyR/6WcwQO+j22rRhNM4qbLMqaq3A6WVzPY718qnKMwoRg6Zbgdu3IPk6eD7S6kG9x3hh
3lba7F4JnQ4SO/UmYBPWe3Rpm6pxnJ2BphFVcMe9r3N+NuCbd0nf276jspPkcdRs2wEPHzjtP/Gc
6cFykBKl+SuBKVEPn9tsru49rpl+hu/WTkCqf67wOPky56XIMb4CUBuMboXRd1foHumCReeQ0yVB
plJApI4dp91SP9iZRayH5Jd7GXQlHau+3ZCJxbYrtsmveMVWdRblhxfZ31km3f2Mqt438CvZZMIc
boWBq+iMLwTXXbcQYUKC5l7i1huw8zX7FlI3taNe+RGb5o2bzH3QKjnyjMVQ7iKbomrTtvk+cySS
CnsglZk6g6Kyi4mM+kvyOlTmEBDNccVVK1rMY3S57/tZ4MJjFp9ygQ53mhXw4N2kYnIOUZPmWOe6
FXG9yZKqfIB6Lm8jzW1v+z4T11VhEfyUKgRRGavbRPVA9NuET9gsNXvZsWKAMoAAtAtqjVqvP8w9
GgitTpoAO2Dcr5WmCttOrISIKn7m4xWBQ97yiwow3adzW7+dhdW8VrWMPuB6jk0S6paNpRn3iVc9
6VjDbhKI6ruC/AZo03I3eemI/TtWFugCyG6IerhyUlV+KqKZ6nPimV8tQlwSufZMcphKBzFY0U+B
u/BRB73i2t8wnHLujZlj3fE669bm4LxqtOmTM4vyixxpA53ywdiD98zZqtr6Z+vpo290fb3Xl6K4
rpLiwcNt0E8mfnjQRwnSgXKqwswoPcfvUtrcSFXZT17aIoo1UTi/aHVlZ6GR2eJV7zDqrU09CvTB
qr3AjadVkJF76yZvpIHXKP2AbSL9tXx2Wf+ylO6AcwCJ73YkPKVf/TnLIf6YNnkMDAstnPA8cum9
Mamh3svhNWsT6gG/rnJ/lQn49675/9c0aPD9/rjVvrnrP0wvP18OkwPrv/DPVR+pmQ0ggJ4zCt9I
Bakf/3PVV/9FI5CGfpAWc+70KyniHxEaZEH0YB6CRlNDgmmvNLiuHvrkv/6fZf0LmgkCUErohudy
4/+bi/5hqZzWp1XMTHPJL5mnSs8ql/M/xQyEcViDeSacs1mGfTM4H4ocUadbd9U7slbZz6ztk22n
Wuh7/3hHJ27+hzmG30OT8ASdgLSeTlne2J9D47XWeh1d474jUIJgG9fcpiPEdbfRqgti1tNDQaxx
XV4mL/RwKGDXiQYzg8rFRI95mc+Ln7ZNGygjOeXzT7VmK/5XmvH7qSgZGGh0YdijVT4cSosxS4MZ
YPnYeJj7aSDRb7amvACEODVtdPLRi0S2B8zJke50KOM4i5raohPH9gjzZLQdaTDeD0PVUg1yuUXP
HTqyashm7cITrn/3myck+URRTTPpBzrK13Ck20WWtZYPj48C2mCK6rpUi3qLNkBBd0dxL5rcS83G
p6bQY/ZAvTIu+aLD9wozreGWz6hpX0gONDn77ZBWu0bk3fX5KVyn6OgB6bpf5SM2CJc3yme31zBl
KW3Tb1cDYHItdoK6LW8/2AKRjamnaM7dIgo9jHRuo6YzwvPjn1hCLJx1P4BVgJ75aHJpK8k02mlJ
s88ie6fXHnEMk9lbF8Y5FK78WqqMA/ASgZiNGPZonFEdZi/OMlRzS7Fck0mjSOHa3U1TJSIAiH6J
SndiCim/AF5zNZJrkDUOp9BV5px434HHD9F0Z8fTuJHSlk9WT/b//Cs8ORSMGqS1QJeBIB0OVdCF
aTQkA3GUaX8UonGuYtQSHxIrv0QyOLVYCGFMMAZrZ9DxuozgoXeCxkSfbqcG0WimUevARvKWVrbu
sZzV2fUnq0k+qfiu37SjekkMduJzBMFF++ram46h89EsOkqlZYpOKJU0uvLoRUPqO04ir8XSwkuX
nlEEukMsdf4Fn9iAWKL08dIXiZLaO9oEarCGc6zzguuUWnwb0whecsmFbT0p+7xRBq6unrVthlS8
nh/51NTCtWIP0MjK0U18OLXSzFrSty6F7iH/XGiDRRU7t5CSuJfYPiefEVr22h8M5uB4vWpIcDq4
7kgMbPDvfduO12Mv5WvTjfZtifvC/VgoHsUzMrOXjpETT8nuY9BzhM4cUsbRdpdyIY7VBrMpbPOK
HfFgFnSal4cpofPu/As9amL4tQ+svB8bh2JoNySXD99oh3txDnCLNiXhIv9uUehhJzhsOUqXjSqL
myJKdXzGWvsB2Ba2RJnzU8Ht8MK2e9Sb/8/v4D3Dr2F3MI7NeaGpjeOS8DsSg1IrSPun0aF4myYk
N5aGEn2GMsA3vexrNpXtVhnUl/Nv4sSGuGoTPbJcDoK+Y1/0fqiWGG8b0+8wrqK8Z+XvsE9F7mrO
FVppRCznxzs1yWDhoPWsASIw3MMXD9XBG00Lg5K+Jg2rpuT7VYt8W6wql7qqT2xTcDr4XJHDrwHf
+lP+iPOWURGqFZWmX0Sot2tnRIhnanJ6sKdBXHO/t3etMzYvTjMVd2Kk/P3Xj2pqhLkcp6vRjnO0
nrkSVolWFHy1cRMFI3HyBq9psbe85BKj7MSjAkIhLgYuDJLu2CqgoUO5Ukn8+ivc6Y48bRo45Ho2
2UQzKeYUaEItNQ5zs8dsFGff8PyTnji9/xz+uH29EYsS1xJPSy61LNkY6VrbyTo4P8rhUqXjbvVD
gNZBIz5octU6WjqqLacmkUYTVgXemIZe2sALYrLAtLyFEYY3l3jNrI//jYn+Gc9g5tbeM97q0XgG
FTDcaznhYGcIvEFpxUB6UCJizy4dLYfz92sowH4OQH/wR3RbHh1oKvlLNXOGPlQb8r+ZntOHvejf
8saMgGSo2jvTa+rAHgZEJsTYF3bDw+P0n9E52MAvrZCK9R7354dCPlTt0pXEj4N0z04kDYosdrcf
VKTU8Pm0UFidcX9+Nk8Nul4QWbUolgFjHw6qDbEidS0T4aRlJfhxuuvVzsxCT13yV8fN8g/OMkwX
pvTwePv1pJ76C2cDZGotHR8OGmVF5uZ5I1C4WssGRwFrlzbS9tV2cUjgODUgnlhHNrrQRnf+eU+s
3hXhqMKaQRDOBfBw6CGiiF8iRgopYyZ+ryjxTd/QYKiOjhbit6NeOFpOPeoKyCUW5IGpnR+O5+AW
s3YGi1XbRctUiuu9Y02opGfbvinqosXD0lDExyYHZPYfPKpDwMIdl8B3vf3/uZ4wpS4dQC+0AThT
9s6pyIWTmJxX63IHK140pefHOyJy/57W1a+AnlQYM5ChDgekjmRjroTstGkMD6YNdHjcQReNnpel
eaodG0ZDAzY8xcDNS16SyvWgxHKaG5EhQ22cnOLST1q/maPNwyOFQiMp9BeLfMfhT8oVfK2WpRPU
oqcnvi9368XkGOLM6vEOhYUyC92+yWhGCV1VzOzUk4GGB63m+XdzeN7+fjVkB9UVBIa92fEhpGOx
tYjS6rBnduQ91EDDn8fsW5R1zoVWh8ND4PdIlsri5rRTiSeOZl3xKjWZAPqEZex4tybVj6sxavrn
889z6jOyUJEYa4ZovYEcvleNQy6Rdt2jxNbKQE/JLheq1J6oPQ/BrAIw/6tT/J/HspCXsE25FgmA
wwHJY7akUts+nEVRbYeFgjwdjhMOwFly9ffPZhMX2dTtdFouj5Zxa8SVzAY40/jHtyEFTZqMq57C
foyyHixduz0/3qm1YZNrwz6JDBFGH4eP1gnwXrVhd2Erxmk7OHQfNLbX+Bhr5Re2hPWvOv4cCPhs
elPAjZBBORwKxB2JkwSgYF+vRrrWUj3iP5DfFWZM2ZVQ3c80TEA3GF7kFybwiGPwewYhyahc+fkv
oLHDsZeG/hYJGi5EZ+Jed95ihmAtB9AQY7/VFWV4TGUX/ZB09O0oGHsqDdQ40sCeQV6cREV01ydq
55foQNx3dqFjS2cqSXRtar3w7cKR7oVT6kQ0wP3LsjwYymAN1KOtO9I7CNbe0OETl2u3nkvrCaqq
e6+qkrs5nik/p4rxLe1khVR79i5tXeuKPpwruqvIddH+Qg88a/HwfRVWJslhRmxdSU7PRoKHUji2
mRUHqVLbGFsvHeo6jHi8b41A5NcNQw+fwgQu7BWVeMqsxfh0fqUe3ZPWOeTw5Mq9RvOEC7/uc3/E
8mbTtGPv5E0YuVG/xdECCl3m9HsV7vxWT4WyWjDR8YTswf1Qik5+wCzD/nL+V7xdxOsJDhCF5mVS
2L9+5B8/YjQpuOHxSMrDclrfanPP50UZV3o3KPsWxtpuKVbShxTVhS/15PNzWaLnnnQLqat1W/xj
6IVMimPSVBPyfmhVs7rlimNLNa7aJm5eHWWxrzt7wnKShqUkNEZbv9PgqjydfwFvNwwYLdSyYOVa
gImOLQ4SFBZLXck6NJSGSksBHqiftezOkbW8/k+GYieFu8U7PF6EfMx13UcMlS9m/10owgrRBHXo
SpzEvvC9nZpXm1wSrEO8Zhzn6HubKBYZmTGuhtF6t2wwulJoGV99AQX6uR9uKrA3cTpcoPXWozR6
/klPzi3HJjsxEQOI0KMTZqYkLTEOa+hxThD824nrpyqaefirS6iqcfPOE4DQYtlVfrUIa29W2gXS
47p8jj55kszEw0zterIe3QCyyGqdXi+aMBvc6n3cjBOhUmLr7xZLrXdakf99iLi2DlLU4X0z3PGF
dZRjD1dJwRnaFsCMW2X0i262ECU78/IujbW5vvCa3943GHHVda7bKs2YR5McGY2DQgx/x5EkUzBw
et/KrHRI13XRu6whETyih/sPvluItpx50A6AyB2TSse6yVx9RFOG5Cu6Mgorx3O8i7cILulksQZn
33pjAW4yHrGpqvv8vY2e7Of5FXbis+XYQ9VKypZywnGOp3P1yuvivg6FOWrfkZlB1UImstUtIS7s
ECcWEoc1lSBqbKQQj7lxi6qRdFFEGwInj1863av2VaTPG6Ond8bqsqW9MK2nvp414OSOs+Z6QJkd
7oxIE+pYuhVd+o0+Uvlt+6gMEM49Rpgo0atUmOPXlh0VMQe5oKvOsiN4RTHo8vCv3zLSIvwEfpva
HtOW+ZMRWUTahuzg3kzXmqAWhtYhMKKWHOP5wU6+Zw97BcshlcaBdPjUi2uMtEmNLVS+3rodytK4
X+zJ2vEbvuf67F04+daP42h/WIk4gBANPljEy4fDzc6ChLXm2eoKTsY0WlFQAPj4cP6hTuzDZHYY
gxQ3TgLHHg40YSqpJZHdDJ4wMCY18n2E7Sh6YcIy/Nj5s002o+Oh1TDJ/oOVSxjM5kABCgubo0es
DFsk1uwQdxtRd1M26eiPyRjNfmXO0BaTGvHg+cc9MYeEEWsxk3Q7i/doDrN+dGphROSXHPq2E5kV
SDcQ2G7GwnY+jDXNLecHPLEP8EUiZDRJN+NWd3TQFKOKkkuS/WucdL4uc899309L9bEBs/x8fqhT
z7befDlRWJ6818MFYzSd1ig5XrmOUeUodHK8paJSeaelbrmJ7bq6EC6sX/nRAjWdlVGj0StAJv3o
AGOekMC6RRfqGX3Fmcn3wIVUOn5qoGLq7Xq6EZqoV2hoNIeLlM6FdNbpHwBzlgr1uoaOHtganYTz
ix8wLFH1VUTFcKO33GXcaihvGtx6Edmj0cWArX7OhP7571+3S370l1MCUcrR6NlQZOo0dDgUuTq9
hZHb4hWA+yhdS/q8Z5+/ZBH0NuWyljVh4686Bv7BXd/HHwGpU6r4u1nQE2j9cnZpvgYoM9gVVZkf
q6wygMIMsy8xRtngHJ99koOS+tnsNai33EukzjfbEz+Gkq5DkhZaHSi4wx+j5lM7eGbvBWk79bdi
zqxAupG5Pf+ST43CVZEtECM/bs1Hayzy8krmk43zCqxzZHUZPfCjuFSaWqfqYCWDYOL4pFRK3QAk
09EoNc+Ix7CuB3UPFtxV5x+ijJwrTaC4qxMj3p1/qDd7AtgnaG403VCo4O0dbXtN7LC1QbMLhBcj
feTreHKRnPlTS3vHXw9FoGdSriXUVlGKHM6SN5c9mTepB20UL3LTKCm9ulBWadCea1NmF87jty+S
aYKcRyACo4JS9eFwlnDhP06mgQbU/q6U0Rhak2y2YnSogZTTJSzgmw2AkSigrbd2UinsQofDabmM
jcWZdQovSRKkld2+z7Kqv1MnGvDVuuv2aH/KJIi6ZNmNQijmhd39qKbJHXl9VqYRZ0ELV89VWnXw
STZ1Y6XmoAcjm2xHO3JkS9+JZvMzYuwB6g+ixM/YwJsUw0rcY9ADZZJ4GLhesjFyQUfo+Ql/c56v
P4g7laY6qMDIQh7+oKlpl1wr0Om7nWJ+dRtkswKa1v0KxJZKtzwgJAGhM2vWhZV2YuqJQmkx8wCL
kCw82pzKzu4UatdqUNSp3E8FfvKtGvfvMttQtkCb7AupzxNzT26CBAXVEyC6xzGoNyygbAd7Ccim
kTdpjZ5IZeo8lMZmVdm3Xg196gZTdw1WJMJkA+9PncTe+dd94lNesW8mQgFyJG+st6Q26GXFxhzo
KNiv69ZBhqxKL+TD7i8M9TbqXkU0nO7MLIl3jr3DqUUIrIlYdWVgUJMDIZFAE6jz8Z0cYXmXHpm8
URmrcFkmSTcnbA50rN3fzzIBKVB7kPZkuI/f+qiolTMCFg4GR2uv60hD9RGZadi03KWnoYgvbCgn
ZpkkIoV6w0IbQeR9+MxN4/TdUltqUHLh2DhW0t5qSqvsO5eOpTkHfBXmpVc9oA7BxzWKYte58NpP
rGukCmuUQzJ6xVMf/oKMnoFZXVjXZMPyva72+maOuuWpmvXlhQ6yOr3wik89MhcM0hLkYKAMHn1I
MaI3L2PXo0ZfutnHPDaSPVjg3PIV24JcQwnIbQGfAP7adIum3ackVr+eX9YnfgM3Dg4OukNhgaP9
PNjWksxCHwCFOMBqIduq+IySohGFfQW9rYGdZznioWj06KrVQc8WMvkPjkhiCzBH3AoQFBy/BBNU
G5pEQdvyNIDyGWi+q7UYvISRTMH5Zz0RVpkqGd9VLUYkaRyHkXM8FjQhuWYwDzTjwAdcjHBi/SN8
F9EmznLnS1cZInCxLtpBZS9ofFA0670Ujggmq0/+ymllPVM4yQzyjfi6rf94dIhK0nvaSAEvsMy4
uY1TiB8Es2IzjEuxR33dgD8S4xWp6Uuv4m20RS6KZC9HCDU0QG6H054bhNOzN1vB3JkpfEVr3Ct8
lhdUsm+/KCKfVXC8ri54lEf7WCopbDepSed7auoPbtzqV8jEwbobrRnkQLrjC5/w202a4YhWceOg
6qIfl2WVpEPnbNAYMeJfuTpm0StodClgg6XZnl9MJ4cim0dDs0ML8rEV41QMruIWFWhI7Ol8F5M8
MBGJAxUMzsv5oU6+RoIONiXaEwknDydriQX9wkmE53pOe9CQxbgkFNg7uNHoN2mWXhjubWDBS8RY
A//51RjxV3v1H5cPVVdo5dO42OmybR6RAhdbPt3G7/Uu+9gsCn2gmhFdYQCfXdgQTz6oQ3aLTxO/
qmPl4QIHuDLGiXeaatC2Gkyj5ilRb6u+gzGRK5eKMSfHoxyjQl4lQ3tcStfcOqLJRLPBWWbTzsE2
/NGLMVvXi6i6ttNG/Dw/kW83W1Jp68e++ipRBTrabDHVTQstZ7wJN2UgCqBsEmmJm2kpzW3s0aSn
DI3tu8LLr3sN5/Lzw596XOqeJLbY70mNHH2O/dyURl7wevVGehh6gI1DzBTTLeSZ+2WOL1XH103k
8LIFu59eR922VqnWcea/kRNM7VEAqogyQctjpT4onW0QMvZRQG8LVCY7vhQWnxyUW5xNIpCC/HGa
y1jQp2L6Z8O678y9FwMwSTICqMaV0U4qY3s1Nfiznn+zpybW4UbJdZ0L328u7x+fjEabm9dOlQUQ
L4JsNGip2HYoUsyNloz2a67G5ehDbsuRxqQ0GJnCSR7P/4RTk4v0b1V3cgF8U96GBQrLPKHTTY16
a1/Pxhgu+KsEdJf3wQBL5OrvxyMFxWWMY4T099HZ5dFNVpRkFANFN+QPehi1LTrP+gut0C30s7zO
v58f8MSGS8YLmcCaHsAMYH0Bf7zjvFDxchgMKGcdoLkhkenWIuwN4Qf8OD/SiVdJlgAEI9+JwUFy
tN9i+VkWWr04QYPAOuuqb3QZp2GaZqWftfal4v2J0VBbo7UmKkGy9YsO+sdz1XmhgOtRnUAdoEAM
BpkIZwC+1uazALyXjBeCjrfjsQPRHINCf00XHGPfBX2hpa2k8IqlVmwdDmjAbAoE1SyjUzAaL3Lf
304cdm6Uvai3kz3EzvVw4poCiLuhcmEQldR/gBN0YRN35Qfcz9T36mKYX8uiGe+TJIuv02Zo86vI
8ZItTrrTDXcBldJCBW/AjdzPBLBcc8/P9jqbh7sUJyrrioYpgnFm4vDneYZCRbxKooAOTnvHl/nf
nJ3XzuTGsqVfZTD3BOjNAHNTZFX9pp3a7JZ0Q8htes8kk3z682XP4JwuFlHEvwFJaECQojKZGRlm
xVptaC7l/PzYyt6uc1NsfD8POTH/rZWhmSRTGAsiVPncXNsBZQGv8r5CGDE8j9p4cILvnSBNOB4Y
RA0QfKRxcmvNottH5IjkVSGHCcZSTXFtNii4JLW8pA6cvExpHSFId76zTYGG51Q9cNyeW6O2lQ95
6q4w9OulHhoQ04d5AV8AYcZRg2ZnfQz1moQo4OBUfe3WVDMFK9BRRa9YpvJlZFb2ZLsdKsclY8rF
rHevK9z4BwdlZ30O+SHuh7EIBQW+NZpLpmN1eEEA2TGjauowaiezJ75U4zgedIzv3xMgALSCyEIp
uAJdvzUV+FPiiMRMz5M7wosyCefSaXP1G6SPjGzSwLUuyxyP3dlbx+F97+jtwVp/wLc3t8Lh1Qaf
QnbIHza3gmzQnee5zs5eLZt/YCvrmV1fRQk9pqNd+THOBYoWQIDSN/u/dFE356FOmhr2qQXcwsjz
E8y2+AbXRfq+A3JzfnyfNiQ/Kndii8DW8yaQ1FH1vN2ipiytOJFaepbTglJgb1jZS2a2GnRhjg5J
+Vy2p0xW5qd1NtsPzF0wZVznadQy1fa9s5rlY5AzOGxpoFSl3sfQatW9+Ghqaf2b6WgW/JaBRUez
g5Pr8U/f8j2rn676YIxGUFmnF7a5na0N0KeKR6h39PpL08JOa3RFqoam0rD2QAWl1TBeC9Gap9kr
xitEBRqjCsL/UNZmcgY/0h7s5p13wv8xWUhbkH46/9wEpgo2xnD6akOg46XPSV0MEySiFBOLYLA+
Ozr03o/3YM8gV4hHgT6WKvjcfr14rBtNSM0OqcjbT2Y6WC+tMGXkwUb83E7pkWbh3d1l8g0zIHYp
qrn44Ft7XrcK24kZqlIKW5eO4RVACqAS1hmSzzcvjegaKwwnWIDiNntJIKzl6EjB3TZ3Tn8aqB79
O1gb5rcrbY7qJhgODO6sDVEY8glSX4Ch20iM0f58qNrODqUm/DOjWmVk0bMObVuIz4/XdueXsMCt
oyioVL0Blt9uo8WEPoUphi50iPyieSWrNpa6PLeVt8KSOw9RWS3N59Rkzt9PqiOA+X0RHvtwdnBx
mBqgWbQ5NikMmdbo5gx9MNaDUheiCCif9Bd4qobPraZBS8rdiYdLZszG12CYl/coK3RPCYQu4eOt
UKZuHKT6KcB5GKqkwEFX+3YrWvAPhpcw/5KYQRV2LVyW9VAPb7+YBA0cJWQ9qDxvp7Z0huqRI2ts
GIOT6QJ5bnvSwC7CODhBrd5YRyni7qrI2RTBPydqO4q7MCLiSSns0KKh8AxXWf1OdFN5sHd3z7fa
O5IHBXLDC25DUGOm5wb/mh3iZ+O/Uf4xIcRWersFTRMtBDNvf1oAGx3MOO84HWC4pPqUGBhTt9Xp
/inSzokCDXvxrDAzRvdXhDor5DJg07isdmfk59Hqj4pE+xa5KxT5qGxvcXa92U2Q9jG6g24XDcaC
YYglnZlstFaA6jnCHW89lBZvIUkZFWWmP7btzcr0itWssWei7niFzmp8pt3oHDjv+8+HFXqMimaP
AGw7T2MHcZJSq2YeCsK4j2bvwzIBhdeHuYVoJnQWDVKYRh+cAyDh/WYSfVmkSVwF/M8WRkc6xKWG
VImBva58EnGfP9n67J8zP9ZfHb+UB8tUN/j2hmMPdUxKhkhkOc7mzaDzXgXtEACeHm006D3UakRg
eufAQEWPzh/1OAea26ayj2bbdvwcppktQU3D94DqbZzLAmXqDJ7aCh2zQDN9nL1Qjo557gcPQl2w
yafEmPpLJeSMfKGJtIarWZ91Bwjv4wN1/7YgwWZQ1qAVxWXdOtxxAvHq5ng5zYCkK+4g0dGN0Xtx
YVo7CIv2Pi/nivo8IR0cDhvfPmQJijAxxBGJGCHxaS0Z9saiPZmON52MYZyvj5e2a89hb9XMscpQ
b73BAC3crETeQ5uDdU60ig0UbvlO8FUZkh2Wg2L43lYCHuFmIu4FF8Dmmwp3dskb4HEofPigDR3h
mCX1p7MwzKPm/L0Xt1SOAhyfoIdex8YUrJCFa9WYgjBanCGpnSKrhsP+7RsIdoFKInEsZeLN/Ujg
sUvh/HPCmTHfEzROsJ3ZSxz2cf6nN3nGgW/b8zqAkMBY0SliE9X3/Ml7r2MFLc/M9xpkblzLotZQ
uumHl8arkQQwkuAsS+NodHDPKA8VhEpqZOSHEtjPRo12oRPsQcSb2QvU3p0JpZLJnNufOA3nvTa5
NbTOhS5/fby16gNtXQ8Tw0QWPJOMbauf9dNa23R1oEhlbrjPmvJciS67wiQafCXThbldq4NIc9v5
lxY2gP/go1KqJa7hkYQfffNRLTnUjTvDgu+XbXcZ7LGDpLDJrkEyjicxWFP0eKU/puu3S6XrC3+D
4fN2bWVQ4XvSC0SmuYYDwgInM6ldRiUT4f8d8JA4J+AWXQqsKXaryLUSR4dCOas/6HJqfjXI6BDH
qtoWwktZG8m5kS0CWWk2DvNJimaCcDQt5zn0weR9HzLX+DfqkskIz7dZDU8A/Ysh1DuljLYY3Tqe
PERRPvsZ/GoQhdcgNxykIetTu07tW1ENxCGMBgFnwx0Qbm2O89ikazOtfOJOMh6UFi5SI0E5npUA
X5h20L8vgYuoFtU6CPbrI7jQD/e22XfQfGB3lJATf9p86MAagtaJfQvCFz37bbHskb6O2+t/zaUx
oFiQ9+LLaIBFhaO/qPtTlVnmVxioXHjax8z+tfHthFZ52kMgVowi/uRkootPJuVtAMl92a1h0Xrt
MxRYHfRZ9F+YP0or6gaPD9COW6U/DN7pB7cBWcHtVcmXtXLSnqDO02wZGcFSfoFwDDpdnqjz200x
tMObwf0A6G3dmrJK0bZGYVucHmCXfD/6Ncaw8mKU40GRdsfvqPmg/za1eQxru/WQ2WFVjiOM18ls
y19XlRWdSABhmBvrTj5Jp1kPNnPXLAqHTKBQmCC2u12hbSewqWSssKQLh8pW6/QLw5MCGnC9Fe2v
QZBp59ju/QO7Ox+RFqppwOTCSBbBxq3d1B9qmfJ7Qr23qqcCLPSpHf3uXWzqfz3+hupabY49LxUF
AGI6hWrcVA7brqmlVxcwJMxz+U/ZIg0S2F2PjkJWdq9ZwKzTY4M7b/GNwU2YIWuQxokgWE4HSJOh
zXR/h+3ZPXCjuxsIRxSVFKJGZzt6beuNP5dmC7uHAf1cLrvgs2jM+gVq5qNpqT1TSDLT5WISgcmL
zdHMpcy40tQ3hJGMH5Oqn892NjA2VdZ/P966ndNIXEFHhF4eeeIWeDrBtjmbaUw2A3P2eYbO4oJK
GQXedkquRd4ZnxdZOb89Nrr3vcC2qcNBd4sk+PYoZr4IvGbie5VLxXnMJh/VQlDzj63sbSL5NQEF
VUy+2caVUDMVLgyditOhN39L+vofhH69z25XHJz3PUMshSAF/inKWpuvZXkTANVJWmEDreh7FHF4
TswkaaN1jbXnty+KcDpQSRoA3m1Rr1WkEWXADHQggi6Co245Udgon2UZW9FjU3tfiWAaZhdY5Um6
NstKF2N2OqjEQ2PI5WVtkvTqjfGbkY4U8NTsLhPX7BJn/vYsWObc+Hm+sKB8/HWRojtTqkA5xSP2
7Cu/PzgUu4tSBVHidpV2bhaFIvJit76gPkF99F0tBrKtuPRiPXq8eXv3ikH+/7ajzsxP0aV6dZhc
x441M6JlGE57Mu1OAAMK1kvRLv4L/ODiX4+N7jle5v+AsQAbhqhhY5SplsQt6xWjA/Ompzgesu9T
BtN5l3re+3L0m6Mext52kp9Q7XEChxBe/aKflpkbxZALnaOf5tBwlk7dh4jlmAdp3b4VTokab4EE
YPN0Lf5UzaY7UOJBLvol6HLw+ibE7I93b++TqeEyncIZhau7hpeRo/g8QmcNpCl7B/tMGY5l1kf1
kmYMC/uvcxD/+7HJ+4VRajGp7oCGRP1hO4OQG6MJQymHvyRViAKndT8bk+V/fWzlPtNRBR2E3hWf
AzWWjSMcqslMU0ZtGSXxymvaIq0wQZf8S90hSJUAej3Rx3QBQUJ1/Njy/ZZiGSdEQRlvxdTY7fGw
RU9vXQn61pWHiJtmZd9BNYvXZuzgL0rK4QLhtn/Q2FOn/Db8oJKkSo8KUcskltr0n84k5c2hTLl9
zF/NNXyHjn+CQc54qspMPD1e374pJUgNjkEVzW5NOQuyqZbS5EsToZT8ui7Mg8k8r7I6YnG4v9tI
yMNKwXgeqpXcgltTo5PTF12528UkOnS9TFTk0wKBSib9vxWi0g4KuXtHU7kRNQtJALLFR2cGHEFz
Qu5CdoVOs+PMT3rq2wffau+AgMigIvWjYrOtfeU9RHiMHYI1CYbsA7nvjChsnof6Oo9oQHbQ/DtL
HT3+ajtLo2cEoQgyGJzMOzgs1fKRUWwOiJbMr6WJNkkw4V0eW9k5G6ScPu16upD0/TZBjt2hVoTq
gNJCWoDaej8UnN3hI2RfxZszGQIcVTvhv6WMuu28zVSgJrfigpu5Hkd0aNA/Tv01Cta2CVG8EqF0
4IJ+8/pcGvWqS8URuWv3mVYHHIoh6HA1Id6nkVV/BwNRRVk5lAcfTLmJ2xut5mPBWdCXopu5xfB6
TkV7dl3gAPOX+ZOdI1/KkLEXljZZdNmhosrAe/Uik7T67KfmEVnj/ZdkJIKAQaczAwONswlRynQq
9WDxAOdXyfy778Z6B2+zqBD9WxLx5m3FmCpZ8DGRMNjOAVbzKnWx1kwAd3B2ddliv+vXxb2SnhrX
x1/wfgYC+hnb/zEyT80UcoZbn1Jrnlk2YqmQGisnJn4miXK4WZ7hvF9ek1EW7xwJ/5FMHQaBNfnO
Rtz50+PfcH8XsUuPSr1MEMdsIQZgaDTXWiHCgYNXPutoEKAFvqaX/8CKel+JMon5bPWFf3oSSMML
qER9BHhNMT5lhLZgKCz74Mbfu2gVnDBAo2p7rMq8tWKNvdSKmhqaNVDjtrJ1ejbHKXnJ3HmpTkYz
DgcfcG/z8F8UopkSusd+J/YAQTLAgWjtrP7zaBTu+6n1h4NHbm9ZHugPkCqm4rXcbF6Vk180a1qD
lkOlLpWM/JdrI+E5k9VpNJIje/dvAjv4k73NS7c0dJKZTakjb9Hel6ChvlOCXZ4yB8luf/V/HwPk
4B6fj7slMktMw0vB5yjWAdq7/XI6Kk5tlcDyKs3ePk25CMLZ9np0AcCdG1lzBNq/8yjYYyCA8pMP
Wyhp/q09L61X5H4nToqWogPVt3R7LIAM/MrxwHf+6OncOE9ly1K9Aw4JQ9ObGEXiHhsIfBER7Kcl
CO1ZJr9yluRHbxUTtHVZVdNpW8pwqURw7trA+kPPchPxokLP341oUH5bTQs+0SWHCrcokV7p5QS4
2K6RAEp9fn+FdjKZ/PBkuP3yCwXsCbo2q5PI5PQHDcrdncNn0XXhdaVFertzdQu9s+Q6RVkl3Xez
7omzM5Hh+MNwVFW6O4dq4zADCEOxi27RB0J6lpzJt6PSXX53Zr/+Y46r5Qp1fwpmvkPyKbTL7Ij1
bs+qwoIx/8jfd5N/aI4vjWuh+dhoxnIOVtky/eBopxienEs1aihJEsyeH5//vV2lQsLkMcyNQP02
nmstchF3roaOkwMJWZ+b6GBAvEmBsD6Cce+aossDqgweQXK62w84r8PiJcACkFMJrJOTOsjNZnMc
pdS93+qP+YCw6UHsDjBAVZtuTaUoMNizbyOQO1f+1aOVFk3OOJ21Ik0vFhqi/3q8i/fvqTIIaNFm
AAEeiC3mQpPU10wAK5EhE2SiDbsJLsCckbjstebdnKzDqyYRaDbyovmbOqh59vS8OXhRdw4QVgB8
MLlG22FL2BJU4ASb2i+iYcq8qM+sJlqljTL7nC0fghhRLxc13wOjO18V10k8SD2dh2+LaUFAj3FF
3y4i+Auzc4zQ2tfV8FD/k8AjHu/yrimKUiA2me4gLrv9quh+FssyYyrp9eQ6DGVymXxTfBicvny7
swGnoxhF1bDTXWc+q6zJtmoNU1MXnJp49S9a18mwqfujEsddiEv0o4jsAPVC6kz6druqpMoVOCku
IH6pgkhPCufawlEeOlMQ/OU6naT9Cm1qr2AKUEkdpUR7mwosWxF0kUZQjLg1TyhP8klCHvUQ/p4m
ocHa2upmaLSxOCjm7Ly1AEpBO6jWAE5g48FXD7n6yhFltFqTzvxY334p49Vje/v6yais8vr4vOzd
B6qlRH8ueBbKLbdLswSFEbeQSMQnZvtSeei2Na1ZX+D5oX1moBKep3l34HrUIjaPLkTg/2N08+hm
S7VOPQyakYwtWLdEVS5fmOR2r01deM+FZaWXoPBQxpK2Wfz2eMG7tilhAbgAoQBA8nbBviGVwNNK
uiJH61UJr52IDJ1QH6w07GvxRxHUxouQ7hFcb+8QUS5WVLiwtQIyuTUcIE7ma1lWRvq4Jk8Lee83
Rm+TEHd1BADdNUW09uOZVDRNt6aoZpV1q9clAwUGapW696WZvDlchR4fVCj2LFkBCFlyE0XXv1kU
myZtZvWQqJwrBNaGVTvPEjhmLr3+8vYPx8gog+8Ee+AQNzejphaYuzruBn7Q+nmpcgSWgrL63HW9
drWQNKdnjfBUavby22PLey8X9UeaLJj3mJvbBMBuRibvzQ6ebtWMyAxy69L1+vCMLFoail4u6cnL
/O9Tlzb9yVSN9Im62kGoundTaZUzX4Vb4NXerH+Js0LVTIpotPPgWZgpDH12nYZdWf9h+PBk0785
onG7S6HwuwpeQouIuJ+V3x6kNjPR9UZ5LEIUlkldexC/QPjjHxTT9q4kIylwFqk6BhOft1ZG5u1l
OgQF7lXIj7XN9/QXGV94LX/3Yqddw2702g+LC4fFwabuPSzM6DHRRReHN2yzwLme4C/qqzKyJ7Nv
Q3vM5rMcCtTinKL/no+t/4cfJDI99X61hMPq69rBL9hz+GSPsPcqTg+iks3iRdGlMI8WkcsjF5I+
Aw1JRR7NOtWbvEaU9vFh3rux6gUlegdETTX/1l5WujRNNew5uVOG/hKgcNe5OSJifXlwY/eWxvAP
ST/VIa7txlTeS2/IGouwJ8jMU9D4LoP88fBUuvVynofVPjhH90vDvyrqTlplVBa3PXzX7o01TpIi
QnL0c9IP4mXUCTTL2O0+vXUTwV5QklG+iH7INh5Bk7LpUT8uoipvxXXWuezA46dL1SME/NjUPWWA
wnnwFy1o9WJu/V4wIGrXaxURq5bJ38yhmFB3ExmMU/0wr18WOnl/z7KU4RCI7JK5joBbrHZPJq2L
SzXPzYE3vPdD/BjFjopLZPZyiyIsdc2zx7XAD2tZ+bWpnbkIS2ewn9yZchW6iu3wLRFt/f+l2P6S
/wct80//Lzz4X9QFPzUZ09T/93/v2qXCAs2wD75g29sVJo3+ccqLCPbTv6SmZWfgBt474VAGJ9te
oko41pfHm793opjbQIxAkf7dQewD+l02WnhFZM9GyaTgXFy8fNbfLxY6Gv+BKV41CPLwAuRJt/dy
nUXC/5TP3ANpvDg+krdIGroImPRHulP39xLZdvyderEVpH/jcgaIRx2B1nc022ZzQgS7D9GmXKIu
SfQn0Gbm89uXpl4toDVgQcFr3i6tz1xh1iU61lXtfExRLwx5y+uLP6brgaW9lZEocDoUQvPuvUKC
1kLum5WVbqYIiRhWWLsKicEsG76M5VwfQOjUL78NZBUuhKiZMQyyyu1Hs80l0bzGyyPX6LrL5GnD
x87vzV/evn9AXRTVv5pk33blDROV26pq8wgqU9SwNcM9OwVtLoHPOT82tbegn02pC/FTKbjO7LFO
R0z5TWF8LMY4v8LePR28QXtXWckcAfpTrG53RTeeQiNB9AamsEK+BvXov497qESdScZ/ejUDzu14
2IzfORtKXkRxr+C3uM63S0uGutJ57rOIDtrfcUzpBolRD/0LJs2WWD9q7u7s5A+CbRClJP2Qy9ya
i6GiQnDQzmAB6IbLkLryE3NRb9M7YwYRFNmPQhjRPs2K7QHsA7Oy0w4romqn/qTlcRN2sAn/LhHI
/gC69KgjseMRGUagrkAkyk3b1sKg3vOxaKmzKPuQsS8ndNMUBd/8kHRkzxQPHoUF6pm8fhs31cq+
SIqRD1bGVR8h+DBclprHBszIUQ9r75FVdUzmqIhViHY3GZOVovE843Sjco71E7Ilxl9GrNno2meK
W6VUKjEoE0SpDPRrMldmCP9Jea1FXYdz5Yo/Hl/DvaUrKILOMSW12raebCbNZ0frMxjZteyjsZbx
e5weDEV6cgR83LmLHu1ROpW0KRkG3VyLAdErt1rbjLFU8JaW1/UAcARQa6TOJwiKDFTHi2B9eusC
eX0ABYAxgncATrPb25GatPF8vWDSqs+CsylFj1guDsHJs/wgRb2/9xZDxGDCmHynC7wVeADH77V6
kWVRJefylA3ddAalhk5Lw0x/YLRHXDn3Fx/InqqsUuxjkds8jZlgoGEjbPrr2qffqfVWZ2YFteub
N5AqEbkSl4P28hbGIQrplky1p5EcUTCvuryDKWtAXgfhl9NjU3sLYmqVxAzGqnuq9rmGbq42tCQi
YtdAujGTPFPmjx5bUbf59inFAlVhhs45hZzm2xMB2ShtwSmVUQ0h1S96H+QX14F1qic3vBb8Zycv
0epfhm45QsTsHBAecaqLREOq5bRJU5gx92SAYmzEC4yMyxiIy2ANyz/1miMVURfLwdnftUfZ9Md4
BVdgE+khuBQPzoi9uK8WYFNNGVa6SJ4Ds1uubsn07sEHvL/iJA9EevRfoWvkG95ubdmOsAtVRMhD
3sXXlkFd2E1XM4wzyOZpVtkvVibyg6BlzyiTqfgwMnsoxjaRxFRYROZSyogZ+fpsFsI7ewP6VoYr
tHeumTS/ZGiaHQQW935TAYL/x6ja+p/CF93swUgAgKAT6sZh063+K02oOezHMvn8+Lzuro8wHWZ/
bsbdIPJYlP08tZxXRHGXPw1jRjPDz7T6kpmLFg0VR6luvDePjJEHAqTiylOLhtd18yltKIUamZYy
KhyGVOi6LZGEg5wRpDygvuf4b3cz2CNEQzxAJfKbr9iKNUAwq5YR+utdSKgznm04KMPZy73L4w3d
cQCkdj9oAOl78Rbdfrs41oapEa2MBno3ryvMCuc+thg0yvPcMJ5gwtGusaHX7xtrjg9s77g42nuq
G0YZhqLI5tzAqJ6LLlhn3rv5yzAGy0fZ2fnXxwvcOZzoJzNvDDsTsca2HELUZNRot86RSC1FsCiy
K897GxXZ0h3kJTuHkwk/epbKsUE4sAlngqwolibAe/o13fm+mFYqknr9Ujn0+8o2H/6lVVN5YHRn
fdAbUMJTftTgwb39gIuurZRmsjlyAxmc0rrUIwjWh6fcm4fT461U3+P2sWB+m+FwxtIpv8CpcGvK
dYbYCGZG/DmR2e8aILjQZkDqM1W8Ksop/B9UlnbtgdQEiQP4iOrHrb0FxEU798RD9uL4L1Ups/dp
mbQMGcuk+rMLRHVg8P5AskB6s4qljaR523Ea/LSbpbFOkdGjjJJ00/iaMY938BLtWIF3TgGMFCEQ
ZBi3y0rTtbDMThMRB5Z5ZmAQL4gT1QdOeWfzKNowvwgUh1O5LRitkzUIg1c1mlJrtoio5+kaz0nx
XetF9roafXxQBdhZlpqPUuwQ1Kd4Z2+X1Thzk9HUFVHQ2Pq19SbtnB5P1t/fMcJWGhHQ4yg7W3Ty
6ptFF7iriEZnyD4l/Ri/aP2S4Zlng3Ky8D5BYtIffLG9vYR1gjAFKieVWt4uLcs0QbziCDBNlf8n
zL9lmDAP85QucG3nkzwiubm/02Rg1B0VRSczAVuY5hB0DHu11YQIVCXPZpp1L73NgaF6e0T6uPPV
6K+AbKLexiTmFvWziDxYh7HmyNdT99LllnEtUlKSx55jZ0HcYuBgXGJqiNsHbXVyrfcNFiTjsvxk
5v14zu0GZcH0iFr13hJ4ETDWStWUxGrrM2hWpd6YN8Qivt5/tAfd+RpU1WqesrkL0oNl3Q9TqiGe
H18JqmRc8Ob1hGxrylDMk5HI0maCALxWsPw1870TZBakVytdlieRVMt0dYhp4PlZMgf+qDrXSWFb
3SlPMYrEf42r5gxhEYzNt3lelr80f8i+Lqk9/UXcGgDU6+BBe1ooMVuncjatNXr8ge6vFcN/FBjg
x1BEGVuUyMQwQ2El2RhlCfWaUyqr5ltB2yg5VVCUnGBWZ/IqmA/u1T3fAQVKqkMMEkDPypHfPF4B
Hneo0naMJqa6vst41eA9npzVOLdCLOM1E7N7sZW27qWfmTh3l9j6t+b1rXtai9QODlzY/T2HeJvc
UUE4IFbf6nTLFPT/TIcBxvEhex3IlM9LUpahNRXja5F5ycF7s2ePnjSoEVrjnFl1OX8KnG0k3gsj
Hwm+KscMK5hxz0HH5G0KdvIkUM06eBPuLztlbnTIyUpwMHcP6jDRVikZhIwyL+vAOvTcwLo4ipb3
rChXSceWnjuu+nZViH8C0QaMGU11Hlwb5G8vtKT6gxN7f9EVFZGiNOTBJh7ZBAfT2htNgrRslJh+
dqbu1v9ix11x0rmDb0aHKFPEqPB30QjeYgjyBSB7GXSE/2iKoTZdzb9XHkKshOTyyY2b5F+PL+Pe
0uCmgHIJtkvFjX67ga1eWYwvERe3tvTDHlry/GTWDUxlllv+9XZbKhDh+FG8p2Rza2vQWsGBgaBq
Gez0ldcvPlN8Kt5P2lIfqUrtOBkOBLGq0moiUNisq5eyxhMkJG+60J80GXin2EybUwsI6blbHBma
pOnnxwvcgRFAYUJwDBs1DwPI8tsVxkYng1FXPlp2ArRiln6pilmEac398hdHPC0whD2bqMOFQ6ev
l2GZjF8f/whl4zZyVsg76rdgtqBo3UIZZJAE61ryRUUn4OybFfUIT8Hs//nYzt7JIVCGqktNpMGQ
d7tWv/Q8kc3YgXkzjypaiqey9Vt0Y1t5sK97vguiIezwzJKmbkzRS1hmbYlhNuMennKo5C5tDo9B
7vevbjFPvz1emTqHmx0kqoQnRgV+FlDC25WtssjQjFV5au0Y6IUC1hRZ0HanaV2Np2WEkTBNRXCa
rPWIZ23n2KoYjAwED8CKN9EfQA3DrPqCkCJZCxTErRK+iAzYgGWO2q90C+uT9Fp5fbzgnU95Y3Wz
v1aZLOs6U3OwIP95KvxyeTWSRIZtII4IXfYXqCrRijuUY3O7tyxa6/QF/yb1JLtI211AtTSUNwTP
MdLp86tfGEdiF+p/uv2gCpIKrJjuurOFTHpxI6HkMKD+K3SYopM++RDP69uh2byuNCVVcEWysOUm
LeWswySb8eIFya9jmXufy9WLL70lzKOx0x/p73ZFlPqoexNLoYWotvmn1xzygngdG8Ay7uBXH520
FM9TEtugiLPmgyGl9ve49GNkDt7wAjF089mai3ENcQ7F52xa01/M2P07Se04JNwY/k3DlRJs6SxR
4CfiqOW4980ZpSNPo/uNxNemHBonM9SELc+nma6KWgp28LIHYZmbWfwkKjs403Kyvj4+0/dGKTHj
B3W8MZ2P7UGb3dEZC8+Du0pvs+XU+UX7i17r3XyiYJ99MtbFN54F4z7JwQt+f5kox6gJJkqi6EBs
UQzTZAEZWSj+jovrXtaxC17J7svTOsXxm/0iptQMH5TOdJG2dNXuqMeulDiqfNFq5na9qY20fnY/
OlrTDadisNzr413dXZzKEwGHAI7xN0G0rnU9hC2CZ3V05ijLAvdSIaJxyszeOAjY770wi6OvCnEP
kHLOzeaIx8LM7ZpTU42efRnNtfin0Gr/IzK9w7mdGPRzRoZAdb04gujfPzdYxj3RnKN4Qu3k1rKV
WF3nBlzkpV1lGBQyftdUPG9pPMNsUBdt/+Xxru4aRGGJ1jUVLyCrtwYJXbslyFSs7Hvdq8cI36ls
8iasemle0gxw8GN76gG79R4+rKF0sJBlURnsZmsT2xB23OKEKzTQX7Leml8CA/6dBbmnCHqm8ksD
mOPaTO16stf+jzdbtz1VT7f4AcCgN4lsYpadoCdI/ufa9JWTjKLtyap8HFfQj2HBfMeFEbP6fZ6J
8WyY3RFqbecQ3/yA7SM7d5pRzd4YjR1NPNojYEjGano3OPJo0On+5SGSoHXF7wXQSvf59stKo/AC
FIVEhNb1EMEBCa2pPx4hEfYWhLfjQlJJhBV2e2Dn2XHbqRNR59KyjxcczRILZODR/gkff7ydo6o6
n7QmiFEU1frtgjL+ZWvYQkR6gURqbNjFqZ4hJ2yXSg9T7ZBDam9pjBISLbAyAr1NLDbVvWydVheR
UyT1k6/hSNOxWd+3IDUPlnbPR02BhawDQg76gMhSbc+FpbqgvSnA/DGuHKbSbYowtru1PtHTCtYT
4r/OBZnlpb4upo6MeArhzkdfpE5Fq03ALQRcwhBnSszNl2KJ3XemXXTFgWPc3RKl2gjpnkV5XP37
n95+Wm4UgspRRGY29k9igpJK9unXLCmDL48/9k7NhLgQnTD4BIADUqW+NSUnPwk6gx3Rm3a49EOD
KJ1GNbft8/bc9emXnFGpK1Ivkmur+6EPU+4L01r9wafZOXX8DkIHSm0kANtnp1uYwBUlp6ARZZDg
MlbnVJocNrJai1HFxHtzcsMT57LBRP+EqtuGampmU1vlyRzJNBPPnj9Rqpwm6m1OrB2sbccZMzMA
9BxPQca47XToVQMeb5mnqHYtJAgYD3te8yqP0BgZI6YKM8YJ9OmpW9M1sqrsCHS5c5oocVOIw7bK
4jaHXrhM0WaNT6MlS/QXv7T+rFDd+dfUH96vHV9I+gb+kQtGEXiLxO6gZKn1LIa1uW6tsxiL9usa
d9kBF8DuesCYU19GOIlm8O2RdbrSTslFp6iX1fqSr/N8TsvMoF6qtQdfbidCoUwD+wWjLuC7t+FX
5wV1RfNlihw3rb6JdahfyjiwPhtmYZ6mFk2qOjPkqRrttxekwHdTRaEkZYCyCzYuwNM4UYDNp6gq
OyNi2oYwt2vy85KO1kGssOsDGP9QrDAgeXD6txsKmbEYRoemXz8G3UU3quRa1XlzlkX6ZWyc4tPk
mOM7fFEVTe5anETgN1dBLnSw23s+gIia2XLGlIFJbnyRIXy/85tyjpoFRrxTuQ60mnSjlN/T2gYr
nS7whT32fzs5BEBoRocZoKStu6U3sRfTLdecfm7QjRnN/slCkcr1Xv0FfR2J9FioxfBDPTa6d03U
h6UHDr0qifLtfi9MEQrTgU6lJ2s6la7UPltLk396bGXvmhBUqwNEFMYQ+a0VL7cyx+6Rv7PGxDnH
8dSc1qXoPkizORou391Fzg3PCIUiMA23poJkyQWSXlOEqjGkiUbMdG0mpuYMCeQ/o6ymb6VuH6X8
e+vjvQJEwYnxebtujdqV4Qi3aeZI02bJoRRDE+nCNT+I0jkSW9hbIDVundOpGgzbll3Zr7E5pwsu
x5hS/9l1xiz73MEY7XyzpHqlkgZ2XMecy6Om0N6dAHhKGQCXxuuxCS/ndbHtEY6FqNUhpE+I36N2
GsRFZMZ8Bk54RM5xZG8TusdGLK0W2fMoa8c80rspPZdd31z0JfAvyWQdsYjtfUUGWQAR8g/1OW+/
4qIhWi+WZoo04Gvf0dpDFVvEtjijBJ4dNEiObG2OqSWZ/C9MEACgT8zzvDjBS71Q/2qW9Aiev2uK
MjFdZTip6B7eLisZrQ5WSHr/Vls530aB/ko6VfpZau7bx/do7gLWoOOm0ultNaKYAm1uTM5mo/XB
FTY7/2r2AAACrsflsUvZc1zQ4KCMSAxN1rM5HDxAfu2Y0xQxQ2Ub55r9nNQAwpFX3juEJAKcdliZ
wF1vXFdaZBTZbZ+g1HazX2ytdGkoOPlL69nJAH/wenS/9z6XUm1lDJK0lVmn28/lIwwPV00CVpYI
7aK7wr50NUJssRTm22N7cjhFnwKW4n5GhKZuUptrTKCrL/W5QC30KwdDUA5w8gNTe58LYC7dEYqi
JI2bbexj30QAOJuiIJ6G55q07oumHaoT7O4dMHKXZ5SG7xanpCjdCSxTPFTyX5ydx47cSNqur4gA
vdmSzMzyUkklqaQNoZ7uDjLogt5c/XmoxX86WYlKSMDMoAH1KDIY7jOvmZYb6ZY4X7njwGszm9f6
8ZfuYQBm/zfWbp16q7Z86YFdQGigOMFi8u89bfZ/9gWcTk1PvVjCKvuDXU+rDoEFkOVUObcg8T/Z
WCFV3wySK4qqRv1PabSQt0TvJ1eigoub/hcDd+M0g7Q5H2a0Bac7ZWN4qgZ4aBTCvvOFzSHucICP
eZWuqSNdXDl4WBtWY8Mg796WFohXLRZFYjB2dhJayknvlr7VyPcMrvrw/cvj4mgAAhClRKMII+7z
+dmjGBzMPkFt1KP76AbidmjmzbBn+Pv3B+L7mVsWia7bftsnhvQMDYpd7AqdCpC/eDfYgHxJx1q7
Aku/lB6Qf5BGkqnj1rMLQdy1ad0q4wMqPK2+aTPCAl5t5pvsdXYY+14Pq1kronUuvr0/RePSZtnC
ZKwakbzh5J1/TOEGWl5OZFqIaK/37oTLd+0s9UkOIyLvg+acitKePzZqzF6RT0ruW1Nma4RUd36o
07o7uVJYP/RkKN2Hwk2rfwZrXP59/0deWvDNFXqLWuhX7jc04uNKGgFvYKBPzmeZToBrC038HYzy
mmPJpc9BXwaQBXjJrQtx/jmcCl5q4/EwVUmAKC13xNHtFqT9TaAP2Hdd41RfmtqGbCHaBZgA4vR8
vL4yMp6Tmec9XxATq1z5zd4E0Ove/5NEEEIhbbMt/0SB8XwoTm5Ke5KpuY3EhgHnp/YbUtqjG2UK
C5Ho99dsey581IBgd+1TMFHD9GgXY4wbZZt3aBD0N53jfN9imSsjXVoyMHBb6gVmBbTp+bxcTdfc
Ik96YGiiA3aBfzW4QwUiIkCHrhXC+G1bZ0IXCptUDkBrkTTsrrvRbnrfyuSAeJmt3YrCRAS6GtOV
Q9onV5KvS08vynOIHFA82NKT89mR0Hv1YjNWPdrjpzx3ey0mJRy9K1/xwjhblxXmGAxGWlK7t8kz
u6UqEaiNnclKb51yaQ5F0pTf398VF0cBBwAKh1zrTXcVQk854jo8xNogkvVQCj95cYFaq98PWGgE
/f9xdnudKg7AxILZgMyaw8WfFcitNLvSvntrFkHXHxW0X3ucJu4+53DsIBsNXGBjZVrpcucW9WyE
tSq4lsamyF/1Pqt/TkvdDjdWXRgkJEMK2d4GVPITMyvTOuiL090autBSNHo8Mw9b0x/7EIpW/8Mv
A/FRiKF56rOqMOOhQmSLO6moxNPY5tV2Cy7WGI5JZa3RAIs2p9Ig7Vu/I5s4tHW+vrRL0SZXPu6F
A7eR/dCIISehcLar8kzuBHDMxsZX+D6iAWW2fLbceryxa1mhzr9cYzdd2jREhCznLzD5vo+QJ5Ud
KNQg4s5JgufFau1bcBfWtdD94rQgU8AZIW5nZc9PGvzjbEoLHvpE2f6RG02+EK/pseb7473IsjR+
/yxcuPo3NgWNZ6qPJHe7q3+lo7haPZ+x1NAsa2XV3FjNiFNpNdtXVuzSF9z0K2n4oIRACHo+taGg
pIL3dc8+zR2qX2X+zaIffCWIuTTKVv/f9Dg3Ft/uAyrNHE1NVDTrGl17BVE6yXCiNH7lu11ATrFI
Di0e7mCC6P1D5gR9bnem36M2nQ167Pqz+IgvlZWG2YBTzVPTdmJ6nNqq/4xb+/KXdF3NONhGjrHJ
+0t4acaEbJRzcDWCerA7Ccbc1muS0rJLbLmEqzDMm24w9SvVhksbE/k3AFoblQJK3PnqNZM+68mK
HbpPFey7cMr6Zp6binutL+bQz4crl/R21e9avgj4cK6JSLd/2K1jPou86Cyti4GyUxVrRmtJTz2J
KADczKrmiDZXln8KpOYXIap/81/vf9VLB4MCKhcM/RSeiV1IunRF2xmY28ZeNmk5fjqad2d5ufME
G325soIXx+LN80Dvk0zvNW1SR/NtTRtB+hZcvpqneUgpI+GvXFNd2bcXl5GociPtU4bbCy0UuFzb
+eT0cd3b/W1u5y3EO3fFU1cNt86mefwHnxHwLupvoAXocZxvm5ZyMOEs94vdjcl9WmsWpjmBcWel
xrXuxqWp0VTe7NCpHgGhOR9qRJ+oH1ELgDbcOadhXGSUKi87el3Sf9UY/0qwcqnRAIuXIsFWK4DL
u9ui4+hNKJvCfCjp7kTlOPhB2M/zvZqrVYRT2c1fqtVe/qdKe1BItgv3BMpBPLtWXlV/8J3/+1t2
x5OItrMFVfh45Nsggw9jE6FgBxmUVJx+f0m574C4/NJL2IM/0tQaG3eEPINS24AHWGWA2ZTdsWln
+/D+UJeuNjSAt/O3GX7tH3lDnyTiaOS+6aLlUW6a0wOFV/31/VEu9dHBSW8iDJRTNijUbuf4dtvN
2swN2taei2VakR7nQq9j4P5wjF1/enAsWT+kFWi8rnEWrtlkmPtjmw8eFAYKLSeg3vVLlTjObU++
fCX+fuuOTCQAOBaAMGKf7PHdM20imlihLjbAJGv7f+pVeo+2vizzqeIcn5TqMEMuc68bT6aZty/A
8YPX1LbyI6a78memLKNEFnf2rSsLdOnmomdJ5miwPuSP51+uUigEGZS8QZ62XhY1U+LfAMl0fnQQ
a/9gi2+SAOQGvHTAIs/HauWA0sO8kBwIOXwW3vIPllbBbZNl9vP7G+LCrGAyARNGewDO2/5g16mW
djRPEFblRrMJdierw/SMkA1yAPr3VyZ24alDFBomNxcJbdk9zdRGynUafWhGMvHt0B3QTa/syQun
RlWPwHjNY5br38156q6kDhfnuam3UWfnZd/DcLyuhhpawDyiDDkBInHKQ4Nq5Ukf/WvqCpfiJars
GyaahAjt8t3qVZCSFstoOMqVld00y4C7lKeGMJA4F2u970VG0k3PQuMS0aYMRwFr+W2XJkamRQmh
F103soP9hZ0Abkp7WlvDEBjIi7k/abNVhw5xiz9ZUpIx8Bibz8TeVbdOBmrtM6W0Ch++MYTY5d8F
EzYoetrmIQqz5m2APfSxr/XyyrO0Hbld4ETI9H9D78GrPoQM2v/Iwyuza19nnU6zi2/IZ/QLqrtp
zoLnTpbXID4XLmoCTzrOHBZSl/3Z7JIg1coSTMjYjVOIgoZ5n8BeupJBXHjhN6YCfSiqA5sPy/kN
YNVD3TQb8mSYpPZNpLKWUWP33tM6LTSjBpiiV9bx4rxYv82FkZntwxddz7oh6XQ+pp0ua1gGrV6H
ZhrY//z+jQNR+f/G2cUuUABTXJEpLtLWUMdpLpPDXJt+ZCk/u6LqdXFKJtAdjElI+vbBZmGIVejO
QNcLlcNYYokQwaG+VlK8tAvRU0Uthq2IYciuYuRaqFEquS2VTQwvzGSLa+35MCxtE6dkLDfl4l4j
V126zwhpKcPBi0bmYTeo79aobw6/SrR1dacvCFT3Dn5imCKkV07Zxa24lQLAMSNGuc+bjRUsRN/T
jHJrtM0rLJGNcPW51CDQFbGouu7zH+yQTXLIIhAAtW+e7/3JRxdazIRCVmOVKMWOdiTLuf9kYYZ5
+ydDEXaRjAAp3lOsjGX1tWVrtBldnsPjXeq48aV/8GrrGhH70orhQoVyOv+l9rw9jf9pRtktyvCG
tl1WTd18HZpV/MCiw3mYKiN5eX9Wl/b9FqVvnG8ER/avLPl57w3T1h7Spf8CJbr4qqFFcGVfXJwQ
hS1SVsTeSMrPJ9TrGnyRnmeOspx2xK2jCae8VTdTpV97Yy5tQSgioJLRbkCPcbcjBK4js+Hzeqti
EEe007WbopX5y2oN7RHZreTKxXHpSNP7Z1KbJg2f8XxqLdRygfsAMahc1CHw8uwpFfMcDvSsQsxl
h1Bz1+Sv91ft0vdkvShvAi0iTNkFvq7UlJrxPIlFmfsv0PYnXL4HdZ9MKKS/P9SlMOw/Q+2TDfJi
oK+KOqrup+V8zNJMeypqT1OhO6VB5PVO+YhNJphHrrsgfn/wS4vJu4k0KSEDNfDdvlmVzGylUcTZ
fIAeySQ/FE6rx7q5rI+ZmV4zU790GEBqwRrYSjng1c/X0sTyEJXXCZi3rcP4sR3c0jv9mkzTxcUj
a9sIYtyU+5ivwa6pKXNqRk62igO2ZtVhSlVD6Tnprpy7S5uTTbnpzVFnACR2PqE0QZgJG0yS0nVY
QN8sywFH6irsW8c8WrmFVUeK3vT7i3bxKwJJo/8BoAk47PmguVmaUnTUAAHl5SfV4y0Bz+Nay+zS
KNzD7H3qjeA5dlsjQdXDcrMC+PRcKgACmMYsfVIe3p/LpbUiVEWIBEg5afC2Qf9zE88rxFpnZPdL
hDe/ZZLKHkydRYRe7l5DZV2c0WYitrXL6J3vdh/FaK8YXIoVnvKdo3TqErqMf43FdelIEZByPVpw
k4lCzme0+bPLdNBh/Wh9j3y6vUUDTnlSZV7eel4t4ve/4KV6EKEAJcgNgcCYu8eMJp0OpAIuJCbI
oC+zNTgVWuY+2NqaHqYEW3JrVc6xWaUW9rlbRaR7yWk1l992hd90YWBjUuVD943G0PnMFz0Qrlcu
tGnwM3uw7EJGJSCWMLPxlhBZpb0WuXCuBOeXNhBKZZtHCKbFwP3PB9UXlSSlO06xXdTa46gPUBEa
P/vkS5D/73/pS/uHpueGikAb4a09epYsfjDBWEvnNjiKoMu/THiint4f5dKEkJci3kISkJByNyGD
KpBlzJCcVGJqYWVIES+aTxyrBX/AUoN0A0uN7bPJmuwukrrlWsSxG16c2yehdJI6bIxkfCmWabnS
H7lwUdIpoCUOKgeBzn1dvcs76l/BJhKWOu7Rkl0VLoWajuiftbAVPD+i43pNgPDC07oZdZLgoMe/
GQ6c740xGbLCN3o2pKXJH6b0rZu6HYfI6tr8X3ppK8TP7DlIBuv3wfW07AAS0rgm8983yRXIhgkt
7CketQySFhJaUS2Vikjqfr6/W97sSYpFG69xI+KglryPjtwRI3Tacwqx5KKLlg4Sf01D9dP7o7y5
07ZReONYOVBHNH3OP2SaNxVF+oJRxmG6c0HNPFW4gByJEz+lo/bb8uXbcGgtwClnw5DJnQ8nCmtq
R5WpuE59/6TpQxtroy3xWjWs3z1t8GSIEtCX4gbhZdi9CeZCkzKpexU3wTzc2UG5xt0iy3uEtK7F
6NtfdVYh2eT/+CIwpkhP0Rk9n5Xei9IrBXGI5U6bTYRyQq91c6RcteAmAcEbIszS3CrK2+EUzL8t
07cNT3qIvik8MQqM58OXKHfVWQewp0TL6EClrPmkyo02SlQWt1VTR3a7XAtV3lxm26D0Qzd8Pg/C
fs5Kb3EMK0UTb1ZGUQfD/FhrWHZaWSKO7+/Ri0ORfgNWo+jN9jmfn7vy8HaOpWJv9dZTJ00uF5e4
XbXecuUheHOZMStCCGQkKYtvfjvnQ23WVG5mTirmxdPbED+e7rtJK3QOhbK159rqnWdoF+mX92d4
4awDKNrAAFtCCfL1fNiGn9JOwlDxbNTIDyw8epmo+z/4jtu0yHt4xIFDn48yObMgC2afVGNfnSxH
M2M/842wn0Rw+IMJbTAArjBKpHuvWrF4WmAnTMjUPfXJKjmkFNZclITeH+fS1qD0BDyT1w5J9P2U
ekrdaWErtLuy8uA38t95CNK4HINrnaNLI23kO/T4mBC1/POPh4RwoFExqWPXWP0bH0RK2MhAfxil
o373jWET0qFijYA2bHjQ86EEm0SbPIokjsqmsB4n/eSvM49pZxe373+/C9c/HRC47GwKODB7JiVb
IBvRJ69iUbtDE3ZLoctH05umW8AG/rjpUeTllTW7NCbdAeBcVAvfNuIxf7MyZoi/aTdlhwwPpVB2
8xoaeGGfKt+/1gy/dKb/O94uVpiLhNUcsf50BoPXWvVaJGdzufWHxEKGIU1PqsmvqRht22H/JFDW
YPcbPHlvLEgq3mun05sqNrWqOlAf16OC6sr9PPvuprBdhlOhe4Savois2TWvnL+3c4YtuvmDkEpC
c/d2c/Yyp3VVyz1WoSV2W4jViqceZscoiv6znk/NrWdyYN7fTG+PyEZRpeZAugxbbq9uF5iTTT8G
BQb+1wrXtdLuZnKK0EQC4revMvYs/6G+gYoSw50fkaEmQGNHN9D/ZudrN85LODtJ+blsPXXliLxt
lcKwMGCQ0L0DUQHh+Hws6biFtjKzGInwPsNLovNlWGl1/r2YqxreH07AUdOVoo+G2egewZPz5OYQ
zExeLJF9d5Mc1QTfBvx65Si9fTdIsDcrjV8EF39/fJuxphxiu3wGzZKfJdW6SMdL5cv76/r2wNJx
AgiBqhLlAkSjzj8AhpB9kfqEN1I39TDPNCcU3hi8DLl6Nafev9JEvDQpBiRnp2oAMHrbZv8pHKyL
29oNJc/Yd3v72EL0bj5gPO5eI0tcmtZGk4XRiUrJm3InBe9qZeM0UIwblMX6tACV47oirIJOPHWD
dq3E/yvkPL8UqI2RJG00QIAee/QwYk06NTh2rS9TcTuLuX4KSApfeg16DaaMyn7xlgSGYDJ63WMy
BMP33A26OMmD+pusfPe+64V/r48V+ZwVNNOtalIbl1wpPhXKyGKjbK4Cbrbt/eZHY4y7FWmRb9jT
O7yEhNmysxaSbV95oRbk+nOD4/edhanmU+D1+kPlLNbrYmjBldTy0gqBUNggaER+yLee74QFMa3Z
Hy3i6t7+d5hF8BSsTXXIfPtrC7D3WnXx0nDAiuDW0nnckMnnw1lVFiR6m3XxggPR35XmzDcD7hZo
PFh+iErPtfrOhfvyl0KZx2VJBLMv7WeVa1f9qLUIcJjjU9q3RkgV1b5V/nSt7XjhPWCoLcUj/N9g
3udT0+2013NMcACbtuN69JtBHSqdBOFONBzgwur8uAMNeqXC/7aChYgXBhq8REiXUTva3Z1tjaVs
mwP6X3FMRehKdlisGcnUhrIQyZdUU8unWh/qWE5J0uBrGXTzvWMtvgpbWxTXtNPfvsr8HOSit17v
9kDsKp9VlxR+V5ttrE/D8CoHG9l0v5wfWmNKj5Km2/fUm+viWJtT9mmp8uH4/k164SzxVnGD6tRe
6bptO/A/V1vQrQk8664Dv7/krwpnjdBLs/S28TQR+ZlcXxY1TDeq9q71Ii7stc1fneyUteCJ3mUY
8AUdo5+HLla+5sWNO4mPpi7SexAMxfP7k7w4FNUZ2ttb2XIP4ekhQtNRqRF7qfAqLldhhwOgvajM
wHO/P9SFE0vtZ1OW8bc66b5pWg8GlHzENuJBx3jmtGrt1PM0O14eGv1SHjozvZb3vj8k2KnzJfSl
he8SYp54JHv0TV0/yUgOHVeLslVbHsbOma8AZS99z/8/SXAK5yM2nrtITUtagOnrGgu3pV/UL+uD
kwMi+oPvuR1W+sG/NK7Oh5q0zsgSO+/igJTwsarN7GkdlYYJ9ZLBFioC9+P7A146EFiIUOEmJ+Vu
2s1Npa7S1wy50tQcsjCpq/o2GLN/MjNrP8J4Xu68zgmeED24RuS5EGRQuQBtheIH9GNrFyAjadB1
Vta2cTLk7okkp42Q0fr9pBECGgWZDRy0Ndl31+7SlIPlknXHQlc/66pYHy3DSGBnLv3h/Q95YZPg
00cTlYIXahz7gmjXqXoVI0mVm+AlifReE08TrhAI3F5Dhl64RAmDmBZdPhjI+26+vRhmB4yyjFvL
GrpoNmRz3w4w/VAA0ro7H82sr+k4VXeVXeUPcgBg9/5c30K/tr4V41PvIkHm8J9v09X3Rq/aUAv8
5TPmvdPf40hRr9Fq+9Ra1G2M1PUPgogorHo3OBG221d+w4VrgC40CSxhCb/hjYCY1Je5zzBpt8up
OLrSnj5MTQAoeT5kZVDcvD/jC7v1VxETbjlHBWzk+YQRPu/mJGfCaFWk90Xtpl/GocuujHLhMDLK
rxqU7pB2796IYjBSjyCEOWEW/H3UczcMrLJ5DDyl7nMsDj4RxSjiwPXavXNpSxHkQS/nMkDkah/o
zf6STq1OSUAYzk3aKj+uJP0lkcnppss6jUabYcbzatVHz5+Lr+9/3kuLCbOYDtfWZKOeef55TZkX
GzuG/WRYK1eO99oQIh+Lwf9X11LzyiV76ajS/uG+A7tIYLtbTDA+dlplXAor22YO667q7swK8MNK
E+DKNn27pPTjGYUOjEkgtufB1n7QyrFBeC2YkuU5dZ0kKjHNCMHzOSdE2hXduwS2U8IPef+bvsVA
E0YDY6L8gTYQMNTdmjaJ6IZUqC72HIGlX5462cEctJaLFsfvItQX077x1sk5FH7r+4fF64pjR2qT
H/M6tUO9b1oZyiH3zHC20i4e7an/eeVHbt/6PLkB90ulAstzCoiER+cr77tC1tmETmg7i+XeXLeX
aMjrcOjnCr0rv39Y3U/0+eNA2FMa6rPr3GRW+9vgNr4VCB8UjTa2OZ2R85+BkoSroMShdlVb7m2v
jd8FpPbDMtrF0UDl9CCT9Vrp9O2mh5W9cUQ2OSo4ONuf/ycWFatZZyLp4DXhPSMP2jqPRligmKmf
JmNB+zHo20We3v/gb/c+sa9N2w7AD120fUYH3MyzioGce8BrJKIZKaJ5dJMPnSycK2WEXzCG87X1
SFfJKzZtbxoju7UdFo5EUKI8lWi9XR0TyxqDMKfXxfZX6XTXZ+iPn3CCbEimJ1Ay0Vi5819rq43W
IbAkWi766viP/tC2ZaR5w/h9Mls8KDR/8b8idquWIzbDog+7Su8+1GPhX8sQ364Ra+PwwdCN2Dqd
uyhlNbQ6KSSbcpDkQvbkehF4Ke1fUacF1MixfPnt5SE7IYSg2kUBZp+u4ZHMX+/lbexJW7goX6rg
eUXc8KV1puDqPfj2cgLORnJIS4eLl38434Eql9JZWg8/c6gRzWNuWonzfconnOr9tCj9J6AwzhRq
OO/2sVZoeEw65SCTo0cfXR6LadOhXtpCfTNpJ3ZhXbtmGvp6nT6KMqNgPoxpQgVFW5+sAaxQmAYq
+NIoM7NCCmrYLSST732Ua5W+rMOqzFD3kJo/JtJJP3iJPzxMvqaLuK6Jh8KmSGkr54WFMCLYwq4+
GL5y8ClOQP1FkzY4Dj7lGPzdjFC9lmhW05Id17SSKhRwZcVdmReDFeY12uRRUMx6ES7IvwX3OLkI
iS12JsdjrzX+cD8S4aWvLUhQPArMXphIDQao3FpCTz5ac26oG0TJcL+ojKL1qI65/o9VoXn02/kV
oAiKL+CwKVvRjjhfIaCnZmq6VLGFlwWhwIE9ckZRopEcBIdiSb3D7+4/KEdoBv8CSGwMhvPxsEZx
jQ7g94YzSV87u1GHHp2lj9WEhPz7Q709WuSm5KjIJpEAkBGfD4Xiv2igdTaxOTXlKfGN9N5bDJBX
Xr7cQzu5loD/anmdX0f09dhVXHzbS7Ov9lj9YgGIAtu7JA6+pYvZrt9MOWTDKef/8FBZVvJXh+au
iIlgE/GxWGq7jGpKNWvkuUmQfKn9efrCU53VYU4zOLm329b4u1ZN24Q8Ls23obflx2yuqZ6kmVj9
J8SdSfSbUUy3pSZRiyPbMueozd1GD3szC1JE7ALnq9dZ4tXBUfulMdoqCR23dBQ89mIW4QpL5mub
lkMdAZJR/6vwJv2sy0r73o/A5pCPmPyvaYewTdhmorulkVuscVYN7bOQmv4PKHRUulWQyDX0loqA
fVuNb+ZgD1/ReXPvii43/1lGzEli116zv4jvWnUwZtxcQlVg0vthTf2SNolsvOd0LLqvMDhXCupa
0pWR6qCR35e54X9ZodWJp6pLdScs2afq8zqkU/rRSyy7R8ugk2sRm0KvnI9JiUx4FBB2cfCQBrgr
/GD+avWp00cafOVXrS2zDlJWmy1Ug9wGyU3UgiheYUqZxwMIs5KqRpI/F/lmMG0byfA0Icukh/DZ
lzo0Rqqmx5raxMugSdLXCoeQPnITe5HhMLbifh2Cevo4zKt2EIKe2JX9vX9pN110Ilma5pxd6Bu7
/T1xzMAJgwSb3VbdGX1QPEAXkV7ULvzBlcH2+ck2mMdTS/ACEwa85Plh6nuB6c7gGFid6kU0F4N3
9JPhGujnTTVxa/VsDn28TFsBz7HOh6EbbzfQ9yCTyyrVDpUv5nsqTcnBEdy7YWsG8+dEOMO9OzYd
MrmFb09h4euahH5uNNcwr2h7bBP776HmF23feUNmb2rge8AmgoFmNi8e9hIVYd2LNxTaSFPPCVoU
yd3M+TYJ3Gztzvbp0RgNiglicqr1BtEUiaJp1cw9yAJTw9ld9a36OmPyboGfmlIwFaKa0tgM2twL
OzW08ibBlYHKlup1MwJf0ifPypG5dag7s0zDZM4S45CXrnfsOqgYBwO1pI/t2An+7SLdrpyg6EJ/
8mtxBL24jhHGkUsVDs7o/TvpWVOdAmvMioPUAuOZm8KrDkU/Bx9En0w/WmXYa9hkiZOdmlr0r4UO
FzUabY3jnSYdH3wSbjdHqVvbPxs1gvLMmm54Sgr486EYqsm9lZXMkkNiKu17Xgv3yUNADC9ieK9B
DESGYyYJQzmDgkL4wW7M+l6m6Tw+2Prgv9ZtYy94zrTlbZeunYjyNW30o97683c6f/3t0s4SXEie
GC+D7fdOqEHweZpzUX+gi1TLeBYrBnCN7+dJOAx+bUXC9OQjnG92Fd205SVX0rvDF4CwDgVpuikl
3Cs/xBaJ+nUPxWU4kVIhtJkXy3ovirICRI7jSeQhq/ODc8AvNMEE3A364AiIsyXGJ6rQ6unYCHuB
n+bP8jPSS44Rj7nTEIymGDOGrdfmKk7GMv0oKqKVT4PftD9SqaP3LPAc/EKLr/LDOTGn7xWKklpc
mXP1t653q3tTo1C8RrlW+q9zJlqNSKcTeQQKwnmlSLt8Hovef0p9nF6jReuD/638+M9zq/BlQGfD
/d7XhiwjXbODL/oM+f/QuWmi4qVaDQ/0UGKixptZqoqBqSR9tHiJ+DAYVWpGc9+QzOFNLCTQHGvO
wtJdgu5rXfrd36NW6MsBjLx6AmZG+8HKDOehXBszj4OhKa2wbWD5AlBE7iYOuloe21JDEqpF9cE6
0lz0/q76YvmH5N3jr27MwepvC9+Bir0WxvAvyUTVHlJ/Xr848FiWL54lMCnFbl3roqxqJ+1hWlqn
ibzUlzIeM8997ro6+zxAinTunZyvF5I3w6Fb2y5DbbRys/LE+RGfWmv0cQyr2rWXvIX9+IAEcxnc
OcKup2jMZnc+rOvipeHUy6I6VA3NDoxultG6rbq5esXwtpvDxvO0Uyp7PAKQokn/yuYqeaonvykw
N1L6q1OZvReWliWeh2ldW6QPTBtKqkY6qE1O99HWnMKM3HSx/hnbwutDe4C7E84IsjyZqd+yRfOx
+CzgHJsntKSK+3xMfOfBMxIAkmKxlX6LAYbtRFLmmSNDUXmVGTmYyD5sTcQfpTabnNU5l5+qZCur
zfk6vyR4pCUgfIWrwjLJpzEKZuBXs2WqhvjDsPG9qWGZPbkkQuImGTP1AQ6++1NVk9eG/YpLS7T5
UbVH5GqGMbRaNtWdLa38o9BsQThuDcr7FuTSP476ZiOfd4sb2Umujx+g3hXZs4mFbxN1sq0LFGjp
4YakRIYfa/04f/Iss/VjRGb8HuVWNX/2aDhUUW+lCdgc4Rc1LVWXgY1ZZsVRa6sUipOfpOt9Z09t
cVeutvyflpCu3hZS1MsBH59UPzY+MqWRIaQXxAmfbA39eRb4QS3a9AmHU1EfejvLn5AgB09ipvil
3cE8dVV2komq07AWa1A+jsIV/9Kh8LwDqP7FOmr2gIyAVyz6z3miwRuiXTI5cWvk1t9k2sRA9SKt
0zpQbow2vcKPaI+USdSopAea400eeG9TFlQYbafX7zStDgRHcbWmSK4Qdx5Ntp3iT/3gk0pN78Po
GfYPkQVTdrMqNbkfYQUPxbGpg7Q8VkWjPy+5sy6bRGX1wZtS1gTTnxQPlKxY2dZmoW6l6ZQ/9VKO
KsKDdHi2x9JPT/jVVvPdMs4VJJ26NL6uZdtzNZtzejei5OnQpzDrV2p19oh+VDV9zRc0zMNp9foe
mzesoKfW4rjUsFKaY2nn/vPYGlhvzUbvOTGA4tU/aF2StqFVTRmtwa7y/23nwWkBHzTVV46lPobY
uWjF7WQm+v+kvTbqbh1K4xnfDGs4yK5273I09NRJFUXn85Hq9lPiukSNemu66/PUSnGvEZoSUSQs
i+iQzL71hCpetEzTOx7CrvyZzWNthqpR+l+QbTMzTJKlf2wTtnk8zWh43aFb1dXQAGwnOzppENy4
87hOhww/2jbswPkkx3TqxyBSLaHxUEEmiYHHtfZ9kLY9yvFSzQ1ArybfymLB8qMZN1x4YPT9N7te
+g9Faix66LYtMo75kOjqrjYUat54iWXfiS5trOWNoK4jbwS0fDdlY5pFNo7fiqjA0O4ITx2IVez6
tThhslfnUHizwcY9dKkRkneksjF57q2vbdtwF2brkP0NfFeYodbYhbhthmwxw9oai+pj0rAst/U6
ms2j9FFr+bIScmcPNZ2UNKSrsgZYW1ZyQ7+kxod8NcogdK0yGQ4Lx3qMxGgUFhlB78PsLdalDd1x
oekzTGZ9AJG2dlQ5um652fRn0rjw6vKrXkiZhHlTqw+dlns/B7vkX5OucFD+mdvlg5JQJSIhuKmO
KgtkEIIokN8yTapnRQ+yP4y54c1HZFMnE1OavJcRj1OCtr2nYI7U7mTKiBS8PRZKLBQfhJnq4ejP
7I62c6ZHZTTrCIxnNqYHw5jJEDcuih05qkk+YctNudwQKvmkacZQRQJIzc9ZyMCKx0ZPkHtXOsu0
6G37ZDS17p2mrM3aO+XApPiWZRkRnCcH51snda2PcK/0Xv3/x9l5LMetpGn7VibOHj1wCfPHdC+A
QlXRihRFUdIGIUPB+0y4q/8fqHt6DksM1pxZKigpCSAzP/eala7HzhRlXgWuqWKk2LIyuUHSPfYC
msdquhGprdxg5X8FKdjQt/ClqZUBXF+LhkeSafayU43HwN1r9ZyiHX9O4mjPk4dJZc7vXLXkuHnF
unNHQeVdDKaatLBmtR/4kyaoGydIcQxWaZV7OzfnFqhTLJdDu/oujsu5EF912uZ+ELd9/B1EARzg
qi309MEt2sGKWsdqn3LDLasgt0fj2nfGlW9TGdbHlO4Ccj9aoR2RIdK8nTJH2zpwoXfX7rraftAt
hv5Mt0BgQzkr8oHJi3fdXJI76VacxsfZmzI9zDuR9mErJpHv0KwwfkBX0LZPkhjsX8MqdugoeWqP
jEv93mpEglXoYi4tGJqsWwMTIvsXiLIEj2KwQUobJU4HhIq6ScMmyb3pyuKWyq+8MZ8bDvQA9ASp
PPdyrUBlB8vU9fGec9l3YeXI9cauBzPeeSoplyADKkdwde2ergYwsyksR9WmBwV7WUHK6BiUg4rA
LjhR3njMTM1w90ZTm0+ipgd8QOOHk9DNun5PbZQVkWvUnn+dFlgvBnpcTjelJYriojSIWEFrZSjN
xoxMHvShN2SUqlX/ip9ar+/jxOz7Q15O3ZOrz8yRKCCSOzFRRYVdiuBbIHwk60haFuYFUsdPKXFq
75L02oKjTp+0OtC10pxdx7hUR5jd4gDXOPvNe4Y1Who4myobPj5YY1PJNQ4Wih0MepuCg1YV3gfA
PgSMlBAbjeFD7Avez4Cq0KchQdSHHZouXqir1COrrMWXYjBlF5aYAXEjsbeJ5/ROrvu5a7ln9AGo
lsmkSqNF4XZLUJhyuKnnshiDDikEkHrOULah17N5Q2cthbW3E9oHQSx80ON8e6hcrJwAc51a9W3I
M6fm/qn8j7mjPPQV/d6OswB7HCc/xM4E7I+xTuuRi2G7GRRAnB/Jnm2yNdsZvaCbEut7WyMXFpjY
RA17T+va/INXzz7jDATQ3ECIcR7h9LX09SuEHCPlWsUQNSAMRQAoHSZJBaeHO833sRrpV60aDiWC
JJerNec8BqouxqESRWWHFsSTNVitulhDuIqzEVq1Gu/Emk6gSwFbPHdJ4pSUBZl73TcdLilm7dUu
cVBPy7uYu/yzEpIwkrMv16BYnfWa64Hc2mp68hOMfM3nukjj+76qu0/DWmnVtVWMixahNDdDvbSQ
rNnYK3GYQ9991Mdl6cIxnkyHkZLnX+XJIu75IoYV9tQCe/gXphtl9Th/TPIFkEsBgM0I7TG28nAW
iXtlzhkgcfg37Y2YFiJ8n3l1BruNsegunhy7JONqtV3ea2oJ/aF3fjpiFf6VaGX6McVkhK+vxvmT
QpEDpzup9T8a26enZYy2e2E09miG3mBZd7NlLDXtvq68ngt9ANJZpO0Hu0nINcck5zNPEo+k0Omw
mg96y6xkWM9tfGV26M6FU5FLa5fNaVWGY9KlDyNywR2o1x68S+aj2XbVpmqK8ahxpiagqSkf+mYW
KGMNqd1coiMvnlM3s4tdJltqcceYEpR4YYU1uyFz5BT0ha89rrXZN6GgW9gczKpV8KpU5QWidmDX
8jdoiVU65cAwVo0KVnecGZpZfpvt2J72N+Jf/DXVcjcJ+rlVuIRzqVd4usfyh+ikMm/cai2HyPKl
8zx3cYVB6NqWlNNkp8FQ5Fm+m/ycdluB/09L7K74K6uF+9gPQ1vN76pL2MZ6nm96BfABBsYj2fK8
xFl6maAE1r4TNZIw4UhD7KnXbECWmL5XHDS91rgYB2U/6lbq/XSNReBhYUgv3eXjPLjXU2XL+1o5
6Wek2Zxyl1ElFAFd22G9XHHTe0b3X154pF1+WJZ6+d3QC30iCGf0FFTvqQeznbLkKHVAlkcvtiYO
oD7XP6vJnPKoIDsr6ILW1qe5Lsevys0bLcTORG/pwFQ+HZhy6ufjRnxrA9GudheI0R67UHnKvdd6
wYgEYWgbOGyMiB2ozcFV3HyecQOZBURn3SWWG6A9lP0scQ5It3CJ/HYNBv2HxL/om8qHtKCMYiq1
Ayylit1iWNACmfo032SMbd8uNsr8kM7p2O3IzMqcniLSmZMb23wM7O7oB7mjySiBNz7t9W4Un/R2
ZEDg+DmSm1bWuA1TVNeqo37Wxc/Ocagpxmwbd6LEQO2dZ2Cb2V7FFFT1MH2Eg5JkYUIS9aDNrSZJ
Dmbt2DGc8QL4bz2xeVR5oBVIWQRWPOFcO5Dmf+yqzsKgfR7VD61Outuyy5LvVdHET/OSZV8UGTN9
asSeHzsDVeYwrpP1ccGp3AxSW4PaWtreElioiSShWeLh7VKfZYGRJeZNv1Dn7KBLuHq0zEZyGHFW
ft8vjXy/eBktl6Ed8oKCuiMq9jSf0WJNCRAh+t3tB89dJi2wk2a+57qmj5DP2vS11ezmZ9dOTQtz
KXP7cFztog5WdPruUe+yHtDcKS6oCNRPsUrrfcoBep7bBtBeSfukoezXadv6qeXAFOp0ZwpipHK9
QKcOxb3eXrzHjupwDFJaDl8NY2jSHYgWN4+6FmOtAFnjgamKWPs7ejlLSX4t8zFkIFP394IyNLu0
/BWCQG5W1uc+deo7ZZrjV79oi/G6W0pvYiw5uSLQOydpr7M+9eqIEhzZ69mfml02dH5zUTA2+JHR
5r/ycXysL9GRdO8RJtsk5Rg5tqG9rIYeQQRsrz2pyQ/FpK3f0ZWsP8DAdYt9Xdd0jBWz2xt3WJsE
dyYHWWAQW8UQDKoWT1WFVs5u7by23fpbw3ucwGIzMGyt7o9cv+1e2lWqBY4Zc4HPxDBmYnqj6WHF
PX2/GoRq+M2SZiR4P4Gmk240dEbzpH5vOL1aLmlr2A8raTJjvpGKOQJF2mVBQs99pc1YzhdjRZM0
LDN9YM/0Gn37qsLdLsj7pTbC1NP8MlqkNVdhr0o0zkxQde/K3uqWY+L7hXdrMzP8WeJw+9igyKbC
adlS6HQpvIskrqacNE3vpnuOAF0h7HDU7ZDkdY/OtDNVYemjgRsWRW89CrthXCHxgtgGLlptXHep
JS9TOhhxMPXwdQ9Ln6xdFGe1W1JLGzNTzmltv0/LnD2Cy226HYp7Sb6LU4FTwNArm2SAwfnPeJrm
66Ub1x9lwT16ozfGxLGEAS4PpL/jpVgbczguXakdnUVPFJMgR8X7ig5rfRjIWb7680wRa7WruW9j
q6t2ld3l9/jCau9st7UfBoanWaA6x72Hslx97tCrzKK6cEUbDJrJfzkvWI6HjhhrasLJjukBzAvh
oqdgFKHF5V3sUhlvcONBboaR9SK/kMjmT6nyCIZurLUJh95jcJX1uTrSFFkVHFeLU1EUOWWWu+gt
aot6jVZG0ZEc+CL7HlujGAI5gshCV2xOSkYw5lAFMNebOYCjYT6Skjjv7XJ2h1CV3nyZNK3hB60r
tItyXKR9NTnA5kdVqexYLmb6WK10kK5T5By7feLKNiO/HylLbKsVn1eKlTTCdWAgJORDQSxxvdgP
F2b9jygDiXwP+6wRO1UuXbpnapvcA5Eq8U0x6Eq1jeEfgM+rz6Kb3Zt+1gqmaoWpXwDwzxtGSj0H
oaj84tpggCUDcyyyO800iOe9Goc8qmUdf00A/LVBN/bchjgzwwnzytWuAp0U6iHGP5vUsawLGTlj
PDytZQ3otW+5KgJEFftHiIva95wN8F0CZUhDhhTxJ7sw83eDJGsI16mzGIij73JQa09zL83aWkWj
kwwYGo5VeVnWSkv2hj5olx63nRMhlmLXu2F04/pYDOVahQ6+CFXQZg7RZhiEcW3bUrkRGgXkW5S/
UJhNN0v3fm8mTZj2nXGx0qFnoNB06pAzChOBwm+QFLcaJ4/ueidrGmeOTXDmiiXDSIDz+Vw/C9Nh
P79x+8YnJRKr+aMChPGtsRF4DQujNMgDJLoWPsIEQalQhQ+Ztw1u4Ddx/26q1szYcTIqFy2PBSs/
21eLfXCMUk8oHNL1SVpi0sNicRprJzWaPWQQhspDt5ntp6YExH2VYq9kBj3IkptFW3wj7PzKeDeu
W2nJ5SPSK8ClzYd49dINRWIa7wXJM5p/tmCOW5XFJVMOLw2rXGoPboecCJpZufmupMKp72OzWn9U
oBy8i8au1aOXZcmd03n7LGn14ThrBm2xyulNGgL2UtjgC3z/RvrL9IlZhdceYUdVVxRB3Q+tTLgZ
cFHlXxSVZt6t0zr45JOjBBxKCfCuJf7gROWtNG1jMge6Oa5dUmYWVhptRfa4S9rC23GxJj5dm0l1
xwZ0F22jtmQAtOD2Xl73pZVyWdpTfrvY8fy5I1a/t/g4WVBq0vzZeCmZ7qaWdy0tv5kPPGPzzs7z
ltQ1n2Na5BY/0zPMsTbJYVSd19IvKUFdtnmAjYUNL7YaAQHyYe+tKaapT09ffHFml7TB7OPsO2AI
lJ8k2p554CLU4d8w0aXb59U2nSn8a4S+W9ihguu71KAyASzp36V1UulB4yAfhpO7I5OoqTv5wfbx
BLtSTDSGaCkhzlECO7BzW2dtMQPB6for8JGi3S8adXWEsijBxuzTZD34dNsfoUdbW79YUK0sI7Om
40K7SgVyKGCRpb2RACpK3MoOaIB7NH80YgfhwUnqyF5rRAXJ9Ixyn60F2MdI95Svd4HVTYvYj5as
tNuKpjOetW1Ryva5Tfs+vZ0Tb4qP05AVZDn4VFoLt2hmFmZUlrMG4mRMwHD2typjHr2EzmB16rFT
XbceyFraRAvy2ALM5M+gNdGoM1PtwZSz7aE0bxZgooKkcrgHI7cz6vy9lTjdGAc6UqIlcqFLZ32w
8dWtb7tam3WaLwQd+zjoDoQqbDNNMuta17QnPa2m6iKfpw4vA9RTsuYqRbBCPTjGuJJfad7qNc9u
k5nkM8z7WEO2PtSFQDWamCjt10k3jmIuzOmms+meMypox/qnpY3j2oTMjym+9n3rJPHP2F9drKFR
lC2vhhrn26ciKRP5wzOInbe618ROOKMqP39kztLrH6rRKcY8jH2nMj43Wit0Z1+WDAePsTGOTJEH
a/XWH9rcbAgecrj0aw1WtjiwTM8YMdmcthdCIsYDnyxb0znchossPugzWmeGFni9PaD61IBIoOvC
KAWVh4K3A1tiUK44jmJV2kMlzIZMQ02tcJ+GeOwXMM1S7zhSAqCF983pLMf9phyvcOUhY0CapIE9
O3k70HXK7OpT6xFlfviUq6j/ebOVXc1ZVsp3YumMDVOblkh7w3iJ3au5h6NxyKxxrK51qnL74OGe
MUUlPfP13mn5/ZtA95gRoM+PQ9+PJEvm8oOT6tr8JV5mwgZDksU/9uxvHs0xCv9AP1yNF4YcCZmp
bjJDoaU29ZeLptBudga3GI9DNeETIusymwiVashvQUCl3b6ZXNVc9qu+5tEoKqv4grRH3FHbDl4f
0e609WMPtmQN8pr8dWdpS+UyxKDBEi7Crr1PBSfmPfKA+Xw9LIISZtWJr5GcJbIIyDovn1Uyp8/9
vBr9hcMlUOxmu4g/a0nf6EGijdOjqOkC72fdxzO+qSwVwJ4vMVEi/NkRgmZF8yUZitilwLL8+Zi0
/KWQuLHEFwnH5YcSXY5vB+Dm5QAS03iEcURfSdCs9wPl03sLYNFod4xQk3JXePn6Zenc5j10aOPD
4iW6S5U0ZNHQpVnN9IAcMUg7iLYBs5P0pqbevvNANIJctodKBLETp18khiFGOIpejgFiocunylyX
iUR21PWdoczu+1IK/dOkivlSQ8+6BAfTOBdqQNOeysyJNItzgYllcWHleQdIQK7XzH/GMmqS0b5q
OD1TsJqKuU27xBjw2tlUXJcuJpiTLZk8JFbbVsGYmq1kPlcBwmhp/HyrVmP+0DatS8vULcd615Xg
2Xdrysj3fc6N+EHX+oFmdNWCkFPCTRcGGhaog9JwQHmkvN0PWQedZFc0Y/8JoJH3Pi4qo9gndey6
7xtMvZ86DCtB6Niz+OE3Y7HQgBEDdfQiqjoU01xEfeLPm7ZD4aLFnBS01aYZl9vrQRoTch1lV12M
+pQeJ9DLzY2Au5RRRwvCt9/X9C9QlmNQg+4k/Z7J1NNrOOuiDFsV5wn95gF/XgJ/zcSzi1076ITb
f+kSYlM0LxUAjpx6nWhc+DjbqjVejrSyEns3eEOVXgGf0iqcC7OqjLJ4VY8r+IAhonZcvlWOkX7P
NeyvAhLM4dJKWtvYL12XfenlBD7ZS9P8TrZ2xszS9BqAissqGa9Is7+iXqJmRXLfv9n4DEloVE4q
Q6A9DGCYqjLmlWONuUFb4asaYCg6EKzG0taCLl7lQ5pSDgd60SCP75Lp9Dt7XuY7mVtjyyuZhR6k
3EBrkPRuyY1n+CCsknHgOvd9FNQPBm3MJyb6QB7GAgHqkG1Jszpfs/YqmUmxohGuzsjltpkOijXr
PhedZX/Q/TkuA6599o05LNK81tq+zwKdEdCnJBmckhpvAMPdDD2jZC4jL91jlpruld5qKnSZWhn7
0vCHezEk6wb2E+ZNk/TOHdI6KL5WDZd4oK2Ft0Rptix3GVjcByvruuqq950mjWJ7zJOwA20go1jE
iceQhyRj7/WMw7e+Aa38UaikpX9piG5vmFVe7VVr+zR+KABpvMp5DNViqC81sdcOSwMdnCc4FfW6
63TAbvTaUjeJ9NTP0EF3reGK6cnSfDLy1cui1da8r24zeFbY4ZEwRhxuxBPyCjlgjOQG377o9Ebe
jDMOViFSSHTWvaqqL81Go22dGlRyexIE82Mnxv6ZO5SpVpHpW4eIbrZO+TkbXtjnmD0/5nm/HnMw
FCV9V42ZLHig4rFPe/HBmJEmvjKId/drZTjkA2+jMn8DkgEPR1fJQ/VIJ6c7FT2qS7kokip6r23e
76s5FRdjfnaVUzYser/IHSH5jT6dj+bRCfSdIqVzqrX2wral7+yWfH3RGICdCsAc82IlYYb8+JlH
+w2Qty36C/8JBZMu4vbzP+HtVWIQiWJkqW1chK+QTG4eGpwEDhWz+7++FK7IoHNRjyKqnDK0UOAx
yqVo3bA1ABRYXiYPiVOoQ2p09RmtklMY7SadvLmw//J+QI/uBJKXTm3NsRu9MM7B1RcxpgiFW2UH
zkIBYrP+9pf3xwYQxnIaeTOQgCdfrljaNQY64oMbWMyLch3nC4979Mz7e+2hQDDDYTURQv1tf0Bn
r9xizv0QyB5+shOIbys2il05Csa9eS/OwCdf2RoGNu0meTzsCCb0L7eGCSJ8GCD5h77Tfctsvdgl
E5jyTDXndEFeOV/4lumIVXGvsxlPUKFQ4rq20zI/pAHSPwAEcG9Kst4z7++X/MYLWCS7woeXx4Zw
EFY45eW2ohcUh3wmTdK3j2slbswppgNt4jyHqQB3ZueNodELN+xinUquA/NSFal1AE9jbwNGFZng
ZR7++vbxBbhvmzAKq+YEz06150LV4EUPPfD5MPOBrYDYsjDZeXuh36GqMLy2fYpuoo3js3Wykpmn
0LkxOQ1B5Og7aWR0CLUUYgMhZ490r8nXNUUaWACJQ6E1xq4H/RSsU3tO7fP3zWWhHcngC3AuF6t/
ckK11BiYr1Dza2kxf2PIwgR0QUfhE1S87Jzp9O83K4ttFEVrU6rn8V/u5DwfjJhZCB0y1/BuWrf+
2raOxuCKOxX2hb0rknE6Q/R5dc1NyIPTugGeT9Z0Zq/XyP45PWIU+xbjrrBTtruv/LbdaYmzhLpR
Gfu3P/D2n77c4Two9sXsJqDI0HNePiiQk9nuCgZPks4HTHeA8CABl/1m3hlIu+gi0+jAm9bqnPnv
q99z8xXZ2Lcu/KCXK9d2hxhnNfvs3kE9zsM8f1yskr7rNE/Vu7ef8vfrAoLv5hRCsCR4nerLZNaQ
t2Pn+9usxjvo09IdjJVJw9urvPZEgvIX4hG3hXGqTUANH9NzdbluZ9HDJ26YbKm6ulpAz58JV6/t
FWHCC4Nq6m7Topcvby38oXNRawp9MF23s1ziWxuE0GcDtQY9Wms7ngIyhlxEbz/iay8SsTyEaLFW
hGS7vYI/BX8t12mWKsrgdTKrL6WJ3dWu9KU17d5e55RIa3DtQLt0oXsKBo3WSSQZNAPPhMXxIRpA
JEQ1lhOXS2PH+KIA1ZqTMk5K/OiBSt5OlpeeeczfAyfIGpgASMXYqKie+sCr0WR+y/Q5jBHXDm1E
3oMcz7+dnHKEEHV5Tq7vtZ2DwOOm3GrR5D9V40yR6MgXSK6hp/Rxj0PMfYyH0K7OHO/MhX5upZMX
i97omi0dLzZxGhirlYFRRF7Euwoj0Iu3v+GrS21mrSaiFkiTnRxwel9x0se2H9paZn9DxgInCitr
P7ZZes6w/LXvBZ3i30udRCnSEUcxlfLDMfXRtzaLBL9GmkUYfgtgm5hMvv1op7emCWZwo3jD8d5E
ocXJelRCCL+pQkWTNhkHuEkz2K3F3xeb54BlzePeTej3WEs5nLnJTl/qr5UREoJxuIXjU2ZjbioY
j6apIm8ovJ9V0/gXBfNhBPWN5swZfG0p5BV17makCYV9csc4CPaXi9QVlNrR+wnw3g4hTXyQY6+d
qylOv9/2VJDJNjVhVIWJui+vlbJUvZklYF01a75hPGN87KupD5hkOO9LrzzHmTu9PVluo+6iIwOy
EXXMkyczpEqq3PPHaNYykJSOdxC/qBUwLZiwNg2/B6O+M1/u9ErbFuU6IWOzt6rQP0lZMzF20m3A
b3pMRK9NTRTHEaGSxx4m8Z5sQ0R0hJrLVHXe13SZp4e/vGVJZ/iK1FIWz3xy8MeEiVu/VDKqll4e
ZLFvmvdWlai7KvVExFy2AVPSnHvoV/YQvH2OyGbC6sKpevlhR0XqzyIyKvqcoY5jamtI7ur8TPoM
tMHbj/jaZ924+ra3qeWymV4u1imgI+RmMhIoM4Z+5Uy3TZ8Od7GxpHvZgUbT2kY/81mNV/auwXt1
2VA6piCn4uZl5iZ6UrQSvHpv3pr0eBnReI78VsrGP3bjNH1w07W4zOVg3lMPlk90kK2og8/b4ZvD
XC32q4w2FqSOKG5iKzBwGT+XPb/6WwJh23QGAaGebvmZih576Rzosg59r5PeGrBLxLEvteHYO6L8
/va3+JXs/Dmx3La7CyMGvjpIB/239G4A0tgvs4pSSGRQF2f3UfpqfJgaZd1mJm1iM4mzD/5A/7fs
5voKu9VsB+0pviqycjiObjP5+zO/1LbJf/ulKExtNCXRlzlVl+lpkpopCuxR0TrVFW27au/ijX50
k6zYtcOyhs0gxc2gr20kygb8Nx896hSS7TiyNmfyxdf2K641Hqk36hL2qXYPyP8kbkxG1OuUVlcA
zuW+ld74jvrqW9EmLjOquTuzXV9bE40I0mFEZglgJ5ELsU591aZERlCKchAz5riNsqR7ny/eWAQM
/2hHVLHtngkmr66L5cCmcQms4dRRzWCKvqa06TA2txzmD7LehGcVTqVMY1J4tpqOclnR2Wc++avr
Iou4XXwwv0+/eCPTOVOilpFultbRzQvHAYos86sYmvhubBaDoQostDNX0fYaTzcap42ohqA20o8n
mg0TkGBlWlBEkNocH7NsHnamcsTj2/v5lZCCRxA8c840SpOnwgPgT0sh/XWInL7JIx+Zogv4BIAw
huQnPOcxHMzZDMkWLKRalXUmv3vl1Zp8SHw+bQO432kqQuqw9IWRspXK3LnKHeD2HvZOB5LWIZK1
CfyvG84p7Lxyj7Eo7RgShY32frJ/CW4I1fqEMaWYQbtLQcBeaMoXbpyFrpjGv35G0UYyt7iNMbN+
Gja9YRNsdjwZ2eWiXQ3O0N+noIGbvQ6pMgv1Uib7xXeXu7e/7GvvlvYOWR4v1sSt+WUok1AtBAh8
GWlqlYelMaqjFK0eQcv17kww7jAL++X+/7CoTbdjczLa0umXi7bVkOmlIFg7RdpczTZ9894T2vek
beeDXpu3+O8uxZmT8kqGQGbAFjZ5jyYK/i8XXeLcdUo7llETVwNNcks9yMWDhGv5PdzVt5/wlbwd
ZwzIzuzazU/oNB2RpjmqcSIHWyAjW/DOLsW0Wg8ac9BAQvcOLTS+97JY+09vr/xbK5F4yCAVj9lN
aWtzxn35nHq9EvUXHzwSzQPmG0t32zHE/AlpY9mnrYWBqtX24rvXxi1kd3DNgEE0U78s8QZ/ZJoz
XbXmVKc7UFFwDN7+7V47VURqDhZdTuqKk48gxknXuLmJix5gN082IP/BRNwwWdeDOBn/qhTgr5dB
85sWLmkaZhsvX8aSeobbdVQxKQDLQEjkDkw6mYfMlOZfDwCbsjBgU0zbdAxoXi7FrMkaUohkUQwu
/UAW/LHmlB+4YChn/F68882qiP7668QyF6E8JPhx8Tk5SHDhGgfgt4owA6d9YNTq3ZTVS+THAFNs
bOPev73ea7cFonyeb5HfeRhKvXxGr9bXZlzqMRrtWD/OqTIg3Q/yEdqkAS3fiPmGxnQmw3ttz6CE
ig8MEpmbyuLLRccsRVwRGkJEV9wKHb8DmFZm2g5cobZJGFhnPuQrF4UFqti2+Jx4iZyu13pcwEyt
p0gsSXHTiqx/6k17OdBhKz6//T5feTS66kjH8Xw0gJ3t53/qcomV7ue65hNTTNCbrte50I8diIua
AjCO0vx6Jit7ZUEbdjYxnFHhpgX4csG6sSGtwK+Iii6J97UzPVd2Zh4xXQPVDLD7zP585VUiv4ky
MANiNChOCyXm8IqxsT5FA3dWBDCwOACLsEGkO+dUx3+pwJ1kQlsahJcasmD0l0/uPScFeeZk8xzJ
PF2OwkLtoMs0dY9psbFzJjlQkOr1XaYG/XJooeSIwV/f6ZNKvmRIaH+DDW6jjGD1x3Hzc3EtET8k
ca9uPcrAS/ZDfqzhvRyTpJDn5Mx+ycr99stvZSttSPG7U9ZqWJhxAp+LRD80IIxiuFvCnMUVZnf1
UwMQhCR2mZNPPuH4oukydEpAGmnP0moyeCQICQy7t/fmKyGM+QBjNoNUx2UA9nKr6FqDkGrPVjEc
qYFVqrxNrWlExQVAGNIWxXHV/AFSZmOdOfCvrUy3ntY20wmUjU5vGaFwjU+TOcp19wd+FTb5+ipv
YaKLyJBm+eQMYxZMg6/OJJqvbFeGIoygqNjYrqb58pETCGO1bI05Qk09BZ3mFAFug1YkOnzz3n67
r9yk6HRv69AdRw/l5BktWSYW0XBG6yHesP32VB0A+sxBq2awkcvaH93OHM884CvHf7tpcLAgL9DN
0676YgjVFw2E+HZBEUUHUAvUG5mP4zrNNTcAkiBt+PaD/vZO2c3kl2KbVtDgOy1QQA40xuyphdOX
DbeDkdYHs7GnA0jMczPE15Ziw6JsQRLj/WZq1+bl6OQu+hkbZvMSul4WFKMHTIke95k85rWlUKay
+IKeI0gsXu6U2miX3HO0JYJCTM++6m0VCjAvKSinqTyzV7Yo/uJyQHSQViU667Rcwe2enEQPag1A
WuQWMtDWtwC4cwfaXINwy9uf6rdzxzqUWZvPiI6m+6klJYSGCdKLiazDgoMvQs3JZSZazJAgjMGe
wTs4Vcq59Gdwzm+v/Ntp2GQVHRJlLnAKkV/SmH+Kg07ho2SwddQhvnZHqYY2GuBn7qTSlj298eVJ
N8pp//air3xDQf/O2tRoqQtOrbVSJPaguxpAmADDIb9hZu/rhaaeK4Ha/l+WsrAy2B6OzOnldnFg
zhlgIDe0lMT+VgzM85GvA2Dvu/8c2P3n9/n/Jc/N3T/3xfCP/+LP35t2QSEslSd//Me79rl+kP3z
s7z52v7X9k///Vdf/sN/3GTf+2ZofsrTv/XiH/H//2v93Vf59cUfIFTAMrpXz/3y/nmAB/RrAX7T
7W/+b3/4H8+//he02p///sf3RtVy+9+SrKn/+NePLn78/Q/Bbfaff/7v//Wz268V/yxU376e/u3n
r4P8+x/wwv9mUBBRjNGt5frbou/0/OtHnv03BtKQbzG3dB3mYRzkuull+vc/TOtv4BHMTZEV1zpm
uXy0oVHbjwz/b8zqmWIDF9ZpyVp//Pev9eL7/M/3+g8EiO6arJbD3/94ebrBGPA/0SCzwR+BASF7
ebk3mk7KYpByZNqIk0+PItsuS831TDR/udn/uQobGuFShCMBOZ3Em1ZDIX9yyvGgtVjNzF1ThCY4
Sdph1jkrq3NLnURRiK0TGonVeMC16TslF6IwaPCFSV/oZ4AM2y37Pxfjr4cid4ZOqm/6m78Nbz10
Z+ySrtOhabRkZyAedw0XZkBtR6btYQRFeaigve+pnYbPk99b7KB/77B/fcoznw5UjLm9VRcUx+mn
M+BQ+KU2qYOjTFSRNCTVkM77a+Oxfz4lJmQb/oiHZZD0coMMbQpGpID0g4KJdrXmXXaJEAWlj0T8
568/EN6X7EMUFBm6n5TnxlR52qrX6jDMo3dAPo5BAffkmTjzyo4nuWMz4g1GPDn1Ka1RMUo8N5YH
U49xWbal+2D6qKH/5WfZRPYwc4I6DELhZBsqdwK6z5Dm0Hqw2BYI3PfIbM1nVnkZM399HL4LwDDu
B2a0p0LEjTTh500meEGz7i862s8kVLp3UUJHvMSsyg2Vm/q7KtOTMyu/9hZpLG2eETql42nM1P8/
aWfWI7eN/e1PJED7cquqknqx23YSO5PcCLGdaF+oXfr078P+D150qYQSOnMRwDMGzCJFHh6e81sy
xSn7qu9DlLmGk1KbzWVK7eXgZr49zFyR1B1JGvmx+rZq5qxqTdahN2EVafWpnoXyAZoDcktibQ/e
pntD4b5NDVLnjUp2er3PUbdY1K6Zm1BoJUoh+uA8lrXdvgjHqt51H8uvhvWjyu4j2SAlteRPeZNv
9NWYmGuZNmxx1TlXHXLFtaJnAfx85d2f6XoomZK/GcoQED37smCovsNz1cyt5zkujyZ0uxmuR9lc
IuOoDE3TKnVYcl2hg2RqH9M6zh/uH6m9L/Ra32L5KN+Zm0iUlhnOT3HMXNaYJ3YCrcJTrBSbqzI9
uK92JyRLaf831DYSjRF02C5mQtHiuChMWWuIz+Tf/9N8tpeiPRjI1q+QImFbuCHij46fTChGdR0w
7/tDXb+8/rvjpNmpyqsPCwgZR95sA2oy0UInqA6RrmnDuC+RRVf7Mkjd8gfR8H3+B/8dTj5haVNT
lNwKfyaxsma969Rh4aRKoPQJSj2Kk7/7I7mkzejzkkBhbLr1dEB0y6nK0kH4Pem/DTNcocYz35em
MxVZ9uO+IHdm23JVX69c3Wd6GqFIEdKxlKIfSf8T4qMIkE9CQff+V7rZda9jgWN+rU2b23oVtxV9
UpexEOOc/4qkDL8Bj7o+GEaTx/EqcWEcgMtgwelFYBK2Oa61hfhcAl0gVN08eVFsL/2AAeJ0mXKr
/LC2lHE1O5k/KsYkPogi1z/lSDr9PgzVijCr4sIYNpL1o4PjGgnHnD1zA3S/IqPbHNhR3exa+TtZ
dMSHqBjAYLxe+wjFAivt0wJ0+uBBmYmsF4hFIlRi+rZqNr47/wDgizYsW4lHHVL0mwBj6ulYIbZQ
hKCevi3qhN2k6szv3bUMglIEbVpe0yaF7OtJ5WsVWbkqijCPijZwSkHJ3hqHg6XbqOm/7lt5ZWJK
ivQgdZ5N4C/EYKjKoIAi5DP91WBlvpxtJEl1KMjoTSO/0YynZmrVU7WW83+AVHuh4H3+G5EcgQ+9
a35FUklHjlM4H0qDhUDJZZxyvxy7laKcXgcTfHkYSvPYfHnvOaB7JZkQoFhJPbdZjW6g1sElkodo
trp+OfT1Q6ssbnB/lJvciR4Q/iF4JOqeKl9m1x9CiT0omGLIQ+wtoj+WJtNONQYHwTLa6XM7tu2H
aFr+RhOv//X+wBurDfltGJkWDSddBRW8zQ0NcNYKyJksdOB/zRQ3M+NXdB2tv+qmXdLTNDgOwnW2
MX9ZMghcZ9EsIj818HjXD43rceyivvP+zGdX/Bkn9oIiodXhDnYQJ26PH28L8jvAqTYP0K26+2CV
2jSDGAkR88GPtMj+tMDeY9FTwiJfD4tae98D81yVZI9GPzij6+9ReLDiW+ijIcpsxqmsLABO8umB
VkEahXbemH8OOeZPzWJXX+9/kdvAC3IScV2Mn2Az3WDuE73Nli4ZsnCObNRCk94+0azOw/ujbMrs
r9+dZ4dD15kAz5N7E3ertLYREUQfSGRti9aBqi1IKZbzLx2CPE9O2hpPy6IlX9ckiU7ovZiPE3Rt
4Buw0R4BnHgHCdXOtGWRm74k/FWKAJu7La1XDfC2nYZdqcJCA+R5ahHCOthGe6OAINVpu0p81Las
3a7LDNALFeohUeZLjCjWRaMr8j+Osrkr8EFbhobrIpwWp7zk3Oc+avHKQczYO7qcXInyo1pIAN+k
7lENSBr5iSRcxvITDUnjV5T7W6T4EguB4MQRQ3dqKFbafqPY6W8FZokns8bvInAzW31MoSdW/NHT
f+ocqn+a2Und8/1ttrfe4FSoKxFAacJvLpi+ThUNgStEX4dpwc/PXT+bhZFd7o8iJ3qdQ+gGZgxs
ZQTkebJvRsnFin4hIOswzcvpyfKEQD1gSLC/0MeDT3ubrkA20F1NWjDJ4LAZKpkKQHYuLRGqK//M
mfOpS83ML3rna9NEQebq3+9PbUMGkucUdLoDoBNADNUxR67wm2yZrv2IB0KVhEov8hDpmSX2Ien1
Z7DP3SdNW6dQae3+ec5UtNWsuAqa2sC3ICVLuv9TbldZYq9hmIHNN0lBN7e4ptfq4uUpltdjsf5m
u/QSEc+WMmF2eRAMbqP99VCb4FSvaG9kdLtDnbQ6cLwyf7C0YQnn1Is/YDZu/o/jyevgzSJrZjeq
AtW5UIUVENh1YyB6lc8nQHWzD5XwqK8uk7frDctXlbkdQETaGds2Rkau03t4zYToTWsPIlfNAplP
6tsnKcnzEeWr/DQ5SKZHUe/+UWSR9s/9b7m3rVhi8IjcNaCsrO0+NnLI5hr7OBa6+NJOQ/3NoTJ9
GqLIeJ74yhfhlEVYLGb+5MUiusCJ9nK/OWrD7W0qEPWv1A/qU9tGSzLXSLJgpB7OE+IWLcfuNIwD
Os12oR7Eot2hgI5xpCiUUnC7/sjRjEh0XMdJ2LZWfsKVEr2oBdHQQkdx4/7y7u1fmlSQAmgf0cbe
rG5fZ/T5gJyHQk2SJyOZp0vZWtElwwrTXxKU+O6PdxtmJZIIZjlYPHrU2yQuhx7gidSIQ0wN6ueq
HbV/VKeqDqpSt7GPUcgZqDKDPdG1zSkRc9b0nVDjUK2j8Xd8CXR/iA0t0J0xOeEF456bNjsq+e5O
jR1KcmABu7Q3oSCm1kiqWcVhga7nr2s9TF8SzZgOAsBOOgQIRFVf0S5ks1s4j6Kg014oWRyuhVl+
ydd8+RETFp5QVY9esPlxnjo4ehez0hvqY1mF35czf6a5jLpyXa0H+2eD5H6N+vQeKSRwPimlbvPP
RKwEkKxkqRE8+pSTwX2rklXhBu3EycO34xcVibjWxzxb/F1nGhpX5YLKEZrzHxs9jh9RdkU88P27
DF3eV9o2bxTZhHobJUtVQ8xNEXHYNp7xt6pWI5LF41QcDLOx6Pzv5G2IE/ieyuLAZpxlMpYOS/U4
HNgP32u9QXq6bZtnr1yt52aw68fFa5NHL+6UC2id5suKmMRRprj/K1C6kPhpmjTb0jx7wRsiR1EC
Y8nW/1RTiwFAXQ1IRKFHJobepQTs5dh6ZNnLmjqVX6Ze/Z93rzglBwm7pUzGe2CzEqNDyMJcUglK
1cm/KK5qXVwvbw82v/xXNrcRDTxCK7xa6UazOdfy2KEPOSlBvPbflH7uPqZS419YM/HLO3hw7g3G
8ZKNdXkFbh2eIaMZaz72SjBnWGTzJHUu5BPWZ6gS7jNRP//l/UtI1wP+jwNvAKmB602beJlrDcXA
5NDDPE9aju5l6uQH3NCdKAW0gzoBoEc691tXWfxpSJyGVgkQHir8xsZoLovmo3LNTgBmFJ6/EpJg
0XC9ngtNjmRtBaOMrZV9Rmi+vHidPPtqjGRhLaZnOtzpwdTk19/ujreDbh5m6JDjW7jyesn61fzY
N1P/LPrFC8euNr87iKk9dK6LBHkTOcG7Px3Ec6SrsJSW2OhNCSxH1XZGbFYJPDx1QnUk6q8YBIf3
R9lJC9iMHjVIg8FcQ/79m9wvxY5kstrZQ1QbBcEZgsjJqj3EKVN4mveH2tklkqRs0yajZUBsvx5q
jFqgG0nrBUkyul/dSazPbdNPj/dHkY367RcjrbTI1eVbiD9eD6P3tdqubeEFdmvMwYwITXnRIjQj
q3RWfyDQVAVrpqY/7QwtSKSzx/hHbQ7ai76qeQjSa0TiMI8/d4OB95KGtp/mNwTCUzeuzcekstzz
MgzTAeh/w+l6jfrgh4CkO+DceMltFkflURNBKPACKy+aF7OY0DcBDNi6KWo0Q1k+ZMqQoOYHqukX
LEbM0ffUJP2RK3X+i55b0edkcZA36zUVH5yCT974tlkbFU6h8RB/vr/GO5tGps6yGkW5n17G9RKL
3BtsrBrcQBkr7YI1ZIqSv4LyYYss9P801LbtqE5Q9tt+dgO3S+dPXBPdo67PSNfhtXTwDQ5mtW1i
LOOEZm/du0GSu91vFcL/sHd6Fwna4QhgtTsUPCwVtJPsBG3C8lDncebRHQ4GtW0HYPhZMpyQsvR+
idzSvtxfwp1zB/GKnjQNVYnp2mwthYoP4P/WDXqrX9GycNeLN6Fa/29GccjC5Z1NYf16TxQMv2Qt
e4LKPVZdVaf4TVKVBzFk73BTjv7/o2x2Xu5aqzoX6HkaoxDfxCzoekeK+cGm+OpnpSIFddvUOqmD
XSIojuDi+6OyC2WEThdBE/dVecG/iZeTU2iRqXZsfey2fIz2Fj9apiNZm91PBqrepudlskU2i7mu
Xq6lecOu11It5H8lrGgZP/yLT0Ze4IG3A2b7CqR+Mxd3yRZc0yo3oED+TzILhGorMR60P3a3Oo9s
2f3gkbbldA8UcHhrstVTpEVekkQpvk2Ka4VdEx2V246G2tzVdVu6bWxzgEXel89QaL2wN6f1lM3I
/N1fur2hgIPJi5NnE+fqehvoNrR/AD/SfitGnrTPuqd5qVLMwvsjZ9e9vUBnghzAIUu9oY53NNyo
a3J8a1W1yd7wtCbjOBIe2kmuYNUhQAGFll7VliyEVmKfVyMicOk0Wk8C2fmnAqTaA1Jghp/qbvs8
Vknz+/1V3B2U7B5IE9oCgHSuV3EcNKUaMWQNsnFqLrL7BWHFnJ7rvl8/UTLuaTMY6UGYl//oJqNz
gVqD2LN4zDHu9aBN6zmju7DrG6iZL+U04ZbnKpJ9O6DSnkCNvz/Jne+Hj4cs7VPZR+JZ/v2bU4ZT
4dqgqkz4rdvqPKR9fbbqSRyE352lpAYO3R/koISTbzakCSloUUdGwclhvEyx6p4r3hMIRY7aMwaV
ui+84ehy3quj0auh6ozSDdWXbUpeN+gLDqPjUHWlYHkSit590RGPrgN7qNw/hoIYaTZG9TnuGhtz
KdlNm+BBPSOdrL/cX+edIwmGDIA0YExS5m3MNNQBnhM+wgFi1ekZU9X2pKqRCEzP+zefFAUw+KaA
/TwKXdef1ASb2eaAe4Mmb9Mv44QaFf447uP9Ce1tHDgI5OUqDFOeodej2Bhfqh2xJ+gdtuegZuUZ
zkpycKPujiLF9cjjqERue6/xAGUkyhilcSj0Zs7w19qOVfj+qdiQ4HnJ0Myn0XU9ldwZ1QblFydI
u2yVIiWu31rmuxFW8mPAD5NgF/l03iyY64HcLorJCSBytiekWV1/cpP3cUNeM3X4kkRJaoGebFdf
z8XQlKK1k05axS7uw6TE2lOkJOUXKAJHEgp7W5qnH5gg2bS7QcOvcYUQNl7hgRSwONuxnV4UHh9B
lajmwRfaG8pVKUvQFTLhSG4y0jzRRmedYycAqNAgIN6XD43mlOdYwaHh/mbYjRoUa8g8CFakppvj
o2n4Cw6gOwKttR7TXMl9tDZRyE3+4yg9OrCx87Xy3OEkKlyMpk7/c+rF9/u/YXe6gEvYKND0aTRf
f8RoSqM8pwUYIONTYQyDpF6Zm8jsCe99wlL/t19If5BCgfuiIc15PZQ1u31eqosddLgVP8e1pZ8b
DPIw+NRwu0Gn258xgrkARR+/uKKL/8X1w9UqNTEkev210Pfm+ok9hEg5eghxu4XpO2bVn0Zi5cH1
c/tNPVjjxF55o0J61TeJea141ZKOwg6w1jT9qUqjyocl4PxUNKE/W6tmnpsusi/IBtRfh8kcA6xm
us9mturzwW+5iWj8FIImCBlAS1Iv6XrBV6HpeI0PdtC7avmMhVDxZI/q7/c30Ctx+yqNkMom8Krh
zMsqw7YfODWQcUbg7Ij51JCaVjFoaBq3JahLdRzmwMWr8mdkYDrxJFRFg8+FTegL8oGNg4Bygozx
ZKbajMBXXc7h2KveGI5WV/2DfHeOLcXsYF3YYivwrA6FQCdjwVcG42Fd/ep0dOsuozbVpl9ZGlYr
qKTlB7ePDJZv5ycVUGXhlXX0gCtuM9x4wdHOFSNeQq6oPyKiXuLUjWEQu3VVH5qxF1/VTFf+vr+s
23P5Oiq1IQ/YCfi6LTqyseK81JE9D+1WYCKaF/HZ7kcVK+Guu9wfSsbpzQTpYXMZUcx/vTautwlE
i8hyueuAgJReMCLY/xnnROc0x7ryOWlMNchjjCj71c0P2ArbpaUYSrrkkH0SbrkV5d+/OZJegtyK
Xq0jsABz+Ydy7M9VRXCxbKE85bYbP8xrN/91f7bbhX0dk4Lzq5AX6geb85k4S9XqI5/TLFr9vMJw
9NUEqjiouuUgvm8TbApvyFaAZSS4EuCNzVDQ4JTYqGyB8R/ZWKExtaFWOf8AHX3FrryD5ZT/3tsP
Kcejgs9WNREQoo5/vZx6WuNuMQ4inOHIhvWsr4+40InZx2VpxsodYW465/bjzL39TGcdL+P7a7sN
OK8/gDcgxHRag1TGrn+A8LLCjexChEuPML9vccH5pTrjFnp/nNt9w+1BP0JqBsvG9SbzcAeYjkTe
JvTcNEbUvtLHH7M9SqZBXaWProbqSgl8NLw/7O3WYVjK7ZIExbW9VUY0I3Q7bDoxIV7Zfxaum2GR
I37D3vyImrSzjlSJ4FlRGaMotv2QRuNOeI4udTiTUj+Wwq79JVaWh3dPB68YUKyyCc6rZdNGWONJ
tZuxrUPKPNPvkxEpj+Te1RlTPRQ67o91OyPYZOi9MR/YE4DarnfGquWtFy1ZFWJiiJun02k+dZji
fH+U2wMHVE+nqk52TWF926tDQ01NqR+UoYgH3Oa1HodL2wgnE6n6Tonad293hpNNLD4Ve3673ees
bfKKR16o1BgzgxWKAxy1jhDAO5PizWoRqQxOFlH6ZumwTkysOhzs/Hc0x41TlmOI0peZPyn6eLCE
Ox+Kj4xfOZKAMgM2rkeD2uhYZGZ1iNPf+sXo6yWYPPW9aFr5wELeE0STZEEDb74excQYftSEVoe4
VpgfpkKbvxm1Kg6+z+15ZRSKAfD14YkRg69HKZZqabFpg2GwqlEA8YnqvDaa4VwaR9pIe8tGbxHc
GS8hA8XG66Ey1RI5lNYaMYd28FVgf7Tnh/WdKaxcNnY3uBUd/Iq9TUUU6tdWMRewM6ZJO+kN+kR5
ohz12/Y2HIrTYGxJkz2wSddz8TB+dqoGqzdc09z/JEunXYbFsy+5N+an1hHRQYK1t3avdDRuDcry
WwhqMWhlLvS1CoeMZpXrKHhaJcq/OKxsBCAd7GkqiFv9oXloJr2aiiqsgRRdqg4PFhUvpvdvOfpA
qsTFcYpI4q7XDmZ13GK9VofJNKJtZ1blZWXZwJn23sFQN8gEdgMPRwSPKT2iM7/FfTZFn5YK2rUh
xdnedzMXbLLxOy3a7wiE/1MW43MyVL/Wi/fcpEciyDvfTF4dAHUZXPIwr+c5tbhGU1yoQ2+IF8x/
R0xlHMTa78fznQPMPw8oGVAnfMIbUXvCYheZNaPUHThgvDIDHJi+pG57FPZuUyfq/hZKdVBWUT/e
IqfQMrcVOBCYwWHzFURisHwcfocwKnATMtZYP9XAOh5Ae8a/iMLsDq7iveWklU+jA24mzOxN+IDJ
6zRiSOvQqb3l1Cq6hThi2h8s587BpvnAFQwEF0eH7X1FolGq1gg5Kemt7nO2KmC7U2lJO0+5gcVi
ro4HI94makjBUF2GJQlrjWfU9TbJtbJS8BGpwqJbxDPvQ15/CBd9bLEkSfwVkrAPrkAcqZHuHg2k
Fsm52TY8njbb05rjrlIihDWmeaUvNaTK17it8ie31c0fc23iTTkkxuc+rdonnUzxGw72R33Anblb
gOO4DkgWaTvKr/HmcYN51qQNqleGWu8pTxlKKh9NlXJ3Z/XQRjN9/AgQ4L3QAmIC0Dx5O6C1Tvje
5Fnw3Pt2asiAWgBjD0uOmomDs+H7tysKRqTeBGyShBusBNHatUq9DFWxxF/WBI8mhcrC5f7pl/fM
9XPGpYxCcsBeld9x83xKHKcaqgIVmAin1E/12uifoKlW57nrk3PUQLXMBIawmD/G5/sj78QddEV4
W7CBeBdvIaJ9OeiZ0eJVXza6wCMzwWAPI51g1dUj54EbiJ/8YhScUbJGKpOPtpkl/y+YoakpQ8W2
f2hN9cHCELJPvXNWtJ/1fnzAGdYjo3AfxSLOuYLzrxE/tE39+/0574QgytLkzBQigTRsy986RtNV
z6UFebolAuIKhHNPvr5/58Ay5rUvX1KgnjcvRANjOUoZaxEKU0vJlg0riO3uCOK7E+hYTF4cEtpM
AXyzpuqMN2hXgls2hxp/y6pQHhWgZklUxL7jKu9thfMJJXmOnUp2QRKzydCNaNaGvnHyMG0x6ihE
1f5hjtN60NbZiSfyBQVZhRsXUazNHVE6GBUbWp6HlpfPfyazjqfkOrb4sGfeUyFG7SlD5eeI/7kR
T5T4IRquRHHgEpxDso3rMJasXlYlcDVCYKg1HsNDXoQlLB0Md+0e4+F4ukTlomPAXGpneAi0mpW2
CKbOpEdrucUpblYjtCLxX1mXK1WXt1ITN1hdfhlXGb1e+eyWfY7rX7YoBTd2QnJVG/WIwRQeejlG
nMB9vA+umb1EUZoGuhp/cpLyQ1ZNL6VwdT+z5p/vPjngPCgSkl2SNW9xVllbmaMl4KQpdq89DZ0n
gmUZxoNouHM+5SNTCh+xB7hLr2dLnXFGTFfJQlNMHShou32KeuvH/ansBD5IjPJTg4CWAjHXg3RV
4TbmYmdhBMLuPCfJesIhJMNncDgYaeeI0s9hI9Oi5PC8ltHf3I7GDOR2zZYstOc1P8Up8a1zYr4e
mf/6+xrnR4/Bm8I82wWKFMLzpAP8Ydt+6DAgL8YUppu7pmiPGnNV+2WspL9OfWyFjTcXZ2VO8Zsu
XA8HryV5xhs+OyEOWB5AKfc+JUo5kkOMkRCVsutVlpkS1uNlFmrq2F7WulQwOWqmA5j+3reUcqcg
Xmm4g9G5HgX/hbhIajWDbVvHwVCO4ozrO6A9s1IPQtPthF6rt5QNMECg/rgJgJhTmpMTlWUI70p5
xLv3ezeZ6uPB3pRvp+t8gFFQMpS3Mp3t7YQqERneUCVl2GDOsZympUnFF5NEbrnALYu6UzXVfXTJ
k9nFln5sOuFzn+qfJIoeXGw0rd+p/RZIM4MW1ykI0Q07J+bcfsHPqZsJHnXz3aqd+GeeQCMG319G
/fNqd8Ny9shVcZcCYv9z7o30t6ls58elLlFWU/X2U55NreErmoFgIh2NqgwnZ1ljOFGYvj4oRMBv
at9NddhZS3tiYO+8RJrxpzAAmqBCYJSXxhbqX2k0FX8ri6kuZzS3ZgOvJ0/9nghl0S5o5EYPpmJh
+q5jErrigOiA2NTNuPbNqnXSg4Czk0Sz3ry7CAUSfrutsi6qyLJeN2CFZ836+9h69h9YkaI0rSnt
l6ZMtI9aabrc363+hCdWdNbc/L3dWNJYfgNFQ+B6ZNLbBwTvz0JfMosrx17jYNbH1Z8bCwN30zl6
q+xtYrmxpI4rkWKrdDBM+aB2HkoHurCTC/6r+ZkH+Ptfeh5VeprmCBpA/NpqSHqNYVXCa4swySPj
wcJq56WATndw9vfmQjIJl1yqMNGhvz772JizpOsEcaupf1NHOBRRVCoH7YbbAINYzJtBNo+7RF/S
JF8YJE8zepyZm4eYtycnGudHxKbdoXhF0i6itHvDOazidagdHCnDMVY7SGEiCiJAqv4wL/3BrG4v
JmYFpPe1oEuHYhM2V1A6i2oXfKC2qZ66BnVNH9dY9YRRSpP4RTUfEV1uEztG5E6nmiPfU9v0MYta
xJAzRrREZ3x0KPmfrGVyzq1b6ycpyBIgzf3+QhWDUnyVXCewLtu0Ls8zCpleUoT2mE5PY22kNGPT
hkt4OerW7GxGSCVseB5ztIe3VXl3nqQht5eHS1pOH4tSt//KhaO8vwRLC1p2wOiZUrU0NpeQ05Xg
AluDYSx9etG7uvujx5H54Bba+VicKGlfQ0jiLpJ//yZv4VVB/g99JMzqAj+6RmiPIsV89QSVWvs4
jal9HlvHPYDq7Y6KyLTEiADm3+b+MCEHexFLHsYw0gJhGuKk9XP2Yke5GtSxmX2zV88K71+4e9+N
OdL9wWGFmuamlmnbsLmpSuUhArDjQ+r1kS8cPKT/xSjsCplvSnbHJoqwlKbW1cggT6uIP8xNVJR+
bY31QUSUx3aTPGi0uv7/MHKyb77b0ie2OSO4F1q9mz3a5LmOP/flD7Rk8sBLOzssMg9yA+7K7pPR
R+ZBA2znC2JaRQ8YVB6P3y3wq6v0JUpElIUYxPUvI8Jep9mMxWkeB/08dmb7qJRl/O3+2u48kWgh
UjjlFYeCGAn99azTbimzRgj0K6wxFRcuGu8lbVqHp3Bn/DO5bvtjbFXnmbRq9HU1mx8SRdFDG2bj
R7XMo4MdtRPG6QCCjEH0k2x8i/YviZ36rDRZCJ19wswyKy6YUKtnkRjJwTnd2bzoEEo1EzYv0NxN
NCjdaNGLmUcZWUXvZ4nIL1U2HOVIexPCPpHCMQkpDxn59292lZmqrRrBtgyjPIHFva4NxpyZ+9Gw
pqM24O6EZLeW/JfHy/Zp5tSoIguLoTBv/zO23epJTZMjktfeLgWOAYmYO1BacF7PZ5gTiC6unoWG
i6dHNgt0kasl/mAmi3JKYtt+BO959DLbmxklYjIuavC0oTfJShaV9eCxbAgKYJ2Id+/0yzzW4uv9
s7Bzr9ML5JJ9rZDe+LYiZxaZesmD07HS6VMex+3nKovQNBkqrz/1kWEdRJy9aeGnhuwF+R5FzM0O
zBbR9GPcUjjRalzOFLMLlAUp5vvT2svSeUkiaMbSAcXdVh8KRS1HMx+z0CuwRVWTaX6cSi39YDRD
/jnGH0smMsUjSPL0r65bqbcl5VofBPGdc8DSoquGKhZlkK24WoeqfeWuMXHGXc1vnpKlvlARq2ij
8YhGsbOs0vmabg2TxoRzc+SGaZhmF+XssKrV6i8vNdmdnVed7y/r3ihkY3TODHjuN4LrmT6B3V5y
BGIU7U9Rgso0BOoE9wfZWzVwHpKKxMVArfL6tFFWps5RJWk457Fyoqw3nirNXvwS+6KD+ewORb5n
461AW2R7/ZTrVNktEvKhlih/iHiOzumkf1aULPoXO4F6Nu90Fk1WWq7nxO3XjIuDGE3t2PGpXjr1
Ysxp4mvRu/kgvA2h7LyW3miG32iwmKisIKago3tjCup/LfhVU4ndy/2PtJM4IDhFudWh6S6xq9cT
ylprLHXwfiFNQKQiYE1EaeA0ud1d+KbzZVpsZzlFoF9Wfyogd/AYV6wD7tBN8OLtIz0c5D0OD3b7
NpX40T7uOF8IZ9af0jHrTiPIXZ9M0TmXZRW9t0wvxwNpL0urknu1Ccler7XIXFVZCKWhDDx1GnzX
7OOD/X9zyEggSUrQUpXocUqn10tr2ijp8uBOQ82bfghlQAdca6ODxOuV1XeV+clRpHaCLNIDPZJt
pjd3NM0ASsipSEOFWkLjo7kPIERB4q5IOuMXN/XyF3vKorNutkroZNqQIl6vlx8dHWnBuOvy8uRp
4xCs+Lr4hUDptTVwKZhBEgaFpSjnNsWUO8FQTTk5hlg+K0tqHyRyN8dXzkG62sgsDtHjzUrhat63
es9KmUifd2chKpMs2bXR859JaA+Cxaufy/WSQU/mQNEPd+gYb9ksZmrmGXh31Fh0HV2HeBHZxY0o
kT4h/u9GT50jEbdFO8MriGbxs12X+MWrpxq1mgUDIzfS3CeI2tXPxDaUsF70ufS72Ko/ppUzvmDP
HmMiFqUf63VygLQOlT8iGHiqjNV87PvMDatRbR/KyTQeRaT8BaT6iEN/u/eYInIOcCihXBHlr3dF
qqk4FqSE9LIurJcl7zI/N5v04BxtLFjonmBghhY2QBAHNgZcyeth7MyItSIbkjDSU88fVj1QG/2X
RPSg3r1v3aA/m070GfW9wsdTIOBV/OiZxehHlTSVXz7P1fhbNNLZmNRJ9dupDUQxGP6CRE9tzAel
j9s1kRUpSUwhwQR1uDkpML49xaTTGJjVuIw+1jil8KFZKAf76zaaMY58AIAegdW5TVniHJkMRAvc
oIwwAEudrPpeU/YvadQX5S8rVdyDAfcmJjkddDaBgvHf9VfIO2duB66GIPJG5dHLeHcZc1K8N+GT
NoBEM8mpk63jzZayvBQ2Is0O+A3t9GgOfXqW6nr/Zi4ARUjQZTVgywO3jbpfm5K5ZP2SfIxVMflN
macHz6fbgEOSBZhYPhvJuLeExMTV6zGfoIX0ohFnWyT+6NZ/V6BTDqazsxdkNgc6D2EzypWbA9Ib
cV8nnWsHVRwvz5MoeIIbDm+P0Zq+isU+Ovf743HXSPAh8O/NzZaaVl8KsqyghNrz5zQgrmmXCD/1
iG1eplqzDiL3ztaTLDzQqNzb8M43Z2rNq15Dy8sOXL3Xn6PEyi7UjObgfpKy+7lIhQCJwlxDLvx6
g0PY95Ask7MygA4lAFIeOmOZ0QWyj0j0ewvIXUTglDA3sErXQxmLi9ygscJvofr7tK7C+DTO9DvW
D1abHVlY3a6elAxE+ofOOkF0C8vqU6uujSg1glZfbD9pWz7UpBgHKd7t6sk2HC1ViqFcdlt7szqz
cB0zIj1whfd9tfG1tKjTBi18k4M63t58pN4a2TGPQiDy14vXi7EgIuh60GLwDUreGs5lXETvDkTM
B+QrPWk+E9fb9SiLEatTHBs6begMz7R80L4qnTb89t49BwaI9gyQNYqhkECvR/GQnUzqaNKDZkHy
EP2ZNMgaS/21063oYKidZePulORa8AcaPsrXQ60mAsi1O+vk3eKxG03reSidI/G/3UH4OCD8NXKC
7V6bRaQiS8wgdlEtVPsd9ymdlKMu021JTmYd7GhSDwmr2FZV8Y1F17UstWB1q/a3NsH2yifY98kX
xSSx/6xFU9f5udrkkNSiqlH9Bk51/Fiv3Yq41CqNo1bbGo8C4+30yYJesYGgOSX54HqN1bjspxRi
RWDGdv53AeKS/r8qDjrFt9GDsrlKJVtyX2n7b4oiXrmUXWFVKotMf811F6Tl4+LDmIjmZJVFe3Cy
d4eDy0lnGj0rWD+bSWU6NJcyVgMOzPpYNaYepDZ6TPGIU/islkdarDeLKAk4JADkNtyfgPWvxxsj
jMjNyrQCc7Q9Hzx/dVFX893wJkYBI8qtzNMMquEmijTqiujc4FpBt6Q/zbF3Tm23mMgG9D8UxSoP
3p57c6JIwVMAwy3KLpvDNzdp1olWtYK5MYsTyvPNJfaM4iDhuPlScs9xR/LKptlwA6AX0BTTBi/Y
wEvsOJw9ugDmuE6PXSMd4MzkSHrzRnD+lXWLGS1n8VVMYrMT04G2zYBGapCJiE5is459hGdIV7Sn
VZjAAUyzaRJK0zqa7t1a6JYv2nj6hgGHlZ2Rm6ubkzHq+nByk6nXLkWtKQYXh6h7f5h6ENnF1CxH
TS4Zuq9eZrQOeLgAZIcNQnN+s6GHjEwq0/D/a+Ni/r0CdHFZKkX618JjQyvJ/TADGzh4Qt/GrNdR
URamAiKZpJsLZZjdVXVi3ifxmhQv9TJ6zx4iH89u4Y4PicAyws/tejpbcaNUrIHtBhQC6xezzqLv
I6bjD/evnp0tSWEDPBqsaSngvDlmMfoOo5nB0veqxHxZUA7y1WLp3nuNMmvptQC+Vaan24hIuazH
UqZHFaM3lw/m1NhUsRz9/ccLiAX3AebEOHVu6/qtoaeIfuRmsGC8cbJGVK8Hkx12f8X29s2rJy5N
F/DB2xXTKzVHo801Aswc6uhUusV81jxYUn5rL+0DTyLzkYreu1u/svQNuwxGjANHassun3Nn0QqD
/E2hkegDRoCt23vtwRLuTM7V6WET4YmGBN7rqDtV5qCKQdUDU6p5exrjXBBY087RxH3upwRFH2RC
/+3+msowuzmLSB+wQ0AlkVFvxf7spTDR2FxIGLQ59odlLn7Lptm5aM3iUtKKhkvtRuqXyF3+uT/w
Tb5KUYbcUTaB+A8lzuv5Cs1Bq5zYQ1Y8YPc+lsNLjh794zLY2sFJu62eMRbCAPIFQ8xBuuJ6rLwd
0mYYFi2oUhWSdZs0BTarZses50bJzxEltx+JmVln4NruhSb18P+ou47muJE0+1c6+jzQwpuInTkk
gLL0TqIuCIoigYTJBBJpAPz6faDU002qR1zddiNabJLFKrg0n3kmh+Vk7af+wuEcGDbiAOzGktVz
LzYzltxDW1aweokk1H0tNMwSxelxwAQh1ex2qaJOP75TlP6b9QI9VwB0sWagef+WbpZAkMvGo3E2
SSDCnTU1dVqgZ/LOHPvbo0A+xMURVhLJm1s1dr6NAop0NlYozsVYRBeyqJ13Bt36IW8GHXbHdeXH
EbANvNn7+Yha5mQrZ0OtBQsu1V+SvnOhMKb384g0/ecj7W8vCeFghIYgCgFvQeGMepUqxt7ZSPie
EFt60b5Z4Ef186O8uMK9vShU17EZYxlEKf/NRTFYAYl26u2NzQIWpGBGi3v4iKEiiEJI/MVquuqO
V25N08mDdBtKiZMZN61GjZKUtbJBiYyd8XnwpqInAiqfT140Lg+mELohU9xQ+Cs3laCpJfygTQUg
1nQL7T7sW62vlh762kn4EHR9kmS+N0PKDF9AuuWeA1vd3is8Rmjts8+dKeKvCZp6Tw7S3xvtx+Z2
khb1gdjx/Hs4NTQTAbs7+OiXI6gDoL9Ih9hg6wHY6sZAr7V+aU9pB2Xbq7jRNhyELQRwOXid/Lql
prkvxTCVqed3rk61zReROn08sZUs00qCE5+D/B8xj6IqHpmz0UUL79OwBD6Y2DxmX955ND8MN8Bm
sbai3oR9Fqzq19M/idt+Ae7J3iAri3J3ansyWbSHH9T0nnDTj0wIJJEokwKxv4oLw23j9bHsAE68
4zIsmwp50JAi5Vv2yNgZtt2uo2I/iVpbEAesapW1qgzv4DXSf3G56Y6KskKlc2tQIPUbxh9/+S6s
uk7ovUDiCAP1zficpqGvOShLgGoObpqADJmhd+gQtx/eq73/uLZjm159PwCvwfr+ViQLa1+ZiKBa
NqJwTA5xXH9j2bEBXFC/d8N/3DZxqDV3xya2YpHfRMDKlpaMeTBDabNAyukMRX/pLP4MOKlfWhfQ
64LrTjl7kK76+e38cVVBUQJicegTQm8CWK3XDzqQQVsV/jRvZpMsh4YXz0lg7HeCgh9vJPAEaJWs
/ilAzL9NW8ouMpEj2YzbN4UkcKxqQyVknJfRek/n4W8OBc2XFdaCTjz6JW9qmCHch3TstrgelGMR
CksFzVEejygvBu9RIn+8d2ssvvL1fYBbfggXFWoUxqn7eUO5Fmmp/OS8MlX79edPCFPux4mPzX6N
9VdKC2jar59Rv8CRdnKScVNwWCDvhkTCH77znaXJvWKePvvBANy1zUuPk1Am4Z2mcW1jEJkQqOVh
LIqs4lPrZDroapdAJNjyCZXeQInjGKfKp6QPXNjet5OfV8E03EzJwqvUFHSqge2GmMUONouo9Q1d
Mg2bsh1B4g+g2Zyztpg9+HNXfZNOI8rUBLslZGTgr1CXKS1QMDzruw6mMfPSRnXaBW75aZh1bKV9
rKs4S1gfnwC+V/q7sByAwo0Eh+t3Y9wbW6mhJNp0FqK3oi51rkPRNXlRdvQyBPq6Q6eqjGX6IoKf
FcoubeK5U+wR6LWIp144RZt5zhz2pCnc7tMQivYGFIf2Usdl+HUolHUNMJ/dwLqqd66jwXE+Kk/F
8JMXcavgfMVRmhhGHoTAU7vm1G8dF0DrYErOmRK8IEkT1UE6zzyaNmM1tNB9jqyFn3RQV0I7euHg
AGlqqRLNyhh57NDHCT1D2trZm0U78gIl/xFUmaWybwcdtzRtek83kApZuo4sNOgKQj3Ik2yHsK86
MN/cos7QRnWufCOol5vWHftdVwl15wWV94AesoSoyQqWpyLUZ6FlVS2JS6w4twXtxyOtFnfJBz8x
1Uqm495W8p6xNLabMKvjqYuJH5T+cyKKMIBoUDADkudXpQdDtdk51wbbE2mose9gW+OLDeK3Mskx
UsRlyy3NYT/gwGnKWVyJclJYJZJEc23txgGNWwINTKvADrnM983YDLhpsYU1rlLWDOOxfkQaq5Me
6x+l6MIlcEZ/jIvA/2KpUEJQpIvoYcG7v+hymPFkRIxY1yzNeILC0uJt+lF7N1onrUL8alcSK2Zp
kjR0JzeEJ5mqnpnH/RM3MPQCLVeoX1htTC9aRPFXcTm0CKeTiOlMDjGaHXbt9I9iMbB8UlFrcGnW
WPAUy4GBCrvy9IFXTfClAZoCPUHUTHFlXbL4eVmX83MvmuDaNTqMoELvOmjeyXA2mYmQIKXwl0Wx
Fm5BFRZ4HqtlB3jS2KWFLO0LHVrg9odAOqRuV6HOM5mqmEgXxxMQQzXtn10eFJ8hkTTcsxi0TDIi
m7wc0SjwUjdBCg4ihCNOx/A80uXJQPvixvSD9YxEc2zSQauRpVCpjZ4MCBf3da1cZyuS1p83rva6
7tiGPu62obV4BKsrYDD1q+Jq46qqoUTEuj5jQCbXaeTP8UM/DPqJojJ1ibtTgGaBQTSlNrRin3hS
qSgFM99ixMBp9AE6/epmno3dbznEpfHbKNEy8zrH46mC6nVBlr6pb1B2pW1qoy/oEAY1gi9jghpR
PsPTM8jUXGCENG1QfMLbKPBwyoSkKU1dpTQYohyAyRD5TGBFV9KaIbUX1E1MPGeUF63XQ9UMLqQR
huVYrUL3NMEzGFlU9cQDjPeYGLcY9gWk2/UGUyo5D0s/hqPaNANT4DtclGQMXTRjKRQDI4KSorlB
HAmBazxCUyP4dLxjzMP5yutqOzW1BzazsWf/MCyJg0HrVLE5jK7pQQdG6ihTCNGWHcEFGhjrReF4
tIKQXhahnFjWsDaA+Yy2/euiKrrLsBrGEI+QO/A9C6WzC9AsueBJCMZUhAYTYlPo/Qz56MOXwUok
A3BQ0ZMForE3g+86yyaM+mA4MFjzDelINWSJ5zFZkpTqpjpZrW4wNnwTThuO6aY3yyQ522pV9wxF
QBazXdMLDbgN7YCVnfj4qUX3Y0wrdGO3cVH6WHF7Bu37bjTBSawEeOytOzhnNtBhYWq6Wp06wwgh
tA4mkVvYfmIZZXAfpAf4R5cSpiyVcbZBqLFoDmDY3Iimbh8r1zLlNqDxVG6krhndtlD8QhKJpMDb
0sAkCPD7CmtTXdL+Mw4wodxbIbYDZzdxruEW0qCTLyyEUQJhLAPi15qbFNr17selg7fqVkAz1N7B
DNetSICn2ODBUHCTpqSbAuKpIuYEnFD5qYupDX2H2gapiEX+8gl23nCEWzrpXsZu0+49BaAEoWbg
E/E8yBbkdVTScVdgNbYzt1SRBRk6Hl2XUEsPSeIM4lRg0kWHKOotG3rqftsSt2btU0uVgLoZpJXu
gRQQRw692wIYNUeg/NtHSGLmpZ8vimSxNKxzWIdFXBTBRKK6Bt+8tnyGxwz97n07FQHhSKW2aojs
dCnlCeha44U2VoDNCIFwTVyYo42boO81bgFkMuCRVq5+nmimqwufTmVNgJIr78fA6lQaCA3iAFp5
9cFWQf+VozSJ7DdQQU1q30Z6giTC6rO2ZkghinkeHFL2IafZPEfWieqgiYpiVFDde74MT5d5MHSL
ldKbst5ysaFVTm2RKKlhKKk6f8CCOdTTRaDq8b7jRctTj0d0xmIaNCCZGacvsgX4loZwYwKdYcK0
SV52Wj4saNtsIcE9xwdT0WY3COwdWR0hwn9ogiZcctqY0tlXzKo+R7b2+8yrArfOpFPCqm3qnK2c
KN+MtAdnzfeawUnZ3HcnuJc1kljKR57SxSr71IXA39nSgqb7xZ8nFKZVI8ObXgTeU5WEYAaHY2vs
vJUx9PMZLlaR2sF+TexYYHmQPBzPGyGGJzlgp9tCgRFIN28sZmTGWHbHp9KoGNuSjXo2K+z5o+NN
3ZNeHBfhwSBm/6bRlnmU4mvVbpy6W77CtDq+n9qFIaLrUTWfCglUiwv4RUwsHYVDhucWoG0ME83L
QcXyUapWf+TQAG/JAK7zHZ0i/RXJHcK7PnR6Q2Z3RHjnQ1qxvV7jk8tKzVa11W0F3cwETmGagAkB
HosIpDIplEOmKl2mBdwkO6H6Rgg3+tjHgfzUxHRUZ9BFYI9gTDdhGo9OJEhXWOIsmkb6HEjmfnI9
v0eE7RfFMxY27M2j66NmBcfZriT4HHalfObcNnYXXethtgEg6iyo1wMx0Q7ZhGXOyjAb22SPMCqc
8oY70z5cMJyAPl5HTwN6BSRaKjBt41JGl3Aaa1oyVX0F1imUxS5t3nplZizJ7vuiCZ4a8BgRRNc6
ubUCt/IgfRB0T2ORWOdMzOy0Ns6UU+00c84c0a1GD1Q9dB0fHudBgsrWFUW/3Bgw+TAk6FRdc5Mg
aI/Kxolg7giCJdEFVBhxDc0MIjXjzS1uWKMPGnIydxW3aAsiCLf6s2UQjpVpG4XdLMJ63xPU+7Ah
1Q0Nom3vOKj3QoyiDLK2lC5Fljd29bltwpnfjhSLRjoKz1+yZrIBEcVKIC8hvC76lCXRLEmHoXrG
hLAv59YK4cJhGyxvCL3YTHpUkDviVPCTJbGqk5k0CdQSCZqXQblzE1jgwRpvEpSgEd6rvJFxeQdz
3eQrR28OaMNoqhYigRm8boYQjkEytK3PHdxaFoTSbXVlXOyihFKU8SbhFwtxK6CLyMRLzolV4HFi
OrKSHQLpTBU8NbR31iELdbdjqOjzJJlCWcJtiiyppy4CNW5ac4/ac2QKR41epQJCpNbBwKuLQski
rm7qqNU+1r/Zmu7gdjzrXRIvcs47pNCwjrTDAY18+LFim0lcK0DlN1T9JiwWynYDeBAnrpByzhqv
Rpl9aZNmU1CXj1Df84Ln1ZEasahhcbDnik9fAVCN+kPne6UgoxUVqGu5ZZc2oGd88jyOmdTICBsJ
F2oaz134G3e7Uqg2SYUJaJM50zLdMU+qhwLQzTJtlK7G1DWyf6AJFWUKZGf0yOoFFrGKsSUkcYvn
l1JYfgfEt6T4KG00FQEx6+KHlitoFIKDi2Jd1wXlCWTqByu3ZejUuTf2FUzwsDN7ZAKcvszasLbL
zFpKjduz0FXUsGyWbqvdDkwPN9I1hYcL9E+2YdRCw8OECtXqsuaeOYPYBjMXeozCWyuC3k7qGIlV
27ZptNPSUyOxixglPwjuQuUPvJoZOFsUEdOg1IO9G8bWc+9bGKuoM2sc+ziFthM7reZy4Pukmauz
DnFCSFTDfEaQh8p7aBXJC+HArp1MCw/qNLEQjKaY2aD5LYGripQhz+AIWNCAJ/Ew1wjb67a5hkxV
6xGlWQID0VGNhoRQp2bo3SSj2Uo87nhLE7iCpHFZ6eroMi+Zj4iM4DoR9U68b4feBoqPQYg2betI
XLdOo55ZgxUxM808XBl01i471SDor0vkh8e6GFusHWBjwM6s57I6sXpLTCSeRa/hpdk1kBKnE2bc
VBkuCCSL/AdQ6Mcqa8Kgv5gm+LHsLIQB26ZB5zXn2i4+zw3udCYQ2jVpLAf7slcDgkbP2LzOtdKW
WG9NpC5RvOdJJhslRxIvyeCRmnm4cdJzyx7xpM0VYpgJAwkFMsAHABoMnGNDsfAcKi0kRwRS9h8j
y5Z034DwdB/bUGfIlqUUS9YlDOblrZkhDokISm6lQukYassFjEjlHE1PHTQeDqMOkL3qBf5iBJw6
KBbZ/dAVWK7iThNIApSnI7iuF3HVh5euFWPJdoays/M5HgqX6BDRM2rQdROhUEKrBMdSTZ8mVZz0
xF2M/RhrAU06t5/k16FGv24HZl2x4dOSFFnIRvaoRk/Y2T+8SvMeVmtm06wZMW9cBI+DNdlB+o8+
RM4+dAAwoLcRIWSXxruJepTtygBKdCnkd2FFBhmKpCKo4Jc+npvXXuOck18W/YxQHULDPgaGe1Vy
fVPNc6ieuTezaSO0fwrJzhC78Yji9C8XDaMIsD1IKofg/qMa+7ogVc/K0r1jm40N5ipwxiBYMXt+
T8j/x/YKrJBh2QimHrqyGHCvj4I1d6xK6M3Da0rVp11ddReiS9qDUwTeZuCx944UxN+01ldeAWC3
q0wDdNzeFGEXOnhLEJRmY3x4CAaYx53Q2N286c6CzAqJ2eCnA7SiSbAgeO/qyzpEFC1+1V8xAEXJ
W1mC3tooA5Dw9YULqbGjl66ExlFtdqaHIxSDnsIvP0QcBcI8QETjip23Eg6NC/pO6Rm5AU8T7G0R
jQgP4E/z8+rlD/VYiHKiPwbEv71iJd5CZFEYaykvNeTMC6NP6xYmNShlB2s43aY/P9QP5Vh4ZgO3
ijbUizjL20PJSfblottuM8hoTEXF6MU4UfNeORY3/3V/DLwdQLIgtoeKLKQYXj8cnLzfjXgueDgt
WkgaoV5YP06FRsHNugevDSjy96DrP9zEKALsbOXkoYaOAuqb+dYqOElKO8CjYnWTOl1tZRFQdyms
AH6ZAIgyPcYFQhFMAQQ0b+aAu4zBUgRy3vjwwiEUqcp2gQr4O6Pih0f1chQQSkADQdv8rftTW3fM
KH9Au6O3lhzx80IWh3+XDvuvV7JE47/+Gz8/8n4WMOOVb37817l+ElKJp99OH/rxt41iXx8k5ey/
1w/595tef8S/TukjTPn4s3z7V6/ehCN9P5PsQT68+iGHLa+cL9WTmK+eQAiSLwcon/j6l//bF397
evmUm7l/+ufvj6A+yvXTSpz8799f2n/95++Io/8yS9bP//7i2UOH9+2eHsTX3/Zj+8C+/rb+O33M
OHto//jd+MNnPT2M8p+/R94HwDshkQlwIIiEKN78/pt5ennF/QAa5UpzhGAGHt4qRcI40tB//o5E
5wOA3FBPwIqNLk+wikSOXH17zfuwwobhGgKU1wq39H//465cfJtf3x4d7tL3n/8qOLXOsj9nITwd
X7B9a0cJLRigF9/MiNAvDcTfO2iJBarbFLKHiH+kP1sNEyhGQ5VVBfOt4er2Lzfvbw77ggh9dVxM
PoCDsDSjBQ+kyTpT/0JgSiC83vOkqA+6GcVFD5ESZHam4B8xmbqHllXWFXcAedFRIeVeorGmUzTd
UEzSYZNXjGue+71zrFUYlCkoGQ4q8qx1NqK1+ScgossqwwTtnzylfNQOACU7nRXVz1Vo7Jt5qYZn
q1Zbv10mlRYO8Kc1AsnTsHfKRya6W+E7SGmATEVuv1DX+jRbWAZbhK0MAn7w4POwwmtkB5IAHlej
QW4V9nnU0vrbnfqlufcf59GruXfeP7FrKZ6eJKbo/4MZB9YIxPmAwQAGCx4EgDgB+Pdff4zlH2bg
LaPy6etv1/JBPo2/gVTFxW/nSrYzZeX3iflqEv7tx3+blFYUfLDR3MR+iugXBKbVg/jbrER/+gNE
LTyo0qGmuUrf/XtWuvEHBDRQgAdM0UUstS4Yf0xK+wMKX0AToAO8OqVifka/MivfCNSBWYXZsdII
AbpFoguixevpAQhUV0J2o7wfNOrFWlTBlQPR1n5cjtYwPEFaMefLco2m5Qx6Mtx7/S6XMZJPWqPD
Lpj3zmb9uq3+/XzAnoeKInqniIlfn48RElXeWZf3XdMPGwveUzBywZfGqWgGZfWYdOo9E44X3PSf
awRuISJjcGERNgFXvvaFXx909FxmzRb1bubQOgaOyLvOiLtyrgYioQacA1TipwwJA7xkqrtwdN6J
g1bc6V+Pj743lkWA5kF4hxvUW6XermIKt3SKr5ZgJqi2kWrwsJ+jdxNaewBLAtSivLPZtZd3cMM/
HnjlgWOQrQxSQOvfxq1jWSHM9LwrF0acmbdW3A22MyTf+hp58gYyhNeB0+8G7t//ZUr9zboMB4dX
F40RjAfsQVVkZW8DHB2+OXYNIgJD6wA+4QTlUvw7Pf2833dplJZbFP5PgrMkD87kLs7Cfbin23Av
juE+OrPyKkMXOk1yK11/v/5dvxM7tpPkQuwkvk1yd+9eSCJJiD981OnjRZixnX0vjknuZ4Di7Osv
5n6+aI/LdrqcroLTct/nztlyVp4kt9OlueA1mS/cPfL2FI2nVJMoF/njBT708VHi2ylVGe5TSrNL
NLjSOLc2RVqkBt9BymyHzS2zt/aW5/ZWb8Sme673Qy4zkya7ZBdk9ZbvRshpovvz1T5z9vPVdD6d
W8fuGObRiXtq7eztfDDpkKuU49OcvXj5fHQx9jDTJsluufDPvP36SYoU6fPuiG4nidMoW08jyYbd
cBx3bXrdkTqNU28PEmUa7MOzapvcjDtD3lOieVHr+HMQf3+ewPjAdwHrGcbT60lEEyWLIbDay012
fgOcwnFI+ba81F/olKK0VMUk6YGBINNx2ZX5QmjuEIe0m2VHc77Fn+ZDWm+etmeHmVREpNczMbsy
g/UswS/yOm+yGWfd4paz9d/p7KSGXFZwrSFGEnabXDDUd/FzZnZWVm5Yur53t/v5wH0TULxcJ1Jc
wFWQtWANfssm7qFMLFGz7C5RnAbULDDxYdJDvU/QdTO0GjMOQ0xSlvEXacvh5NuXrjpUqqv2Lz+N
s7lnpR63Q0fRI4+4yimKlqkDjkAaa45SR+gM9h4YJqDtJn54+eLUEk21vkzhjo2iPEoJRERYGjCN
/KN0zDkY5/ahwAUcYOr+/QvjgFIsRRllf/7u5e9AGYjfWcVe4PNvRgDoqOCZYV/D5vUWglYsbKpn
KupLECIOlm+d+Ky6qlEHi7snS8prlAGyiDZnnuWcusFyPdJ4swyATiT5Mg6puxxq+2tZeScMHVrw
Wh84Ty4hmnRwmgScJfkR1de0GMGpZl+ob+7h4rDjU5VBFXBDhQKHOtxS5y52ljh3vOQCYKPt0E8L
KZZqG67FYjWdTLLZ1D7NjV/kvDoPGpVL2QOi4ucQXUhlqHdtkeRAfmW+L491QM+9FvCIob3yGLs2
kh+M956I2Zsd6GVQxZClRccQtw4L7htQclfHClLRXXVpN9hqZB2h3ePCAMt+tpEaH6ncOsEF8Aib
qXw3tXsdma9PDA9sZVciRgbg4G1qFxcmmCfpFHkQsCmFcxn4o4tBS0J4yPRGKa/AIEEpuX5PRe31
7vMSNq3VEiBx17AZAfrrFSMwAggbEyzn9eg+NV0iSIWq3AZSEedFOQakll6AKmJPCTqKzvbn8/iN
wfcKkwTHDwkBpjFKHYgPXx+991VRMhXYN4PTuLvZL6+gctMcHTXaqGNb7QZdck0kaPe853u6UHXa
BHyjne6ItqB3GvrswfcXlpVyAct/6h976DPfdJGo32GWv75Pf5xpCGYqlFcT5Havz5TFNgXNPrJv
lEPvY4SLaWfbwNR60ZGN9F7B54vTgWVoXQTvpf1revTnnIaoHtJ9CBlAAhX8Yljdrq//JX1yINUJ
7q3ily0DbtSYIu/1st9kNILodiUC7Dou2A9ds4xnHQUko4vY7cxadSwZ0GpmUMlJxLHig6t31L7z
CZ6p5lIaV2zh8j2mLz/CXH3IA9/MaNFGdCvt+VaVXXuGktt5PPj1ZST74hbKX0tn5pO6PCRRpa+5
U4Hm35cTeteznVUT+gOjYfoAvTw7W2BFexWVxZkd6iADEPP2Zfz8Urp0wzv89zYD+n+dK4HJu0Zi
/zk7uqZMojTzIOTTq7LG9zd+z3tC74PtBBg9IDxBIBHpzR95j4WXVn1kTHwEgLASWWvR38sRTvwB
KFCo/QMQGr+87d+Jz/oS5EdcrBT44BDZ0h/52/dg82e1COf1qEb5AXghDGkf6mMw+ERq9npUS84r
mFb7XmZAICbCCTVJguEuoMB29XeyRE+84OxGMeC/erB70qZF8TOyJ/gNOnofeiU66qrqsr/cyb8J
il90M/6cbS/nBYsJ1NDXZADfvTkv0w4TQPzaywCnNESOmu0CYR9VO0PGtkdXry0+YycF2aNdLvpe
XDQsUsRv+d0MeME+arcRRFXQLYpvHUfYxKDzP7blaQLR+JOobIG2VACVsC6GSV0xZkD5tnkAcHQq
hFdvsrIBeA29055Ejc/Tcaq27jiTMEaDGDq8c44Ow7EHje3bhf/SZPppVeH1nPrfVQjXo/+7YPh/
pPa36mb/57l18gStxoq/qvCt7/g2qdzkAypnSNRXHSqw99aN+lstwY0w26AFgngU7GD8DzvEHxU+
FBMwC92VZo7+ErI8hBZ/FBM8+wMGG/oJYOpB2OMXJxWy1debhQOJLKje4CRXiDXkKN5sqVA/jQd7
igoildbZUDcBGthAEpQmRnNd2QAWiyvHF7k/6/aktV2ZS64OtjdAJUzvC8Rew4i0KLArtcWw3LjC
rggH/iodADtIWxg7qCS5pCiGNcnHYnjgRZ+WkMcZyvow9y1pVfhRS8FIv+pE2vQG+4k8t8ZhE0kP
7ePoazx4j9CkWuVgWhg1oL1M272W9efSTwCoKFzIFPkKDXrJEoJml0g9T9wVJsyqSFSARiQTYdqc
e6w6DtLzoYHNTxjEhUJrvAibyKRh5UCKbABjOsLJaxfoXr+B5wY4EMDNjk+Bt3yeNSAtNVCKIxqU
ILE8D1NoNm3bp4DFfoFh5XnY4LKsvm0P/iCzIKo/o7OnstATm6hiz9ZSwweFq09CdBdq7lia2CMp
guQxAMAyKPe0upug0/R5NddKI5RsiAqWmvQGbjztjNPUEo3ytATp9IbVCKn1BEnPwRCzQmubkKb9
CBAYoOzglg/Lp7CVmQTcfGvD5A598i4D2PPojc6INWU8Z9Rc+to99/w4BZI4HR1+2iQRHAw5u1+E
A2xwPx2SpoxSabPTgBcAqQpB88nifR43rr2xDPQZl6i7rOo+b2GUoGN0z8vl0i/aU090Z1biHUZR
oUFv9YCB11flLKrUQsdxE0rAHHwrerSm4sKKwsMUxWM2D/jjuPWAbpfzsLVav8s06nHIurvROmKu
APYS22AHIRtHvNHWU+pA+u+CCe/aiql13YgEkMECMHXHwNPLVcud5ZdHv+HXgwBAgwzDF9pOdhpM
nvNswVcFVMbQ7DRMtFKIiBR3NHaQxHpVueGUent3NgdVAyvTThWYpFDESmcxBimMFeBPUvrbMBwv
hCieBwchpuo/MhTIM8F9A62q5pzCgv3E8wHt1ZDKSeYRDA2AB9N6SE6pmHczTboskNGh6gRa/7M6
myMbhZBer0q3jnUJv9Arn8oFSkjANDq8xnkN1acGeAR0CUqggag/ETiLnjRKfBJtcmtb7SlwPfOm
GmyBKehOZzDm2rcL5DdmVd8b5YDIKCAJZnv9XaOwVQwuP8PWE6WWD4p12dIvQNacOhCHJ3UU1jn1
bJBmT1vA0QhI/2YvIZiVdiCVk843jkv8iR+tegDMaQxnyHZxeJY7CWAVE3BwVdw+GofCcokKUNCk
FWSyVkdH0NswKYEFN92uG7Ctmwql+TLE2+rpMWHNiZbAqFRIkYE7t1JXdIcIRCzLmiAITN0vTLvY
7ihgAqplWUfh6lTFwS6hk8gaBfGUss2he0Tddsh7TJBKXrLC2iTJ59oBBgdKsY+lOdHKSzKPiovK
lwrQEVeDESTYidIzqh8KwNJrz9X9zmuc4SS0whHahaiyigWkPPhtVHtgs/ar9OPnNuzNZnYK55NJ
xDXgTSdzORepP6kBMnllcAYsF8DAU8DQjCrhysRUiIjGq/e+NS3pzEDfS4zOY4A3Mhbxc2+ZTpul
PAxOPO38cWgOAA/nGAj9hUms4wyX4LFNvi6Rvqlrc9d2AaAQFc+6yXqioU5y2tlFbpfFeRn2oKi6
B1/Px5ED7wiwjwK+uYZoYezhQBwEAtnYZA6M2Y7c607d2UsjK1YpLSm8AMwO5IOLKlZnNW+wFthl
u1Oon6ByYo4qiA9jY8HiOmHhbklsYE8tsEGkS9xB20917MUEFqJt2rtx/aVhbnew0aohDuQp4kVM
J3bLYInXlZKMETNZPQKJ7w3RZtbsGijJ+0ZcAVq7YzCBXEmQK5WxBRkYcR3YJvNN0e4XLrB+K0fL
uzl0x1OrdA/MLPmi2KGaDbJEtH3ARwj+h73zWJIcObPuE6ENWmwBhMqI1Lo2sMwS0NIBOBxPPwdk
D6e62MO2/pdjP824IFtEViTg/ol7z2XAIGle9lMO5SBP2PJKY+2+6iXHpyrd8rp0s1utw5c4V2hz
9CnLdsTPLXuoALey/jBL2hWnnZDnlwqeve1+zFP3LU9HcUBgakX26ByHwDiiINzLUY/bBGlDh6QJ
LPOVTNfIM/IbLc9fVid3d9lcX5VaecoR9dbO0MVofvn9JBlCpPG78vwl7tPq7BL6cDLdhvyyFFRf
M3dROTe7RueO6afrfPSfB5fbYErObim/6UaPAjmISmeMhsTPrrtU/z6I6tnwknXX2gPgpIGHqXVY
57vZYjCJo2PM56TcqzGBNUAbLwS2P3wM0zHLgnxvIeCOUJs+2LP+vuTrvvVQvAbt8FHq2gjNkwNA
WiWR51pVXgcBNxBQi/fcSzoKVGEw3RGosfXR33yqCQbpAUJrobFja4SrH5nqr2/Lur76uD9RTBEK
73RYSCzNXNj5Ot1xcdoZUtxSXFV0BJ85lqW9vWoEqThexrBqwR7RJ2UbZW4+feqZVZ9WJcujltnT
a26b6sXBSvSukHwxuXF2gZohzzu3TrpXjtOHTrBEHL2Plma/1k0pngp9ltHqvTadM57aBBRFNtoz
BVLVcJtzyLLiGHdONW4WkeRLIFh4eF1nh6ku6xhm0J795dWi6ywx2c4I17pAC5Txqjl9PCvnoyiC
w9x45N4amv7Yp+Mr7CfuMu8h8aYDEVUW5to2RwquXVspqfGp2TdXEq9fZPXGTLo6t2VVduOJPdRe
beqyMouSNiU9rLjKAv00AQVoawI+TIOQ4qY/5oz1Ni2K161R6WGlKsgWy1PaEufFy/tLkrh4Qqqo
7oMQn0iwJ7xj8x/nViT8jpg146kObAYJNQ6nHol+lyzyFtkaSXvb++im2KOwXKk+0nt3VxQAzlR7
wcu3W9IMASAvQ5Dc+tn0mJrWF9UaYaBwCVfDSeb6PrftZ1ExgzbWKVoRYgSqQAyIiSmYPbJ5KlCW
xg07We55hM+VFhfuENW2+d0U1aE1L43uxzmqPVKJQpTHR9u5S5v8KzjM8yrcuHOnOpoX6qWUF8Gr
Y6TRB/wJR9xbV21vHipfRJRd+8l1r2jeNrrBwK+cnOB9rpjMJvb6UDbuDTlM2B9r2R/SZX1uWdnx
k6BzxEU+HftJMth0zdhWXGijcm+RUiPd1z9Tzz0bOveZUOuPeZbXOYKnvSMZezZsAIz0ZOXmLQ81
JR+azXXVQrcP9rJ1d1VtH2eRXGNZ+BzEg6bLx85241IkcWc9tm31PnfpK86TQzf6+zkYTqtWXYj9
OXm9foN8Ol60YojbojJjyCm4APV8vwikh/WgfrSl/+ZUXFWcDaXbv5NB8d3Wk7MjJ1R17QXH0EGa
0wEDOAZdM3RyVKOO/IZ/cJe7xCrY8/vaHwMgzG2fUs0Pe6sOLlZ5E6zyy6zMi0gvuv2Quut9uzAh
rpzIhhPtZ3A5suHi6j0vL7LYzOAga5fhPNjUNiqdrqcy/3CpddGM19EQ+NRMXfNp9ubRFRrN9zWU
wCTS096JA7/kz9XwryHYAv0nDzbVtH1RrhePa3Dd9+1taw33M7pizo9r1+VvKP07ZyG8dHiwhIYG
sl7myKxuqxxxttab13qu4nEwmT9oXCa93kaMUrJToN4XCjVCwF/znMBDClVHGGfP9F5yO3vu0F9j
58jTnUILXRlcWvl01xr6e546VUwMxcSVMB3RaN566utssSgDYbYuQsUNHslhCU7wul9Gl+KlH6cr
NeikwljDYbK0+9kynvvuzVvcy+IGX3mS8hhX5IOZsm6Y3QzKT1WlO5nJz4Zcs53flXuzsu1rbBXW
oenq47qYN0Wh30ncGbXA7jcIdGoJ2TBMBb+7OeOVYVIvuRZsHUUW+Vxj6fZYzsH7Qq1UcJURn32p
Gg/rwTNDpAOQDIwtJAxErj0/NPkcK13c9osRpeZ0LrkDgZZggJy5ArCjnZIVrK/rvs/zbVB1Nyod
ri3NfwymJC4H683GtWFw7HFnDEM0md3ztH6W7gfBPN9X65xrzp3u7tyeUCCOvXulnKNYp2tCEq37
oS2+LS3UVd15qSGJR46tdqU9RpKfLku0GzyKu9Ifr0x73ik8f4HR3i94YNvuzSy875mFhaBozmmu
Lzep4YSZTG47XE4hHkgsAld0a4jlxxw5cMF/l4RZ03Qyci/MV/db07dllIn2pLWWGcFKNiNNiuuq
0w45/tC0z47DMHwpfe116NyoVMWyd/Sx3JHaCbqBq6Gq5QlP1o0zUJLiPmpp3OY5zAVpyEVW+lHS
yJ2mI0Av5eyHTtahXGE/ZSZ48xr9odR8f+cZnOa5hwfQQzR7MqSPFMDD2FP5T0mXvUPTpNiap0tq
mDdd37/Ma1UDnmjkVVe77CaV82LXq8JkM6+xZRWfY2c/thqhv81YfmQbJdry2/5AZfo8A8MON3Of
BvIBM+fwNic9ygAMlBTwpJJnC/tiWXwlLBSM17qw/2pbb79O/oQFyv1MZfugi8aJjcm/GwrE4WZS
QjFu0eXr0/WaujelzSi9KAw3XAfs5xWQ912SsFwrRIBpsU/fNZdjQBM2icTAqg4F9IG4Fct60H1V
7fMZowAyiT7MgoX1rls0V5XQC77yPHk1jPQp61nz0h+TkUWy+m3JSZxygWlHk6hIfjnoojUnCXUT
/IY/YW2x7OlcJVTw2pDeVwV2aWk+ND4hwW6wS3LRhZUjd0Hbf0daeVcN6x79lBEpL8GEVqVltx9k
0lx7uUkz0RcItv1ei5dZjfvMRc6Ooct7zGeWOnylC+fDCXQMPWRKtbK0C+AVlAepOyeXvK1FHVqY
u842VoQ90V99WASSBSwi+ZOJlTh0+r76kuBDPrlo2WnRvqZkUKMd3yubZ6P03lrNv0jgAYEwr1yn
/uFz11qq/pIlun9sVVtyThegjAmo+lLn8iUpmpNmu7TuqXW1Cq62NQCYrFsXc+YxXxrzTGlahS5n
VTzUmwV7DsGfXVx83ifPaFmUdHqwUxXrCUtq2YmrpdY8Og8Dx2/vmJTCrb/3GiP/MKrF2C0l6UgB
vfUhHZnBLBhUI5xFWXLKi8qrwdDNeMbQN4c6bx+nR3Iu0uRaCcsKh351o7Qicnv1zJcpyT6nYDN5
GGfCgm9snkRfZB8pj1rjaU+5L7zY6PDEF11E1tk+a/CnytXYObifh0QlW7CKfSxqGNFlgmXAAYUE
oyk0p/ToGvKMlSQNh0DtO0NbYvA/Q9Q6zRlC1k1BqYYJ+WqQ+Xc7KHe5PV8FuXWE13e2+8/KTZ4X
4d/NEkccpNPJJ3psQF02VZGYbDwys/iSBHkkqvpzKOVNX2XnSr2nHiKERt1bdnq7qPJNa7pLV/ZH
h6LNbdlGBfkVWWP3PoF/Vq5CMWhZ3GjyAsHszqpLJknTXTq/9kvxUHS4E+2VxaLfvTFVsE8eJTEF
YwuLINRsRgRM1/fYnow9rMf8omWUp0l/M2EPgDqrrpNlvq3M4J7XMs5cgZU3qTjOvtvUfas1vUpg
4rzG7Tlv8odyMYObeSncl34a9B2BprFY2xSZrBVb2vCOGnhb9nHutsZFK3QvTLinQukG50IUz7NI
GWf1crkSGQZfq8t2iPAwnzX9zTibqBym9RFMApL6qcQBpL2OjXFLQIAXmeTAg6y2USEM/VtaKixh
pvGgBWKgIqpezBZx0dozgqg6yvcp2JeziSnagE+dZj9EObSnRJfBdRN0ilFOYU17XNHHIS/vWBVy
Lfo0u9NetP6Lna7PZsDJOZe1Oierd7LS7JrBUBBpdeZyMVg6ugGjwK2pU+SYXcHa20nTU0b8cDzb
aOOb5bHIq7e5p6T++5uy/5vCwk0b8r9P86PsA/HbPzXBm/B3+7t/n+Rbv7F92vKoWL5DCNr4Ib+r
Aq3fUKFtyCD2aduy61+DfJO/wpR+21rxV11wOv+a43u/IahAeMP/hzIV6Y37d5Zj/KN/GONvGlkH
QCCKgC1zzCAE6I/bsRZYkt0b7hVRdGA2eM4SKgfe6aA7+UlmRExra0zPlT/W5RNJ2dl9jpUuXP0g
2/wy2NaypVyDp8BIHSAhrujcfV5bqjwzO1l0LNFF/2B668qsPMWPgh6DbB6cd6s2qlAv67zbi6Ex
h+fMmIiXwSNlmEyC8aZZcdqlztyFY+WqUkU4BtuzUwxSiJMjS72OCmsduOxcfT7aeYq6P6pgWNQs
BGTOOK9t7jIynA5NrTP0WWz9IHLLyg7MgRq809z7+FJV7JY9NhIy0dKbZdCI/KQ+hy0b8lPplwbc
w9uKTqc+ltVouG9+U3HCj91KBipWkFDvG3N7SQUDgYF5xk3nOWs8VMkzUVGqQ8OYeAx9Q22FrPNq
8a+IS09T1oOc6nW46UsiUxjsuwk0mDTYhAmN8IeIH7RbyqgZp7666LSaDp15Wlv4V6E9POiamnDC
F4nRdN8Wxj/f+17TCwdJUWkvuE0bO31M4Xs4Dw4oL2yx6dCC3VkZMXXWIr/haAD0SqHcsm301I+R
WVSPY2LCwLQjBse9tVUFGzvpioxTOqnzvRDOdO3XzVrcOkSEMQ4TpnnLWCbRjqubcQ8UaWOoZx8L
6veCiUF3XyVuNpRhOkrP35nsH576PEiusDJ7sa5896jbc86cmjGLVBBIsDbA4iYkB3cueSXWo5K1
0BkAeXa97MGO0IwDRyQq18Zogd/oOugzBN+ovOuAKR3lgkiozqqlZqqSZggezq0VSGZPLgaFNlKj
2SuDXY+/+fSCtQsyWjbNGleK3Cbp+H7T2qnYn9iVt1ugqPhnBhMQEpFWLurEke2JXddKxKNT7hKc
vSSuf2cmoztdrQt+vis36Xry3xL2YrHIphExn+9N1dEbyr45iVY6L67swe9o6xK37SIO80i0Z1j3
EAN2eud2F1XX2Q0pZ2I/Ojbuugkb781kpaoJl2TVrpNM84b9XFnqUQ2qGJjEqeG4GO18n2adui2I
SInNUi3ajS/66V62DTXzIsym3Cja6Yuhac3RzFrGVlnDK7Ej/kw72Iwi7dCGMPdotgEYu2zM+lPX
m/b9YnrdB6HD7nvCozXg6mcpRe0gAcMpfV2dqGpSTYVr1VrdybEaWgM/LwmdR1nDiC0XZaldiqkc
X93EyZ4W1ds3fsk3Pcxmn4iRsjQTdf/MiLDIl2+ZuRTJymZ+tDMPrFY/arxNMuK97Mf5K6eCbU27
RPW9RwRxYdFwbZOjZeL5RElVBpV5CIZmQRVm6f0IazIzmJ5+MQ1TSPOcCVsfUb0WsxGNFSBdnYmO
VtBb4YaGK3QqA9FMLZgYac1FF2pl4mVFLOoplxd9aYqOzXrX4k9kihqMAFHChZo1qM+JP/XGGPpu
v9AmSGMZIdA2w1ZILJa09x0FdQA0xuPLD9dRL59YOPFjXltSMD5/qZPMZ3hu+wOLXkaYWaUf8kZo
8APSbovBc2cT8zmD7jl7blMcth0DN1dmHzaqv+YlGKfGfV8ruy2fIG3JZT8ZUztcB3Avh2s3EWu+
CyD8saRrJUuEuyFbJkqyoWArNJYMHpvBoD5PBsf9mBj7pBzSvXek7rMP49ZOt61OOc8vd5t4aqHk
248zp+qurLnSHtH4LBEx6DV65roo9+7CuaBMh/2Eyb/oenX64YqVo/+QNX0aq3lFPptbA3Z+35+0
QzDpzdEDWvhuWdKMyJdBKqZZ6xTPkmlzPs2BjwO6MQ4LbsOXTDnebTqiM6Japw3Aya3H1piC9ck8
+9SMlXY7sVqJ5GCWID4a96C61D/pnWS407NPYbgEBoc9UhbXk1xjPRD1ccBQegk4zoFN9at6KgHN
LVFQORBQCseKcbdUEtXeYh7MRkBEsJUZ7G2LDDMaMePZKUnn0OEvtnj2rrpJ/wERy3jyOhwAYeHb
GXzQwToFWde8VKrAUKz4rg+J5X2OBpyILyRSTxbLw3nuvyWVJdrrLm9pXsrC4xfuep54oYMCf1C2
XLbvee36kDuapm3AOzm1nVwvAwDFb2Uuig98onhN3IV+8zKwYyTdoyAEPuYFMWNL8sjAiTSJCQ7S
XPqRnYvmfvFUd8gHYMFhO7nNjQvNEpVkY8NKwmEELS63E9pZdjn+dZWvookN8qQhUiiy7hGSRP2A
dgUJY6GhM6zV3eis9rrDc60HMaSjAtoDTCd8NytbpD0WTlbgBvlAazD3pLZ3/hdnWkk8lLZZhDpv
530teu+SFKX7MA6r50QCmsEGM2uWz0qz5CW3yu5DLtqqw0ZF+ploUnU7dPbl48KE241o2MaP2dX5
3R+bjGsmLNa8XL+KzMmymwRKEUujGr7UIclzdbYq17zUneN4G7cGSJqnZT8UjH11gDA/8NJn4zTV
d/+/hB7VP9xw/7mGvuQMLD+a/OPnQtr4qZJ2f0ODQbGK3Jn99D9cNL9rYvTf8FQEVMQ4ZXGxbjk5
v2tiHJeCOYAXjWaGSBn+qX+V0o71m48ADpfQ/4Mi5pf8IqS8mI1QmJlbuc6PYPwi3LQTh4lp53TQ
fcl/irvGoGPmrjQ/NJglWPDrWb1W0GefhmX5UumCmfOae+V+zdfKYMqbsVZh41afZ1HUPLai9oBe
MU/Rduacjs1uyvsZ3XtKKsJ5WQxNxcxcl5ef2pY/laVtStz/0aVREdn8ETbfODNXsiR+deX4AsXa
qg1z7Mo1w3vAtHE65LAnAVC6vbFNvKv8W24Owdmr9f573gEZitJeCmqaLt80dl5u2ewr1j6LZ1Ts
z2M95HduYtdWtLZTdV6wk0PvWdLxQU9HenCSM9z8tEAAKve9VZsoPXy/So+oO5b+KEwUHdzqupaG
BXkdvIl9W70xbNavZD0jOvIFfLGQ45eoviCV9YutoOLgrteB1Gf4tfswbcfqKwCRet7JFG1BnFWK
UEvQCi7D63xEnlAsKBUZuruFs2ukX1dhruBuRbAVOfXmLZY3sksN9T7kju4us0aJgq5DtMF9PPs0
MinlSVjyS74sLA7uXZiBaZh6Fov5wsgDxt+tEFU41q4hjggYNDbJvhwuzdQDP0KTnXQHQ5iAmiBy
dN/83Os3MJlzLmAqRGVRNMOpcmawcF4xbICb1OJLwrw1hH5mMEpH8LIee6ZG784qx7s5A9WxrxYG
jzGEuvnGX73JYC3dyCw2tVXDbVJ5Omu4mhlkqLEvYSaTGMVtnc+s3eegWb8lzM/hzGTS+tGjkSFQ
r63kk1FNMGYrKzO/s1aE7paVKHxgXxY3RjYW5m1LMX7ppSvtsK6ILY4lP3ENSIVayyt0LPy6XJ9K
K7XkAwmIXJa5qJW1X3pH3Oo1KcrocFbW8q01sz2BhwmxTADGZQDf+m3s16z898ZgOy8NZfrXXCbK
jVwty9C0i4ZsmpbGD7XHQKlEJGuAZIzEGvQfhJmpdBc0w3ILdkmOMU1f0cdrMbPr0TQ/CA5LVczD
uR+K9YfsFp7mIME6C5OGtI89T6LO8FVM67aNoPRiJJwBsdD14F25Iw62iqkXW9uZt2aXgmSCTVQ4
9qM5zgf0+SA9tFKZJjtnyX4MBhlrzVXPVLvXVdJDf8lVdeL5YxAuARUeNKiEJXIcjaFbtSbyFf/u
gCOv9qe7oCcUOgKNPL7C0PYf4CGs8skCAfVWVLgcmI0v8otNns5mJ0WawIJrmMzIaRo3O0HRQUoW
tB3z/34yvpLrMnbRSqDasaa+9YnR9qsfjaPGa6Ak7ZMLa7kUE3iQmTPEQpGzpGc9GeRnnaXuFZVH
sR5SwPlh4/vvIxx6cVwzlTypseeXnWk8fbLtxq9Vp3fBKZiUWHm/tVlcMahiC0q3lww7COnGJ4Kj
2Tig5/PfgmmaR4QES4A/oOtqGQbBbDG8TKnsR3g4Oq1w1nqR4SQM3Cct8axdORuWOgFk2YQIAtFd
hCjK+4Ej3ChOM9937DMiz/eT5pFKQXPr+7E+0CZTh9htE2X/mNKLthcezoRUJLvBrsSn6ZTi1QFq
ZIVWpSdX4BP68lCDFkV2ByutjWeAqYIRnGE+jVrJy4xKbMJCthIKEcGgZUtoEv8Hm9JsGzqOaleQ
wpveA9EW5c7g8xC4ibbpOENHVe1me7AVtDgemniFkvNacrQizzBzG68VRpcm0hzYhLsxn6V11r26
3gngM1cp/zthk5CUr7mSmqIar2boQEtf075MVfrAhKDAjDRBj4sM4TfNOdAVc//Mgcge2j0RnuGS
J4kTtZY1QedzF8E8wDVy4y5NDDvdZzV2hBDJao0yr+yKNW4mhoz7sTSYGQTOmN7kqOfGI2MIWvMJ
GbJ/qYMyRyU4VPLDZDPy5FusXKKmKt1v5hTYy06fq3m+uBzo9TcXKirCjdYEjrQmIyN5g+l0WNEa
rFcaoC2UlZTQSC/NRp1TabLilb6+fJR+aVzny4jnmoPZ/urYJmNcnuoxVEnAkdXmLkMDxk7mY5C7
4xaqpp4zZYEaLQVFMBgC/9ZjX31vJov4Mfit+SnnZhn2ZYnHHqodDS0uJeEh4QhKM+ANs3j9R8YB
w67aoDhcWFl6W9QeVwWtP6413JdM+/skNS5+N4oPla8QcEAJiZa5hEIpMXTdqKJ89Mbn3PYKGlwW
VTzss+eoY6Jt9W1LAlG/99U8fukzHZSVooEDEQgDdNlh8im/Zgz+lriZ4X6FfSsA0/p9ZT/lidrA
V/U4+1fjRABWZPN+3LlWveihk2owaXqpfBVpOEEsek5AK2HKIxYnS2qCrsLav4YzdoASklYb3OHi
HZ+WGp5rDFonuVNDj/a1tLLKjIy+GX5Pmf1b8vH/mxNmuDY/1Wr/ZlW/+z5Mf6iMt7/9vy0Y/m/E
DQEfIeaA6aS+ecr+WRprvvEbxbIVkIm6DZ9/9p5r+m9UexgzSIfBmk71qlM4/7dgHBcGEnPMGZtt
CwU6pqq/YcP4Y1WJ8Zga26W09MlkQJ3+q+05c5JUIw0A46e+ZoxOnPUAdyH5C0jQH+1tv38KYnkM
TD4Gt19dZkMnWbWQWL7j1H/QCv/QBflHtnjXdgtfKi/nO5bPP376LfxJxcy3/lO9/M/P9OCxEDKE
D/LfSD3sahtmskhJqD+cna4l2kPqT3iayVVY5tm6pg4y/8p++Sef6Vs4+X3L4D/W5iL7yaklxzJl
rz0jX9HyVyPIRtbQ6Yqvxar2//lP92ffKCYEV7cJhOch2mwAP32S0ToMXf1Ri9Ui5Evb6FoMK7C6
kelshKpJjKOlQylClP5XOVd/9O3wvfJ5JkFKnsmaA0fD9kT99MnBWlhOaZv9bi78GSGkPRqPdUsv
twn3s+kvvtF/ez55dxwWMXiYaC7p4P74aY6A6SQ2uwJsLSfqcjHva8PLjv/52/zTT+GTvG26TnTe
L9sW2GmqIoVi2E0AX6+3VUKs4fPd/b1PYSBBNBh9suNslKpfdzpW03Gd5pRRFVT/u2A2tT1t61+Z
wH/9/Wyf4vOu+SQ9EPv0K9CpMzJbNFUqdtO4AtisDfkI7di9IrQzOfztPxDhSFuymuPS/P+aKsFd
O8K0bcROESjBlAqSPn2fF/7tT/FNbGf8gjdjza8m0QHC/uRDYd91KExiTZ+gbKs1/fu/HDBmoKkM
UAyGs524Pz/W1SDA03W92EmNBHRQnwjoJr/9m5/CwcBZzxEI74JAUP2XA0I5rNnqoVh2fR8UxyLp
FuOQjBoa1P/8nW2vxf8MCyA5MCaAUsbhwAIT0A/3zs9/Gn4JwzwFvb7zdHY2tb6Io6npZLPYPpWj
X9rNP6dj2Lf+HC1kbP/GP3xiwFPgbQw9nlmiSJnn/PyJGR4TlEy+vmOyiYSnt/R4MpBXEplXXNku
Wwq7Dg7rmDFTyRxxNu0qv3gyVX/xJyfXbPuon38UUlh4XrgddcfeWEu/fMnC9tbZm/8xUDBtsLCC
oAmYvavXnDpGOF2J0hCuQGyTiGPuJb1z/ZJ0Verfj8nEEFGrZPpd6baorrAZLOK6px9c3xyTs+6u
5S6trwKhZaxYrHrgeJ+k3PJ+8dM+bMlMeWwOLt0O6pF1OFaF7O6EgZxr38huYGc4I39erAzJXGB2
LG95v+ojKgrPPKA3n4gIUrnPhKZ28WYV44TIUe+yTOz6OQ+IB5BSfRMJLTBJZMlqv6V0JssmTKrz
M3JJu3yQjibwBJTpcp4KRwaQCsZ6jlKa6iFm+bkqtLZrW2pn04Ite/FsVeLPTbXp0uYt4tQqaHwI
2I7ePkPzQVuX66KjM990MIVd5OeiobDFK1OWTzL3fOgPSaouyWjp3bfGr5EK+9P2yrokZdMbzwnT
hXUyaNJJTkEK31ZjbYbj4mrmzpKT98qwHny0aY4Uppq76HaItZhJh2ML5w5HpNtG3qDZZ5ubDiz9
OpUkOjgscVoN3mHUEBbLoiDoU4AgeACYnNta68SNYa7LzhSL9wDluMGJwCrZPuPw94edxp8bE9cQ
ZLFu540XosMVX4uxl2uU19mUIjRZ0i+ZIYIH3+qsL1omkZEZhUKyt9glgQmFLXV50EvT6P5B41nu
RddBRUi75Qe6E27myU7fpt4ePnIE4wmOFplYm5Z7EhDGF/fNLpS/CdyJi4g6W3g0V0HAUob54i2B
cd3Xcu6s7IgsRl/3tC+KfqVzvX5nFoW4wtKdomHxXB7GpOWxZgqYib2lWhD1s4n2Sks9/Wbo3eEF
DZ7lHKzZTWGqDnmnEwGSoFSH7WyhfOuSHn+ctS3QlhlE7jxm9UFjsfFlBA7/hvzPfZUsv6v6zp/d
wm/vA5211fWExnIC4OCZzSFPcoSMeWYGD/zKcN2B5tBQZFIWQTsJluDFLadO7mpNsKJHjmcWZ18b
EX4Nnrs2+3IoJyYjOOVIcSidngA8Yhf8SKask+wStzDtpZ1r7HWUuV7SLC2M63kwyjF5J69xuE3T
hcnNAjT/G6TB7qkbF4c2dB3povyAHUTYMHL5osnJ0XZNZ3j3qi2w5CXMRu0wmWXzCBcW41IGaPq2
bc2RonhkmUILlzZFZBgMigkgcLdIhyJgciIr57RYU3mTDbU9RwlM4h4TIbMHVoe+/a6tM2tnY1wM
/RyQzosocYARt0u0sWDzASaQNV2TOdcmkbrfvbxb/XiyveRKIlFhjJl5CuCfMYxaJIO2ciOtHFyR
XveFYWiRn6/TSqij4cm9SVhfrOVmHsC9JqUXHbIG1FjPHevslZxXO0E6cb8LMna2jC18JE213iDp
nwj5+kGshY+on0Om2GGADuarzPHmyzwPvboyg6DloZSbVrE1h/SbCvxeDjtj0O1rh5jRz5arDDbM
6LNsUs7ifJ/suX6xBlukB+Za9jux29mX0tGxyBij9Q6LrfcOCY0sqsm0dou4y9LlsQpmQyJF1KqT
vgpU774qqC02+kKzc1RKEKJCdfBeSUt9SubND37G/DW29GTsWZ3CXEdfsLXlvZgre2e1ZvLEBjg3
L62GNSQCxhwkCEw8/WuL/Qq4T8pELax4K2SYpA75OG4u3B80aGjZm2Huq2NiK4jSgJ29/uTgLTvO
lUeZg6Svf62Ex4jb8yTqTdXZ7fchn7QzBibfQGAZGAx8vfWtHsoliAoqDFJ1NLOCKs1Or92oCbyN
nlXa2cknEhSzUenZ0Rz0y8eqSyhXlTk2IsTZNYvzZOnqwW9K/0fQ9J3NUUwVEFUZDH0Cgavu0+EM
+KYVpYbBxtag+/YjwDxp0/aHaRBA6Zm5g3YmY0h4N+2c3UEIwKmbLB7k87ZsGWpgT0E+OQotZ9sN
DJt3Y5oQJQP6RdCQGOVjwjOfhknBeJBVJNsV5mvtVJ87wy5vUdDlgEoJn/MjRXJJtUuyof8BOsya
YwffCy5gL0/CckHqeYcl2rm3nE7eVI1efx2XubsrtAEludcx7QhXclk+ZKOzS5BToT3JZVVvSEPH
MYJVzKNfm531LeUOUqdKV5uMOKk3JaqqlYP4tTOGqLF0gNLGNHJelumKINYjU/lurppSj0jWMO71
tYOawfZF6/fAskbJ+rboHuDa/Bd1Z7bkqJKl61fpF6AMcHDgVkIiFHNmRuR0g+XIPM88fX9k77YT
QirJsszORd/sKrPcuV04jvvy9U9VAzwemga87DH97dDznxZeI4zCkAye+4Y8G2uvc+l7Rw8ZI2Xd
X9JKwkHCWpdGWH6yo7FANlprGRis0kYf0yLXE0TQ5N9taWlNv42mFthXQWuoMevJfP1Gkbgakedr
ImKUtQqaKwsrwUuKm8t7Ow35tKdaWrfaqOAsZIVT/qS1SUu29pSl7xzRmXILz0bIB7KVUJj6sxr7
W+xl+rusI9+R9xL670aOuJa9tlMfapxUDWKG/OaVPSfBCCxInMd4IDh0q1q9/FWp+uClZd38kmIG
+E8neKFeUPjdB4irswWzpw2TBwvWToPnuk8Y1dQMytcamvnnTrXmcjsZXfPeF5HxZFQjMq15rDlZ
bHSW09xzTuVS0xW+Ma3+OslpUcCNRuszoa3xSULk/DGrfnHToQvPt2Wi6x+LKUdCMdeR8lQWk4T1
TNbjL4MS/okyQP1O3sSSX8h/GwRKZzm4pW+o37XG0J7LqK1+UdvRpw0Cs31V/CrNoc2pzQNG3U2N
vZ7tz27VtzNK2tkQ77TWV16UTMu0g6MPJf7F1pxuuyHsv8+ZPVRupw98ZMiNk4NftXbsgjRR+OHX
F2/a1mkTamKkBHhOkXhEBzt5zwVznlFBwb1X0hG9k+/jA74bapJuIaoo07zBKcjMXZJFwLzwKUQt
I8k7OCDAVhH3NfQ3NvYYs14t37afEZE6kPo1/KZ2M9zjl1gz+ZH4mKffM13LWlhKjfYcDtVMCuEs
fHsT1sNskEoQRzQp8cDGswUa32tbZfYDXXUE25VS+ekO916teulmpPnbGAFqd4OXdRjteFV4UxiZ
30vXTxqQB79X0pBCtszHndE78E1aiHHqJkiaCIlPQWzOzjCUDjYbBBBIEXkRBhunrY2KwkNZgsnC
ZvwYCKtsIRxKv8pCWuoJ1uWFMyDsmUVufmntVn1q5wJ5gD3EFGJTV/MBMPvKd1UtK2OjjEP22kFF
ewc9kECxsdLyxlUBSp6tDA76jhgAyrg+T4p9PXVzvav9KI33eTiG4D1IdEGAqqRUuHEmGjYeTl88
kGg7Qs2wtfpHVYeCPUOvMvhWJjkedJStGUFI7UTcsEon+1lZfTcTlmMYP4sogKFeVZpp0+imjNo1
crAs4MRFA2KMeqLtDTBB1Z3mBht4EcQk5CXQqN5Tz5F95Vd59Ip2OqrI5G3EwShABiFLjnDP8jnJ
f9RNX98TSuMUbkwcXLoxcfT5JYcxf+qLuvmsinp8ZdayX0RbkQEZwOPCX4oEp+9zE9bvAweN4NYP
Q+rgKM2dr0VB027TLMr4TT4J55Hbj9oiriBNxyXmCsTJnqCjbHRjzBrXF62quTEUoEUykr2oFn23
jaNW1kc/s9OfI1lyEDuLoDo44Hk1rejWTA+BOdGYhxDFc0TsTQ86HHEM1cLE+lBWYaghKqgEDETw
hBlmu59/BVqED5R2ZFpuDehQ9qbRUud7qqqigwvU49lVxN34yvdFSF2s5OPvEHjF9BJnbr5JkcKl
Edze2GKRHET7qhrie1EvdDY/GZFMgZVO38pusHFinOMOAZxdf7YgTCabedann8Goli3IB+ywXEvU
O0Xo04sZlyCqqpnoxV3bKjHQQR/YP21IrLfEhMwNp5HefcVhNzfZ1QL/Hklw+hRMpngxnHJ4CqXs
5Faz4uo5DFoOOKErcOla7qE3oYFkA1h6bEAUG1A8sy7GTyGeumIT5YRpbWq8MLpN2TfiR8dK4DYS
kfi8sVQ9+BYFifKkFGn/sw4pAnAGySloeyJCuE0GgOpZG2XUbkM9vEx5Z7308fJlYpgd/ra5rn4Y
tS4NbxtQaMJwgsHg6uLYLYlEbUGe1aRlIO24d+bvYkPN/J1lF8BWYzAQ7JUNhXPIKz//noCKQGSW
cBU2sVlMWE6qsCQ3GP/CME1yP5+28CfzH9jBARLrsrapmGS7hM12AXWI2dTTN98qkNNB3XA+CyWq
Gw7OeTJ2tZlZ8IsT3eAlwny4nYCzePlRNN9JOycQQ/i+/WNIfZXQhxSfgm2speqtWdaIuS1/KpBJ
DuF0hzbCWKAnpdMBKh2kCXWvsRBkifZ2U+Jc+lrOqXwHqjOlPEdTQyGphfKltIbmF4kPhDZaRdI9
caKMiIBCNXsKq3r6MjdO9mqJYso2ejZGv3FrqMtdP+btD9G2wa+uHxO0TjmxlYTpKND4HOiovyem
NNz0vbQKzi/JkVnrxgf4i/CO67wgLSYTGlIfa+q/WtIJP3WqkcYbYkbosje5A1VctVsJPdAGM9yT
JGIFrh874r7NDboWknJbQycFm47DC0rubVtq5bi1wwDZcxgtihgnl7QsSKcwyp3kcEdyJzPCe9KC
QDW+3c6qXb3JR2TXU9N/oM8JlFVpCsczkdVc4kRVAqL1fmPyIbMYkhtoEyQGEFWUzh8TBVjWnWWm
YoUyoL3mhmFbvyxuOO9UKxp/gY7HzTY1R9jjaaLNDWs+gH2M8hFyRB9hNLGtemkQI1fP8Ve/Uq1v
RrxIYBEwaZBA8CeQrkrhD5W7zPp0V4iwCrdkx2Fe0VttipFKXAVTeR85DZYf2eJ0FvtDLl5aQmWl
/moFrTq78JUd4sRROdqh/TK3ZlS/owcRCmJy8jbeWfzpJ6ua1UOYhAERL2pdfZ8TY9RchAYoZXuo
FBwOWI6Y2yiN2hu1gMbgktiHs04/2bQ2S3xGxlsjxtxiJyUBtxuog1DKM2uMf0g9BgONYRWCQ5KC
4iwKf/6JipqAZUwy1AelmKqPilqR5qSXU/FRJdHkQ9xktrlt5fKhqqMffUJZWTv0BYvpvo/r8bfu
KPrPNs456HQkW9nGsEdEMmXDVX8TxqS5UM+Yixe2NgBM63HVOdsMU4LnVoTPLdApNTeBms8pWWkQ
yztiO7wMasbnsVPMZIcjUQo0XNAt3gYcNyb3+CnE7nEixJqODWYfh8BKZfVZiztbvXfm3MSS1Mgm
dsAG9Go3WRpvaqPX6ZJTyPk6s3cYuoq6nK7JwNaSSiUW3Al9O0b/TlRKDSqf9fahV8MeiZVpZ77h
2V04jhNHNiGgG38K7N+ksYZgzoUoWi6eIWFn5eDUL2MUdsVjTPal7ZopxBNoY0rQtLf+bJvdSx0O
I27NoxjjzJ0TOoAo4Fuje5cTA+vflTCJ2/twWmhQrppanfnopDOLclOUvfQJQS2NUvlYt9bcvBNt
mQ9f7UbK9DEoh7b39+QpCgvXFSIVEE4yfbvOJ8dnN/DRoqQY8ySwScvLQ9QNG5nmc/SubFry2rS0
tZx9ZwmN62U7wcdQ3NYPR45JxSjVKrvXyrmvpy1iFmRcrl4BcGMvBtmd/obe0NaCJyOnCI6tI7i1
/Rw7DHjUPYBTzZSp4dCIvW3MZco1WoyOhSBfQUVZzcsVRIU6+ivUVTS//WCyrVWkJ+20jrw8nFNj
Y/amrqBwHDHQSDgdBH1JEzSdyzdPkdOsiSoU2ipkJm4Jr2yHmLVsldmY2sQjWCfsFxyevRQOq0jM
7Kc99JFF33PKaRbiFJn9yvp52VBoo+XmHeQrJ71TYUIxa01QAB3FDRPxI8K8QhDA0qNrYW1HY3U/
kmY6vJg9ybX4+RZAAM9dbqgWPTOd4MxtgZIUzgoSO6VLNgMpgdEHzq0m+UiwgdS3SSjnEC6uWcWv
k+LoBcThyq7uYCmb0fsxHlE4aHIUDpdzghHvxmKaR+6THQbgyXbygQGgCquFPm3Y5AspXDi5RY5o
oWo160YUUhGHBJQFllDmZPrnzK/996A96CF3YyMcHLACs46T8TBpzajNmKnIMSBkqdNapSeCMwrI
1dwlmH74tJO5MFnpVqhNi0p/GiSb7WYsy7S+H6xacCijp68gAsOx7UgTlFYGIP3/T5j2f9ZxTgeg
+PcStZfw139tvoXfsm/NWxrB8pf+YRFY+r+A9HQD8EsiBjMWEPR/WQTqvwQUAAgEBCz8w739h2Gr
W//SweSAP6DZ8nd0EK1/OAQ6vFwIvCb0AgPvOd0S/zmFAGAXp3gVWFjoRKFi5biCW0yEXxOIWuk5
sPO3JrFgtJdleQXXOYbz/3cUWwdBgxiMTf4xvhSYRDuIUZReADsU4AMfE9WBe6lQ/PIh5S71zD+q
yX8Lah3Dwv+MCUdZhYKBoZ+9goVJ854pLmXp4URSwF1o6q2ilo375nU//w8w9TaVY3mzb/Cq/xlG
4NpoAW9j1ilXFOUOCizUvYZ4Xy1DewEUgQEIMayFCykVB68ppDjaGG0U3E9YbdEVC5T0FifkiBg9
rTIPlVphCNOhGI70JdN1yItOfKB2Fp2nlxaOFeHUKPdTmCv6c6eZgb6foiao3k982i+Xn2Yhbq+e
RjcEjeTF0FciOBPHL2ooZliBXJbh4ivGs6LTHcMpK0QzYof6ayc7n72mxNiydfx9XC8aQaNEqK4t
URtKZQ1XpnclpVymV4fgsrBpoLfAR18huxJxZGRbVeHNILu3hqaPX6KR82am+vnIPp0+K7NIvECh
1BntXFC2jcbd5Vk5XUmQ3LUlaMkxIO2c0BgKAzOx3Mo9/AGGT9DbsoeeFNbN5VGWJ/l/wCdPCvME
UgburBIAWMrVkyqRysVuCFIvKnsSXocivVUlcBkM1frKrJ58juw2YP5UXnBPJIyQ47dsmK2uNWoe
ekaWV3fZ2I6fcAvSck7H/FUdR+WnFtR9/FdskOUBqfwNE9YSX6VOZMLxqJicVBPrJuCYC7nCqvGY
3nYJwqC/nEeLpQJ9h+lctAlrw+UAzU2lUfmTTmjZtyGalV0KDnHXkkf/t0/0Zyj0xhaINa7jq20N
SQLXgwa/IaVt4pfQN+6Is6yfLj/PMRuAaWMQ3hOAOOFUJv84nrYY56dBxCXCId9BBtCOyY1Oq/0p
q536Ie1M62/3aiTSbAIMhbM3DKzVFhBxWjlyGiuPVtezLkjS5jrmEn+3w8XuhznCoL38gCefFwPK
hVTD+QP/yljPItvenEubjdqWAO9T7C92j+bfvytGcWBwSEOqfMrH02h1WNxJ+pKelkMpnfWu2Wno
sv+TUXiexRLdUc0/gpY3/CrKe2Y0NUpvqCt/N8XD91Ejme3yhK3oGn+WBKWBxMSWsw2n49UrAizr
K1Ylz2KIeTto2ImQc477xazhrDPJextB102lw4zmgk+TTM+DXTGo8so+cu7NWQTpoQ+AgIj9/fGc
6uCUpu7z5oayKRGuOmLP1c+/siBPzKYX0b6F27zQYFZCDlk9blQlkohkHtfxHcKKW73dxGG/07Ph
A1c07GFwxkPavREqIRgRSfal9nUMxqWRYgK4a0T3omm78qvOPjsbGfO/KPyXAu0tZQaH2MSHylJ6
k+heFB86GOFu1+qmc4OQ78ImzarlKFz2hjfLSZjY86k1g5R0sDxF6fOtZRjBlfV0cvIwv4gb6H9z
xEFJXZUwTWODmFVj6fl1rt4QFxq9YAxV3Y6go1c25+U/dXTILUPBGtLJLNBpta9OHqzl/L6ru9Lr
i5ZmH2yTna0uKImOm0s3Jgo6y2ra1fDlrzzk6UcDuwlqmITDR21j/SEevZlLXwZ+bJRF6cmh6b/E
nZnf5k2geGXXEH1OOXbXWUPxCxGi+TBkSXqbGsInStiMrqyc5aUdzYENTc0iLAriHbWNsZoDRZU0
KwqHDNag+o3+Kt6VuDnv/JZ+MFHGiXt5tzg57Jc7wsJhRikDILw+7BvfDrDmVXJ8l9AO03es0Bv3
LN/H2G+HG6wS/GmX9cb0ennck7XLuNC4OLZgDUORXj1ma8oBpUFHpgvXowdp8dWCjJpXTsdFubie
Te4TQC9cYKCLrcly+FSY1oh/s5d2Svta2faEC1yKeWCdLYasFUBHOw2HMAtDr1Ws9NFCi0c+FcUA
voPzFyZuOhB+auImZA6ydI0Bhh+gsANVxPicgaO9SxSOQS4rvSf1hpcEtHNwYjROI5K1W6HQ+cvV
sXMVxezeCQv7siTAoSFPe/Uu7+bwjsY1jWEDNo2g5Qb8nEcefWMkD0Hne1k6Jjh7zxL8iH3tr1+D
QDrpkKlKguCf6+fbLQS7nHTQrSn3QszYXBQ1A77i/ZfLg2hn1jSjWJRbKJQ07pTHG9WgK0o6JWPu
1X76Iyijp1HCjY2iSNk6Wh+5OKMi7VM+5OqMaE9iEORLD5LWHg4bpCz8kLAXxCqzJLrn8k872XG4
3kJEgG3FJZtNdFVddOipC7uaWf762B1mLLPduaSLo+uxtu21gC9AZxcwIs2+8uGdbKurkVdzYkIS
tVFT5l42ZMO2601YVAkeHVnU/R0zdSnVeEio3VSIIO3OSc3bz/qgdkPuYfiNzFLSH69keDXL5PRT
gzROsB7bKHGW61t8AovOp3vGF910WEBkvFcx+x8vv68z24bQ/2SlEqRB0bvaNlS6Vvj7KRlkGhv5
YIcJVDEM2pV3c25V0IjQOYq4dxGidrxepagDFMUx74biAi8RI/kcovBxIT4UD1g3L7bALcAWfMP8
yoI894BEBiLm4TBSIawfD90n0dIwHwl/wY3yo5GquavUg3lzeRrPfZDOn+xcOkiCu9fxKHPjTyQd
RJmnZ5W8y9N8eGRXDN0iiIxtHRjht8vjnZlQY9lkIA+j2aZ7cDyePg5jpcsY0mHfKJ4pAFrqPhBe
XODfBmbZuXpvcc5APb0yn0vhvjpO8VmiFUZEpMo9bDWyk9ppPxSwEOcpq10THAyy6ly7IqnjD5KX
ugssHOCDJqpo35fa/eUHP/M6j4ZfdoE3ZUXHIiqVDqNbGsCAnShlttBBxivVy5nXCRzCacoj0kYz
V6PgZQnFszEZhSzMm5HK8yYO8C/VQr3bm6Jur5wap5PKZsmGQpoj9ZJYZyLPCuypsgix7+XP3Dwu
Pg/sCl9wDEcq0EE5TYrQeFJCjCuxZrUPl+f0dDFptsm3KUzqUg2h1fGcDohh+kKqpRdXyRN7tOMa
naU84UCHf36ZZwuOrj4CSrmXxxWn07ykjFIq6SxjSaDn8cCaqIYAz6vCq6qobR6SDMB0W8SGpdyN
sOJ/LUIobiC1UjXvxi5sHrgGmM0W2EotdlkwOp/GdLa3nTWybUh4Xl/qBuTLpcelfIPqQpyDhhkT
pjCxDYyGGoK2pzVP7Xs1UQB0y67j2qIjAgWCH3os/EA/m4+52XYHkQTF1y6womFb2iVUxGBo7Cfu
OaBAirS/iMAmDkMpBoiadlb/ujw1p8ucRDoKZ5pFXPaEsSyYN8t8aDP4xrj2eJajqF8aTuwN3jfF
l8ujnNaqUPcFlylBISfZTo5HyftZZErVFp5Cg8MPxntCI+yNL/IXG/HZRm9s58rucdpgJCt1uZIw
Hi5cYn35qdSoCe06yj30CN1BZoN/O6nF6PJ9EJOlI9j1kyHfjcDKdF9qPX5aAMsrn9vpcy8/guOb
ImW5o6wWfDYu+pXGzzy4o1Tn8Gir266a7YOGt/wEfBxoCMLt+efl6T738ByALPRF+0HpsFKaSEzt
g9k0Mq9dTDPislAfOfoV17AQCIxD2z5GYWx/9VsLhl7R5Pu4Qop++UecbjW6zg2f7iCimgXWOH7n
0KprhK4zJ0cuyhc4j9EhIJ9mZw1VDNEWgjCEySa+i8N2INI1sa6Mf34S3vyAVS1QNFQy8FEzTJzH
4l3VzvG7ESXuDp03VuamWd4FoGsYy4t02xsgq5GDavryJJx+XseTsPq8/HZS4bGIzKuiDiO83H5v
GvCd/n4QMsWg7tPd439XDdi2ob3d6+qyysD9mx6ujAYD5Urlce5RuI4ttQ1vlIV1/D7DIBm6sqa+
sWBsuq2W6c+4sv6jWP636M5pU8jWgQZosRH1hZPJeqsQPT6ghl1RRqEKWlJPwg/YdLcuKILyALkj
31bd2D/DTDIf8jydKe3G5JdtpAL2qoKXbGkmN8HUJa6RtPFfFwXHP241B50MIWNrDa8Ti25PT/F+
xT2hcy+/z+XQP658GMW0UCajTqaVsHqfYTgI7CWYgtwo01chqvyeRJ0IZnl45ZZ9ei4ykkQEjSaR
Pty6de+XdZB0Rpp50xxhX1lj0xDCF96VUf21xeLv4+UHuzbcalsiXSIYOVwYjry2rSiEhEod+MTG
2cTEIta/MpFnxwPhMSxAL5rRy5J+c7g1mBFWUZ9lntr7wWsmUC4gTCKwqrJautKF/9fVHNNJSB1l
K8cImMjxeIMPByjAj9Dz8w63dqxzdgl0961jN5On+7gL//V8EmoJaCyoqhZTp+Px8ryB+DEBLYXw
DbdQFcOdbRbfZthYd9aMx8Tl4Va2Tct1FHQHGSsOrESEmuYy32/mUwkKPfELJfE462DfxcnvtrS3
QdsSoZQ/KSr+PT1WLlqU3MdKdRv5tmtlhYt8Yq8UwT0iNuLOungfSZKyinIv0sKjFMNdCH+Ry7/1
zO4PDZvWtQObkoJPXa01vcPfY4Ir7OmxQx4GoqYNnkQG538/3LRzeW9MeEOafraZykn37FDUHy7/
hNPPmGBQzl9KbZM873Vtbw1d14V6kLAaqmIn6BXBFiEMqCZo/crTntYZDMVxj7aUyzU99eMXI6I4
lBOe8R4S5OZWCaV9m/UI6/htCWYt2DV1sEKvrL7l6znephgUmIAGNiD5CYBlybyc4oRBJ10o21rR
SPYeaZldnsXTR0P5S+XENVBdUKTVN9X7gEiI7RIPj9FFLobNl3iCY1FCdG4dN6u1f9gv//YIWibr
+LkYcXlxKu15AOJV4WIFAZ5Mjkwww6wHD63G0mok/Ept4ocAU8TbwMJUJAIv3l1+1NMJZWAbFFVS
KnLSLn/+5vPqg2LOFRhW3oQSzoVfWblNAdXz8iiaOH0+JEiUxMuuaPF/jodR0CwOhR8uzC1UfCkv
FsP3sHkaW8e6Geo5utV9a/6WtpgKO9DcHtUe93gzhVRbGr39GKW1eeXJTz8VNL/qIsGns0zbeLWx
NJgr+tkcJ55VmOpB5FgoGGoERzW1r6HVZ4fiSIC5IwXI4WqoKu1tuvQ8fdIakYeXFR2MoM0OLbmJ
lyf6zOvk4AEX5xay9PBW6yjTK1TgjR1z6fQztxBVjc+PHV+ZuuX3rlYrZgxASXRnbNolq+dp1MmY
0MrFXgZX2bN7zfmAFRQ6b4QrXl7116gkZ+YPA2wG5GtkAa3F8hAkei72y1YTaMYtSNa4t6J6urW7
vHAvT+DZoXgyACwVQG59heuUAk623sYePnTIDIqwRnom9IPsYuNKIfRnha2mkWxqPC0EK8PCOeH4
o0BJg162dyLQFG14wSjZ2Do4knlmCWO1TrLmplZr9WbOp3AvK2k8YAeXHwRI8J2wEW6FkWHgS2hX
P4UV4BSsILaskRG6GCDBNe3hEsoEIEikSkxuGJJR/ED6JwyvfNf0kSGi6Uj/lt+Cd4IlsHHk0k3w
qL3M75v9pFMx625mnmkEtXJlX0pEoNjxX35Ly8wczxzNYxKWYPNgCYWRxvEoWuaTV9SXEVlEc79H
7ix3vWl33mjEhSel4u8rKov95UFPlwaHAmXW8lQgnNbqdBdT2CK/CiOPthlpUZZj7qoCppVl9S+X
RzpXSGA+pi+mHdRY9vp2RZBTqIYWTuhdXSje0NnGXhOtftsVlSD0hwyZqqjaJ0LbW3cYHB3r9jq/
8iWcbiUAbVD5OG4FZ9uaQ9RzRyd6MYu8GrLY3kSov0PNW1x5k9rZYQy69OwoGAKtY2q7ToH44kAS
T2E1UssFirarYxUB84yuKah9cYPNXntf4itxCP06eCLg7Wvgl+b9jEIVeeFU34lprrwr70A/XWNs
2TBxhInSgwJ7tcYA0XAT1Zd3oPgHBY36thqD5sbMFsO4PB8fc71f7Ib7zE312bqZMU3aIEPEo7qB
6nb555xbfHRPbQ5P9nYuqce/xpTjYFQ4YXpBI80v/jSp+55bLUHrifl4eajTWoS3zvNS1FF4n3zC
ZsPxjCQr8VSWN63vptzEHRDkFJCSIXOk922AyIBO1rWe6ZmLOHjNAi/TJyZvwVrXlHll5zMZ8x77
5SNu7fbTlNkqNsx2sC0R96OTLtvBVX2NQl5VooNEZ+l2kdEsubAVwKet3AMd3GloVz5enpYzbwD2
BN0BiJkGzJ/VoReKIJX2OJOKm06PqDmre2yPcNtwCuP28khnPgliH/5A0LYAZVz+/M0eaiRaW8o0
iz1RyRhhaJaRO4hqNryyppZfvNpF9QVhQVr9h9W62qs5w5VZK3NOcDFpW9+QxARGDckA6hPLPb0y
2pk9m9EoqeHssaGssRXkSuin4RJ53CD9/Yz6lmBWnAknI6v2IXnoLgpi48r2cu6lQVSgsoWKapK5
fTyVceo4BMY4VCo5RpJlKYO9dCiKRC+u4aZ/cOn1dFJKqpQqRHzjV308lupEWjioS2yyon0IW+wr
6vaRuuXeN/VdH1o3sVkdsNnfEwqxQS7+Xq3I+yyaRztq3Dyg6z7Uj4Y/vlplf3N5RZ1ycSFl48uj
0bCDtcGRcvzbLGwfJmqE2EtpfW6JFba2clxMQrRocGWWmPshrsvHGWubA48YIDKZe89SyLAt9eBa
D+HMdWD5OX/YTtRYAAHHP6dqOEoTJFpe3GMAHqlSuxuz+lvalclz0AzvMWPFJd4xAQagrW4T2Y63
aW/WO1G1zT5MAMYuT9Ay4Mm7M9WFTrqQJJec97efXA7vA2U7G09c4koP3cPZ5GhkUPur+qHMBOhx
6MhPhR72N9Nc/gdnLS+F+6bKyllYRcfD95ZVhGrP63GGkjugVhnbAiLXlSPt7ENaSziNw0FLP+V4
FL/IKZqUiVGATbYhHc+PpKZpLt1oZFh89tsJIzfky0b2iLWBuDLHf57iZJK5nYCsSguEZLUI0UcF
ilP0XE5SjZo3fNfh/dJV8jBoxFKp9q4SyAZ4wbJziHRnB3Kq+Ime4Es9lN6s+ftSJeex0TZ4md0k
UXKr2+ltayR3DZwUI49/tEl5bwX9PcTFbaUm70gR+G2i5st1gC492plm8BIQqjYRJaPlYgtHZgtr
Bp+UNPZGJ8HbXn8ex+RTVhU/lmLHqqs9d6pbmGh7bgAPpOEdtKk9JIrvqYTIkZx4N+RLYW0fkqrc
D8K8iSXmIpF/NwbOrYSuNLTdvsv0Q6Zoz6XMDuoU/FCS4S4cjJ3ShU96MunkiRdsgqlLz2Q7yOJz
q2AuYpM4MOYHX0NlhLXAAavdD5fX/ZmjxsFVb6mkQS0g6R4vCZyCNUIeA4q8yR42XYdUaTFlvbLw
zvDlFsY7oL69cN6hfRwPo6YCuUTEC6wVwPyBuAEModrkJptH/8CF1rrHkgSfDRR4O7UOzZ0ua9XL
muj35cc9PfGWmxaFpgVJmNJudeINmAgRzFdx/IR6cZ+YTXFTIdr2xsgpvlWVsK7su9fGW20raqfj
pk23cW9N8eTi8ATNa07w2CQWgwVZV1fsNc8edxb719INxm90NZ4lOoRrSNXhgwBvR2JU91kbRqwq
x3m5PJVnVg7A9kI+pCuL6/9qKGZsJlpvKYcUzfZQH5JS2KXXNBvnRzEYh0YDheFqfVaJE0MqVGMv
D5wKJ6SOT1XRi/+g4CIAjMbtIgyB2Xi8PKtRpHoqh9gzOm12A1+NXSUb/84vc+lkL3A09uEOrQVa
YKsZK0czSXMweQ/amwFxrJzw38v9fVJeA9iX/9Jqo2UkCBcgdDgZrumS+M8bIYZCdEmlPd/3SrIY
oxf2QRSYpcVJWVy5MZx5S5TrggsrrEDsOVefVUbDr+10niwFVLnrMOh5nEiyuXJ+nB+FYw/wYQHa
V8cXrYQuU7kUeBluHjgkm3IX9JRQf72uF44jaOCf/vl6LSCutod0mbtcTtWdjJze5daXXen9nPlQ
YRKq1uIxSeMV696jeoMCbNaJko69LtYCDD+yyR2CvNyZVnnNz/JPy+pkNXC/xtYU/jcv6Hisvlej
QWlR6MQT2wO7Lzp5fAKImr2ptTJ86oh2mXeRbiX1HqZfS8ILreLhFs8e/Pzq0J/vLEXFlYXvhAwb
CqXkUx3q1Quxcj9Nn/hIgtbMj2NEXMwusRS4l/nkpA/aBF9ls4RmGbedWermhn+j/RCoQ6cQAz30
gzdOMubqZmkTNtcAJD8syMX7hCAGCC0Bkcu3fPGV9s7Xa8fY9Vg5fiYmLO4I68yG1qvMvsOkBLHc
QEB9L720gC6+9etC/6Jye4+xGTEy0td7HXRamD/gF5kjZo0ARLlVZE84mu31XCc2ohm7iDQg4NHn
YTGSgUeqp1/L1tGX3zeNNzJAtL1pHbNPto2dyc8Y5KvvW1kgqrPbtv4U4vP/fZ4B3LdhF5IwQgmW
fOaTOfA38Z0yUxMXMjU1OyTfJkGyjt7LLyKJxfuaWy15YP2QECjXkxWFBZOVYJ9myeJdDZn3psu0
kngrnBPvmbNuvq3LOHitErs6TDR9nzNi3HbdFBZQK2b9oRq0bq+aU3bjRFakboNIJxC8LjV6mpas
5k+iGW0gBl8JM/fy93PmmrdgkXRMQOzhUa9WtlJrfkUqc+RlJg3i0rF/dUR/bew6flbrsrstGtu4
Ul6c2xi4R1lsPRBWQV2PFzj+OzltAjrrVpuRNtgo8y6MZHils3luU+UrUm2L1h8H0mqT64KW+YQM
4A1c3SlNdbP35tIcse71p4d50Kr95Zk8t0fQSHUgrqFZNNdAuaoO+L6ZPJbAVmFnJyw/o6AtM2T2
6+WRzr0z8i9xv6MVTZW2msC8z2ZaVmPkRTJu90og7PdKPtFkz6bBq7i4fycAw99dHvTcfKJtgiVF
J5jbyPKj3nQ50k7vMWiBvJ7j/njL+uwPeNwXXhGPP0DZ1CuL5Mxs0io2oShxRkEqX5Wgtd9ZWi4b
miplmG2dxMRGpYx+zhSKVx7s3GWboYB6qKrhrqwpALY+1w2xXxz0dp29+OSHkU5da24FM2obGZW1
0WB17ERDsjh2qfKu1nFIDWbuEkGvXhMXnXm5R79mmZg382xncWXhicj9hkTsvihaPAOMzO0DgnOq
RMkOjsF2d/ndnp1sXLppHVPsUyAej9nic2ZaZLR7ZHk4O4P0crcr8eGbrUJc2W/OLCMDIoJNbUjH
kF3neCi2ffwvsOTxQqwWb1AVqPuAGJ5tW5H4qTZ06i8/2pm7DHDNmwFXx+lgYylFOnjs4ZRoboJ4
hEkWGIDtNb6pZt70W5BO5VDERHTr5SDIL7ScHSrIK0XX8lGujnXa5pSUdAhpl67NjQfCbEnL4d66
aHXcvm5LWtP5Vz0dVeJKyMluG6Py1Doh25yAuyufk750s9bD0683AbDoKSHKOZ53WGykLFo6e4ZK
dKAyFrvCwZ81qe5b2f2aCTsh4onAkfqjP8QH6EX3FHBbloOrtOUXojA/W7p/SGX2ZKn9FmfvF71z
piu/8szJgEE9XBXozhBx16LaHqVbUC040SAbMsPxydklHTaMl5fEH+H48VwY8D1UOOP0zGltrNdg
LsZSzJqxtzta6q6PTxxWmnYryKWBY9s9NmVfvoDsR7Sx/5uz81iSGmnb9gm9ipA32yqVutrRdGOH
jYJhBrmU9zr670pWlEp/6Wc2BAuCLKV9zG1aq/w4IgOWHwBAGvMR/8wQV3jkW9D/LAvjsYtbFx8Z
4JStX0X26J5iqcN1XObWyY+tYeUq3tKh9hZWTC0qlAlasp4oU/3JbTDcpLbaYwUf943a+m0/Gd97
z0LSpkX0Jz6owJD/8Yps/A63Of+aOCWGLRod+PLQmCmuYt3SLvdNbOp1kKKXO/qFOroCXy1SpAO+
pEuADrv6Bs1Sxc9V1J374BZhlp9Dq8T0JmGWkDfqRO9HtpIT0SoWwrTCxHnNRhEHlZc6KoXvWkYF
Wy2fbBSFKEy9TpnTJwjIJ7jnKIhMqyHGO+gZKurXORzMV0Rpawx3imkSjzRZJten+Ts6Q4s3uWGr
uW97C1as2pBPz/z69Glo8sY8ZnORhcesV43hRBO3eLu99hstC2IciTnFlQCxc2N1HeiKQAF5QWkn
bfT7zOgNBXmdxkPrsTTSI/LEzSkrUe6lY4D6b4uiIz8OodQ+SV7cOhweELtbIr9o+9ovMW/Y+XnX
tz89LPYmLg0yjlifgHRq9C6pXS9oHfQZkcM8gm5EVrCw/DJ2UNzN3Tf4jbjeGCMqwrR5rKrnC0za
3m/2DGI5bB8rp/jA9tx5J69vbs6mBooHPQ2uMEse3t8eJqfC6Dfk8kIHNn4aFwMFwUZRX4ukNL9o
CkWT21NxdV8S3FAV0VQCKkzz1kFO1CHpFNdLcmdGxXhkW2EmH6cDUo4UAqc0ouWOFk6SaX9NFWbD
twe/WgY5OJ9In0U6vKwLvMuUG/0Qt8kdnH4kvIzovT0Wn7UsQ6uur35a5vD+PwxIt5DYyqK5qq7C
HbyLkWWuBm6+oQrvRFZ0H+wZ6oo3U2fF4RsFRrf74wwdUD8IJp4FJpmQbn0PKnDj4oGvVHubJ28U
3rEI5709fbVv5Cg8elTwDHBL68qTl03wBiI+rca5Dd1InNcWpEZPcYtG2Bgiznh7KuVUXdzucjwq
GxStKdJra9JrgbWyJuJaBv7Ou7qE9UsVwn3Gq3Y+ALhzjoNeWbJtsde1uXq9VgOvrpZ6iJqpd4iQ
0zxRD/kSDUE4tHvI343ppB5KnAZ2H8zQGpo12WaLUvNMnxvjhjsFr6ugWyY059R5es6sXebfdQAF
WRnjC1milO3sNXoIkT9FT8M6vgsrXT/bvTDeqmgyHqqIndpi8HHfzb24mwcrfNQi5A5D9HwPKT61
H28v7Mb84iJiEijB2ABPuAphqimtlRhRPSKo+Qea+BihWZp6f3sQfWP7XIyyOhSoFFmN4sIYRv4a
9UnTQ1xNaf8lrYedw/NxoA9zj8x3gFckCj996s/lnB4dOpqYGqbHuMOhgF6a6Y+Zegqx4CvSOT7N
CR2HhGd9UtXXsU3fdzlNE3By6Kbhdwzs9JEs3D61XdfuHIitHQPkU/YSAQhwBi8v7rqvhtDRs/iu
RUDtgGdaiw6k+gk0EypyprVHyrvOp9gw6KtgYwP5FsaQXMffHooJQdZ06ZzoLsZs2UmE7qezabzP
oJz7eWi9Waj9noAaxU9cwFh7wxsOZgR1HwfD2sP4blzkvKNA10GgcsWtPWgKw+1KmP7RnVcZ6QlT
Yynu2C7HUMfJG91CYkCx7GWUG1tIlozRHJCYJ9g1lxNAihHlWsdGTdruFX9Z/aMX9fkHDYzAR1x+
6mPRU008iMoJ93bvxvcyNDk655SWgrXavVQLFm1OkvhudMrHSMMaLAtxCcxGQR/boebUZQnk9Onr
5PTcU+GrcJx7w65/kAD/U6OVl431QLF2+GnHGe1cQcynDJgK2ufIc7GTbPpnKBQoudb1dwdV6FOf
F90pqpTj7XO4cdghAJMuSXia7H9ezmHfl7Y1e8whbl9d4DmdE3gaQg3/YRSyDdYJUIWzrutSFUuw
ng2ju5G8w2dHowONnOfOAdxcFKBS9BAgUHAsVt+SZRkNRNSPAMPgvJjHqh9nQruXRjFc3ujTypLL
zlbYnEB4G1JlAvzLuhWTqUmOuqgR3bWm96PuNO1kRUm+ExNep5UE0pxy8C9UEWVz6fLTkIw3UxfI
AUoPaYVCvK0dWm1RT1jW9AHmLsIn/c5OoMaUT0pVo/7fCBV9VCX5AKYJG/lhMimRmtbLsHQmcqwZ
ZoeYeiwI+hZ42Gc9fypiV5Vuc3bAlyBYQNmTet3l70Y3PQk7RWVJeg8FSxwRuJHin/9hd1Gok4VV
efOuDmOFW23j1gyi2m13Z6S5hQxvUfl/PgpRMowLOlbUblajGE6XjTRBWOgFgYpidhrcSYgKbo9y
nTix0hIqI8V+oEyuI9S8zzwzdDpu0khNP2O1Y2LcQDvCXpBNT0jqffBhIO5HKd9aTa/ouDggBEDg
ZQCoz+M0IwSfNaBZiqI+7/w4+YStYj6qvCqjSG4NDbnL5UT7384j2OcBb0n/HTQZTpsQv45qvtQP
qtWmZNO8LWDTTcxjBVTD3g7StGr3ZkkOdPVDoL9IiSY6X+uyJS7FSYGHqYKBX+m9RMn0VEeKe17U
3Ays1MhfimrMj7EX/qSLkf8MzYgAYBmm18oqtdfbs7Kxx5HzI7KnxC7d3WVc8Ns7HHnt2LRuqQQV
fgA+AluaNLdNdz75ehTJWyHaBkIlVR5Xj11b4gcdLig/2QLZf7VLm/tYZHuCGtdXKKMwn/IG5Tyt
mYWmOttZoS1hAOBP95tqns8JynxHDGgnpLS18agW+rRzsgBWXC0nw1Lr5k2lEA2693IK22Q2Gmvq
wkD0iEkl2lNl5NUPmgf4palmNt5VwFk9BISREj/2eSverNCZhkOTWxPGzOrCI1w56htAu/kVnJjC
I6y+2KnnfYgGM/s2lSDhTh7YTNoGi55/jGND/1Eb9rxg6t3jv70MifoNh+V88mvTnRVKSV1u3k/N
pGDdTIdPYD+R6b0vjCX9mGIzFcJqTLA7wSYkxFyeQlflt1rqTX5ilVHoh4OleEdX0RuM7GwRPQ9z
lzw1eR/+NY1KLKs+FdLzPTLpWQqR8aDDUXod+sr8pI1T/rPo9OLvtIrqBD1L1RrpY1kD29lLyAuU
5O/M7Lx3CQJHtt9i+uWBVNSdiV1uT0RgzliBcbAhvC9Ywf9I3ZoTUOIx8V0ZPewekB9IvkR62X+2
lxnmO5yBz1q5VMuhMdgDd2mMXdWgdz0IIfhEPyZT61/spPAAXlp2c54103nNMZ/DIwljkicN26nw
ZADeOcc9dLADdnriW6y445eiMttXYWoLLl5q++rSbjjGVv6U9Tnq3Y3b40pTLxUFl2IMP9pDbT1y
uzgfBYiU1zpNw1NOuQjB4sKbH0v6pN4Z/4AEM2Lk0BS/cdtK/btysg5X8xFziSM5kdUgp5mRKqDX
prSHXAm9MYDnHX3TCgynsN7T+nfpEGfzXWNVinn8n+jQBS5qHeBB4sRwsSvTe1Uyu3g34Pb0SaBS
gtUJpg3vp9rr3iLwVxFm4RmsNS1X0NIn4Y4+uYhsv45Jnn++fcfI031531GjgjxO/wRxmCvUedR4
zhRmaRhELdKgYYxAQ19q+p3T2p/+fCSgHpKBigYGmf3lUSSyqPGvysEkITbyWLXxz67P6neq1yY7
oefWNwEQ01WLIB5W4Co2KNMoiocpZiRSg6CO8uZxqXDsbnvl6+1vuiYOAK+VFqkuRT96L2umTOZW
rquwQYMqapFpMpb8o4JhxYm7wTjzkMx+bLa0hgEY+3E0wJPM8r2r9df3rNaQH8EPUImB6Q2sLrmx
MoDSjaEX5JG9BDja5Adr8qYAt6RP+tw/QpRGqjx0x6MVtt+LFHsK7IjKx0bp/o28b6kyYpwR/pW4
9qMdG/bPvlqic5sa1c4rv7EuFJKgpJHJYn68nixsxxZTLdlrHS50d03s/iPavD/Bjw4Pt9dl47Ux
aQSC64FQQK9mlTG7UQjSxxBhEGLG4g+5RX+odxyfaraKEoQwpgPOIH+sxSc3A3sArCV6WgCcLnd4
hAdfyjCUpp1I/Tp02LJFejqe+bf2f5hKyDHUjzi4aDyvDpOjdaaHYYwXeFmMa0aS4UfkJDV6kt2y
c5o29zhRKfvbhZoBZ/HyszxsQUa0PLxgaEZwFWWYOydPsdpTu+jeSdCXvx95fE+KpQ1+jfvzfU0k
sfOUy7lb73EkdMjx0L7VKZ1d/gg7SqKZSoUXLNiHBBQN6aji5BkkCx1ONHGbj/VEdiKsYm9VN0em
t4LcExcKe/dyZEvNY0zxKJt3kLtPWFvXmOTU7oMyIK2aJWP0CSdDrN0yS99Z5I3ITIpUulDVqClr
6/jPjZBTaSKomz0o99NcVRr9DW9PbWrrVOK0TmiGi6yktl9+31jTq0nwTggKJUz8NrXD75CEnoBj
OTsd1M3vIQsBYkFR5Uqg2iQIqkWme4GZ2PU7sJolOzfZQ6fI9bjaKdITl0cGo9+1sCmeCDnGmAuj
FEg5DY2BK6c2iWe1Spvngsrrzl0jX5P1eLoUKgfKQW3uirzcpPEELMULMHesX7wZ0Zuo6qpTiYEP
t8yg+0Nn5AejNeKXohn3GsNbVx23KXkCe0W31m3pBKMxrG4YHtuK8d6JJ++9nuI91+vIstDvgkOk
JtOX2/fr1pn4bdC1xNRYaSHQKAZtaU3+aO0wfTScPAmgb+Wvs2c2UGEb01cc++PtgTe/lkooQD6o
QWTll5u1s6elAcjC4tI/QzSkKX3XEOKsdnVznLu4/IAE14/bY25UlCnB6GA7ZS+JTGJ1A/S2lWJt
0nJCtPh7KchfSM/jfwbTVo69MQ8BQilLg6MZpsZOGhUPDZq9h0hp8yDsLO7oGRcfxJFmmifOF0tp
6vet1dnv9AVee84WCeB42ufa9ACM0CQOAE3r94LiGjg+tFWRg8OkxTL6H02RR2+3v25z+0pKOoA8
8BxrCLOZTmVcjsyoVSj4IKkAdB57bD7opOvuj0Sgo5ppUfyoOpFx0Lyw2ZNb2bh/qO7yuJgUXClD
re6fuFkcsi2el65sumdVTcRzMrk93ohmfsRzrnxWrSF/cjvHO7RI1x/quB7fK+RxmAxnqm9njrjP
cQY6j0iL4Uc3hCeRQ77NZsx+BhUIXre446OuLJjJIbkVIt55RmULHcklt58ToUUn9C3UT5Y7TIe2
ah3fQ+TvpOKX46v6LxdJrEHtRdcekRhENU0zaC1PyUKb+9QbNFFMFL5ooJpxV9+5+VI8m30yf8W1
JLu/vVobVyjKh8j9Anug8LUOotVe1HgbsacsfKWfK3fwTmoSGztX2sbxllLvdKhQvKafudrwcW4l
oe7WBJSW4pyifELstNJSP2paSkVzJnw97/Kg5DEJbn/fViwr2QJIYnJ7k5jICfit5lEm2jAOFq8t
IM78voqNeniE36z3R9ee1BAVzmr+JqxUu68iDoSOXR2QDFx6YILhLgT4w/yrSJr+Q1fhgnBE8kl9
ctW4xOTOaFskmBMtuY8XZ/xjRpOE5UsmE/cSUfi6UZHNmasIRc5ZoRlnJRLd0dFxB2/iuvQX3cRX
0zKQmyOGDBSv30OdbZ0iHFLleyerfGvwYgTgY5qbkiAtB5M566F56KpWnC0t3LmCt7YgCB9KRVxA
oD+NyxVK8DJGBo8P1ZIhChIXDb1IjdSdLXhNWWM+Cd5lAGSBNV2rTWOSmuTt0hDhNeOYBFqbuFho
jdiI04GT9jnJkA4f2qaJXlvPWh7GUCTinCgC11YBGJAcqMS66NBNXvLh9ib9BZVcPfmyYAajhYoS
hSX5Sv2+ST1HSUNHeMHY2X6teN+mFGia2uenIrLOVZk9DqV4h+3bcYnMt3xU/86G5RlrXGzDq9e+
Hk9jlRwttfgwUBivOuOYOdNZ0cqTjpSxgr23H7Fheox7IX00Bx1Fkp353XhIKfpJ2ABkTepxqwQi
EXafgYl3A+lWeTJ68Cl51ZvH1rSeNK/rfEciCXfmTW6N9bzR2AevQK5MIL+6V8SsZv2y2G4wO337
MUxS60W6WWOkOU8Zn1t3Hg6SUfM3fGf9KxDdEQ+53vuuNJSkDhhkzy8zIj8/QsBwjW9O03NKdT4/
xFaS/qUrGgKXM0qpX0RmYR/elGio4u4U6l+zMMUd+PbXbDyczCCtE1QVwTut84KpR8M+LmY36Lzv
QuTLI9K3+X1RAStzB5SacZPFwa1uspMRAZW/PfhGj1ZqM1nAdYBgQihevZoi1EIHB283SOkHH/Cu
fNTC9k5Jm48qvlNhrBWB0osPhae9xbby04RboSftnhTv5i5yaB2RH/16vi8PgoYccpSBSAuWyHun
jbGs3y/YAhVJdPJw4z044b+3P3zr9gGeTToko0DgTJcjjr1AIoi8OKi0Eema3HWOZcwVdHuUX8iZ
9U7lhsODAXoxTOb1CU9UBEB6nrcumr9B2nWDIseB3QBR7GOJi+VcRjO8oqFyP2VFcwaiigWqFluf
3HCCvJo45p2tRfXdssjGbVKMZ1rZ8dOMYuMjYoRGgKlzep7sWLxD1f3PG5ZSVF1igiTIxFwLq7eL
oRRtZbhBPejZIy0+PVD1sT3Ekd7ceUuqPEeKMu0ciM2lIUaG8QwlCYTL5dJQD18Q9FjcgMpMSgWz
tg9GWVs7EcLWsaNQCb2GdiVZnn45ir00VWOEoxsIzS0DaC42ZdHRwwWvTD9h99Y+JUviPebF4H5o
RC12ht+qhlAEkbokKBNI8vDl+CG+9J5QGD+bUxQ6CMeIJbPkHltgjB7D2PvgiGQkChiXg+pkVM/t
Xt/5EZszLWFfIPl4HdfNT6VKgF4NVD/c2NQOc+iY5w6pM//2Ibg9iqeujhr23c5E5dwNFKNpn/q2
QDEAo+D/8i3g5TQAZuC83dV8UrWZKbC0bFWtx2qg1xw/ctH++A/fApYFmRxCWqBsl6smrMzIzX5g
byZxxIVsf8C4cY92u7U1AeFBMIMYg4bJ6gDobtEhGcxtOMWF/iLcJXm3eARiyuymZ0NgoqlOLcIP
damfPNBmO9+4lafS6+IXoOAHGXHN8g8dIytN1JY5GrGDPFHaLPC8sx5zg9p1v3W2l37FnH0qD5gq
qcshUS0lo50b1eYDGWeGPWJsVREuO0X4sx+ouR08pRxcH6CRQ68Dk8j3rTbzHVFdaoi0NVgtPtip
KYZjVjvVy4IxXHQ0ev48KFktOymOl79xfUZvmCS2324v6laaQqxN35gYDD716g0ElRFXQy2IYUro
4RCLLaIHXgU4feM5Jac+dUZvHSfVmT/cHnnr3ZOsUjqK3EFA8i+3U6brtU1DnVdoieL3DXYQPn6N
X7Wm+eD27lvsLHugSJv/cf0g/T7iagObAotMiIWETk3l00b5IRx9OUMVOi7jouycya3gG+8NMGDI
+kKEWjO86qZP+qznlRWjUnzN8bzGIx5d71PdolURE3k8AainwzErn2O78x5G1Cn9yXCzY+/2/9Sa
88eOgLCRedYlHQykBHjiyxlvPMXtFZogQYRY2LkozOHh/yPr2FjXi1FWJ3gZ4iaK5MU6I0pwh5q4
GSAmZ9NVbNv3WTQnL4r6H/IppLvwr5ZFLdJu4/LL2Luj4slr1iiXkURgmY+2LG7c3rHXuk9MIDo6
2KzIh5NJvBzGxohQK4EqUlzSh1cLm2DilbyWFsjxqY0093OTdnMwt2Hjt+ZsPJRGYX6n/zi8aFYo
HuJMUY5LD+zi9g/buDRJBCQqlOxZpah4+btQizW7oUShBq/F5sAl2UqTSTKlXrWOeZbTPDMULRgs
44urNsOn26Nfi8h4SGnKOYFTD4V7bVmRk4gsNDPCgJRxaI5eGo3PcWgN1TGBxIGyG/6Gfua20ZtW
S+0UyQLHKldRnMelqy2sHcEMH9yCBMVX6BqfMGMScZCWiZBngdN1yFxh7vzsjZsP9iW5sWQRAoxc
3T/OpFtKOsqKk6ePz3Pf5w+1UvefPREjLzKgl+JQ+ArUNrR3FA82ggLaEfSK4TYDGVn3VjNVo3DW
w6KndtT/o6VTf0yHxd2ha2+M8gsCyUl3pPKtdbkpvFSkg724TqDNmLMePLcy2oNlVvnh9vJfn3f4
iQAtJbGLW25dTsYeujHKdnCCsPWErypZ/BanDXbm5uTcTaQ9h9wLs7c/HlQ2W0AXAYWRoJjLj2M7
VlWmYV1ihnpbHxbXm9+XnvYFu/PmqayW4kfjTPZOcLBxpVM2hLUnCxboua7bPHgaJdSfYidAPDt6
oODavs0WtQU30gwkOamX1loVvms8MCfTZHvv0JuogtKmidm6dK9Np/rzhIEyGUefWqaEuq4xQXHv
hpHbGnYgvFCcjazu77C0rU+3p/v65WQUiJHIuIHrQtzkcrorYcYJ3mV2gOOdODfEEz7SEz5CbBNJ
SrmnPbo33GrrtobXduwqO4AFZB9btWpO3gCCV3X60NcTTMFvf971UeH4k+zRUTPQL/y17r/VohKh
NMqizHYwGVVzN3X0YEWljDvb5/rCYRQZoHNHY/a47jI1rW1g6dDagR3qmW+E7fQ6GJEBBE9hPDyQ
nxwQB8clmfYkXeR8XQY+FBrBYvPqUxSm4X25fCKqvFzMlR2AgFaOs2iRITZFfZ9kzrDXirgeis8D
zsGEQhxaVzYrgZ4KAaQVJOWo30PLC+/VKavTnUtn44ukYgw2GXTvielWoQw1gzyCdGUFIlaixyxJ
9fMAjCgoa6fcua03hoKGSaNGIhlhYa0eV7OPUScoYojAiVIinbfUR5xHPL8ql71S0OZQUthOepUB
z1qtU9zGSduMnhkUVlIGyohyajTq450GmXBnM27c2niC2SquFxIQsIZj00hrungxzQDba9SNshDR
7Tiy3qlLkn3RGk29o2S37KzaRmeCaeQUmFBwIUGtOdaqRtKEHbWB/ClJcD0ibTdVkE+FYz4MImvQ
Hx/MtzHSf6SegT+9AYwQL5gkmBbPu4szS3tYEJ/wbWF2QeRmIqjaRj10qN88OeH4+fa1sDFHv4pk
xMu4xyF0dnlsyEhCksCFXkNuulx23A3B0QSJdm7yMD7fHmzjziPvpP3M3EictNwbv91B9Og8F70g
M8AG3Xgk9LDulFkZ0DnEAGVW8vGPUf+EWcB7yHaRRAdheTneKKqRIwwiN1yAbTYa2lK5myc7X7Wx
o3+xlTB0ljoG68PjpENaVyJhFHs232xPzKdILB1y/1zntydw4xInkYXZTfMICPgapooFuSiM1KEq
ODfaS+i1ESz2ZC/U3gD7o7bELY4wEs1sWtqX81bnzmQhla8HmBUrD4rnhm9tFlV0pRC+yA6JqZQn
t66me9zHpn/zspmDYjKn+wZBgRdaNNajZ9MOtZK6XFBpEQJBAy3DeyWJD70TL+0RUKT93hLxHPzp
BNEcppwpa74cPmd1kXVGXXZ25epBZlFkF1X4w3Wb6L8MIrU/EANFF3XdQ9PqJe/R3tUD/LwHIHJl
+82O6uLj7U+5PizYJJPmIUZEkYi+++UimHmUpUjAUVpGYe9AHyY+Ll1HmgCMAnHhZM/5byPFuRxQ
vxxQGWF6p5PtoI6gdA+zaEpql3H+71hmyUP8FMP10/rhSHrmoA3Sk4klUxygIzT+leN0BSXc8d7a
tqxPTkKNkxyyuGsrBPZuz8v1ceNn0laT5WMaKuuGn5EsNaA9xwnmJKuPdU8gWI1qfwALYOws9AYl
krHQDqCIy33FU3I5JfgWeWC4sN9OIqQQoZ41vlaW2lGp0ykIi4pKOarP92pVtj7SPrM/ZKZytIu6
2Lljrg8+PwRNfFnJJaFbU/tMjwwNxocT4Eg2nMcQSXJj9vaKRxtFa4aBSUA7AMLMFUYpKhbRhrSv
6TpEcP4hK52jMO4PtVuTXVkVciEzko0CF7LHCjQ0CpGatrO+W58qrS5lvxEc3RqXVaYxaQ89/yCO
HBPP1bg8Gmpv/vFNSqAvQcbAF0gt1i1GtXK1UhoyBUk3On44j/M5LZzidHuvyhDtMihlFEi8aM5I
mcX1/lH7ZoJFo0tKmwMI0NWms7Y4/46xQ9KtazCexix/0IkBdkKfrUMi1bFliVeKvcgf9ttLi6Rs
F4raZBKXynnsWis8taHAKlwr9obauqe4nQi9gZgiCWlcDoUUv6FUM+s19lPhDykdLU1LUlyVOx51
y/zzROZXikaLCAStJOBcjqfhMNIq0+gEtj6X93qfiIMYYncndNj8Ku53eerlBbz6qkGbJXB/orJQ
OO6RrklFGp4U5yQfPxlTLd7f3ii/KGJXO0U24ijVED6uD3hC3S8GH8jJA9R0Kot6OoZer4NBnsNA
j4zofjEGWkhUIgCvJtODjjckpI9KnPMJPV4Cxc7X1M68V1MD1Yh8EH6nJP/ARNSf6eRpQH6t8qx1
WvXQZcNfi4Be4WlgE4Yw71+KwjFOkB6iA4Igka9hgeN3GjiUKA0LkP5LfHf7g7fmlyoawZmk+qjr
vrRR90Y1L1RUlEbogRBZGFB2YDw4AbQfDW0PUyoXbD3BXGvSW5M+AArxl9smowGohrFrB3NXFsiz
997RYR79GCuGYxQZ1aGFHnNGc9c+j8RfAcwT9OTHJn5JzNE91/1gHJRomQNrwYdF9OZ4nFWYJEOb
awck2IfnHq+Yp4j3kb6J2z54oTudXXsY/X6RYM8xmu+dxWuOQMDU8uChJnyumhB/ZAwhjBbVWrt0
D4zi2uWE7VZq3emzkT6WE9oC/6u0pouSpnGCLIdAWSlL+yBS3r2FJuOX24uzdW39PlerzV9pdcwe
o0HUenp9aLrc+Gx1lvZSh6lxrHECukOPzDp6gKaOt0feuPzBc6E85pHyUkSQ2+a3e2uKSs9snYRr
ebDqp35CW10TbXu+PcrG7Qg6jicdAUx5R65CK1CyU2bDbg4G0WH7KKzqnBjl02RN7c41cp1eYcf1
20irXZfnBlLnIuIaiSLraOjFiJMCIG1lAXLkKFjmNqrS/JdJhDtBDCyD1LUhhgKfo6vblFfHKqa7
wqsUegbpHp55axKpxtMekw0ga10ojOs4qsyKQmHW9CjUqEqBwNaoP3SKtYeZ2xyK20ICaMDyro2O
Y6VJIksTDsFmVvu1p3+A7Zue2xKUwu2dsdH+IOX5bSi5QX/bgGUuejC7th0otuU8e05cBW1YZk8m
HKxg8sLqm1KKn6k7dQd7qOOHxCXW64vGOdRCbR77wv4hAPzvxET/j59F/wNhsQ3qTjcUXtLlOefC
KFT1ztEwzfRnt9T1U1Kq9sGF+4UsRTLOL1W+mM0htOr20R3NqvVrnMfO9lwCPUPnqP6adeq0Vzzd
SBmpvssmJ/BgLIjWokGoXLH4A0tkxjbSE3FQldPj4jnfNG95iRVQVapGAmPCfIvT90Y/nQc9fh4l
4rnPkvdzpdzbWvG5tLrjbKjvWkc5jguKpbeX91fwuHoFZBANT5t3nfxZdpl+W15KHc7SCoq8rqKE
9Lf7cX70rGg4dUmHiBVmPEGut9U5wjftUC3leMbbq/aJ7sRpnozxpCB8f8ryOT0rQpjvvD5dnuzR
BsHNI3FK7UX78j9IBRpYbgvT8QrrZrVwxhPoDPMA72cPn7cB8GLiqVmjciVxsGsJ73mp58jJTDuQ
+tw/5qotD6jEDH6qmiiUh1N3VIxBv1P0fHkfewXQQS8hhc9z60x7epc9vnWBgzeDhowwiCQbXE4w
LrLTnKaeHcQSodE2OVo8emTeWaGJsJpY0Dl1leSYS21zVdj/NkMxQJ8W2YH4dDiMjdoHDWTMnStR
ruvVulMSABBN9sS1f/mzPAVsiuDJC9o4fOJhLz7YWVR/6AY0XCtV/ddOnOqcQ1wNjAVhvtu7bmtO
yDVoUqE2Bd9k9dzo45CldhraAQnP7GvJtODUkuy5HG9EVJT3AfVKShkR/+rp7LVwbCnh0i4q8Zi1
wn58KmbxyYRtcEo778/xOJC8sMgCVeiQZawb7ZJw0CeNYwd9HDqncDISv9YREL49dRvtKIbBecGk
okr+tJauytvY0JSRNkmRZf0BMSBxpHD8ZdFrz5/5+7dxRjiiaawHIyqR23WfXcXy4376fPuHXM8u
RulI1CPoA88KPcvLDdTorWZHYtSDaRZ/kXLpR0uBxhthTQ+wquh29uv1i8dwMJ9YT4rX6IRdDldb
A/6+dqEH5qIo/YEySH8YRB4/6nZp/nE743Ks9fbkZUDAMKOcFarTk20P/zg6Uvz/Yf5ccmFiO0Ki
tUSGKMPMamzwhfMM09LtPfVkzFV5cpqOzMqZ9/L7rQm0oBDLSQR+bsrA7LeLHmPZWcJetWByqu5Q
orr2QjBUnFpLm063P21rKMpQKmk+lVlq6JdDFWqOLgIKVTTZC/XUJwCh1M7Fd8oJs52htnahLT+L
SwTC37qJh5wpNGjE8EmYTPPFKKvqAXXT6hQBZnsMq6Le2YbXiQDS+6T28CwQd3fWSDWu6zmLk5JP
W1QKWyPFqVOC7yV5S5efQrXOfQVunT8Jb+8EXF+aDK1T6YZPSrdobcIHbDrR20hoAXbtzV2JD8eh
wKZlZ0K3R+E8I9aDhty6eLF0ylxrbqLhSauZx66nTgKDf88ddWuH0MkjoUE8B4rWaodUfVOhxMmy
STF0uErzgm9hhRWKWTc7H7S1Q4CW8PIS/oO7WB1mFIQ1+FG1FqhpKw5pNNl+E/e6H5G/HjqosDsJ
zkb8AchVwxwMMSoL4ST57b8dNIk1W0YFdV+hdcl7xUX2xlQj65AhRX/K2UDxwUBG2be9UD+rtbrc
m3pdH5vCaY/hWBU7O/b6+/k5RPCIoUhpsnUDIGxJtmjNqgH1EPs0l24PFi3Dmgzy4wnS0Pc/PfuX
w62ehUItNeh9JqZvrQuRR62TYOS9DODKfrw90vVOBXfEwZe6J8Rl6wutRQ8gzwtGkqoVd14djieh
FfWO48b1TqUhxstD1ZA8CH7V5Wq6bYFabOktSKa1xX1iiSgoADHeU0Daa5RufBCOVcgMEZVxu/xC
qf62cVqggJ1eWkuwWAgO43PTH1VEnHcSuo39wCh0y1xawOzQ1dFzQ9XqEQZeAquNayrz4jnMwnfa
0NqsFrIrf7pIVIaAj0AIgGN+1U2t+pApMyY96HWjDhD2EAjKtMqn26P8QshfRrMg0dC7Rz8WWBAt
qMtV8oo6j8g21aDv29A4juoUflsK3TL8ekT55zAobZj5owgX4llc1R9TgKZVEDVl3D/wT8boVLZ6
rNwpYVYNCBMqzes8ucZfg5ka9XEpncWP8ex7V8djX+C4sYAF7uyuQaW2SNz2TVf6H1Y6VJ/wCku1
Q1j1y5d0CZvx0DU9lMh4UHQ6FOkoxEvsjmRQuZbWGiLAChsqa4C+Tk75SRWjBt/NGM1vVtvzek2y
3+Lfnq3rfWaTzwNFoW4gmeurHYCrEz1Te1CDqc27u2ZKVHLUOP7r9igbslm8VrKeSceCosha/SAm
rIeKhuh4OCn0fZMxflcUS4OAHqoI6ZNVzUoKz6GwUh8rsxqKqTt07720N6i5hsb8lCjW+Jj1YffS
LVkIMxCc1d5hkLf/5cZh31Dyko0V/IHW4IsF0pPAbeL/qDuT5ciNbE2/ikx7qDEP165qASBGzmMO
GxiTpOCYHY4ZT99fZKm6RGa22HV3baZNiplEBOBwP+c//9CDKM+YkbtSRMw/fDyHJ3+d47mxtTV0
NNPXd+1YEpOeJAGU3q50nQkcZLL7OIAXegYkkjw5ncqqUzhWXx6km1jV3gt6qqu8by24DVm3cToP
m1CrldkTg+Ix2KWZwwUEJrJr2FkkRyLJ8hFmNnCv6pA2sDZCKAiyjeyuSfZWDwqI8tk0L5H5rOeZ
13m3uj2TQKa3fd3FiUdiWIhbmagj3CaHjWFiVhIZiRPMYd7oI+qu0ezOl1yWUY5eFaVwVdRPnVOT
CdrpmvElo7S7yBoiOvZLtYDeYElubnwStxooIzDVoyTHjzjshLLnuPSdYTy3gqqjV7UEfimCcSRI
MLD83y+oH0svmDiUrrAWYDTZ76mNk15k5lwXy9aa3frspGmNrUlUl6rXILRUgUAM3tVXbjF/ZDz7
4wvDleFngCDScv2gtCClnjFwwGheOfq4N6GlxpZfjx+sxZ9chX7bIo6DmsHDteLtHkZ5bmtTzsbc
D/mEleyKV749u/8xQZSUg9O7f1JfUjK/O88Mp/Uw5uvXbdr02ZkLRyzK3Mr/H3yXv17lXdFVtEjF
LaVWxEXtEFft0mwDCz3X36+IH89mvgukD6osbhgOEm/v2OQXk4bzFXesqNuwUZkV2kW9Rik73Adt
9/fIwXcbBUQ6uILsmRYd7zvcui2VNbaLCa/DHoBlxFyVnxT9qDqWmrmyI2hle97NelqfaYVCNS2s
iWCSVF8aLcwtzXc3/Wr3T1KK8TzwbZHs7GRpHwJwbxEpqaF9k4gC8fJqAy0M1DoQ2tfU5mWfoJmN
x9bIP0KRf/JGsdpOGAzgCBv0u+9UFCQKLaCj28Uv/OMy9SljnO4krNXNOqr9Ttto1QIiL4QX//2j
+9liZ9OEsoPxtwe55u2jK+spJ0Il59Glth6XOfJ4IGT9f3KVE2PwRHbzabLfXiWF1+tli79saSHB
WZ1qijUr+agx+7GiOgkD6HT/xUx5exWlqwoRo40EYLHE4+qM/Q6eYrlrMACKqgDjub+/dz/RWIKN
Mqg54T/wBd+X9NPqlmpgFrutYD6flb05NpGRrZ9SK8F4m5c7nCV9RLAYziNqqeCa8HG58+BKhpY/
1reqXruD3qQj2VEEOGijjv1b1sBpmsx2b6uW3kXmL3aviwfkQ/UHW9CP9+u0+7CbUhNCW3g/SXY7
6Q16a89bZRvTdlJ1cS6WzL1LnNkk2HdwP2hJfkJaOU220BxiTInzg31ajH8prCluxgRnlxnPpwAG
d56lx0x0yXE29Qd3tvItJiUISPA83NOtVZHR2MNFJq0PqtSffQ4GNqd25TSpBw9++znaJcldfe4n
CKu1/Axtq0QcxPTvupGp+kPTgLMgCUxVvbHaabmpDU95BIh5T7U9VR9ZVfy4edIVn7zeKANPWsh3
JfNcZg5L47ubNzNFS3nDuYPRXFwtpfkfnwbQhQCDOLVPjHLn3Znj5YKUoZJLjeOUfh0XbYg76Dsf
dGo/u73g/iBp1AYnbfm720twUuCObjltGQ3cY6qTROXItHZZMYyZy/O1d46zN9mRZo4Hp8+/AdR8
RIT7SfNPk007SkNKbQ0p+u0jNhfHG8tFsKwLPJQcVhKhfGZ6VdpWG4KKNoxPAms710MV9dPSHZOc
LIcmS/uoykb7g53itLDfHlp8GrA+Oko6PgCJt5+mkIBGo+aM2ypzrVvZyTWehib9QE34k5WExztu
aqeZJ3OOd8eI0frIIzquorVmixF/2t31Kwkmoa5Z3Qff6Dt68tevdJIsnmDKkyUpTf97FGyakIRT
T7dbY9JNotvyHlMz3RQZVsaZoGRO1dqE0hytHnFWXe1HtxnOSqP9albVYG8QQOc0dG1T2LD30rUK
h9SaHlU9GtqRDLpcYZdQ1sg7KJMvu16Mjx42Py/l2BAKVJOKm48664a8KPejjun9eXz6bkCY7FGn
aREM3bePS5e1ZmMeRpwNjLMNraf/Zcaf+Xkgtmdr9sK/KROn/OprRXqwm8m7sKUmQ7ycmb1leF1L
e1RnqvLMJcwLPeBLGd4eDi40aYGw/O9Pofdr6/RhQZEBuOAcnVgDbz+sklJzk3lot5Nde5FYV4/S
ZVo/KPHenxVchQWFkwmYPx5S7yf3iadOLgF5u4U5hlR0oNEphWzCJFu+1rBJ/v47/cD4PF0OeBx1
GUT8ExXu7ZcqU78i4Bpq09QVwaYaliUe7NGNtVO+s786HaTK1rqxZ2HvdZ0YzKDKtX3ntN9yNXGc
mmm3cbuhC83C7MNiVe1hGhg3QVP9qB36YQLOZzX570Ttxc4bGsC7zwrPTowUpdtGuOLSW9rs3CpF
cGP2rjoYWsN0rbcSRR6Fam5RZS63udecpiYLTJXczqUZrV1j3ayB/ZE5+k/WBhMwRjW4W5DJ894b
vV5IRXdk1W5nwtoR81liWzTpR+kOP3ldqIK4CvICALr3OIbX6gTDJJI46kWVl5i0dxdETo3RkNXO
hUxq9wI32mIjsNf9oBX9gRbKvSdQgDAlaOdwwt8LsJLKxIOPxJNt6VSPldsEYWrp2LGoQh/u5tby
LpMOGazdJV9k4eLRXMzTB8fd+10XO0mGHrrPJAJlEUDL28dP9q9jTp41bseVMPJMud2xVSBYGGp8
ZDL+00udJn0n46IT//rtpXBC1bLex21tLfzXrlisw9Jkn9xKfiSH+OG+nr6US09Aj0VjgCno2yvh
GN5U0qvGbZuQX6kLwnm8orDu3EWlm7bAsGXGPC9OplLdF3q9bmzrP5YU8BnojU8FWkBFb70/YdyU
u22MwbBdfbgXVlb1HBf9R9vnT+7pqQP3beBrnXzdd/c0d9YA+WQyIHitC+iUXRLRKA1nFRjAB2fm
zy6FNMvhvjKQYET99qaKDlKe17gDDJRSjw07LY9Ns7THefrIEu/9G3m6dTBDeS+YNqCVfrcmV8ea
J5FCWBCeXkepxpxq8J1ir0hbDq3V6m4Jfe23cIU+Clc0Tvfrr3XB6dLYSgHVc1gwd3z3Jclus9Qk
1bBNs2UgOswyQkcOSOuDVIWGWGvwWlG3d5049eD6unMH+GeDoeTZIgK5T0x6XF43Z2tZVUG2vL3e
t0mdf9D7/OxZnIK7Txj/CeU//fwvrcjIDCgR0Eq3+gSlw8WofqdSOW6gDDsfPPb3mzCUkxPVmmqC
LQIexLvml4p+Gcgkb7dBL/VosSmLhin56Mj87qX69sYjogRPQoJAsYk89+03AveEYJI2cmvZA97f
UFaXr5bOKgjTxfOPMzE7aGOI2bws564jcVkI0pPqxVRGCLqdZ7hsWlOykbVrxqWwLQUX0OtjhYRo
6y1lOZwM1BO5kyOi9pD+3f5iDB0zbLlmRBynRdcsNLITYQz4IcrjYvbk/elZxrahkzYcLsHUQcHK
VdZFpVv7L/wi/dWxh/5B2laaxvnYjTVzaqRx4dpnzS4vxxqP96SUT0nuCD+s7dqBKOSOo9gGiYOn
h18bw40zGkS0plZxsu3BmF8X1XpfFQlkLzqdUGW2HTPra8aNnesaggEt84FYXNldT2tHEP3fly/v
iyWeOF6qp3rgJPr88UgIcnuyc0duy2acY90q5G4KQiKapJF5H1zrx/cNlQBFB1AV0BFudm8fO/Yh
C6ztSm5hv6q4CswkxuG3gK/E3F96WhJjB/rRif99pvd2saFec8nx5MxHJfC+oRkk6k9Y3xnfsNNg
jmZ2WcSVq04h1uMaXDltGQxMWqccGnDCjzE/VPqz4wlyidcFyUrmLslX/HnWabO42XLZDkXj7Oym
78TWNjG/TVTiFkz7ylVuZuz0l4MbqOx2QcM7hppA4L3J2j4xw5rYh00SCGzULFr3OdJyayZiiL7Q
jJl9I7/3qj5FMJ26/bD1pjQr8JAwdIzprZYoUnLD5nXTToOs4sqSEK6zLCtfEkxEb62pXPf2Kfxy
0cnK4mL2cK/xupNNvo5Bw4nhIEP5+/XzA8jpBJRsqJVx6OPwpbZ8+1DrttcrTXYFgAgPNddyRtLV
MKzX2SqLCtVJU4Smrqyat6kQ/b7vpdUDqfXa17XEt+qgr2Pzag1rBnUQLDUcqgojJzvT6bnylpDw
sBvXkpHJ2vWbXEq32qS5vrZ7fOlIdZjqpamu//5L/dCSsy2xUE4JMRazSG7+2y8lxGD1xaCybU+u
Mpql0R7W2La09jpZAs0jQjILZFRognOjREyn4nGWQRnJGU3ZpvFtAwA7af5ZQv6v5/m/0tfm+p+L
tvvHf/Pn50Yu8HFF/+6P/7gaX1U/qNdfLp5k98t2qF+e2F3q/z79kv/zj97+in9cZM+q6Zo/+vd/
680/4kp/fpL4qX9684dNDXNzuRle1XL7Spfaf78An/n0N/9ff/jL6/ffcr/I199/fW4G/Jn4bSkf
/tc/f3R4+f1XmK9/eVan3//nDy+fKv7d8VV1r8sP/+D1qet//1UzfzuhFtxvRMMwOZnP/frL9Prn
j5jc4tJE6Y25ML5pv/5SY3Erfv/VDn7Dew5KCdQVKBgQ0379Bensnz867Y6n1QAmYsLf+fVf3/zN
0/r30/sFEOaa1Jq++/3X74z4v+xE36fZXAIclpkQQPa7UidPIOkuyibwhEbSRHPA/DgstUZuFntC
BFlS1n1p1mbYo8xf2YV7g60fED8N9WmaX6BgtF9mLLAZmGnFfTINFcjD0rufQSjSx2RWikMmqNSX
qdWeTtG7z9/v9X+0AP+vi+nNArySr/Vdr15fe9bp/wfLDtXV3y27+6c8K8ife3qzVr//o38uPc/5
jVUFXAbMBFMFDfO/Vp7r/QYqAOzES88QiGLz3yvP+I2ZJINkIO1TLMGJ/vnnyrPc306KKYP/efIa
5zf+RyvvbZHNYcuSo8CGtYuGjoL+3X5mVcJYUqb6u7qyKTK8YukPNpjVOaCy9a1vGyeL9LRvNvlE
yVcUiM6wCvU2NkEXsStc86EZkNOkXpdvgrmSh04n/uJcIoIqSObL5s/LYOaf+DvTlYe+Z7+6rf4l
p+T4lp7o2oa1VKSzGn00ppPCEi4tN395Hn++bG9fru9h6P9+vfiSsJXgwMDs5/Vi7PZugJiYLRPx
fDZ29LjF3sg6+cDNpT+avSQxGHKs9YY6DPawm7j9yLwiOVvcGu0KI/3nTvk13mu6dTPAxdr5c+A9
BmJN7/TA7wb82CaL147CjiM/S29EE5j7ybTGG78IqjocHEcZsehtgSnDOo/Xhj+73xIyrOO8zOQY
pXNyLv0TdgjKAOrThUkl1DfXnvv9XOHuwSzCf5pLs11DrUcSuh1brQoVUq4+HuZqytFC5eHqkPwQ
uUZVv862n/1BYGPZH3oiFNVumSCnxJ05VDc2/LVQeUF5LqckvTA0BfOvH906hKMqrywkyif5lWyf
A5qKu6JhGyROpxXPTVEHn1uM1TdeufSx34F4R3afnuRx1L/phgSb0cCN0/EetGnsPtsQevNtQe3T
RbaWE4EEzgBONHsMHxnZVY+cdCpSiwmdoMILeuORy3zhN3N98DpkPCPhJfsU3RcTcquPpFq0fdEU
+TUjxmaXDLg6VLqe/+HLSdvUMKUv/SRXzG1Tk/nD4JkXZm9pMU6l8wWe6fK+9DJtO6262hcE5l5P
TZnFBeX6tm1GKw/ZSr/0Tlbq4TKP1ctczOXnNUmNswWF7MU4puN2gcHzaA+VsbWYeDz0Sa7FMltT
tGxMjQAUcn2b2Q55QQU8i5fAnZyrxFZ9zIIZI6mlklZANGlcaoPdhLmujprlmZdy6JodoVMz5F3S
DDO8JZ96H4uQQV0GutqAIK1RXU0NBqZzd6Bob296aVpXtdHOcZWmkYOo+IWdSDuWXlNE7WqkW1Hr
/VmN98RWSEs75HVpPEJhwcSpsfrdyeU7yku9+krWlHfTYSj9R5VRIJJ6vmR3chWMv5ljDVGRQU2R
xjKeA2P4w7Fu9OULiUx4a65+6oVZHxRGaDn9urGspMJ2M2UnWJfDapvPvTUm5/SlTcyb8K3lxUU/
SR9hWdKjgBIz8erLteNq/isxoxc4P0W9ETQbZ5y3RGlq8FzS9iodi41cuWVJO+TXk28UJGzVzlk7
GxsjddVOiOTYpwaDCRvXsGp9gcp9GGZ6wUYO53lADEBd1VhBMw8/4anG0o6fJtM4JoH5rMrcjC09
fdWMu1Zql6vnb6pS1pTV4obp1iNq5nvlqiOhvPdaKu6KrLo1RbvPBxoxq4qZ+QECZBeWW8DqmVGu
5ymJ17C6QtT07Gvqno7mCbuwR2yl2hAbojpMXIicqbErkwcCRWKnGL8Jy74Xhfl1EUt/4Wpuc6Xh
BRVloK/XnZm/LIIIFty050vZa+fF4h5HUHujM/YEnIereq0sGyd2WztKZsxQUsG5105Fbtnd60EN
xFxHVnLqR4dWhLb0z/usTE4mlff2Up6jDwwtHYbZ1IXp6sAonWg8jZCbKrJIiR4Z62o9l1jLRpp0
+4vBEuKA0Xexr/363i4S56gQzO57kbfPltDqOMdpYTsbTlwUyxXs2c9aLvxXLbC0vYuuIJ+m+8nJ
7I3u9M2d4Ywbsy7TT+aM4U83Boj6TLRf4jhWa2jnn6am73fQ9TeN62P8z4ZZFpgvyq/OWFvhYqW0
8Plrbba3OV1Q1Ads72Q8LGB8mzWju3KqB0xt74V/KTJxj5g3Y+OrX5KC3z+3TPikmVz03hDavaFF
+TDdepVDx1TtMn2IDMLjIt/JjgwDkVrpX9dGv5pn/cKTQAP+eD71pXYxukTULJm84eHGs/L3QOty
q8+e2EjR3fZwwXLdE2FH7qvpik2j9V04JeuB7uGiVc6GEMPIQfsWecGMp0e7XprsVMQa3ZirT059
46WhmbCzudnnNHM/m1Je2AHPKlPWp7z3N1lQ3wyiuiqUcWMMQR7rfn5Ubg+zSwvOc60TUUUoSdjK
hRVIo6nn2RXEkite6juto3n0+G2piwA3Cw5GUU5hU2Nm6s91RN5QtelHokZ9ONCZlFfTOJ5Lbfgi
p/oy8U/+u+lTb2URnBV01gJDi0XPzlYoIGEbdDsSwy6++5euyr1NBwZqibysVz8acu3RsepzY4Ll
ImyobNV4U3BYuEaDL5y3bADcgIIa6zClTEh6SmFdmrHhMchJ+k09z/veeTB7xJIlkfNRhg5546gW
tloaJPveUOdz5VzM0s13tnzl/RJMVDML0vgMw78f4LmlOSg/G/y5kZb0mYtuxGY93ws52XGho2IO
G1Ovr+umn+9X39WOdNO3pbOmYVDZGAmhLQ/X3FpwxS5TFv3E6iELh/UNMQL9CztQ7+/zlbK+a9wk
mqksjpleLzvC0oh9HZZNbz3JySUR2x6T0Ak0NwqCxYvaLCnOMl+78NJFY+EUYdNleb0diza90zL2
mI4+c30aveE2aapHo3evVgt18eyVs3++JP6D33QRjLPtOHkhNJejb3OnSmfTBfmWGN0grPL5wrfO
+/bRl0QcjzY2s52WXVf66Z02w6FZLsF846k2Hj3Ne8DR/JRA6EeBjfd7JSZ2P1FsnUqSxjvX1VVf
NgIuX/fVc9X1OicCbEtGi3KP6cqJtBp7z+gf/TYJWIj506BWdi0sT/tOYmDKDNbzCji0E5ws5Yxs
nNJ+GWvvoVlKG76DHGNce755VRkFvdbHWQU40PXzYdVUyoJqqa/S8m5IzQMjxn3dZtddIe9ELh7K
LjtLCKdYPPiHor6ePae8rNXdoHf7cs7juWIQk8yMCOv7pR3a0GiASlYLF6lJHImIbznH2mNOf0ga
l/PAJ/4SDNyzBN8E2MPF1CPJHPXPs5hJqGqOS9H/kSfyIujbo7KrXaCCL3NO3KOm8bX8jZE7zi5J
+1vSKGUkptaOhMy+Cr/soHASuepq3jH1ljNjQE5fTexVPSsfZ6dk1+j6vhWJG+GrEEldxOs8x2mV
xUFT4b3r1dDJsBQFSiMRk4Ua2tMBf5l20+btee4PwF/sYC6m2qFLqR/CWb427fqb0nueFrTkXQoe
Hmt5i3ATqeamn+9SVZuROSWSCyL5HORZgWI9G1zzMXU8M8yH7DYf+zHO/Enu9STlUzcmiv7JD81p
3I86FFg9w7DKruC4DatOF2C76a4x8ofZaWtMuhQkbGMzOXBPO73c+cSeRblpdKHmp1aod4aJZ4Qh
I5NimxxJ8bmH1ivK8qiV9Y0tKMkmdpRw6L2vgaryUM0kcy5WSThUkEU4jmrx6Gbt1rGou2FOfCsS
6YQupNuQWTL+0K2OpFJ/BPu4Sdb1AlOXKW68NoiCxOXet8krsVMxzLabJptUKJWn7Uot34JJc4Nn
9sQ8dtibxIKDb5dlx8miAGdtnRnO0j1WlG77NPUPSZbpxGSpLd4pdijItxlW8YcR5CJKa/VYaMO1
9MxHkvbwjKmjJFXsHCbDntOidIvqDDI5EtDAu5pLP2oaURwWrW9DODQX8Brxta3kV5grgNmweCJd
LWwfJQFJeUlQYYMtd5Q2fspKVjfA1o95LxhKOxfANJHjthCZKzZd7xMZny1b22jthElaRNno+24u
HrxVzyJLzoh3WajG0j+65XJhm1PYuuu+9MZPbrpGyGKvzSHYZ+38MM3keebarumdl8U9S9MuR+aB
Um2c1rN1nM8yS39tO3+MU5GdarMzM+m/YOQgwmCtzlbLm6LOCYq4bce91TndE/oABG98hrE1oVco
hvqtnEAX1yc+65M/pZ/tTr9sM7L64NKQyGpBYivr8ZtflTfWIs5V58wgkJUV564ji3B2oNIYyuLe
eGZ21LDrS/z00NvGecZYoM7bXVfN53XHgMpu03vS2sRO4ntBUjzka6XacLKXizwdgTADY5NaHOxF
NkQuXvVhaseddeun6ojQMzbcbN0O+SDsDZ4ZRAArl40+v7eKHnPXIo8ZiP0BiyI0qvE8n8UGg5Z7
TXeXTeuRit1kj8pSt2XRUtez5ZJQHw9dO4Y2NnlTMY+7IW8Eic2pXsdd6QC1wrZv9lPAex0WYqBh
rPzPgVd1B0MMxa70T9yy0QwOtTO6Ny1l90bNniIotzHmg44s86ALr9qaWZbu+m61XmXvmJ98KA9T
aEzeuq+bdE8MJ2nG9BJhPs9IFGBaX+WdXWCM3rRKhjM08aOwg+TZKV3rMyFTWX8qM5CdSplk13RU
RhrVc0sX2wnc2kuMmiTpr451744V7dxIfCURvob1WtBpsGdkOP9QNag/Jnc49RNisk79uXGAf9+S
+SKNeeu0Srua1Vi+NFPSEBSTaSS/ECJcjPl0mPp12LfI1y69wbWZE9cFZI1kLm9BUawt2cSUjfDu
3M+Z6Y+RU7haSk7u1ACJ6IRUBB3+WVCjXxz2+vNGz2sn1JhqPLiqHZ/NNVmOfl/Iz5hMuAhJ1qAI
9XKZj3A0GEKhom8ibzLqvZnVyV3eN8TvBJq1H/RUvJjz2pOw5KlCY1QwVf4+0ytAfeh3ftRWzfwH
HGDtqkpKMzQ9eInzMm2aoK52i90u4NGuchkL2PM15QQ2LahW7MtUw7QxpG+B1VZk7FYuxXFfuPiR
GC7QPEaAj0CHxlNjcfORYryudeDdrTVGfGZXKMDIOb3sLetQiuLRz3QZtn2m7xjSSS1qcVLY4GTU
XGjBNO9UO/h0WM24y7vuBC5owX5ytJJF27jaHVMOD1lAW0yRQXNJemcdOEdEMKbYMR5UD1ngi9dp
HcevOYRLbPEY8aOEp2S2W+1iRcB1oScDR2Ey9UdBCuE2DVZM9Gnyd/MoxFPJjg6Bzl2o11ZcFfaj
7xXXReflB6NxurNgSOftMgnnoCanD0dDzvvJTxKUGk7ziSTb6cnt+k/dzLpvprOUXmpXK8tZoH+5
2TfdytlXZReIgm5pyMgf1JMgWgrlLuE8liAl9pA/26LJz+zGnqZQWhSNMOztOEcPDsM7T65dfVix
wBnkkYFie9HabhHDV7ziY8/3OVFEO2X07dZLfRV1rnPZWvRyTYfypTLny74eXF5rbfL2XTr2Z407
Ndu169Zvmq2VzO0N8bkZjXnHCVPewOtNvuTg5AeXzB8Qqdq87RKjumgHCJZhkHviIWD72KslC3K0
Sm3OEBgz89BeOo/ey3Mu52LCjYCBaoV1FIiZcFQWNTDOwsbLzNcqc/IvtBD+y5BK2M3JlOCybLdh
m4rlU7GYKbC1N8dN4XhXNqqZjfD1bMNIqNvYY7FEq6lKjZ3BQBZOS3lM6iq7ItqDXXt2uq1Sc/7J
Dvr6ujD16gqLrjTKGJRe2Y033RTdNJ5jxLl+LQxOOlcMzo0w/GVnFsZyZkPQuAqaZf3K+WBTGZNh
HRPiMGwmUfQ1Z2iZXcgRf4DQXZv6hYExJSQ167kM2vraCaQd1Z1lPrQGpZwwe3mGwdVyr3sdpwyd
Hs5LQZ1q0bhqzOmRbOAEm3RRo3fjGd1Kdgg86V4FrpCxWWprXDm2iPxVN+9lLcq9SJp82+pkvboz
xiwDYj6cwNqBwZ1uyCdtXIqYo1TfdPBg4tTjV/dNf2KsJkmEyq36tPjJelYZjbUxHC0588z+Sk7V
ndt62S5Ixpkah6LCzEBx1FDZd6vXEQrvCBBRTCrpjJuUS6Rr/xlu3hAGY5CdoUtg5j3r9tFIBsw5
xlrcrYOfbzrTpYD0PRl6wdoBILiLcZ9oetCGQRNUFGsQW681XWtvVN2U55ZKC2xT5Dhs67zxLgbe
S3hobUo13w/aZZMtQuzNlkawZDrD2+01VYTzUHpWFarTt9OMLOliaUpA1L5dxix0irztYl3V/T2x
CcVDlpSdzew+KK9aZ6lnKH+nXtDihTS9GgB7oAOkg7fpSH3lu/eVXJ1wRCcai9wez7xSOFcl1Qkm
L3zESFlG14VBQOfsq6aNVVdQ/7jzgjtj0pRHabby2VilcbBEuZ4gzuYK6hmHAnZEBmlAlzXhWLfV
4hmf/L4frlHtsUUldLMXqimd7eDmX7KyMsQZ+WDJHcFl9Y5RXPfZrDTrGWdMd4dEZYGa1/bf5qJK
nidTmt+GTDfvpJ9pRzdzez1i4xNl6JNsQHEPPsuEHQe0R+JA8DBJUnZkMA/FCp8M/2KALY93STtl
ebi4gfbVL9PmqctF+S0xgDM3eVKq/RikUCSWjBzeMEHNvRdFGdyXlYb8Yva67LrWkTeFtpdCwVBe
y3Y3EpPThuVUJwcbbRclaNpJivosHTb0wNadb87TbtIW51rkpn/PFIIioLWG4bweMhPNL4VjKIoA
ijtwdr5XkM0f3bYgWqS0jC25fr4bBkM7s2FIOR5Xp64oajGXREszNIm5GQFszqbVV/t5KOeoXOpp
Z3aW/TXpC/OLrY3DjrtdH+01d8xIQvEHaXSX6iWFHnKYayO5mmRuP2oUKFdOZ+AOl/H7o6rJ/EPX
5GzyhpTWQ9eCH2+Dds3uJUY4O2S4LVGVK5loZQ5po8QqrnVTjXQXwz7ULXqMECsFddeW5bhhhKRD
/hDLcqVWqV1ktTs/p5Ywwa3W5i6bZePHJRzwy0HW03W6VGZcT14HcaUqmkiWpTKjOdBqMmTMQty3
WqAddL0cCCDvtcNCBgtzQODUz34+vKTjEkDjaQLQ4yXH5jN2zzXNjIx8jFF2XCdpKhFK6usmaFba
CUN2u3bYp3jRFhTQWgEEn+iXhYsHok2idw3KkqnzVhnmGbwDnSdqmCpkTTSR3s52jGheC9nBXtJB
Akk3hgXHclb3nWzlQ5PqQEfwK9fj2gPHRZ6WaRujAM3yh8ozwn6w16sJG1RANjGa23pq1p0yJ052
CDVhrRwK27UQ8Qg4/EBTl5yN7tic0WCqrVn38m4KNOM4l61pAGxY/5u9M9luG8vW9LvUHFnoDpop
QJBiJ5FqbU+wZMlG33cH5+nvx8y6t8KOXBGV85rkJDKCIggc7P234gp81hzQSqzhXNjy2PsDC81o
3/Y5KuVCg1r0XWmBTaZt5z4lTYwOqday6bltLOetbzRnN/GdXgXlb3cjbUlEpE/WxgL6fY9Vqmnn
ZhFudRZp5apwqfMvZb/WUep3/SYtoaACG7nAbcDwumDmDBFRn03mzgLxlq/T1DkPrBhGfV5N7Eib
WK2qiFQb49VZOHUe7KxvHjy9ndzAKupC8qA3/dehEflH13klqzz6qGPWDuOrmWvedSoTsOGhrT9U
3tY/b1FMW0aR6WWpWp6J0re/zgMJG9CATYm4zWnupFW5+y5BwshtUWg0Nyflw1BO031Mqed+EDk6
h8xOHxrRWaduwv3R67MZFKXePoAycWeNvvmeeTmBiOW4MuThuCC9OZnnF2CxgWrIDJ1zUhdW6K2N
HbEfVttEm9J9xql0LJh5Xrg/PofaYTAAXdrFuT8+amTuPKthBnyRttZeK46adGPQVMtDVqX11SPv
/6SDXG6MmoF5bvo5ggSoP2ERuh3iEEQ2ojTWSJs0np2hIzQlsPulOpU1qH3sTtd+Av0yxFI+j2mr
R3btmwdowWENRuqOI3eom5e0IMiPw67foW7qNpm9FsNGjEnyXSyeWUZmxuvBmLtockCNmm7sP/hd
LVaydvzhLiY5kqOmXxxfqvuR5JutkZrmxl2d6VwvOsuT7Q7oRfVSMKt1DcPU0l/iuNAuSF2e/cx/
7vNYPlZuW0VCc0YZ8KcKyiN4qLBlCvVSop2iO8ddFsRvgt4QgiFsrw/M2dP2KO2LO20wYpJ3vfax
5+UXNr3bY8VN6m8VbvRvHDLLCSuBOut5bB1T9ppTVtvqJTFRGY2u034r0t78Qni3Ey5wgN/LvDGe
63j4xK8GStuk8bYFUjmZNhxaoHcWTVX8Eiqc5mo+GnZcPcy5tN7XKblTlkf6Zs/fWhbN1AfJPHR7
EGl5QWxnUy0/gACG4HhFyYKdV6eYDUs5srzkNHkGuV21x0p3W1TSdT1GvMbaD6125hdOIcAOVtQd
qxXTlamOK911KNsS/JW19VmUK2lDc3Wzf6jC6quwl2t2Z/Eu2joqy4uAYaV5pQXT+OG4AIlmA1Mn
43Klfypdzr1Sc5SviOTHaqgPssdNhwOE28R5s+zevSMpzNquhRFfsqVrmXwzm74sS8NSjc2pup8G
6Aez0e7LrHM+Ekd/L7w0ffUbcK8+FlAX+rgTFTAeKxcce+EzKw3pW1PQCkeDyGqHjSbhnhx+bLDv
FTxIMXRR26Jv6MF4TXxgzaRQbijHPHTnaY8Ii8DMpT4vpbEB/9ce56G3jnMBHsf6uwRpfNvfJ+MB
v8/6VufwKZLBK3A9vrYLabopuppLPfU7t1+cJ0x3+xbddwAjr9hEFb2Q+cZ0q5ck7l+6Unn73F71
PUPGYbXkN20eb397OWrXJPceyry9X/I6ArM9WY3+La7rIw7jQJrlXhr+Yy7ra770Z5VTqy4qq7zz
/PiaTL37aliqDNN6Jm7Uo1RR6519zuTpoJCR+htjZx9Mmg3cMz4uTtcGs9D0ba/JZ5YN1vqy2TnY
mcLSdaoPBdx8UPlqoVBz+nkJckbB78QPeAvksu+GmkTYSUlrVdJ1NtftFixsPUhi0DbZMrRvC0ff
TqXUyKrMs97IhBvDJFVxCAd3g5ra5XHkka6orhawoBYdiyyMBWEFw5o/D6vnL0DxcX6SDkYAXy7V
fmwENLDnVd8gudmpy6FHLikggSYHBl7a9zq75W6kpePOZ28jzssyf+at5Evo6GpJadKm3WJpnJJD
Wl4RaNj3rKSAvb2/1jvDidX9zFm4k2514IU1v+Uk0wYDVDxN6yNQPpv53pRp/Kp3DslBiw9zONo2
S0OhA7sEJnYwWoK8ZWsMNS8pisDba9LM5Pyhv0TCSg0rF6mBXFsqY5d7uYqk5fuEVNz42dBIaPIN
Wn3sX9AGUxg+q+K4WsN6Ylu0o3YFFa1ZlQl2Jjnjiw9/+Fk0KfjY2iXjN30VzSNhDxLOyJhCS1Xr
ESi41jdCNGJfKVyKPBZpfdY1zejCUQwnXtXLS6kN/Ylo9end0SbaWVlE2deFMQ6fXTvKg8yd9A25
2nCUq0uygb9mYu9DNu9q3SZRdkCLkYQzJk9GMJ2+vhpRTBXOaK/QZWSojkOdqQOAZV2MJ7C3+WWq
51yxWFeOFQ0kW51WicuGAnRpxocuQVAYasruKzzvRp0zWCnxVHpzfvCUa59db0GpmhTaXluLCVZJ
Go9whx1wQq12zKTxEWmOhk7ZTqpDrGfkM6yWMT4QE5azVa1mFhWF7b2K1F3rAFKy4Ymp0+a1VOhV
54aDeO66+mpQvCWCZTRZEYhdPDMw2nuAaw2TZ9KYXIqGMK4o1deeym3CHSLQ2wZ1kI2IoPTRfTpk
dR301n0uSw+ASqRJft+zlx4zQZpPrKGsd9hus3W0ecESvunEhfvTpCfpokosYMT5ttaDRfWhHc4W
YW2D65RHtzYy+KKxe8hbTkBIt3lL6bRGDX1GdtxS8v0gFqH/+XrZYs/XOSZph+jjTos8d1mfazE1
L04cJ+RSLA3iOG/cKkfE97oRI+BPr6nZfLPq7E10DqiEh26b2I/5qTJUgzS7Mb6ggTcvpUkwNLPX
/G1INXM3Frl2authLsNCx+PXov28qDHNntZhaq+zp76bGahdBNzXAj4VQrcD3VhLwo+zHLZLc+rm
0WDUfKzrwrl0duFu3KzqXIThrv9BL0G5z1c04I1jE3i1coZpna79NPgNQ13kKQYiuW45Dqx90tt6
WCSVlQalpVLoUcM5+0OTIkHw50M7VawubW98b7XY3cDoipMOZ3Bo5rm+X6vO20MVJtvErb+ncftU
EqtcBS37Iugqn4GDJge8a/j+kyU4vrw0tHuvinrD/zkUSj3nZmpi2Mp+WC1xqRoy6IgNfD1TEpI/
gBp7z1Dn+mPqTdN1hdU5E1QJ/BmrEW4DZixI9cJ/sjS3s4PJzSl4VhXrU8f2G/hj5VylWYM5KdX3
oWnmLJaut9Z36VJ4kVg98YPbH8VHO9qvuDeTO5b8FKhJ87fso3e4BdTdJCrDDryGXoZZU+nW8mvI
tbKlE6JLoYPE2KdxQOUMeTP+GG8Ayp2rPt84zFv9xg5nsBtmBVk8QdmJKQmpTwX8K41E7AGxjEtF
udVlytPpflnL5pwvRDmEsw/Jj5/H2LPjwzAsBWBV2Q0/K4pR3yZNoObnCuZQHYR/RU1ZvSiQrzfQ
OKCzjozChJUyqFXbRc2CPKhMgFUgO91TZpXjQ75o87btizb0RjF9xJ1NW2XmzYEyi/o0qybek5sM
I2n2nLK+Oz5OQtX31poTMzmOSP6q2pjpwuD1aSHoszcmg9yiyBjyOv9qpfa6yfzSemzaYj1rLZ7N
pfW6V5JYO7QJYdyOF7znMphQK+g4ZMIWbVOEyc02cU3MPpCazyVjPImPtQJlmVZdTsFoudmxtOfy
6Mwjbkkry5Ey3FbmZOS/atny0HdD/Qa2iEQGNXyD1OlY+2n/YLhttmOzLV6UssaHVSx5KFe9+mqw
5e2SRnVf4iH13pxMcz7tqr/NE40doFCToSeFsalTo3zp2+ZlGaqNZI948NahO+jV7N5PutK4xp19
Nu1Rbqnl7I7r0Gg7KHkzqLDzXsD8+a6GJYlcAjbS9+DK8aub63JXFHqbbpjCNN7OXfswKU7HHuWj
Foilnh6GzvXf0yR17wy61xPiKKfYYgfLn6ye3yuA6nLO8BnLHQFA1cRN3i8nMzFlEjYcHX2Q+Zn1
SbbZtAHsP/szkT6b3k5cxBCgNq15Y9C1YhWHaWbMHIcF3mXB0BQ4EF7PhoFswNbqaNb6+HtRydvR
qmfys0G+cyEDS/c2RqmXOR6ovIvqVQ9QRP4YMavi1F2fZ31F5GLMBz7HOhYgbVGcjtiGC6fpvg3I
WHYxyk8gUNtMH4thJNncciID4vgsiU/1Nn3ViE+RpTD6gsnuHnQtv5/Rf0W4njryC/p9V7oKjoPx
B67ctmXN6W/D22sefkgeGO3v3CG/uQdvotGbZdAicYrqBVz4v2myx0qXGQdTdjfFaRIuWl83+yw3
OWpGSDEc41of2SgNooat7eR5U5oEU48w728iAH91XvF33GpwDB0fHE7Cmwf2V8dBlhmJbPTF2YlU
WmGRpmOUWcP/CXL7/wLu/3WTVf/v/xbn/8k2sPvRV+/1L76B27/wL+22If6hW65+swZ4puBe4x74
l2tA/OMWeIenk3oiHJy8pf9Huy34l0iNc1zCVEjn4Df7H+227f7DdIk1uDlSCQK8acH/+w/7f3AN
/Gqaut0NJl7tm+WTMm3oztuN8wf3H/mnFeyIysJ4jROm68GpUXCPdqwz4tlS9Gewe/lhyPrv8tJ/
FY3/85O5Kpim8IESgmL/Jhp38bPniCCzcBiqKg7cVNe/d85IUDFFD0T8+Ivjj/sJivMHEFrVBH/4
hf6Novu3R/P2+djBbbwaRH6SPve7PRN/K9uokzch9oyGKSonEANvFgraZpD+y7ga5Q/bXGtzoxXI
YcgeNxoYat3e/fUfcrOl/V9d+T//DpdkEIcoJ0F7rXW7Tn/4BWadHJKO4Lkwz5U46laRfrGtaTlM
6c1/9Nef9asd75+fdesNhmj9Z5+O+ds1b5cWxlMb8hCs356fvXj1EIyyCZ5HC0/1Zm6E/Buz059v
MJTHBIhR10mlB+F+v369QS5yBN9EY6JKUNZ2kKLYl+Psw7JkGjwuYX/tvasG/ftff9d/d12x5vE7
EypJStvtn//hut6QvtUkvi7U6rh37skNj/ODJTVedVoCYvjXn/bnuxnzPfoeTlpuJvtPv+KaVZMs
0DUUKOGOQzV85vaEx07xkrFmo9hqqyL4APqi3v/1J/+bC8wJwpNrkD2Cy+i3+6edRstbCwsUQDri
CARWRMlskGCV5J8VU/S+uN1Xf/2Ztx/tt3v21uuDF8XjF2UQ+fXaSqVPTml1FZotoX8nU4Y7Neek
+puP+fNPaBPWQICme6vtw7Hy68fU1sA7tZVlCACO3IZKX2wN9aQ+VZ3iTfrr7/SbK+/2cHD5+Bgh
8MPcPOO/fpqrGWS2mWYTzkRRvLpz5SQhbstpR1XSNEToPe1iM5ZpWiBKs7SVjXYcPZR/UmNgrYUe
gBijp/vrP+vP18DVcQLppsGB5Zm/J8oVnk4sXryi5Eo7az3qcbWGNUr55Zxlqf8fn0W8cMiD4iyy
fRdj0K+XQK26ncqk5EyklfE4dnq2EzBHiIztpf3611/sz/fQ7eXGdETfLQ+M4A33x+fT4QTKeUaa
cMkmf8fuwz1UtW3yd7UCf34yCS60GMEM8o952/z2ncbYkDjqkibsl3o+56tW7tSyiE1JDmBDQIyf
fOiarJ6rWJv/swLh2y2Fd5WPZPHnbLfFb2cQ8ZdgMS3fMaX59Hs3ZXRomsrJktAxc7M4T63Jq+c/
vq6Ud9oYspxbuMLvD02H3MWpY6cKU1PJi6bK8pWT19v89af86dQhvokEa94kHHswo7d//ofTlUWa
GZtvDGNmaBfPzuNz3Hn2AV0aamTba58MHt6/iSowbgEBv5w7nK14JR3gPMgq+NhfP7XptRn8m55y
r/RT/xhbiXeHz7llyUyVR92HWpMdQuJyiUDPuKHW0kk+Mywbd4OOG3uPYr6w7oqJqOR/uWd/Mc/+
0SH2W/gNvzU/NF5lBxeRiQ/u93nGagp/XGcNjYlomx0pZznSJCA92pEgSQK3dvPjKOv0ElcJOp5c
1fshnxMeY1X8yFwfkbFAr0oygTVlf/dc/+khcHVaCZl4yKYhddz+7cLNMlNeblXs6UbuvfXjXH2j
78pwImcts6uixFIHN9G4MZkTGQMN1UszWpXpBjUD4ptwF4Rkkzu7eMdn8+DScrtENtxWgg4QimPT
qpYjuRCmI6M+v1H1k4/1P+BnBPpa27r4bICSkKea6BC2RBmjDFzqykT4q9kMgHa7oobQE3wQiyO9
HzNMurwjlC3Pt7LpCFFrTY//n7lSdxSZkHKHZEUqDbTEs9XrOTBpSwhmD4c/PrJLZhcdk8rWrLKC
ZptFlh+uUa4hXld03p6sWMiIUua/mGmzvDQFyDYhmpZ3pAulq5EyozjYjKryiq9Ug8j7TLfkGP31
Y/T778Kpzhzvk1KhExvK//56Q8uykNgTmjqEryETDVtNGdkbklH+5lC4vS1+fXbsW9U3RSCM+9gY
BSkvv35ULqd+9HsQSNPOnPRdMzUa4w25IuY39Qwbh+rhXWcw0UjpUFybHLdQnPVk9+rxPATD2Fsn
R9LN7GDMqjeJ46cXirW3Jeop8rS1wEaISNzCktsh77T4UWGHoZeHBy+NiKEgtKauSuyTlRlgmVT9
dhmzb4o4OC2oFALwYcmcqGmXMkKjoL8vw3rX4OD5ovcFiSleXCxPmT0DjDHweAEWtFtIJLlq0B2G
yjdO111vR2KGES+27+LYbS+dQlp5yrKCxAnwuX6Xjzqy2NFLOfsTEJID5wHynNrukfO4LnRimRWL
fgtlc6+kt4hzcatkRJN+a1HRsOLHvta1O61oHdxi5KnaLnEigTEZ6s1Ksn1rt5Z650c3yEd2hLnp
UlkOOw06yw4G3jz9lmiG+ZnzxA8Q9g3h0BYuSts1vxpzC8w68leskdFhLLnzlaeBHqlmk4tyuMb6
2j4i9yieTJPWV5tcL1SraTe4VLAhKAmTNpc3T+PD5LedtetLD5RGHwb/Z98aPeIOTRNf4rmWK6gP
rrsgs6QbjtZgTfg55XTRs7i7GmIu9yRtZKea1KODNlpbp/e9bW9J68jF1+9rRE43vCffAW8MVqgZ
YJzw75093pEn/yON129YtFZWyWnxv/TcUY+phsmzQZCAZjwDLSdY3Po66p2BfNijg7iMX0W9mJde
R5k/K/MTZ3od5dQuLoGnNCCaZp3XrX8rCUL2jDFzrZz8iKpHPKKLRjevUE4ihMghq/iw/ueNaIGJ
1hhNd7M3GcU9JqEPkueesnzwAFrM5WaYqRRuT1UCDRGP89ouRZ3goKA7uM1b/WrmNpSvftN0J61F
ALb66BfiTWnXScJhzlTQFtb06JbtGJWFD07lVwrZdCobQjxyj/xMl6eJU2sQMHVcwVzTnGiAsT0Q
yUFHB70TSOyyrHefDbTa5PGMyYGlpdwXWPnTTVVn+J38VuQRqt0SyeiouJKFoAirThJeIxpYoCyb
6VIpTd+VctHB1G11TiZHHlizHR7u7OtswQ00ef8UA+8GI3asjjreVFevfS5eczZHdALQMb1Wo/KJ
ZQTDD8bHwRWY6dJuHK0qtmU3GSJSsy8+zdynhL5qRqNEg17LByp28RqpNEGhWmDdSqBeoqzEqagK
2RMfmNjXGYrqwezTS1NiCompzQxnkb7UtKnsXT95aruxu05Ex32ms1Ptb9K+fBzQKFB56VQmt6l4
v/mTCkTkmPtupAnTzieJcSqU2vy9l539JV/J/uvZXPYSsDqc5+qR1KUHbW3qIzmv2lseqwchIbiL
JPtqqM++zl6oPf9MF0OGylsPZJafOaTgqKc5ckc0SwrNqO90+LkH+2uS+HNYCvPB0IYMDrDd5rV6
sdwR+Y4uj4kjz3USl7xNm5dEM6ydWIuf0yo2rWd+paT3u55mLz6Sn8BxYHiqCVYLuc472B0plUW7
fjDfPUpLPdMaBzszgH+YhkZOyy1Gt6mrLsiH5NRyj5VQC3NvPHZx4oUpL95TQzJrbxBHZM4SAXOT
JzRoGgR+UjzXYIoIsZWeGD/LIKYTbpO1aOyWZtXuKa1cCEgh0fCW48Qn6Ci5EaNvTA/1e1UBdac1
rDEOhPvaQMPrUnEB3t5ikBmtO60uNPji/DkBaGTUIQutF10keU5ogNUhRJIn1B6UZ9bNQ7HqmK2W
ikk4+4FCwd4zvQlg3M60B3IwIWUZPNogrzT5OZZi/CJGpHUxz9nJbkiqIopma7QZf7pE+q2180Mx
YLak1UA+2VoPIVLVL/o6H5Xb91Hv35aMBNeEKTrCiNWeaeKM9KdA0g1cp4x2Uy6+HZVmdZyN4Utd
xIehL+Ndho2ARJYpGm3AIqA+SF0hrU3SZzgxsS/el2754mJxqULb0PlhKve5U0rb1MP0ko/01ojk
imYhx+Nr4QQTKIlzD2nGijrWzpKT1qFlarX0YzCTbDObnIh0vVLK1idVWGuD2PhmkZwJp/kw0/7Q
pURj+6PVBLKsf3qInFARVtlP1kO4Mwi2CAlU+jnGqj72yAO25JaUT+ilyhcVd/woZuoz3WgqIt4T
7c3NGl9gr1WFvmNq3rULsDv3xA+z8hV3HaDGRDLUOYOF2vft+pga9p2xwGLW7Wmc2sd6kPkXKbtr
RndAqMEGh2brfcAq0GGRltZezb0JnoU80MEuEBg06sQlStl0zO4Vp/MjhoZHXWA4uSn7HWcN7Uae
rQ5zsWjtl6ZgufD8BNoouZDyc+g0cSIE4Yp3moNumu9Nu7gv3PY5VjMTJ6jFXbHMPwl2Q+rUrqc0
MTg3akgrE6f1gmIVQ4v+0xl8nKu+ZVrYhEhjI73wWDQEczWEKYZmuZxQOe5wQ0Bum7O7jwd5tWru
/q3BhSRPhR+8Gr+6qIs2rrR3GgcOjpQ6Le71BB+VBcNo+nX9As34wWaDnrUfcKUWZkOCOcAf96Ky
pwB7wn03rIex97G+T/5XDnAREgjwjbyobAiMhJe45eTMKVpyMjJTP9uybAOzFGHjqem6VNyUQBdV
sKI/CtKM2kQ0LCTBIL/ZpM0ah3WMMcrPok4vdikcq2Wvt8iG7LEwabttxaKHfVu9Lxq6lELVn3qm
jQFogI8lDyuNXeNDt1HxoJV7qJmjw2WJnylRPzkkpQcxlWdB5bfvCWI7ZLXygWiE6U4kJBXl1tBt
tFV7m1snO5eolcOpje+bpoojA4ChrIq9Xj7HbnIXL+tmndvI7oxjpqdnPJWR7vW8jet6QhWm6UFX
dM1mjC20uN1nNqcfjpvtk9u1TR31LBBrk65su/tF9AXysJ5/A/n3tjeRJhVp6wWdcnZtmu20pcy3
MIAXSp0DoT91wo63sht2jqW9ImrG8YVT27QvTBpb3Vd4oIp2A6LxaZbzAR3YUenarifnl/aQwg8G
oW0TqiBm17uAKr/oVfyZ1/ZWjCICOYrsieSmxn1aRPWgBlEGlFx8dXu16azlpfEyjm7esENjYFSw
aTZGvLC1vPICflpu5TST9VZB+iJ7c8DAspiJk5+D0KFNU+fDfU5BQz4Sb1annO9WDM0nuQuyGoud
mLG/LKiDuyHqNa3deuBpgSD26qb1fEV74QSu1E+lpj+aiXtvV8BNdO8eoeXzqNSL8fBPt2M92yl2
v+SISqTeoQrkAuGSJgHP8b9loD1RXKz97VUgCDlcL+ua49euT/T4zvdz3Xy4q9BCd8nzU+MxkTNN
v3lVd0GIUsNnOumdMDOeGo9XN0b63tRuwrlYe8nYSp4Tz//uTC1wkbuf9e4R1/QzzstwHAAIpWP/
zFxsfi2cK5J795vu53CaTlsFiwvjPFnqnHl0CJi8BBix56/A6+8TupIg7t02Qhf47CwG4g7D3DZ1
qXZSSYQylfVcJN5Tmmro3ezuSurT1YVLu9dN0dPCg9tj0Q49KRph6kzpprTcR1kiUETwFEdV0l60
giyMAdsXCKlLysG0I4t22PqyJ40tFRR34FXJ4tkNUbF3W+iWa9Pl32nsdXDlooltsVarUZYoc4fu
p22U12owOPzBkQLdaV8H3azCbm0/G2u5Gq1v71tvtV40Y8ScuJCsW8bJSq7kIA/oah5Gl8QXDSp+
i0u9Kkh4qtzAS7v3vJpOZtmeM15gh06Rl2ex9Wx4X2U40jk4ztx36khx6dexLh2CRFbOOcYRxRF6
cn3i+qkQonguTpsPbSzkYUReG7pp9kA63UM9YFudpyloq9zftc3IWwcnQ6TZS4E9Eo8ljeZm2BQG
QlVT9VFuOfEm7xGGoXB6JYDizvUkxxknC/JPN1orrT6VAgUUuMdGTfVLU2k/lOi8C9aA9Kx73XrA
ZWtuUaCSqtIY0O/OkpwtEor1It6ni7mDGNK+YjoxCbegsqtC2l57C2mQJdpYr956w/qK9em18Ylq
XNZk77r9jtOM+kAfeYW0TuT0XZvJLAOz7U6WiiNfrGNYrEiIRcuQU1Tp4+S7z00u7VCo/oIH58ta
+w/+hBmv0o1973GZNM+jumZaojwZXmiUfDGyTj9iersiAHvsjOaxmhB0FCr7qs/dzqp57pSwT3PZ
yLAZzEMv/INSMvI6GHG9Zy1hg+FVvU1H4h9Ie9ja6CsXKSNwjH2pRnyUyVDfe6Ixifzx6vVk9iRn
dLO/z6r4atg1cjRauEFM4r3fVph/l9eqrLxNUhqRNFhqJRqZeDF+jnjbeHZbA7GN6xDt47YUrOMj
aoI+NnV2VqJxPHZUs2g2Xb4sdDcvfU8mjFh8Ch3E+OTT/F6GqJAK+gplm3Kq5PjcywBaW92LkgH6
0cngz8kt88vhjpyT9NwNWnGlkLz7OTQzh5/WD4yMnZVZZF30DWhWNpJiEpObRyhmI8xPkBzxqs2V
vNP0dMFs6CTjzpCufG3jvH1oM09HX2kgA9tmYjIvMbImXtbGHDv7xkJ7hDu1wD7BsN1t9GGZonYy
npuZKt3TJEb32WnH9IIwJdlMyfqgzPjZ99arAcL/XUrsC533znmHzmb9bvU3KwJRQ1ln5gcnWbHo
G2mel1vCgEei2PDUDnKgMzpuHDbedL4KsyK3ETxLG1gW8vSMKOJZ2kagav5uibc0Znku1XQxE/8K
EFyTkrBMYeWLB5mSDBSsTX42pVagcI2H+LtI8+Ihzduoyd0ipI4ppJDM26yd/b3rPTeqzHjZl5DE
nO0NTQVJrERI/MdkhQJr5F2/JAeFVyHCZNI8NHV/nKf5jbAzchU7fXruXfNr7bWvrpsBwpU1UDh9
5N9zieZ0aWIjgKZSR/wLTPpu+pYWogN9RP1/V3GW4DMQr+XqlU9Vm+Ba4oHl3kA8WfCdbK2xNjRb
Wdgvc2KtYqxkSK+VweKZdKm1Sed+QeBY3+FD22tW95hNFsVdTbZJEUgeode/kwPV0Hi1yqe01aqZ
NvupfmcvS753de9dSrrMtyg4ysekNUF2MxmiMdQEXMLyCEC5WRPvkC6Oush5aELSItZdg/8Jm4PB
JpWn+UmvE/HEA/4+9JhlmeYfar/HF+T5TRHltdReWIRBXGOInad17Mlv0enU7nmxPrcVOx4Fn/mF
HOb14Cr/Tem1diB8/ZJYOBX5HY40yTdRiknuVXMqbgSGtiEaBk9/KRs2+iktUhyIY0WvDwCCk1Xi
6Z9F971DBnEAk7mXI0W9UjjLpVV++kFDjfMhUM68TqhMA7wsr52he8c0q8qHPMGk7AmZn0svnhkl
YNGDLNeDvJMSTat59Pp5CokzEIG3DJGeGpD4g/zI3eHMzwKDtvTvMNvlphftdema5b1NQZ94YraV
9DuwNjs9Qo/UUd+11X6ux2nvIV67y2Y0lU0r5hdL0lsS9j6ZNcZoRh1DdMgodWt3rdDcueYUkZpG
EphPMirQUGDTk3Rn1Y4XznJ1yGOH99ZX9eTMWYq91CoOSh/I5SrhhTPh410RDDK9N3xZ1uVnbtXb
1bPiqGRWxD14K3RPLYvYghUJzTp3TkOMBTmlmwqh9xmfOoiVRSjsiy1i3gtmS/ho4udfAUlWABVH
lyEEvXE0M6nvKEQBP9MIyEqx8K0Wk3QpnHI/F3G9GYVOmEbXS0LV9Xa4w+XlkimyGIREYPLcN6uD
ErZy2kOW0NUVYJtvtpjhcMx4SfLk6oU41/l00iqz2jiWKL+WY5Z+rYdckJg1LCuUm6u/m7SkbcnU
tX4Qq2xAElhyxoac9e8+2RH2KR9QTsOjY7zJ+8H4aG9IM/tSh3gunhhUeHYSO5RmmnNDrsK/FS4X
K+Oi/C/mzqs5bibLtr8IHQmTMK+F8kVvRIovCFEG3tvEr58F9b09YolDzvc2ER3fQyskVKESiTzn
7L22qvCpVHM/0EByna7M2NIszbktRVzgMOstFuReYby1AWm4FFHUPpASOoSa0G2UTXEyRwhNWzes
gqMe4VY6DAHgbLrU9HaPeqfH1s+uW/BBDNybAJ7KXDQvCf/m+GwCyjWv8H+Z4atnFPF0IebOjg9j
3rfhRjBW+ELi4O+phM1uh0ytgBpkuIgNeUkwi1Sc+rHv9ELf1XVgygPvCnhahWOH8b3ILfsVHzES
Wwp+MAW/xwlNnbbJgeOpsjhQFO2+RzpNUMbAIe9oeYOD979r03Ffdnn3VNoZiwqZLv/HNBD908GN
Y8pPI8TRkiPMCdX4gGBNM/JbA9fccWxUll+ZxBXd4BRLmq3ZCxM61GDjw5ckfftA4RL62djZxWte
58LPc+GWPztDa61rNdikKyQytySjMilge4UjSUTNVPb1nrY8eQVTZAttw/ASeg1vLlIRnaHy0qMZ
Bwi1CW3g42kGXrJhp8/arcK4h6yufs0dZ2ca484bq7tpTMfnMqH97OnfQcjTKGyvUZNuh6a16QtX
bDeeXiMRD+Qt7DsDGGCkn/i1v0acaqOh/+l22AZTZ5y/tpCriM6qVqp1IUjO9O6ouOg3bNRI5dNN
o71WCQ2XpYgHm1xWDqXmSxONAHyErTE2Clt9SxUf5KuB/Hg/bH6AANgP2viih8C9SnsQq9QjH20A
FMdfse5pmacPptfLL0KvcEzL6dXF2EdI4ezsa07bG0qoCI9RbTjHks9Kxgl8cTYhNiAcMAX9unRA
rLyzRFfatyRtus468YbFaYGrZNdagwvKaEHhbCu7zs2LHkr9awhEs/bThPSdY92Ss0SvYRm3Ihc0
knFPMhkFvSXTxkVv2lEXlA7y5t8Y4Z7uTubtytJV1kVcI/Le1BXUUD9qqpgQp7G2nVMRazC3CHIr
8i0Lxm235jBM4gS1QwM0iEre3huwLJyNpSExCIpZppf6EAr7NFbCLA/8vKie9cEw5nUwdXxuB9IX
rg3eQu4eNUe4BEp1RnrLiXkKH7CTZOZFOgHW3dqDxn8Vu5C7EqL0urVZtQREzgV8PwgemKFQwUbb
SFqVYHdxQ5ccvbQ0LxDNK/M+NcdGP3nYLrK9iLN53Lu5TCswRr+3iQFPav4y2DbWKqs1k/wyrRnr
rMWI3x7ifxW2OCbsXGiXnl0ZMShIM6CB0UTZSe8AZHdmAyfQaqiwkKKqoyxzXolW2l6zhkkKaIjx
0TYmQoXxS+8V3sZsJnCMnha1+1yjDMSoUQU3qHUbmDY4cJj5fKm7VneJYG29dTMyvQw5d17NYREf
mMX98pz5iVcqRRYH8FPdmOqazbs7xZZ9KgY32+eRZ++QKyzKj5FeDozEXW6U8yaCAum3mMlgynmc
jUjlOkQtvopmGb4rXCqUHHZv/sBRr22ZmQfPOBjaJYjAihaSELFQ7YgoiSq/wRJNC5qz5dB06qJo
KsT+dsxakK1Z40IzaQRFme1d5ZOaoIq4LUWXl0jKkCLYBGWqkjVrmZM7zrX2YRmrbHuPl/TUpHi5
CwIqv9coiDd9Iy9C0JmvU6irWzKvjNuhjcd4R3xig2N3Dg+zEPdo4NH8SNDqyDNsGjmAN+l5EUuh
AMBttbA3jjFbBLERFGQ7o89+ZqGGl8wL6nujMahqaMhZfBM1j5R/zYvHj3YfMT55SeOCvOnMa9cd
IH38Wpg4MThp3FOQe5xmFe2tuRHWfm7N+Ihze7pxqFRvHNadT/rQk1XMBmgKuzdeM7oIDM6cDsh6
aKlHSCbelyg1y9tUd55NaOrrUc9hQU5DcBsE/QI4ctVN3gSCnaHMfMcoqku3IVqtKTv3OvX6MaCV
x+8kFDT5qGjT4dB4HRY+O/VeRxDau2oYSxh3RXtlBgI5Nx1Kqm8JXCJadrs6+qILjJZO1b82KRZS
pH4HJw4mPEK1veaN0V15nWMekRdVTJia6psDoxgHZ22oTdpg4wGsZA7llmmiuclkHcRrSa7Ca69F
Ye8DA6j1DYnXrLB0tNW3Gqk5WvxAMyj7k5jU3Nh9RuLfPY9YjnbAi281/qVLU5/ta6weOMb6sJiP
gsmxt1aMzK5GjiLbViuGH5as29tijtobremPie7QN9JtMCQ0FOhaycakUQTpDO98Ws7m16ie3VWn
XGTepSquWisUe+wpS+cSceWMnyJJd3kiso2NUAf3qJijF0Bn7laLSoH/jLk2I1hYQb7l9gi5qok+
MQwONGfGaY7oGcJSNmiTYGPFpSAF3f0R+/7QuO7aMF3n3hQF5QCKyh0DSY+hXhQYMMQManZHy4Ao
jAUx2paoL0NtaF4dGLBXSTr87EWBu7Kt5wM1Teg7ZdABqso1cSjA8BxqcmYAUXjypMf0soJZyJ2F
71GDWxhYeFec8WvVVgYJNOQfXJKsKe+KcOTk0VTZZp4L94oGjrtKieod5Az2a463rehTHHLTHZoQ
7QFIcXfbMBXj+BqXW9Y/8ghPAAvJYvOp1dHUr0QgsQJJVuJqmkrnLohRALhlkh28ZvD2VdIH+x7i
zqsde+vEFeWRR/aQFtH8FTUdXe2Q3qNI7OZWs4J2HXHsp6Jtk/S+N0f9eZRGeCVTTONYsSP6OLZx
bUzel9Re+qt6nie7XurxWpRoC5DjRT65iUQUhK2xT+PZ3IEL7G/mqs84ZmQwdhhx/CTCA/NwWvzM
kmL0m7rvvw2Qca5wvtTtqsIhTpOu5zrM9Bh2Tz5B8bPvjkbEwSbJjsppt26Gg4Xh9hYo0H4KCmL6
QJDRLZVHwxhrH6tJhRNBfQWristEGx6JF/gusYqzmUBzUBVuhEJclNKrLY4L6AUDA9aqqO00QRiU
d1stX843RC2uC1WARaJPd5FSjbereYruaIUXJ7AIdwMn5wHPk72G10jEWs84knh471hOgsUqFSVz
mGsqOrUNnjgPk/QJnUfHD8Ge6I0eL+B8iRsZ5vtZAJlK2UQ3A4vYz8YWKZXwNmFvPTgiecWD526l
q4drBoIbzl76Y6ene1rtyTH31EvV6u3G5d781ABf+YSlEGthmwp/UTXCeSVYm3FBO+Mdjic3AnmW
e09BHuQ0LB1FCmKsQ8q1hrxN1m5AYdCPvMlWtSy0U6ZRVpfDqD1gPu+ORj+qE65fXmnwxPYe3TSa
8FN73dYuDSUna3zGxNHJTZ3CJ+C7v3LxXW0s2s6KuIcdPUWKkMVpVeC2383eILA45dVDLDTkSmyq
myLL5bbkLbi1ZiPZQEJ01hW9l8tQt+kFi5yWYIy9RW8d79QVYKoiGco7QbD1xaz6+lEGFLE5ncpn
zYaPobRjqXphQNcpywu62D5e1JcYkxg+GOmd7CSPj6QI6Pu60drHwLX0U1ML96IM6/oHzWNxirU6
POl6MawCMwbVSiLFNQovLdiwnzF1YEzG0AdbGqGR+R5Lq8Axu5wZS/gvE2bdjcoKb2sYmuyYW8ju
prcL7cqNGVuEFP4PlVa5NwGK002m0wszwnma/QFv2Z0wqm+u2RYXbcbrkHSQodw7VWlvgBIkfjep
7tXrmPJniKqBjthsz7lB9jWl16WizX0XjhGT4TkPa90faPUecWfTwuXIyAQIz2FQQ10OSNcAo9Xq
R2cEyASbCChGgwArGelsgvtu26M9TV61apRyj2XagcTkTPai2GmmPU+1dw+SJwv9pMqndeS0C0+h
1wgIh/VGcGXWbRRytX3uqG6DNoGnLZZN8xQAQu78BpEUEDM4aTCWe12cYP9Yx5CeiuGbfQ2RNDTE
r8hV3r5rOJMNijz0x0ra7e1oWdpjAWDjsimcBsrI/JTUbn45UWLdmolsjkTglnewHPNoVeGbPNhO
3YNCkMac+yPDsbVZDFT2YlKXtPazjaQwFKuBNn55IAyIXd4eQp3+ddgQv6l1QBptMDy9X0qgG8os
on7jgX97jOou/WWmuIydUeNd4LpMGrpOsGxab0hY8nEJ6q8q4+TBqJS0VqjicEoBk8Bza+vtqWvJ
hGND48wGfBYNGHXjiOTX0bdtNzv0E2aEnDYd5lT15Y0GAM99yEd2P1uhjPMDzXSvaxp6CQIavdG/
WGgqODwldnh0iyLwqchtc28UNBpElcPjmaKSkYc1DbJcRQM0cB+UVvhTdAlOQcNBplVF6dEwC/3V
bMf62Hkz+4M0IYsE5gwqixlgSBYSUBQteDLm+TWaChzBktl3CnUtIHTpIk2d6cqcBKE5lTZWjAaX
Ktkqf1jueOhEhS3TSy5Lp4eOVMLTSSf8vvAOoYzF0t1AmUkpbKoqz4F7EOAuUUyF0EYadj1O23s9
0OpVbMR0lnoTVGxoBOVOD/OayE+Vl3wnIKtIkGBwDrbznTZevG3qYtdKOYIFLtrLLBlg1i/UaSoD
2oVkP+DgRd2SNNJb0gPzg0HR4JuT+91zQkQOiCl3ea13T4mmhwcPjEwLZqZu9rSjah4ghBAUu9pK
wdC74X6jI0KPd0qnZEJ7OpZE5WHE2aaRonlM1FChRV21npliaCdPzPnDUFJ7ru0cvyl/WFzOlj7f
uF5l0pVXoP2O7KvMaB2mx5ygaHoxH7UYBq1yFp+7meIuOWCQ5YzOn0ERY5NmgJyDPs2A6q8oSLCD
2yZwAykgW4cIS7a0/7TeL0brbmTMuMVCwXzIsRBhTfJlMKXUePkvq8+QkC+itnuei3jE4VhB46We
GFdFq1XPZi8ZqFal5Tw3UkMr6DQqv+wCmZxGsbAsOPQFzLyol8NeDGvipW+422zOQJf4DYtyPsQ0
YD8VXSKp/EOujOQSlY4tYPabLrWveyb/Lsu+s4YG3sBvOT3cKDX5Y24TzUVjHlGPxRGBPWupOjsn
OKjR7b4xrHcYBHdtg0HGowrej0EAIqGeCgSu7IbTjcdEktMYGIsUvobZG+sqg2j2M+9IPsBHXebj
v/XD/8jY91Dm/O88bOVNLMv/Lrxl97Nc0nba839q+TT/yRj6PxIXtGTI/s++P8qxb11M9ve/s4d+
Bwwtf+P/Gf+8f2GNQXBt8fQSwmL/x/inm/9aLAHUvnj4dOLRMLb8/7gg+1/SQqBC6JWkUaI7xn8b
/4x/WbgzHKx64Pb05Y/+gfHv3H5hmJgh+IdsE/cZNrxzAb+0OBAXnKQLYxqoY4HsuwXA6T/uBxI9
FZbFn6r43y6rPx4BsVzGxvjFLbAR356HshHeQQ0ZWBQ2sd7f2UYrvrA7sInHVt3c9U4NwEDU9EcR
oxTDtBqEx7kscSel+fHsiKeoVSHBZPRB4O1C/MayQeP7JIHpk3FAJ/SUSptH3DOFvPLGATuvZHgL
WbWfknJjGsOCWzF17Wse6Po9UIfky5CmE2N4hAHJOso77z7Guo/4MZRiHWRFcqpTPdXQ76butdvT
AfzEK7Co7c9uiodNDDOPwHqJiIQ//8M8QWu8kBl8an8GpN0UHvY3994qHkPJWvvPcnzn9i8emo8u
dLYBzVGa6mPLheqwf1JVeVUDJ7JNNMMjEEdI7e7ElB6B18eXXdbOH5fle6E7wXRMm1pnZ/4dpfPH
9wvjuB9MBpIIs5G0D6U3kqmWlZs+cIItx36kS4xKP9ltz8LWWcVcFewXXhQD46xnnRmKamFbAQdj
BKhoqPzSG8B3ZFQFI+ypmzqlKbVgP1KgWbQtOTuVu0mBNID9537iWzPP7vu/I8B47PF1su8L9+yj
dAoLip1NGj1qbFvroY/kJeZBY1r01jUD3xL6A71sy7ui0zdOa6vN4KTGiYz34ZDBLhOYJi+oEboA
GmqjAMeMAcVg2tNFKT11rBodQfSQAvlAy6Y0tbOSnpTourE7oDQu5PIV0dQDjd9SfoEpBH8oNxPk
0XrtyNdllxFbkeuUt2YDl2uDTFTdVTgHC9/WZd5Ck0LcXpay9Wj+Z8R5eLJNXnDppvUnXqJlFb5Z
LhJ7liTJl3A0bHfumc0PD1M4UzHhAqhcuBmuXX9B9aNeq4mZ68cr8yyUlUXCtRwpCYVfEtkYZr19
9PKuYviQ0D7pbURslYf2ySeAqbswtSq+wR0ANcSxNb/FVHKlpVpFgkvd3MqknAFGIgzytVHrL6QZ
Ab4QTbIpzQTKP9k3n8Xxnm0Svz8pKaYu6kx8VniU335SYMLQoMqWSV6hEQtjG0A/lTbSsdSG8jYf
jPazkKv3bo6FVZfIKShrOhbIt5dEUIb6WoHHZkrg3UkIxz8DIy+GF1U18M1gNSDlrgUw2VwRAb2K
UIrpvlm0+nOXmQu9SAvUAWxliuqqSFN6aGCVH2MGshTn8dAan/iazl5iyz0CiEc4JJMDHBX2mX1m
VkOXBBa/Jg/GXW222E9MWfCgf7xq/trPkALoGGc4cGJ7I8fv7X2hBE5tBLzsLBYa6q7HBsSk+77W
5g52TwumuZq6T7buc7/O8t14Jly2M2fxSMqz358izNTI2tJoViqUEOC+52RHG0mWyDT66it+qXle
ja1DhIFj0TbYtUp0vE9sFNgff/93brN0BF5cjh4STsHZR7EUogp6eho7KxezO3Mm0xhO/sdXOXfQ
/f7GWBdRuHFsECyxt7c5lxmZV7JCIEvgBaVwWsKXGvto0TM6DOZDy3oZkEMe3K7wXoYc7MxAP+g7
2UzxVZkhKQQVg8QldCLj6uPP9u4dWOLcXH59DvRnL1JV9qkZMfhZUoS6teyFduBkE/7zq9gLkEEa
OsdC3mNvb0AVNlpZexRxYaJ3N06JhtiomDV8/F3OPGfLbebhNpbChEcGIf/bqzhuZ+vzxG3WzSjf
avYSCz9XeDglPPomtfL9HIyhP+eUJB9f+Z3XIsdNYUvSgDEzm2ePK3KHQQKixymG/cblLRgRYMBy
027B+Xm0OqbyUti29uwogk5XYxUmtx9/Av2dd41NWSaFxAxMA/BsjcH2IYXNXd41I4k9sVagQ0nQ
KcQEJt9pvDH3VdOFu7Y3h4PlVM1pocDtUx0P45w5OHayUV3KkAFs57bz8MlG886ezwPGD2SC04Qc
c7bM4GDFnMnd0Cd3SL9Obbu/DVvaPn6GAPmChmvVbD++Ie8tBl6Dy77G+emvt8xUTEjfTcIR2GZz
tNLtfELQWr4WIXmzum6269h0TDp7rnr++MrvbKpgPzhoGDq1NrvL22XoUYnnJMiFS8ONU1hjsiCr
ccBfajXoHFub0LW2Dj7Zyt65KgsQZ6vAR8zZ9GzxQ5Zshmxi0FKLpRs91uHXcaCvsmmY000rhgx9
7E8DYMiPv+1ve+XZIYdGLh1jyBuEU/8ulP44EzdTk4+9XYPoQp+OfCIp232r1YbOqx1OZFiQ/rMB
11lpm45T2LHqmb4dzbzXfqlOYZEccwuJST0I8Ss2giSkCRq6OP5SpD1+j5a3gqal5tc4N2dj7/V1
S+xTOFQwkDOrzjaUYTNMxcx1H9zQyukRThx89rTfpDq0Rk5oCiPbtsB4YATTdUizXyH3T4YTkD5P
rWvp2o+GO5FjYmiMUZKxt0DfN/SJ6aAkWFY7py9wfnlZBLR9SrGXqgnRxAZHUXv58e3U33lSKILh
pfAwW/iuz15JJBRmvQSohevA6E5BiBs50TMwiiZRFDsmi8SdkKm+jgdsHJq0ypMHuPoKOZO1V3gI
Dq7qq0MSmd4VEdPG9WCOFJgff8h3Xhrs4Y7DdsvDZZxv5/CW0dcO2IyT0DZvALnLDY1aN/vkMu/s
qi49MTYz7ofD2n77IFke9mt+fk5fUVWth5wh5doY7RBmaydiBiylutARmdlrt3MRMKaO+ORU/e4X
BXBEJjLoCOEuf/7H2u7GtI+VsjVSnzT9WTdU6yeeEV58fDvfO55SS0meXMtgx5JnX5QKLhcUzvQS
KmlvCQbFdisw9HhLXISS/RCtVF55B2SPxk4a5Gu7wNxvjBbjfxWnoDNz1RRfIjxwGDpn/Gd6hLdT
JZn+yQ35e1flUQc+s/Rv2GQWsNOfN0R5Io27lFdsXji8KQoTKUUlkqeqHMOrWXn6Ae7c09QJ+5M3
7DnEhJe7xVl1Ob1zZcP9TVD446coRON5JRKQJVZI7jMjlNcF4ewHoUKJmxjxphMP9i/aPRj6iEs6
JiIZrxpQo2tZRPVnLdC/VwYfZ2GJcDc4o//+uH98HKUr5N95vYTMyGadlyPp7Yo29ycr4537zdKX
SwS3DbLyPIDYHqypCICprSa7z9d0wNt1TbOV0XE9GDtAAvPNSMX/dUYTUflNMiZEd+Vq3caitLaZ
MIsN1j0PWPNQR6SPldmt4czODkK0hSQ71F8//sB/n0IsExADL14DWgQP7tv1MRL8SQQl/YFxLF+x
FbbQIgUE51hOaffJzfn7jWfR4hNLRWfYTHGNt9cKcxDruuLezAFs5H5uspi8VvOxVsJ+xDjI4UIq
+5Mv+O46dJfNgKBktKB/nbNy+m7NJFiHXvToWAGOi0CyPRspKVeZSkECaMRG+5g+3RTHGflIJjFd
DHGm2GNUh6L1n99yymg6nfQYeDrOjlaFWU79SEmFEIiwj7Ce6EJpFQT81RhPwSenKv2dBWnR/LEM
wzQNNuWzY4YZ2TQHwG6ujEIz7/oRBviKVOSaMwdeNS/dk2ljpmvoKt64D+NAFmg0iwT2NIlZjS8M
OWUE9VjxzrHnaHr2spD844x5fnJNWowXbxm/5bGvpB3p+4/v1LufnZVCuePBdzHOttlcC3Un7fns
zqCPt0OSJHvkhB7Or6EhL8TKLo2gTzB3L0bdjy/996uMvYJex+9+OTfu7NJQWRpaEx7dGUbQwqcz
PX9hwg1nXGhDrN0uzo+LJgml/CnMcX6YBj1p1h9/hnfKUD6EZdKXpXsJBensgVEA0aZq0PkQJBY+
jHUi12UV4ief5KPbNu1+mFFtQgPpCHzRhucqqzFpEgGUPNZjO/mJ9DidBVUkPjn0vPPDSJ0fhGHS
0leXZ4sqIRpWGCE5G2bm6F/7sUvsbYt55zKG6TYTjCC8dBt4ykTf7MHaePz4xryzl/OTLl1rwDs6
NcPbjURpQeu1DogYhEckTaA9W08q/KwgeWdrtA3KU5cBCPr88+2qcJXq3JKNY4QGUK1kTXZhaSQO
fqDSnj55T7/zlchz59TCocLDF3x2ikzKIRV9xsGlMelqkEANtdRKYnRj//jW0d7knpkCJhTU+re3
LnXSWMIl55EqgvoQFTAFUpHFn7Sd9XceHzhphgT0wliBuuztZZwsHpQFmowzON7ApkJ5ChCgNQ/o
PtoX6AmRcXAw/K5VBrJhDvUEJbIW/jDGnpCEocu+uT3WJ8alzq88DmuCfm0c8/xjy8S3XPSOyhHZ
/T+/ObQ7TKpBB/iYsXyrP84I9BQlfsVBW5Evq2/iziMYSFTWJ7va3wUDUKalW8jvbdMAWJbCH1fJ
cmjzpKdr+LNJdWvZSncxSthHEuXIgiH84JNXgLG8w98WfMzx4H/B1bUXnenZOx6XPqBFz9BWVAAY
yKdaewLagmhrbvtd2CA4xGWHH8EWiNGzdFjjmATHHI+YGUnNnQ89gTBI/9x8b2N+2NZuYxAWFVqH
UjMvLELKAM8zJv7klP3eIwGozGD9iIUUe7aGjLmc9MoJtFVJmURB2sR7TQm1+ee/ObNRXi7MicCf
LoeWP36NqEPrIzOq2hIv9LGZZbRy9OYzutJ7e4nUmS3w0ufpPn+TzSGR82OwjGHKAOX1ZMOeqDzi
JhA94RL7+Cu9dzGXwyfri9kegsG3X2mapQAIrTQgVHl0gZy5OZQtrSSrDL1PTvnv/UY84qgK2FB4
I5z9Rq2Z1mRLsLQAZnSrQm9aiJq5dfvxF3rn4GgDUdJpP9OsYzTz9guhFHEaDCksYKTNPmf8ZgtR
gYFxeze1RLIPcf2PVwWTGR4Xd8HaUuKdrQrZxk1l9hR4IZXsijSl6lp22vTJCv/7h5LSM12JFvZ3
tXq23yCr01PV8h4beoHVUnOIk85n3dnoThTuPr6Hf/9SXIvGKbs++wA10Nt72Cd6E2kN16JsE3g/
0Q2hhJ0/2dve6YbQwDNZEPay2I1zzmCqIoX7Gr8uoC7te5PZEzAuq7qscUOv1GgVL4Jc7Ksxj+qT
TFS/TxwCXdPEJlWo6b+T3eLdE0ZSkLU7JxjKC4K0P74R79x02wDDShFoLUONs5MdcHMzzj0WU4tS
hWDokmmK040e49fA+Prxtf5euDQHIN1ZbMDUwOc7L6Y7WiDAo/yWCJ+VWTDdU3gj8U1g1eCF14T3
hEl38pOv+M7B8e11z74jZP9+KuEj+FpI81I25jeQLTCa9GReO7hUHjLmoDvk0NoBVSJRjUP6LU+9
GUsz4VHbocONr9Kx/Pbx7eAOs8revor4YMs4iYIEqcM5ZS63yRNSpJf6tojq6rZVs6Y9igo05BHE
jEyIYB2MzOdsqf9yW55Cv4nh7q2dpkuqW1kNBc6yRgP7ZaNY3JJDUFMOAF+8Z7RnW3t++MzZxWFo
fEEASVhG50wN0+khtDUOwp7ceFWCLK4UM4QFDiMRDCD81prvuim8iqT1yHQZvHmWa0ZY6Nkc15wA
ssyznqw7WFLUAtgmf2Zza9/RC6eEncexv6UnlRirggzx70Opxwgae4kZhyGStQTRmpP0+ZRK+vXI
8r7IHDqcS5IHw9quRJW4QgGinkCrZNHGa3QH53AwE2aE7Lw60SusIdl4LtKYdE7H75NR8/y6CEtQ
mNWevHCCNJRrwuJJcNQcL8LlXMVQAfoaw4kdePqXGuioe5JjhdaaoxmzrFhMYtiMSM6Q4Pe6/tpp
evHq0Y0sOJZFwtqm3JN5LaZIQ8CgadaDl3IjQY014UZ3R0fi5p7oobScj6MNNi7zq1MX1o+2rTID
Hy+usTAYCNHJ5DDsiqrQ1pMuYDTRDQSKErYOvLkAfef32uyrJ5u0HGvmDo9Bgd13iRq8HQyOqKtm
NFsPjJJJPrMsEkSiRtJ0FjoCjForXQ/cuzFi1kNlFFUjJLjIGnwtjiKYI02c3eVjMj23aDKeSZG6
Ncl+PjSx3egbN8ibn3Vr6N/ToS6fAk+byWlJyhQsJkHeLpACLLGVFpY3ligqPEGWWSW4IiKQJ7WC
P+PXFkq4dauZkhQwzFIP+tCTs5Y5rf6FRoc5HxO0qsibnWTQ13nkAG8hz1HtXMNG6T0SLx2tjaGT
nZ8PlXHj8OzeigbOySrWXe2pi5X7PakaCzCdG0b3Jn9X99XUMnQUwWiRyjJX40ur0wWHQqbhtq4x
m8nOBheYGxP0zLTRzfzYW07POnNDRNAs89BeDdIO7tWYkSQDKES/GEGAAQeZRHc1qDh7TZN8vMos
p4MBglv/QNJYQnQBp7+5mPDD0vtr78skiXSMwXEsV/ReAe2lpEacCDdqnA2WL3gUlVlW0dbWsd2R
FijwJ5DUyvS4CAKirUBnQoOzOjg7a4LEgm/WNGMcy3MLXcmsAjvyxQLpjvIq2k2QHkhLccgPkoNG
nHmCeQ7HDOy/EDGv22S7yQ2nH4WpJS9gZlB4z5XoGyCDBOwCg+uqL1meFOWafJIBRhKjydfeSbXQ
r4oYDkQVWu7st7lp2buJ2Q8RMSNxo5vJjlUOC6iuSjS7+pzvtUGmy0OozKe0aUuYwboyT3xeA2UT
aJ5feK6KB72nwFz1hoQTAL1tPEKUJdV2hmOHhXnM458lxMBs5QgteIZnWV4UysW/5I2B9yLKYni2
SiiyK2emuU066zQ6K/podcrzC67CF16fX8NxLC14V0b3IExzfsbKMj/0yOsRlWPKB/LaGVm0jrq5
+yJqhO2UArK9nnWpEPbP0vjqDBE5bmzZmL/buL+j+J9vPRUi3iGnjkIormdT7dAkQEUITGUNx9q1
sH/EqtFR/epgRIq2zL6jIo6GNQbFcUO+hmWvw1gbb4H+ydeaaPNrDB9YKCprEK9j3WfOmgztFNO+
qEXit7ymfLeJIdQ1UjypZDHdpFYb3iLdiuH0xLK1fZ5jyS2uXHyuZQn7d20whLkbXZMWoo51GYJ9
3DpH2Gpds7Zqq78kaDew19Ia6vEUaD1CfZHE2UOIDdXd0dGyHnSDPLAVIazJHbiWCLeyTcM8CCz3
G6759ClWfXdvwbGb95DCDczzDk/3CvlU9ySiIvi9AeEyGZP6qnHsPl6F8AxZH6YW/ConqZ5gK5jp
vU2u2zM7t+deCIvqGBZdVX7viImK9k6vEZw9kKyDhcDOHrFYzERm4RHTV+4QD/dAGPN+Q43KCKUm
XlA7aTUqXbo/Eawa0HgZuQlD30w8mqWCnZZNMEeDbrwwuyC61OpAfMMxQzRNOGbqh0onnBtJRYf5
4MkkBvpqFYQdWyCNX1KR5vWqycbmFPHSzo6S6aSfEl9jrw2y2K66rOG91Umz1feGsuELJGaQXjOw
JtIPJRF6MA+HEyYV2pIJ4iH20nViKBw/JWAsjtUaOcIrPMrQXlVMaAwXICmms2EobyO308sNTJLo
cXTnxtgFaHbIhoQpYobRMRx54JTWMMYkNQBjDLlMlcG0nCi0dckSVPsQVOdVCxsWu7q0wu+zpXKM
otZoXOlBo2PN8ZoSrC9uLwLYivG7NVvmSPvMzGGDFN4yxhTNBFcmxG/px25jF7gbLWhmFgnRrzbw
wy+ZXXnNBRnC2MPxejDIrfPomehE3Nm9bU3TusktcWvkMy3nORzNaNd1sAC4DInCB0s6xktsEmsM
uooXx4o5hXNDShnD10kE/HtaUUfGisA7cdEAWdTWldDKa8IRvZjwN9mJnQFXJdz3+uA916EbGsBB
8Kz0yrbZYOpmumRrFs0KddIcXGWFjlvNwE6/zn8LhlpZWNcT0EW5YNPQ5oXo3+DBVWK2V2lKAvY6
AOKbg43o6mCLOY84ZSei37kJWzfrLwJ+uR+ywf1HA9PKGGIFzj0Y1WRYZQ1RFivoefk3zoQZ0UKj
17LAB0sMK4JIicicIND6EWc+jczfSWBbwNGmr4h3ZecNes9Age4lxpXd9t61lnTdXRVE0ZU91+F1
FOmOOhYtT6+BGSXjOKBPd03RAOibMPulvjugYQRw06oXDn+Y9iuZGgmeH8z4uBxigoSqmlgln7NK
ewv2xviagpdi05pVaiFg/y/2zmS5biTbsv/yxoUw9HAMavCA27ETSVEUKU1gakg0jtbROfD1taCI
fBmk9MSKQZlVmZXlJC2kCNyLC7gfP2fvtf3gXdlnNVk/IxyzEQDl2Hbhc9H7ILtsxpnmumQeukdI
PzHGdJgfYFZAPeezOR0cZ7FOHkaWYZ/ZBuoWZRP/HDCX7t77vUl6pTfYU/qe9yPDbzekSROTdpuX
pAEZ4tO8yIzs7aKoS1Kk3GmKRD5CMguqTCFUIcNI7Yg+LOSZ9Ez3asSmacVt0I2gDy2aZpGNvEBd
eWOXdGx3laz2nVeGzq4bu3o42pA+xBHHb96ea1FI6gSzUOnBSAheO4aTchE9jcuAo3zU96Uyirsm
t0Og2owSyqjsDRduWFqre7Nx8I+4qzcRI23Jqoi6IUzlXnuFJPZqCuUDkijXjpKwMT96VZB+8Bpd
2ed2oAmR1YG1Ev4B12mQIdbtgUflRsEWUihORXEKLWcGgDaNM3m9vcWECv4Z3tvGGesdMSKYeSYd
lJAO/D7YJGhdiGQmX/WpliKodk6oea4hvgWb89+qoEL1VXBZNg50EOqqkfIlM0JSkeY+fG9VAZ5D
AL/J92ka0oDgjDIl4Arb1AYe99Aw1+TnPU8BMR6nkGLlqiRE6p2X2NB7g03EgP9F2N/YPfVHXiZP
xw7y8FswDR7dkba6aa0sS85aO1GfzDasr9FlSxBt5twdm3mSaBbsjS/btxaI1NQY/L0aUwbojAL6
S5c0DwDtrblUl2odjRT8SGKpfQvf/wQRpOh37kxRgGMbo9eBlHfco8qvpL1rEKXBeQ1GkHeuBEW5
KypsbPs2qXWs6MP5OJDGsu4iFxvkRzTy3TsP1TpMj3UxAHSSb1zdyjmT7V6YZTLtUmvquiixuopw
1sxxl5PnLPz7/yNdFfGfI3KexqO4iigScScNE0GQDFt6+40e5y+mfDQ1iCLanAToWoJXDRuyTsJl
shGLycVrUSAP30cs33SJ8Z1awkq4D8Kj5TybX3s1qvPMnHp8RDp58n2d/fO+js+sPXCZN26S0Ff9
qgVpV60qeB88M9mxNWT/FEg8aHntgnN840z9qxO1sDYVGcIoOpkv+zrYiaiuHeLkkJJsRjZAAnNf
9M+1AT+Zibf9xhn+F7o1z8dH4TPJ/SHRfXWnnQ75QgssFnAQE2JzAIsUrcZK7rco9fckq+YPvoep
yLaq7l4aor3uFmi2owcevcPOTBxEAhI8Ksn2PRLey1z793fkV00XHw07DV2UKLjhX94RJJpEVfYt
cuWUT6mnrISzoTEhrpMwbmAimTE+q+WNJ3Dr1b3qbNBhQMhlhlyWkfrLq5rubOkRQkFcqC48FGE4
XJiBcp8k/KCdk3T1SU44ruhnCJoKM4Sc33/r7Zl6eX1egE2rGpieEzLEeHl9IGuJFDXXV2sBbFDO
4tRja8YOXn+hMk5udEWzYHN3v3Hhn293sEl9HKZkzLQZC768sM6N0CEXHouFMY/nHIGqc8dMuv1K
6xPWxlI+Mgsv3rjb22/46tsyPfdMJrOoU+F+v7yoQZoQNDL0m05aOOeYWDgsrNRCDYiAS/6gPP7+
7v7iqWdxCVldnE0oQdfl1QXNfNRdix6yNxq4VkNR7lMXrPaqqTjZ1/zE2si77JYQWqDTJWHHMQc9
Z/Y+NLsay+NonvOEMOFz8zCLZ9ulMv79h/zFTWErZBVEe0Lv/7Wwby4m0UJpgjU4tWTlwiU/mM1l
VjgHs7O+//5aPz/uSLDd7WFH6YJSeGv0/W1sMhsmaSc12ZjBhLU8bAJlnAoocP7eyQLPjofQTR/G
VRvp0cmYBkekgtTijS79z0Ybejp4QBhjWmjvcdq8/BRo64AgbIoSO1mG6ryxV8BqKstdcm3V/N7o
OuuzTmAj7Wq2Hne3QOsgbRm24nfDMMM3k9x+bm8K0hEZGAisHZvC8uXnyR1htD9sC1OhoMGVq4tQ
nSKjXaW4rbKGJneVtcR3doLSfF3AbDrdoRuT6aSKYvo00Q/cjy0J1b//tX5+MrbPxeAJDRSultdC
a2Xr0FkGnoyirErSQFE0BPmCF4ps8RPxQ2/pDX9ejNC1Mm3ANYLGlZHqy/uAL8TseBCZl9ezeFgY
UjHRhjRGBbEdC9KFCruQI0obT9jzG6/BL34EhD64A3gifAaIr34EfywKp00W9K3zoo6qa2ciLsvg
jWfvF7eUJ4+XAGOM64ufhHV4Z1drUxpmHBs/SHTUN8oG/NfXa3+G52p5y4Xz89yCXYUxGC8KMmUG
OS/vKbSpjsgMtrWxU+m1h8l/Vxck1boDTpzfPy6/uBTBnA7uzs3DZv4wlf3t5Z4qW1n4hVM0QOOK
M7sv9hqxTLR2iX5rYf15IeEKPCzUuEym+WIvv1Ya4DWbMpONWmfVhT/W7QNmHpjisJzEVTaleo4S
zEaXFYb707zaz/aUNzs0laTwDnSRx6Bpzl2SZaNuhCRP1yY5+KMLYgvz/Xxeont94zP/8vbYToDi
F50pQ9aXH3kKNdJPaGJxO/qwxhJIdBcda9EhN9f17Pc/xc+jHGbS/NghmkLeYcrJVxfDJCdLUUN7
ZMWqrtUoe7Ebmk5/LzIFBEf4U/mp9lEfnRfaTRkr2Xk2fekAKQ57tSqi8UBHZ/7OYYZh37ZZmIan
33/GH7qIF7sxagkCvsJtsIM48bXJ0BnMPikBGcUrU8HlIc3BacVz56xhDOSR7jigoaU8+ladzcQx
2OFy35plj0RYBslOBx4YSrQQCpUHa/yha7sGq1/b0a4WZYN6nFGQ8S4tB1sdJtkNxIW4YAYiG1dS
G1F21fN55TnqaoQrI/dDmWqQgWamz4wxAX8CZFYv73pGFfYbb8qPfe7VV8chtI2+uQME7LxabLDq
c2YFgRArZ1yPs9EZsJNNIT/TgHCa3SrGqtjTRAwkjGm3bA9sTvahIK5a7jONueaiBwPrQG9YYZHl
Eo44cM9Z35EVvXwLCDcjxiEkmz32B377iPpr/FxUjU2jYXKXcl/onKj0nqDtu9//qj8to3Qxcc2G
vJX8j7nGywevIzREUnFmwNE57pHwHcStWuY3xJA/F1ZoBzglOcRxCepI/9Xzza0SuQVpKgan0l5C
/g71sa+XHoB55Sr8QMJY7xeV1DS8iU87KVH0Y5yPbbMD4gKyLKu90NilesCLTb8jsfeT0JB8/+nd
wPqGQpbJpR2Cp9ju1t+WRJ+GN+l9SDUCi1yjdITdZ3LM2//zqxBPCj+S7YtX6dXTRGfEK3hbaSVl
xJkZiCJJKVuLvH3jsf1p0UWlbwe4lFnDgu3Y8vLbGPxzu6/8HIAYUd5e7ltRQr8EkPlQN8cCIsbF
tM2MYgip/bnyeC4Pv/+mP1UIfALuJ6ZsRFBkQb96umbQME4HNz527cY49MDnogDD2SXz2hSQh0MQ
tQuP72gzLrz5/aV/2rm5NOF9ML+ZhWxT+ZdfXjN8HwmVYMI6A2Sb8Z5cMWlM3rPqWLc6kdUbB6Sf
X6Qf4qJgc1EBOBCvbjZsIxM9LS2XoZXmmS7d7wsu+zd+0eDnq2y2bc5Cm0Nzq8lffquE8zBwS3Ij
c7/yHiTNannIQuIRYkXdkO2LnmQVxpSEvKEYHetpv2IgXVoUYTMdJtQYjTNdN3k/fjMg+wNrWpgX
BwBcx9NU1+UDqhL9NTGykXWg6emy9/a8vkfHZhM7EwzBwZ7zYCQMoHEIzeKTftatFRr7UUrgQRvy
xeflMaB0dWZf0XPzgma8bpYWykKJLJKpf20YdzlawORJkOk6nfDN+LCYZ+2Ee8azCV5eZMLlThrI
BCCCVcO6p/1cuTtAJKl7YKvXZA2xVT3YCe7qnWpb+5ZTydx8aGgCLRfalgT2MBUZSAOCrcdBhdAG
C/LpUJHBPqX9IxkChbXL0pacrSLLmok7Ojb2cZArNCm5Os21YSTBsJuWnvEVoEr/NkVwhYtBl8mH
wlDTl771WwQEGBr6Ty1j6DMvaOFGcRokTeDH0/yPgCj/e7ST6/apvhvU09Nw9aX9fwB5ghvvby/2
T1Hnd0/1U/ql/Dvy5Me/8SfyxLCsPxjRIhxEYMkhgJ7Vv8LODSv4g1YFahwMvhzl2Xr+C3pi+X9s
ocnsxz51DOpMXtYeOE72P//Dsv/YCCkoSHx0uoi/nX8CPXnZNcHthwQLqS/iPDKLKR5e9ROQSOVI
EZJbP8en5CunvMfGPhMVpUfcoC72qK/0xZM3KteXi8SfV+U4hv5305yhcn25SDD7X3I0+7c5Hdto
SL3u/Qzc+Y0t/ZcX4UQOqIT6gd395UU6m/jVdBC3Epf0I8q9ntwShixvnPJeruJ/fhUOKRxOmNBv
lfHLq9DJ7hT+2dtqBG0ZCZIyb12RQ3MKZ/Nk1sHnvz1bN39WdH/Hx7ys+f+6HNI5Hhmbwui1NBjv
LfPeMbi1pNVdmNq5I1/Iu+xHkC6/v9Cv7h6L+L8u9NqZ7NehPZpzAKJZsQrBsYlMZcg3tqRfPX0Q
Umk9oAdGVvnqJ/JTWoNZ5t9WhFm95y+REqPnFbDW2hqHJSzKku5umu1+/9VeiQP/uokb5Ic3kr7R
6yYa6Oh8wVZyi7pC7WZXMTnrBtfdJZnnHNYmlHcjULx9TWrHgyd6/+A5Vfo1TznTMQnaTLF0VC4K
exTnc1Zaya4kT/etZPpf3hu6SbjCPSJRXwuCR6XQlBVg4fGtHhwmoG4sCjcgTU/kzzZnmpvWcc3T
72/NL351vFf4TX6YXaAOvHyaFwCzWaPtW0fN7UVrq2yXC3N+Yyzxy4s4vPzbud6ldfHyIoqdCXy7
eRtWk4wHj0QqOuJ/Abr+2/RhJP78Z/59JNp+5cClkqc3aNMz/clp12ZpoWB8X+p1Cry9gjT3GBac
486VqETDFwslkD+rCEYS5uDh7jHFAfxzO8Qnp8U0u2c6v0m6W+F9AK0OXJBMyEKL4KjWnnFeobLk
0oezG5LboQ0qnjX038sfqgk7pNNNiPDGRyBthtllmLf3gV+198qt/JlBYaees6kf4LOngjG0Z6Bf
iNJVk+4DD9V50JOCiKPtofgwtCY/Pjqks60POuxTk+TO2CQJzd7R/Fv3/dDVECXtUV+mxuzctlok
9q5ucvmFOSEZHW6wFlbcgNc6is5x7tFr1SQS0DJ/r5zO0bSLWjJClaWq28LgFTxK/oGNUlbRPu5n
b/7sWy29pLKrTRMPSlupuOtbUTHayvkr5BkNT25Wd0YsrcH4lo62fqaX6J6JeggYMM8eujShjOyO
+xie2bquwjPkSyE8bkLlLnzGRhXpDdkmHWI4fkjrITmrTfzBccvwgPQUL+vSH6ErGal81tQQuNvL
Z5E6FWlehmWn+7wjzOSSApDSL2cJQ74CmRQJTK+MJ6WnRe4Ua8IphDUbnCejy4RVo4veAjNzjfCA
qhGhjuH4kRIZqioPrgZHYK+7IdSge0eoYIfUSwblB/zdYR81whD3bCrpkf86kWui9edPggHEJTBY
wYTbkepmnXog5maYfsnCgKE0M8gak7vS8pEc07o4cKyZkDO6eryEIT7JvT21IKgy9HTJ0TRTlHrk
2c1wr4GGUgyaLnoB3zeMQyBUZ+1oPtdfcrrthGwYeQ82AETk16pPgi0J2GveMaHCMeZIrcHrhRnq
krUIan7eVabfPLKwqQnrlrgbpujLN3PuxhBabZDvHS3tB4jZfrVbs0KjuHAFhK4G7Va3U41Fap1E
WXfVzXMADsebm3nHSXq+G3I5XHZMBJ9NntDlRnrWfGGncn7XFE5HoTvaC8KGmjzkqFwy1KGU4mUV
1WsoB7KmPCToSM8s41B4a0kkpTu7CDJhj0JTJI2NTFJ4UO87Ii15xUyFqs2aZjvZYe3d5CupJkCX
1kvwPIsaGng3CRKWepP3pu8gqLOvEKOLGmFTASbOqL/l2nLviQDtP89Dl98Fc1CRk1r4i4+7f3S+
zN1S3rtB5d1KZ82/hroiXC13w14RYNDIM1wia3UWVpl+B5mwyY9MWZuzsWoMHfNd26+5PfMDrVAl
vppmkn7iE/QP9RQMfuzXa3A+2RVhMMJqws8hGnAvWiblkwUeDhXqsXVcPiX1gEvU5t6SFpGGUu4C
dINXQDOh6brrbMW1roqnhZ+hYBheT6jJiuabL43kE1OPjojc2U43WLH7UTsuumBkVPV1UackPTAc
MebYaxqZE8LJThj3/OI3wvCwVRhQLD9x6Mqu7N5Gh4KYzCMib14z/5A0q0I/WnVOSvKeg2rXSAPv
vkEo8oHhPM+gNsePmkxeRqE9HJQIcPfKN9AYbuMUIdRHS/vJLYFtpTziHOSEslqjzI8V8vkeGCa5
VqaT+z3ccIGqoekn0n0JgyHedeo4px2kl1vPsxoxzWQsy6Srqx6srK1mNBmZbc+MW9PyFnURUNTc
M6xL1OEeXrppcMxtJNxBaUB5QWhhWUsgr/NU3kqeexFp0ZYE7wyud0PwhOEgHkjXeyt1a/d8KmZ5
Nq10Ma40K3n7uRpVQ/vRtfPEOIQ1jYMl6poapWXsN16VX4K0T3vyxoOVaXULC2oE+h4gK77zKiVQ
h5o9gjblIgFcDGA0gDnxFJ8boZf1Vz2HdyjrQ82b67V2C+WW/5/st7cCpCm6Ih4IAoi3zS5VLJuE
Oe/EvOagLozAvrCcPHgmz3TLdKUzdVwdeDKxS9MBMZvbESRIQmZ58nJ4y0ZdwGYzndT/pLxyuXRb
U0wRWqypjkfHN75PmLk+llMSeodeM/MkLsvMP4/Avm/MupyeIONaT9TfyIU18Ro0qVWWzWcjQZLF
zmj6Uu8NlJu3rZ2RXOM0No6RjyLvzQ/d0hXlrl36ND91QqcDI9wcXQ/6gi3mK8PGHmV41Ut08KWX
HoKycL6Tv2QtOyAxUp/QZXgF0DKkRIjiE1OfHGKrDEj3apNR6TQ4DaIsrP3ikMKGcrVDVz61siR4
uXK7h6Kg+7Ozh7B6SEzBKBWJzQhSA6o5lwgFGyWxEjxZrt8RJAI720cL60DP3zV6svFX1P4X5P6y
3if2HBDMK5H4xmE6o8ZU/sC41lu6ajpoaGFs8UhVSXD3oSMAhHezdI8s3udRNDWuFUFG2TdHE5U+
QISt4doq3h1LsREdKD3KZL/YCYhHqhnlxGQO1jiTUHpjJqmcZY68fAZdJ6cVu0c4NpsyimPFgMeb
tlMMNj9M94FM6EhzQJUu6uYSbHZhZGzzvkr67sq09Twc0HUTWpBsqXIEA4qlOOVJ7RuXZknU2zkt
ySTcI7Ep9FnVN87DNqs/87O+oj9i+OrRpFRApAl0IYk9MmGy3ZTmBFfUBvzpD6ic2X/QAQPYR3Ct
iL+prOCz3c0kwzDCXrZx1oA5wiJFlU3IqUoqpll2AHo6tNHx6nBkiHprIUmb+KAFgh0YYn4Un8LB
gWfD7UyQ+x3ScbAquMjUe3EHWQhlaUBwRdQ7M/7DoEiteaecxHrWozOOJ9o3SFk15lzkjYjEb/IF
0zrBUD5JYUYDM+qEFr268w1nFCfa0gFh0GQrbvrXsLEnepammd0nAC7DyPXWsDqq0ErXGHrWWh9K
eulM6nkx3F1LIo6Oe3QZ+beJvOItlG1O7HY/W2FvHrsp7VxUqp0TkEC0Dq2Wh9EyA3m9FPKy0bI+
n9LGmMj3dpGPh2FVISRL4UbzOKTtU8+NlnyETHmAQGtU7znBcYqlnqAPiEMLaX2tz1TUp1IZY2rg
kdgrQuYIVTQ6DmLDQExFgbqTXNtkLe+3NlQYZWjkWZexSG+aeOps6PaA6hlKq4vKR7h21ha4NUBF
5cXjmE9B+edg6v/3nf6D6SoympBz4X8BTn9uPn2p0793nv797/zZfgog7ppMCWgxbfwCnHf/6j4F
4o9NGkB3ieMeDartT/4i7joWMF5aViaaBl56JgD/1Xzij2A3oyrCcI8MD8XLP2k+/Ykh+fcZzeCx
oGCkB7Udfv82xpgTeEv+kCdHy9aPUz5aLAdDdxxUYh1lmjFrQiS99/y8PmfyAk7Q1DX5TLAotwy2
I99mc0iUJQm9zowEvSBQuWooH536MyQRYkhcc8UZQICzwvpzlhtJdbA8tinNjInivvdPGsx6jPVA
I/XuebUK6d37Tf6NVB11KFO7fVfKcUIDS1RhHgI5c0zyrRed5IcW8RnqKeXPX5d5MM+hPaE7lYZ5
XndhE6txslHW2OF560/ulj+qDvzSjIY5xEE7IrQDrrhnWhFdf/82xFkQ6aDxP3a5TTLlhjdzcpPY
s5njSE0UxD5BKU4lCH6dUlGf5VuszTS1D0YRDndN5iZUOd3yMQ/pb615tjwFMHoPoUIYswAFj2uT
eFq7h3NbycLeh03tsYq3z4ZpkegyURluqMNo9sfAippgOlJhoe/HiI3QtCF6qsg/pMRORkEiMIvj
C4N5pdL38AmzfebUV/M6chzS1OOnEU3/ybAR/xNNk37flKafyyIN3ouaLBi/mdcrz15gjg9KX3IA
mg8yYPYiBErIJcxPtW8/ClKX9lafLdhEx54Bu9luUKPysLhuc16vfmtHUsngMOpVHK1Zf8i64ggj
WUVVI+tj6KorX4Jx9hTqDxSiyEtSfUkLXxydQAdRmpofVqH3/lyAGQ8gpFsjXq9FDCjMW3aXbgpA
tVB+nLrKvq18Z4yqfFYk6tXy1leECBs9aDAiiMLPvTM4cdOOzjlzb+iza+OepsRsP07B3N5NE5sg
CUEBEGVavfgGQNhaa1cSM6LJqNa5+jiOWOCDlXhIF1/mCS9C+fBjXfg/sE7+Gmv+fyGLnGnif78y
/icWpRJN6b9B5Pz1PxdF2/2xiDlMN6EfbN33fy2KNOvRk7K+QRxHoBRsCoK/FkXDpY//J3+D2Q68
nK1b/1dL3rDEHxjCWTBZscX2R/+oJ/8DAf7vVRFlDd6rDWgCJeeHnf3V6thk5kBBFByCwkZLqErK
BkwF7ZiP5F05pXlTJZN3h2MbEEuh1+GMswt5UHYXLt9TA111XGei+tLhz8Hy1Uv9qNZsvl5wqn0e
mPsjW5mz+UEVQefG/QDuyh38TFzgTlIVvnbyECOrUsa3ibg7ItVZZXQ0VnVNzcQeH0aqWErGV3IM
74jNhJQRgHTSsXCRqzP2RqBxTAhpDh+Yb9bBdppzP1Acmurgyix5TqWZVjuJ0WLZWyQ8h7FJpM5H
0tG7hsignCuQIlR8CLx6DuLQ8DysOmVZmpFOxrHYTWrzLGhIEDSPHLvpYtF2JgOy2ho+Upmn+ryl
+q4IfSXCK+rIOQ4HAHwzUdeGxJpHrsPU6N28iHZlmGfYRb6vWqeon//2yP2iW/+y08kPCXoEmx3b
UYgS+Mfu+2Kba9sVR5J/ljMIuJb0sh6ShAiXN7roL2cC/NdRtwkb1hyqOssxX0t+w5JAWDqY10j2
yWA1CHNCntCMfXaa0jXP3xpb/1B4/e3xROO9wXaQOTJIDmlQv+rf0rORSZKPX30/VOXW4iofaxpb
bJJh35zW3Giyc3YYu9sHvb8FzPsZgV4cEhVZHzpvL5pUY/2DnDB/KpRwMQTyo3X9UzmMtD8e03QJ
62NbWumNJrsBjCJjHPMohiURF1hZ0N34pNvoyPYTnr1Uhww96WLiVssV+HZHabqhSVVyLKqJLL2C
amcMNw5GrgfhLqhcBOf+GQtWIAgES10CnzC8hbtx5USOJQ2/64dkdjAIl8p1qv0arA4aVtHShxlz
JBcaxVd7gtA5k0Gc+1O7M1pMPweg2ON3E2/t48KzJdl9RIFdFtFGdoKs5p/GVS3tqaMFIY4kdHhP
g8i889lr8d6CXJFbYKaRT2Qwdb1e9bKzuxb0Ekk3NmGe5Gxa3rUKFmD+arVh/Ldyrb5KolZdKApD
XoGw9I1p5zqtDkhyr7wbXdd9eJ4DrKE5uHIL8EdI+RWiJvYgf6ILFq/EOpo7qsWkY7ttcNslCJ6/
QHlbZg4qm83XB9mAq5cgveoAq6y232NEd8NYlBmZOARQj+8oLnrv0h+qqccnOyfnPc1zDgjlKMML
ZZeCwzhl20PmEEQcLSpo67gRfM5zt3XWgiNx0V2uzFOqswIWygeMLnlK0BMO0AMdQOdhneyeyEg1
GnjQC+FjZqJH2cTweYnmKzKiEiPdd/NwPhiCW+F7ob5rEeLkMVN0B0vcOJhuhENL6CPNPnzC84SR
L+5EB1c4V0sanDu1DAiwL6t6lzmONs6yQRYZPqw2b49Ft/mjgjqjf1jMmCv2owUtkBZPbn2U6dQ9
zekinzJwums0GYxzeRtXvzuHY1ydKdqIXizJh0Z1WuHfHEwvuBRhznRhVegO+tV7Zxd2XZ+3uSqs
g3AKYpg7TeMTQIH34IhV3884Gc6x6Ax7CNvzk4Yk/pBzF+1d4CrMBYhvkSWmMz10Us+rsYpbhjD9
vrQndeMLuYh4Lte6xnC/FDZVD4i53YAC63qwVvcbXhvxgMQv9S5Ey9CCKs+SIsZPPRnHNYXdQfN/
pPpJcmx3UWlz2N2ZeaPIpQIfcLdsmopD6wiynly5UCbmaV3jdBtnFdM2yOVhmANxNuCcey5ZYOqo
QJxr7ToGQaSlGZqsHcdWH6xM6idvnBlCzI7fn3naQsONkkh58cJ++MSvKINdsqQzURfSyLACgSUn
Th4L6G1TZk5xKtYWAmZYcURlTFFqOsJ+jhV3shvxVRCPeWXgmbcuxrUVzxpR4fVsclTO1qZVdKcA
p+9MVZLGlWIrz6JyLus1hqkk77N1VFdBu+rnsWLRo3lYJY9tNXU0J+osFxiSWpap1Zrtu9Dt2/cL
/awm4iWCG2WPYb7sSBUMrlNT2umuTGcV0AwIjPogkMJ8q1O3fXAI88iiAcO1jMkWLkNUfM5Ai5bS
EtoDyXen3lkni0C2Jnyf0Obm/BPkJjds0iMfd3HNblcnZnefsD1KkhtdbEart6Xt2DgaoiYszSV2
y0lcDrbTiPFbTYLOEKNXL3A98rjyd+a+EpeZ7Te3Zr/lumYdo6tTWFbm6FBGr25zdJqaBIkLjGek
+WXjgAGIVEYDa/ZokWpVGmAidigBOLSwPAQ0y6owuJAl1A0A8qq9tZd2pqnMMjCRuWLn12vgzS09
UyO90kWeBnuQGf5nib5FAF8q66fcTx3vwGx4uUdXlPgRiILajjNM2yc4UADvaahxympSsqvVse6d
9h3OrDHY+X2dm2VEbpB1LGUKDZjMJeCKmUMtwAhYNuluRoWGmT8T5se5H6wnhZTgu1cRXUGmZppd
I+UwHlFW4gp3EyN/LtLFWaPEL7vxfJZV6MVBD48h6kQPktAWIwHeVZONzzV+CRcZaj42B86C2GHd
BcEx2XG27vY0YfsRcyXaiGgiCaXnfNgxdLFKsC7RlPjJEk1hyOoPMrn+kLUpaBtUmZ/CdRiuVz8L
HhqlzG/wDJIuCrOeoO7AWcXCeyrqfFfSxEPaoczJ27WpSdNbcN8JtlBJ8QAAxyCzMEw9gqUnslRj
xywSM7KbyuvIunOdrxnANFrPNgnwqVw4AXeGOVwnLL81wC6SSFEWFa554XGE/ZiaQ3438LyrOIEg
eEvmKut+W5rJtYZaOO/CAbt4ZOQaDVcmS1I708krY8TTWbMjbXbNdm7VVuee5u2ivwmZdku0ljcz
yks2nSVsPNi92QBImFpyR35b+a1yoGNEFmXSczeN9SNSquS7AC3Xg+JNxSPuTX58CzyFv8uSKkWm
xcH7ewmGgCpStws+YUBi9r6U2ifvtvS/DOmYfqoGXjqytQZGL6bsab56ZsHAj5xAcC05mmgwGSKk
lpkmWAkVA8XHgZhd7xBmMiTBNyplp8sLOTMEaiC+pLA9vMlsnqE1QO+gBWC/07xlnwnqdr55wTys
UcZ+O0Ub7zLFIYnjDa+0DKbLlgajYk+fM3XTi7B4hAYwQFTLZXHaMqGJk2OE150BU0CuqjfewQGc
hyz3oRQTVImEbMh9lgjZxonXlSNQ/Xy1yPDQa3AMULAOF+Hat+3DkjoJKfYGOZ7vyU4OJ8SKc33H
sDqx381Gr7uTIvOBJ7J2ba04bTSwEHU8ee5gTXHrK8/6CuEvnYoIUuMC1ROMoklh5kMt8caj7Ap7
6eBSILhGMt6a6fogc0rK886jx5+wo4uUtj8Jrt58QC7IcYEehmICl3tZBro6LYnCa5ok8S7JY/Ox
cdQVsXnbhGxKqhvDX+Z2IZ0XMBKYSI/E1qgsJdG8cUXVykDHL3PbuFnWcZWXYgwNRNTa7Nfsu83k
wziQ51sENxKRiP+9HrbvIxBN5cxQFlbGM8YiZliDxNWAExk3oJvZCDkNTaLEVu0OhTzfwssFveGY
PNclOPbB2OX3PWZ7gv+Kjnzuj+vSrc19PpKmi0NUmsmHsUBJbsEwWXP/QCliq1Ma9kWHXoBJkX2b
Z45vB5EVeMp/T+Crh284zzS1dzQXAbuoUfNpyWFZJfBxVsimR748jGHHXM9nkOCQYAfhy0zd/orM
36y+rDs1zVd90AVDE7UGAaIF/V0OvmeJqzrzeuyIWI8rMJzzbdtOiX1nowDwr3CYlna8OMv0EW4N
axpdehfT/oK5WTB/qmIrKVznYc708txbqq9iU6qJZlLe2eWphn7xiJ2a+AxPh9NF5y+5iHqZzJQn
jmI3rEVvfDCorTUQZ2ZQ+zypCosCbwCpXfhBb7JQLvgpke7MwI1B0MatmO3HbLVb5tT96BItmrnl
uhfN6rVAJjKmata8oY27LFcAHhxuPs9XQmBKOwQ9h1Z3ITp0rTTq0G4oAVYPScFsflGU5Lu8Mtz2
vEAXlO+LsE2fG7S+dpQJBCI0Knv13mTet56W3qvsvZuYlPYLctYbLRw+WXNRTBVK0cYMEr4IKFeO
CbNLGdzhXHV2nnABiVje+M0uQuf7yrk3fTSIBXssCZ65JYMskVEKrHMgvKqn1bZOev5um5Nd3CQN
cJQ9jt+gg7YdjgtfvRn3FQIOXlMe7SfFIwEJ2tD5SSgYEbTShMdhgmxtTt7CU/psyoLxXrvO8BFo
ECXusnYonMopZ9SFOHe+FU3Tk3GpsSges94pBXiilhuGotq7RlQjxQ7Fw/9i77x648bSNPxf9p4N
5nCxN8VQVSpFy7LCDSHLNnMmD8Ov34fu2R1XyauCF5iLARYwPD3dtk6xeMJ33u8N0WcZyffzQrmE
Ww4nBM5LKQGKQRNLMUsojpavi5WuCO8U580GkQU4gpCnRN+rcNDfmtCK7lZyRuilqNdmelJZwb0M
XzUOpZREDpaIMvXBvwot+3djs6607/8dNSOJsI2O8/vWv/A3bqabf1lgX5DDQKZwklsZ6+P3rv/P
/9Dlv4C+oPFh92gdNxN07S9oUvh6sx0ZCAp+YbLqNBMAEFQkgSt0YdAF+IP4Pj7KEeELXaGu8dsq
xbRVSCWn8p+iSR1LaEPrL3bfZNsc2x4R0H81v2DXo/dBjAiH214kNDMw9XZ6UEVuv/KJp31IcjcV
FiUUPj/xoKPkNBd1uJBlK80PXaY5T0Y4oNnscSzBzyNxMmNbQmchinwR4mZSKfiohtUaFgwXo5c+
XxHjzsH8IFicJrwqbafrN1hw0DiMwbsrt4BgoG0yeZwu+17RUBcpg+pGliIyoBw8HejDO5f478zX
kdpUrzS1mx9VXQIZ0519XZaZuwTtwuy5csocy4c5HzGGwTHtOkmy6bkHwn5wSmJdtjEd4moj0hj7
KhM5erKBAGZRXuYFyMEUFd2rmaHNjctC0QlDTYpHtedV493A5rwJsdamT43HQujZ9HTZO1C8PRmx
uRxKcmLMPZ2eZpso+Y2qt3bjAum1Fyr6OTLmsQK75i5P0eNg0fUtBuBgFev6fAG7BTKILHoLO64R
FjsZ5oaiuIZKq9vVW0kID415l2z6sOT+rktoYnyc2rXQD0vs4QITuskVWUcRfChpUF/0rsR/qDLz
9g5bhEjytU6untJ+wZRLzvQcnqfa2zdYQhBolkd2vNC979Cj04mXVZ8CuH3UAAu/wszHDApoK5I3
XTEqrwKid4sLZ2GHXhaDMYi4tc1dKM+jvMGKrYhdRQWHgyCnI6q1IHbcmh0EbrZ1CpAd1M20I4cp
K/VAGkt1Jya4OJ4pj+ycpKzbD0U5JoUrhSk9G0fPUppFvTInXmlBn9gOE7WKR9Ky1VzAu5sZyCBS
YdOUFcq6unIQI4lwqNVd3+QNzAKngr7B2S1wOgPDYKK07LIOeuB7e+ytT+XUx/uSgT9N4RQTPYSX
0szlljkWRQl5FVbXiYeJSku4yL+4iaL4KsyLJS6JuU0xnXhFP8tFNLRMOhv2ELb+bNp0yFSbpvnG
wJmCDh6oKvDLItlX1lKZmatz+Z+p80ie3IS5ZNqbzOqWZYexYBghSYemibd6a64hbwA10BGyOPFn
XZleyn5ynmtJxboDXjqcMLvTOxN6wCz4Z1KIAnluna/t0vOTmgEKW0xK29VCcjL3BICaHZdP5G5j
WrFsNXOivnC4M2F0KFGYZJOSPFvDQmSxJfBGgqbXkgMTm05iULSyQ3CphbSpRIhCCByT9MxTjIxI
eHygeZpck1CBDTjXP1oFF2I8rKYUV0WHSx12fXr7hYtn/iMXo/RSQNjUNmNbh9/7uibBkxU4YnGC
16iX10DJ7tBVBbeClmR2GpAtJXqYKDH2NY46upDvTMXFswa5at/Hw0BhCalg4+RpHnndAv/DzRWb
gmhWsFXcZOvkcUsjxYys1PtG3eh9rMcQAsWEK54+sk6N1XKQBtqYuI0RF4Un0wrDyNCsV3ify3Xo
lXFnyXusl8d024NQhW6do+vCA7dSx2CWIrYm1MjEW89OBnZXzT3boRbpbb4qQEvdTfQaazRojVIb
xFAQRRByKXICYsf1p8poaUfY9pR8sfvK+VYBGj2V9Cskb5STTmxN2YiInx/6/jN9TjRbaS4yMNW6
V2EQzUOnBKGUWmNQzkpUs/PIWvrGx5mGPWKkZApks9NfptVDCf5tPnyKLXrNAP+SGFfAfNG2Ub4o
/ScY4cwQSZoN89YuhE5h2i94eJSyopOWOXawMK2iy79JqUmwC4KxIC2gSNZ1dOekGq1qC2tHxY0r
OIQbjHToaTrOxsDQCFuMhPeqySrvz3DiTWSkIZVssU2mSr9ccJxNR1XfNEW4N3j3dlIesPa7dVTN
dyIQhUQZ6c0M11mkeSbruKjFjd7Ib12d3MkGRlKohi6ydthqQ5x4YThie1b0O5GNHvHQB5Ma0Ekh
oeL1ddPVje0nUX3oWuMJDsG3uSvv8RZlldaBUICAo1sUSlcFtkFADjuti/e0i/Z15PizgBhCcoUS
5TdTMvtFEz9R00u4JjXNDkrbZ4ppzONhH+80M6clVX4SJCm45PUBd9hXZaypbg5ZTW7YYYY38CyS
UWH1jg6j5XK0TVuuemNoX6CEejRmLQ76HKZ0CjtMBYeWMAYbMw1NV5Z7nTbDFKizC73TpAu7GD5H
4MIbQ+88Imaq3ZjtADJYqnO7z6I52sQlfJ0INNsWnzpl2AvTuXCUms0Hm1x9+roIyAa0n+Y9f/8x
bKPHLqVNH5b6fZ4lF8KKD3amXWYC50LZXhw223krmknGypEfi33jXZxPb4aUln4hYmxDR0MR1sZo
uy+lHK2NCa/D31sC3o6FzhpdDmktoxNXDqMiKdxOFWzC9JshHpk1bDlyVu4j5GTkgdrNE8F4+Kxm
3yvT8Rs53w2pupNn+0vdWdMGxIBozMLOviwwx2WzvunUxFcSDe83u7hiMyK0cCqSVfpb+bBvM+Sr
yherAkXolbWSyfu3pFI/Idu2iazHuXFYaBFIFO5V85lbxhP7KVizE++B3e7EyK2v7ys2gcTgoG4w
Zg6ofe4bqzo0Tf6K6+PjhD79Dc6w8nkquWoZ9DQRZ0A0jpVhI9nTVTfKOEFhSjLgynWHGL/d1Cwg
HwUE2XeSpOoHCJZvtg7XHo6CcjUqCgzv6UmHosmsNr8znJfa2TVXutLyemHgLmeE1GiFcpUqOp4g
YUMfycI5sJa+LZLhlfXoL/kSXqh1W993ukVtopKiOEkXUnarp5hjltqnFPpBlzvQ9yrIzBU1i/48
tGK5BHjysB6nD8LFPCvnO1Ufg4KGgVKqLfQB3mFa6rdFWW/b9rql6bJHy3xdLplbS/2+zfERjsvk
K5yNq6XAwCjk3Jiia8k09v1s3lrQtqkwCGCrZa8stHvVKGc3HkdPNSM/1q3Bj7FdTSl/YIxmpHDI
Ta96ehUCtWbFrh8A8KTsam6jQ5aZt5ghfSKACTVD5htsqZHs3KocNMZPJ0Clc4cw28ExW0mR2wgD
MZv80PwlztRAarsHqoynpKSMiN/K2r7U87tkvpYGTOzK6n6YtQsz5PUb4pUqkLRqGCFanuy0aBlv
h+hLjkmxpbRB2PbB4HyTKlyoTXxG+jC8ylvjIPdpgIMoRgEgJoP6fVQ0Ny91xSc5oKH5hKcAh0y9
7RaV23JLUlvU+WkpZE+sQ3VJ+QJH81YH2lS2oQaCi0+RF2WmE4gxu1ld4XLHBF8J2ZnV5S1r5sSt
M2PxFFWHM95SjchL/63E9rEaa+Gly0CNXOroBYrr0egO5dTifJyznXTJUwH8RmOIwrYaYfdlRvNK
bS12TvU6oeBoXFOGzrKhIxa/WD0vaB8tsvVNy/sbZQybmHtB39t+LMkqzJnOlssAMn0771aTtBcC
sxzbTc3cToO2wu0OXjTGtHFljviIhAPA1CoG23TQAq51AUrvClCpctOYhf7WGmnxqkAvFT6xl2G9
2lGYeC/WRTEB+eEbAeEfn1lPDDnWgKaQTdchKupT3MOP2Oh12B1gbNItlKZOu+AGM3znu83Enp6r
lXhmEo5QbEF/7tKoKH7khuIAgMtt/Ql5z0LpaTdYUkz4en6RcysWl7hsKcmNGSbEeDoijv0uF/p9
rUaKvanqVU0bTwUodzpP9TeWFp6qU5sTv07DAARpKIc5g4zNg3m1tVJoFY6Gu3FUu85V+n6+yaVa
9D5+O47hTX0xjTuOHsxJ5ikams2op3zAoqRCupBrU+dYtNW1snRy1cSmKpEeIVtJYJrt3Byy2cz8
Ase6bwqNKpM02wFeEBqf5ev/4wz9vP+GTHVltfzvQMPVa/4tEd+7Xwk6P//KP3iL2l/cD2zL+IWC
+DfUYKkoY/Gyk5Hv4RgAveJ/KDrWX7KjaTqiALAGXcWt8p8MHfkvRJpIweBhoLqH4QN68Adgw7G2
DF0ZcDSjwB6CegGsv1IyfuEv4iUyJyYLkjTFT475qcrwr5W5edGq4aS2UKkcFOePZHOMiYgVojEC
ehu5sPqTlvHLmKEDAF85kewh9uLqwXHEHUk9lxBiHXNW/jEMSmVZsRAYm6d5eQp7hMbWJoNBmjRH
NF8Ld93aWfeHmQvac5U9ZmTCQhwCo1/8xnGTmtrEk2RUN/vmgdJFsi7M/LqWPHxE+97F55tf3FVs
fUOPbqm9BqLzgGqOphgXFX75BRk7l8r1ZLlW5Y/iUNPpajemssH4Iyrc9DX7pr061dZYXAmavMot
h5rbm9/mtwZeOZhIFOgx7GXVS5aD5VyW0f2a7TeNPon2deZbYpctXniGevNuHvBO4IuBOHHLxVaB
GffrPBih4cuKYB40KhImQF6ADCc64KH1KTNySA1LNLnzYt79slbO8or+fkc65FsFaaNJwXAybF7W
xlxFDCvHFdeaZUBQ5XT1mfDln/5K/yT6/D0MNmI8GFFETL0TNajo1HnC4WbxYmsvWq+xPL0E7L0a
4YBX4g2Mv1bp5LSvRfmly6/hpqwc3DoNbKb/7IJmT/ia7pXPTUVv7bZ1HnFC4hZ1YwG+W4ekvUnE
tBmXcD+Nz7P2YEI9scRzNFxP2VdRnlk/v30cOFlgS5ZCn/UUH2znmLQDK5U9dEOKeVNxKUE7EsTR
5YgQqUqgkqT91jBz1xKTN+H9Y4y3KS1JkJdQ5mawHeqbQg6IDMmXVyP5IcV70egeIQouxZEZXeZt
59fjnpigePCs9NrRAbDwMm3hmsEaxZmJJDdr2H88G1Y64OlrsleVO6CnhZ3JiSNX1C3hNGbm4uWC
bjt2JkEy2ZOX2fiChwRrySr36o+HPHW8+7kZ4TkGfMsmvSaUH098TJyKuFQpnSJdvXKS1zzJwuvY
0C/hMhFM1pi4jGbDDoYBWEaN27S9WN7Hn2Gd5CePvYLNJlItEpNwhT3+CBWOo1ZbEkM9WEALi3pJ
I8THDPBtnGFN/vlYP9N1USuy3E8pdsBug1x2bCB2Es4evuWQR62AINmY9w3K/PFoJ0D2+uVyinH0
OUxUgPV1i/5lp59ROi2qwUBqr11WadNuKvjwm0I1yK7J2y+ZZSFC7Xw7tc8s+d9s/oyMIw9nMYes
cXKuTdPU4GuFxm5Co0rR1KfbWXDT+Pj5fjMKBzv+pJaCYAHA/vj59EFWS51nJAggaolKXmW9ujaf
mR+rTcfpBMHaglBRQyZVG0TyeBjayMgRB3nxHLGS2TNUbkPsa4NCk0v09iZPb0opg8g9cYGR+vHM
Jv2bs8FAgKPrbJw65cr63395i4sz5r1uioVeIX3HVH7FjBq//1lMvt3N88VKtGAGnxn1N5vB6vjI
NgBggx/myRskDlK3KO8XpJhTto1VhXa/k/py8mqGAiJfGtabj9/mb0dcGz8ISWRI0Cd0UIwosmic
6sWjQatvdLqq+LKHFnkOXCwxHaaJmjrRmZf7m8VPJrwFFLpOJMdcP9QvX24dFlXXCwiShXJjtAQG
ReZsrOLfHzMZJx8/4G/HwqdgXfcsxtXB5dexQkyopQznNi+s62CcE8mvJjrkQJ3rhVQ5swR/Nxoj
yVgNySq7zcnXiQUZNt9MEFzfH8QMnQE5ARyiGW8MKJdnvsZ1CZzsoQDxfI+qyS820uNH0+RoUqGf
sNMkXCvVaVUA5/E5J+T3j4RLjYURLPs1zNHTsMeBSzJAA6OEWDD5Rv4iRPZ1NsDxVboDH7+sd3vn
miS/xpVC7jd1TqfjJ0oaRxtGcGrP0Tn+xtQed8OABmTM5C9zB0zXKsseDyq3M+MzhjPKWg8dfZuM
TVtUVlE3rhv3ydqL5xkNyKiuBUbyBuD90KVF7k76CD5ZjW4GHY+sZx9ErwiweGo9jCQeCFQ+tzje
rUg+BzQamqGIfqlMT95qOEVm2Y2tjCl9D4tlqXwMJLZoELfIlrJNIi3DmW/9t49OOUohsPqt0ok9
/tphscCUgFvladlAJ3MIidBx7swGEmQDKwqqB5SVoSJPxqA9hgT5ByHcft/M5yxlfh77Jy8BqbDB
7Q/Cl6k7J4eLLCHQsKBBegmhEX5S9P0mUqULOW2kL41t3MwRPQ+8GWwAyvzzNI2SL2T7Aiz+WoKn
fabofHcIcOHkkkhbWsPOSV6737/uHTLRcjCriDubIYm42ZoB4kDyKGevGaFEzGp8QZzQj4/XgP5u
WWN3i0XUah+FuQ675PGoamROag7lyJNBcIbih+CCEEVPVf2dNYOvgoGNTRCWPn5suNs4y5fCvNaz
a7l7yQVapL0qvcTOdYIsDFLWXXJjXOSEMo+gqRn05y1JWJnxXdW9iSVs7638Poy9WfFrdV9FX9L5
WcQ/CvtuzJDF33z8aMrP/e/4/VLproUfMmWKZ+Nkpi0SHqNTzTeatjtdvpC4fVrGt9m+LcYoaLvn
Bi9aYd6E8+cqP4Q2t9bPdnagoUFahdcY1y12AxHxIs2dDi6U9E/msO2tJ5smDdfaakune3aCptka
+4JYBuHVuSvRYiUYxG/M22jEDIAcywA6Wpjuc+2SmV0Od2tobH4l1INWv66xgWPwPGU73AUAmwfz
TlO8Kfa0p+k5V4OhfxTxfZ5fq/3OGC5hDJmIcr8a8dOUPMHPM6UfBGwt+l5LAz1Btr0p4Kqj9P4E
FZ8+nzzukEKSJHHbtwfs7JXmoXJ2SHqb8vP4lqZukXzCFyCJtlnuhqmnPlgwf+TbeLmmHCfZrSEm
eSGCDruAgGu2oR3oXNmG25VBCbyrjA9WeN8Mrm1dogWkfJFgbFOKYr7RWAe73djyTjx3eNdB84Jh
3XsRNphvMAhD1xxuZBVwcg+VsibMRbpInWs8RE3lNg6zIOn3i/haxF+n0p8tDO+u5GWnt4GFg2pF
Cj0WvWQVvcrmVbPPbEz0uIz54XRo+p1ieKG+nxL3rIH3+w2TOWWx5oGWoHSoJxddm9OpwEScgrTS
bNij6YGSMPUjqXgUKdw2m339TNX0uyWKfpbqF0iH9MeTC1QWKlB1p7XG5x9IXKMFZOfyOc9H5USs
wx2erYDKDDdGeU0hOM2obsjmaWbJmr1R3OBmLNuuib1TCF9zs7zRPrfll7r9PA+fJv2bpn/vYLCL
bmfTUlDlfdzRyNiU8Yam0yK8wfaletcnvuFsR4XIFkgPnWfaT+mgBuXgC/EU3+GOEH6SDkQhIYWk
uXTHpQVcl97JcugvowvrqoAnB6fx0F/1Bhm/wL84OrvO1rhqr5t74Ge8b8zZhbBcwD+/A1Kg/9Qo
2+ha5Jf1sCvoLRWbPWLWEi7nm+g/28l96aDe/LEEkeyXjacOKC88Fj3MiA1eC9gd5K5sPNbLW1/t
jPDQGfjFePZ8nXR7qQuc6In+TB3vVMUnmGYSCBmY/fRQ/H7aYj4NMZKU3KVkicCAD3T7ouueUSL0
d+HyWOUPhU7AKKtMKC/wuqG5jxfoKTYCNgERPbq90+sbrQMOM0uvbW4FJvHDztLusvnbxxvku1qL
O6PMUQNECRGL/z3e+nu0K1YD99wbTUTReHm8GbiBbCRDPyzYEHh/PpoCeWvVg+P1aZ8eNGapi07H
ZqQc4UTooHgjlM6N1RFDUNrpmdHe3+iAfMGisDzBaA/u2Elt3GbEG2oRLhyLTQTCXIjSizTU2pBc
r/SBmWdm1hTYhNKFnXLvtLpx5vhZv72Tw4cymVoWuzG+35+wyC/XjtSqYfFj8YV3PXzbDFMDr1Sd
7kw19Zt3qJIBrZqyBVptnx5xSD2ERtgclxvLCPKltdxBEGbTKxBbLHs5Zx79vkZZxwLHIUeBPo11
UjEhunSKQTQzhk5ms0ulC5IiDjkXEULVkO6UyNEx7Kj/8FZl01QDzAaRB5AnCuB0z63DpTEmKF5a
CfUfSo4r21fq8rXpEunMvDm9EzAUw+A0Sb1gOZpzMktTMZWROVYgznCYrjj56symAd44DxiSk9lw
IeiEwQA+l8VyeqysgP2acgBsD6GDT3G8FhVp0VQE4Z2XwrKH0jGkZDMSG2mVxuhaoycvkhV8vCDf
LRGbMAAEtlxEqIC5lZ8sEUIuVkmXBeZt1ObFILVXskg8a5xdIqAyf8GqHQcAdTugD5gI9PvDqcvw
xEaurnsahSd3sONHTnIiSiWcyD2yxUBASXPDc2Zx2xkYoF+cTx8/7elCWUdbDRJ1cCTK3NNzW0Wy
FecSAXlSFQ2+TPfTbhTiTmSoZyOduzNn9rv3yQ9kjeAUDn5MM+nk4WpT9NCgLVRh9oT9nUoEpRWi
TW4kQsDbeviRFbi2fPyIPwGbX7ccGx04wIq6Mm4tYLmTSQR1VVKqISy8yr5dksDJHF8OMZJ6sBrt
ZmiljVxTx9FsbRGPObNb13uZRK4yENLtMr5kWbBIu7iFrPMSi4dUqQOpIiEgwkLqcqiu+J1IVX90
uIiiNWmHDX/WqW8H5YGfgakbP8BAf0PFm2frX5WI2FJCmEoPHz/ou3fJcxKbpVEOgZfRoDueOTba
PQPNLJm/dXsfjvhXNfXq8jFVWP2YtXZmor7bE0BWmDRrc8PBB9RZ3/UvO/mEKITArSLxOKa9eShg
BBHhLBU10p88/7FoceXiZn8roG98/KC/HRnbc2oxS1tBrOORFwWb875qEsRMaEUnZfQtzBHdRsQS
kl1qm25xbdlXcfj8eOD33zCPDExnAYfqGmbgxwMPapJ1WpMm9A7l7SxHA2i2xRVo7h23Ls6BvO9a
BDbfLd+rgouxrIKEnqwWKL95DW9uQrrf0T7qvLY1zR10270xmvN11U0BgqLymvZV5Jl5V3l2dA4J
+QlYH68eSmC6lGDAfBZaJMfPjIbbmIqW+EsNj60i3zcyak7xAJXZU1VpM+iJL48PxU5Wos9CoqdJ
3zPZ63GHB+GeCb9UQ4B449BL/kw2eXWJGT6OnQIfMrIWuC7dx/SL7B5u4a3T7LluczssVmsm2JHk
7EBpCZtXWiJwPFhM/M4ixLsSRSeWY9F+yb+MSdA7gko1h0jMYJchPzpeY4T+uGvDKyEPDjCcvi6Y
xGkkmUgVOypCQwAOXyfKFG0wI+wPOdeDTV8TlVHKm2qoDK+NjLuqhwemorE6s6GdVhvrfYcaita+
rFFBndrQyzCE+gZuvacIlLVLImMZJW1q8cWaYD6jwvaXSAr+dOZzCCNDUH92a9lHj2dBDj0r7dtm
IENm8YZhgMqLqtSNdMAK/VzoEK0FftzRpNMAoIBwNUNhWA6o4+HGcmiXURp7T77T3qpP7C2kTSI0
m/0MMcsqWvb5v9JbiTKKJmNLIOKlAIqBBpS5uAR1+kZ+WA7RfioJavKK8KYxvvH7MD2SPprPbgqL
TQkkbNwsnP967XUariHTglGoBsDnHnUP6va89RHqV/PzpO+yGI9UHNroVEpYCMNw3PB7jfYIOzfs
lgZIe26HqW3sOQ0wCZgAEiLXatDjetawm3qvc7xM20nJtgNgiINc2jXGNsRWFKkptXDoIo0sb7Wb
5RaR8oJV7GfrcXUXkjcxMebSTil3Onme+laPvpX4rtZbEOHl2uGiJVy6Eqv+7x6z/MrctZiLONe1
EbRt0BJY0HKk7+su6JVtKe/m5bpe3B4yrLPtoi3/Up9xW9wu6nbu91kZGJFrjkH60qU3WnShYH2/
kWM3vkRh+TT+IN3nRd1Kl+V3eLsiM/zIuImw9p0vyS/cDCLI8Med39rmoc7ekuKukFwu58ptHfmR
ciE7ngT/SXadb1D2zuzQ746GdeKoNI3Qiq29hpMdWsK5TsdcjYnTwXbqnNp2NQuoRYNQr0xafLEU
OSxqC824TI91//EqeV87/hx+tZWn9QDFZZ3Xv5yJCbRLVPFK7xlYG1Qtqi8gxHEWW6lLcVmaDTos
qy4CaR5te1EUf3olYHyTBj1IDLZgQOjH4ys8cGq2EVNN6i4wBu89sxnuyQUDqyinM4O924coyYFf
DM4med2OTvYEO4mt3sK5yUv1Ntp1c3gFbh7UswHnZM5fo57JkM6NOFNDYgX0bnNgXCg8NufimuV3
/JBFljRtO5o97F0D/zOhrqwKVd1ATdO37NqEuxvaykxQXLr60w1KIsNHILia9FGqFJRpPvYGB6wy
OszB1O/FUtoX1G0qNoiGgCSdkK0Izy6EJggj/+M58v5bo4Rgcq7FvU4SzTqDf5kiCz1AQY5F45Gg
emiNYUdjjIAzasahy2EJjdXjmJ65dK9v4ng7ZUwVK52V4GDgrXg8JqbZdod4qqFMa3AtNaataQ4X
olEPtFckttXiHAnqXaWkrVZ5NFFUBZkZTYTjEUXYOwAbEJWAI/qLXPoKuZBY8wF+4Nx8/tNvdO3Q
0PJfp+EaCHM8VlJVApeitvIkzqJtI4ORWbCPZSJLUqzJy8hxLiiLyzNH4vsvlbmHXmHl9ZgAkCd3
YifpHXMsq5IySECuVTofEoy8xYhg9nNFfspSons/ftL3FSGWW+BEdMbMtSF4Gv9XGp1iwOWtPGUi
hZzOTMYuAtJoLgNW3ypROKjdxosMI41NP6hNUNpj7Aol++Nt1uFoXm3h10scksbjr3yo0X9ljYbG
BZOUqTcIBCfGE3Jb4YbNaG0apvBkxjhMLXcffwXvJ9bxyCffeopNntXb68iWZ2HS7gsncVyzMyw/
OhfU9/4wOR7rZNnUoMIW21nhdY30Mttc9eMBYbQFLbq/XvpLXU2bgIC/c0nA67d3vFwZl22VrYB2
LzzM428XGYfh1EMMNIcJijvMKNNSqYzO3N9+901S1nPF4KCAq3iyRKPFSCMpVksPbn/p4q1EqCZs
aNStrm3E5ygAv5m6jg73h4lLoibr9ORoIrrdcIhzLfFby98SM/tR4SkzCyW8Gjk5KnJmK2rqOLes
Pf3AaEeDcv/x1FHfV5XrRzDYALU1Mcs82SiilhYihyOeJuKlxmnfU0u0a7AMy8uwRt4ptyI5VNKI
SFVXXvVZIg8WeD6PFzTSvTJetgAbLkO0/jAYAyZu1Jx2jCArxu0Zfn35xycsH9hSV2LI2oQ4vXsN
mpFqCmRVL06lmxoHZFyz6wABt0csZQBStboTky7y8ff0bmLodH1Bg6DIAoSTXnY8/WwsquCGpJnX
m4kIqjp9kUasKHXrUSsQpf8fBsOkDxEzN3kwmuPBqtDWe9HFmeckbcTpTaLEmCnPQ41KgW7qnw4G
axHDNS5vTMB3BGDYRPLY4mvkTVH7tW26ckeSwnYoLK9UGvPMy3v/Na7LlxoUwHTF20+eLOyGuJdy
fJqBLne2aW6NkNQBlfp0MyXmj4+f7N1hhPkGjaq1HlsV5qera5YmqGYKDR9csQGdUhNfZ8d+JUcL
rZsl9kU8mucOo3NjrnXaL5WMVNBCEQloCAk+9kaY2baqzR4RzyA/ISX0QS5oLjdKkCnmRBAe/hsx
jq4ZpbtLDNmycDkzJ0k/YImaIxI6F1/0rtLiO6GFD05DG8eUT+lj0zyE7H964nELkLwh1xBX919J
H8NCdZhJGotvEb3WZ3aZ9bUebd5QbjAr1Cm4mGVYCx5/K8Vktlqk5ilooxTuc2n5qjhnof+fzc1/
jkIwnKKZuAisFP91Ip9ynGwYQZGqhglamrgOsA+DbhuDTMvFeNfxr76WvYktbqTsZmlOvcFRvnXZ
8DTryyGOZyjg41LvMY5/ZeOt96M84VeiaPddq6VnlsHxIfr3J8VNgCIBuI5pfrKbDJXejuQepKCS
5hXOddd9E5bUuhEqSO64jvYcJ9FlYs76OTLR8ZtgZBX0HDCd9o+GE+kpkh7jAUayhsOaSPpdOpno
uya0QVhxB3PVqlsZrnJnwPMNFTxI5in2k/lQVPvSaNuXaFy+fLxETy6HPz8P6bjaz2MdRuNpAOyU
SqMlt1lK5oVBiisaMd1ekx5a3+lA26Oq2i698wQfRsagB3z54/GPl+s/hgc0Wh1bqZJPeY1JOMhC
pAwvOrgG2LZ9RpkExV++bTpktJ2QpjMjHi/A/x6RW5pBKxVX9ZOlUBOSPtNSSNFbqMQXlM50QyTa
UtmFZ8SztmuEtddCLM9/Pui/wKj33816hB3ll3f+zsv8+XvxvfxVD/Tzz/+tBzL0v9ZlYJoYiGho
e9Yd5R/WI8pf69WJo95ayadsKP+jB1r/0D9D8xT+M2RgMuK5eKh/Iv5hAz7eJZF8QD6is8fPdNbm
4snhWMM8NRKDTl7lSKD2GhHI9e2S6Siu66h3gIfzfCqkFJZRJyWXqhEVxhY/hOXGWsgG2JvWnOFZ
oONlsMWhH+1oki597eVqoSpIy8vieVaFZmFOFM2P+IJaz3aVLQn2EBkeppqU0lfDiEupiW+vJEQV
Q1T1uI4IWNXo8DBVJYGzbQ2o1ZwUuDc+4rsrQJ5NfMeCKG9wu3OTrk2lH1k+6IQ5QX1TNAw/pjjJ
qk0mpapygZpXxX1DjhQJ10itrjDICtNBC6g94steHqTxKh+TMsbeX8YCwMJyBc01jnPdLRk7pr6P
5hh3cNyDsFK4qOcmq17tngAz145NnOE2+BXaGH1bUoYjn5WBOM4Z4Ia6TUfkfZd4CYJhoCsEFiZC
ajBew4ry+nOIJ8MkY4+gLRoxogYuw/EhbdOq+FJqdiNe5glXj4c2GycoyO20xmyMJaZRKFfJlvIc
p4pJlbVmU5uvl5yQ6jtnCZ2XCXlkvQ9pOcVXU1KZZr4ZabWmracZ0hwaQcQjpCrmn2jbwY/tpS70
bWFjXuuFWAlCQNPURi0GrxptZka+SSnZi3tnViDw82Isq1pwU1KXJazFD9yRZ/zTnWUeINMpZR3H
DwSTFmazXdKYpgDsBnhJYiOMftL6y7ypsH/DXqoJszfMa8S0M+oUv8T1Lq0Xu5SEk+RHg32Neh/p
EYhoYrWxa0hO9oAdef9aWiaapJgcEc8hXoveYYi9DQZwdbqHONIWV1Y84hRJnrvxBEDSarvIWTBH
LMdCASSLCcFwq0XPXOzeydMJ5474U6e5q7FlRs4dV8maFmYqd5qk9fteFaPfIMZ/UOvReerlov6a
mukNvmjWoxylqxEMAv67SmuLN9WObOiEGkmvG1Ue2ietSVAITameP9XyJN9j3DN5paidZ4qH6Aqz
HTqxRq0YtGINp0IkMZQBgSb3Wi1W5g30vznJKen02ehfRmOq73KCNl7U/2LvTLrkRLZ0+1/enLto
DAOm3jfhHr0U0oQVahKMHoz+19dG+V6VFMqlWFnjN7mTvJmEu4Nhds539oaTipIpFmDYi05FtMNm
Z+cPPmNqxpCv88FW57Qw0QEb5hqeYHEMwaAB/yPM44+OCa3D/QtuZblte+rtejaf+qxlHKOzJQDc
hP+EsJuHyId4oBfeZyZGwD1Jc56m0t7C7qKGK0W6FYnZpY8aYUrJ9K2bQBJYeL8rHCe53GIiMuXZ
K0GPrVPYY+mpdpUXnJWyiCj5zdD6uz4IdXrNTGtMto6s4vyF+yCBBEYdLVgDFQnNK/x5evG5Cxn8
U5QshWVmbD217kpoeOue42GxKeYsN65gxug9GlOjvNvAWLA8kHjqeFXCkPuLmomk7RXK6qGXfXA3
jqr5gpCl9ajvSy9mwqu1W/5LqnwODBAu+8Q2ev6Ihjn8F3wkMGcbs7fobKYtpbVyEol9pwEitesS
ATnU4Mi0Xwarb4otAEemXuyhEtMCQQH0H4tSFa85Z63mlAoEVwcDiZS1zZhsznc5iEQHDGswxP1H
R6IN2kcpXBZqplES39SVX5rrcGz0DIMprGX23QPCkzArXpPpb50Fm3mYa4CNj/CuMc0ENTmmc1O0
Od+O9h0iVE6/uE9+esPd/b3l/Vnn+esmjy0wexniLzanZDIwvJl+3W7HNiJg1yMx3SStEa8LptNK
MCJN+/V/cZ2Fz0UfDG7X2wS+O1iQHZ0+hGdn1V8qaEtfrCbu36nJ/LpH+/vTLEh9B975MlKw/POf
jlTMOvaZHBqgjX3gHJw8Ia5AzeRBo2JY1VWqLxC8i4c/f7Q3G9O/r8oGnSoQRPLlhPzrVYFeBT6/
UEgBnOnS1hidit4W2qhFerjtRKL2VCMNcoZ1UG/NEvwcqDvhvbNBdt/sCZafkhMsyAqK+wyJvDlP
BlnpJQ7M61VURB9B5kU3vGpBJfgQR/78iX+/aaigMlZEoomhimWS+Zev2WfdVCCjDAiXRfDkzqG1
mzX+nj9f5ffPYy+jS4HNgdD9m9v2849ZYCrsZ10Cp4HaR2rd1kgsivBmauEw/PlS//CByHETqOOb
Y3jpbfRjnqjlubIAk9mE5dmfAJENdrT780X+4fNQ6+ZQRcnQEyRMfv3W6KKYbewnAdDakM1PJMKl
QeK3dzj/6CX++WL/8IkoP3EvMi3osU9c/vlPT0ICYrOPmPFZsWGA29iHmzlK1Tv3wT99IvahS/xy
ybdZbz5R5dbYHsUQrGYnAftpdl2bntO+mNlXlbruN//+M5HXo0PJbKMk1PbrZ5ITkx88hJAupO52
dtMG29CYs+2fr7L80f9TGmBfzYZ6GT1cVkQu8nbKHc1lMODWA97llopjXZyeZcfDDQ2uO2EA+vav
L8exABd1QOPVFW/7WUsxXlVaQpRMDPWRaWfnbGSBfW66oLw60yTOf77e70vkMtjlLDlLVmM0Cr9+
iUxCJWatCb57AdHDrI1ebRu4jOyt6yQbAiJ9/s4Vf79LuOKPHAJVPNJGb5q6kYoc1RdcsbbLcjd7
9bjiFRGsGzOt//X6z6WWRYOILmX5tyULVxS6z5LRAxYwjrsU1vGOPFv3hKW03OFpVM+eHpz3Unn/
9AGXSR+H6gRXfzsH3EimHSe38+AnWrSqK6W3dpXWO11lev/nX+/3x5rSA6s7/0t4hR/y11/Pi1gA
2fSi7+mj7qwMb9ln6v7w56u8fQSWNwk+eJ8pQPZUHGl/vUrR+ihbvJx7PuvjL2iOyIXhOd22U9bf
5q4R7v4X1/uRFvd5DliAf71eEkaYnZI6XAUENnFxNOm+U2J66VlWyIV4Uf7O1/j7Q8DegP4fY5u8
uC17+UV/Wh1VNxs941tMWgwFNeUCp84KXG36JOxxODUBqtv1JGvIin/+oP94XVYVBDtsu5h6/PW6
7dhbzYSOggZfLp6yimmaIgvK+6Jx26+TZfaPRqmady76+z1DtpqBJStYEuO/7QuECibP0ODfQObB
TCNh5nyxB7oif/5svz8FtgR661hL1pnV881nw27V08uzA8YNYufoTtE31qByj7knfOcD/eOV+Eko
uHAx/+1ESZ+YIHIagkulaelPHKdxP4hZi4PbY21952LLn/3z64CQhmdTCLF4ENjxvCVdUPZsOksy
t1mG2d7OZrk2tPd1iBy9p4TxTs31959K0JhmlwDJg5aO92YLl3hlE85GEVBb6c21OYY05V0GSP78
S72dUGTTv1yGjPYSSaSF+eb2j+NqzOLCw78doidlOmwIqlU32VT1pVFCBOsnn+80gTH3gv+1mTe1
qYtu5RixV+0mHg93jfOTTkwXIch+50b6xy9h2VIg+VlGSN/8dS4nzVA7fGqvkjCsqLvuMGq8V1z9
/VGkkblkb9kbcV/+qLD9tATgHQhjv2PALtapcVPOU3kX4f3eWL6uHievrV8U+YzLn7/53z8aCZKA
qA/meV6rP6I5P110MIDg9zNTZZqvdR+7E73xIIvfWd2W5fmXWxa5ABehKcgTRqX87UsiY+ad2jQK
8alovrpqSo2VQidgrRWGZ3Dkoe0aV3x1ubhxXeW819n67ZFh6oC5A+YjaR4Rxn/zA3qzZuhVVlwf
SfsNrRbKFqKxxsNYTHDU5la9l9v6bUXgejyipIvZRMPCebP2dEFYqZhlnuHAWBTPIixDREZlF4kj
s69D8M778befkS4EXCJi2y7pYvu31H/ltGBHGZm0WhC6wTKoUpbjv35JLVdhRWUTv0wSv82pZs3Q
+1UMvQVZgN45GOf3+HGBjUF7hZyaV99qkrTvrQ1vK8sOHVDX5blj+8Tl3zYdsNyGTS+II6bA01eF
Nb6QFv+AqOAKePnJzfsvIkQw7fVPkOC6966+7D5/vXUhRwQQVciussN5+4CgeG0HawKTPBouBhwc
msc4AvebErq6kzVlNK9uk/sa/waZQFsfurU71OLbv3pM2T9a6O34M9jR2ctG6NfXdGKVBdN8QN9w
1PvQ+HGWUAsf39msvrmLflyFNAULAS1WePpvFnvULxNSpyBfu3jI16qOq40/p9Y7X+lyFv/pGxXc
P3Txlh0AW1TaSG8WA1XY8ABshpuCuQ+iHX6B4BUhrmq2fuGEw6ENKvJQoXSHZDfhqSQf0Wu/fic5
8OYBXf4K4t7LxodNOSfGZTX+aeFz7aiCdV21a4fQzAPvj95elQ5D4lAdOwq1f/79fr8abzhmEAmY
CWvpUf96NUmhLCpGCfgrohmR8gMwQPojTya94d2hwB+7xV+/YhImIOaZOgoclrw3691ozWGjrAqR
t+MbJatCHxQY4hrtDfveTMb21CXIVzeYJ+T0VAf8QVtZUJ/fywDv21U0wZwMm47+iHxtzNAikNkv
cUNittZTL0sGx+EXeFV6nxbDKNYTwFJvY9M2+jxldmNuk9Sqgp0MLZR2hG+atHwJE1Mkrz++1//f
Gfw/7AB+usV+6wxeykXm+auW4Me/8ndz0LKC/wQUQkxSOByd0KL8v+ag7/2HZ45wGNA8SlkEuP67
Oeja/wGyxB6Ex5LtwPKW/L+9QrQE9JCY16PjuCTZ/p2WYMmw/LoGcHUYNcw6/MiNsR948/SFrcEr
g5G0C8ztBfAvWt9cj40NGwQtl0a5klIqBedc1fnQfRh5lsfNjNkIhLv2QYk+J2UwmN9lzFvqljd7
P63pTQ9f7Jp0zGsahKV5oGUg5Gta6cGi0On04PEAg80nXQAlucsSl1x8ihZ3o+0mzsAdZeHerBMT
wO3EsAkCjqqxrLspdVgmsM4Ath57Qz1lmlGFxOXE9KR1Ww13srWLnDEYkT30bS/Noxcj995GRarv
W+LpH1KSzAYmX2SIHzGaoEjZ+GOnD4YRuiLZpkY+aKAUbI2h1sEtVRcratyDlCmOBvSYsO3rbJR0
XJqxS8D4QTSKsNq0OLgkWpobO7H6EYudw1B+2Hc9s6oQVbbgjcCkN2hviovO8q48j/DQHMDEgzml
h3ngQHgGNmzO26VT2AJwTW3vGsWBio9245b6QGDR1t/SwGEyJzYSUBBGN2SfI5ZOkBfKGG6tEjPz
2i9jTz1TS4HBDESrWtt+BeFADHrfuXrcW3mLz2xObPE0mK1X4/qKjI0pMgaQ4sj1137kYi3AroNK
cZ2EgxFvUnSJxnelqh5dVyEKel1p6wIvyfVcrNQ8LG4JdI0u21e/YXRh1sl8jdqOvVbOjtS5kf2Q
9KCCY4uhmkq706iQ8MiOQqcCtBsidmj6ZlcWcxluRs1fep/TNApPZNiyHo6xbRy8MfG3zlB6D+xs
jXmXZngln2xvTEW9nQrL6B5zuNLTvvM9JBgrORBGuXP9KiqvrZtDElwnbV+5EfrEvBMWoyH5HJX8
yXporxlI2fRj7Qj0034dwo3wOSr5B7rBcWAeQtH5/jeMXak4DkEy4s7woaeDghwmnDFWYoXdThq5
60F6mtrhIW/99ma2+kF8srgTUAxVJuLovmhyiARY8PJarhxLucW26FPbeRZDZ6Yn0FG5ZOPomeXK
7ekLHyPIR/GdZ+UoMtdp2hjDtuzxnlWIp1APCCcGrTxX49A9tl1uloep8Hu9DWQURpsQTa5aD+Y8
eocgRMKFZUdM2XZ0baVXrYkt6hB2uhrASid9BFF5bgzrpfE7Ik9hB9OTaCSfnKnyTFdY1AhgieRi
eoB0860xRj4HFXbEVXySZjIYkmEtuqLo0VyBc2sTFeBQAGmmnRbORsiRpWAVlyRWPwa9GTCrwSCB
wgkej6X7pfXE0LBGLD5e6NQkeiJ3Zda0mPHplJX7ofJnOkm0AQMfaZFIAf5eYp8evc9QTmiXO3re
WdueVGenZcmIsQdcf9UReHAf5axovWERaJzPlTONzQF/B1JAz9SOfAppPiFcWpi6azwqffbcV8xC
r4LC0WqbVSGtQJ8d8AOgfLbAwg5paivfpKAdOiIvzyjUMYjFk6tohjqGF9xFJRrkNZin6lsEQ3lr
tpMwDimmUpjBVYLRTgPbrjdlKMRTbhQ+T0+hkmKnlOmOq8nTynlBWzGxMBJGrffdRL34ZQg4iW/S
3hSgg8NqepHK6NS+HpVZQ7OcJm+Tpk4M3IiE2Ete9nhwR2s8ojcOmnOY5t2NHnVymRyggTAR+VFR
ORDNLajHuiT4eovwu7CY4lkFluofZtWXLzU6xatDn3NlBXVwdjPR32o62/ji5tS8FQilmAzUY4np
WI1y3S2JjbiqKOuWyvgUzUb7CTedc6RF7FAyyUj8HoZB+jhp04kGOf8uShe2YCLQxUnSaz36FSU4
36qYMZsD38V20kcffIzom1RnFoaTCcyLGuf0frCG/DtQyfkFrr+zMGnEVO06oxzdI17bEYgfN7Fz
q2u7qtYiHiNkq9MAcSTvGvcikrj8khopowVjmLvrTtfRxVZjOj0iRs0vEpr3ymzrqTpORcIsLg+B
OV0IoqbQnjGn+e3RH0gpMx8QGvISGmZX3spWdY+4t+zsiKnS5D/lOg+TA107tIcJ1FbajGy1q7zY
T2VuA8IzMnlnztlTmnZ8JaBRnugVWhy4whziv0+Pa1wl9AqGddwY+hl2VGPDClBJ+3Gqh/RD5PZN
t+Uz0FAOMuWtI1LNl7qypk95MdXHwUtrvJ4+60IEaCmPrPhhRKl3ylQX3dSlzfojerD4omjCRyF6
4zxFM0+kNPhCIrdRw5oYbHYcQsvWe20kHNrTwp3P5uQYn7AAcKjvRHAXWp086az1L8MQY9NJgeDH
Gqgh2G7xAuU+zFc5lbqzr4Fpy1preHIdcoBmMi7+TLvZHlz7LEUL976xucnstAdQ5lubKdPoTmpe
YlvVNSb3Mlmdwc7VNwkARiVMw6DUSe8bTyePKS2NA/GG9igcA+B51ySa2mDov0TdmH2yJ7LJwEO4
d3SpTuFURZ/MWTvTCt3y1R6z6RwyBbLOSa4fUfQ468GL1Mn3GDpX1B3wptlmxsBE1pH7U82AE6P3
HiROMbGuJW2uwQPRrRsKVaHXLUdnxCuvIvEZKBQlPBsTlXmwUlXHHZqZwaNZzsmtCUNqVY+Ofx6S
uT502HD3eTunz6gOy3WYh3KH/y64ygF1pNnZ1muYKBaDwK4fQ/pXwyrt0+DFjhI6K3FkXT07SY91
yu5JtLOzCUonuEJ5918jOX1PM6hLVdh6920kxL6zVHeuyHodYs8M7hszSB9CfIbrGfxAtuptw7kl
ypVfM86lm6rI7qDEEZZhqwlni9xsyGaKyGtfnLrCC7B7xMWZxdjYQEeJ94zSU7SbIqQFYTydE4x9
aHbz2j+Te1KH0eu9J22BVU5NLW9wH3n3RhLifErD4hRwW7JcguMg9nEnyJhtq9ydd7IU4mOEZ3L5
QiP4eV1dr6mePJXlfJ1GkfHYzE7GaLFfXGTAlhS/5x7eQEZYVHxy2/5rHE7mPpKwx+DuJgdtMdhX
U99FghV9bfs2efIbqweSK6MDjpKM9RZcnq4IwkVxfcpaZd5UbbPrAidH2Dioo/Z0jPcyuXoOkpPa
cDzQMCHhe28ob0RXzCu+QOyUVl1HCp2D75Q7Sm4BCviQVv5dmaTNVXRh9B2QUvLZYfr5wcu9eqtL
OEG9jKebJBwrpMe8LUYWO99j+LWM82/FbDUfapHVe5NIBF++eQeiPuITE0v1bYVvh5Vm0+J7kv4c
H8xQVas0Z4IknzFBIubLP5NeG+SmNMJuWKtWJHeRH8bLRJJo73HkxDcOhYFzOXfTjpd1tEuw6Gzx
daJANuK499dV3ARnhwmPYxHgIRgK+cy+N7lrkY3z9uqy+OCgd6KPChHonFedTaKnLy9k0VD1Jdyx
a8egOboK6965ti29gn5URBhKD6PrEP9lGLLdz47FeycaJvexpbONY7o3jNcOCt85zHR3bZwSDXc9
Vx0DW/689mRafo1ptKyZgMxxvDT1M7e1v25GH17YpNoVhh5gcm0cchzSM/ZGz75qmejtDHgWpUdU
XkqXvZvLdmgP/Db6bsecAVQaIPZscBCsHU4t+5iyxorzELtCNx9XUYzXoIkROQ44mM+6StXHXgO2
TMIg3JXSKS4jz1wzkraDGQz5CcEq7KdJrwztEF00qXNtdDuEnEA4WKwMclSfI7Rnu8FOu/MkWGNA
1tiffHTaR4ryvDtkkW+WKNpfcWteU2J+O8mL5YJqoIWb3UxnW3Q5TCI9nq25vmU2x3qo3C45CFyu
xzyY/RcZ6+cirn2Awh2WgjiLx9XsmyFgkeKmZOt1jJwi25mIRvdl0BQA4kLxGM9+vA+k7h8tUb/g
aXdXs83OviPWCaUD1G01kl4uC5wVyDPwTemcVFqUZAem8Jo1PGMOC1mirzWWF74kOpsb7AnlehiD
4kg9iahWFPQnXcF1asN8fOmG9nMdxNnZTZU8xVEueciLT+2oYnaFs7knBUNm0neGGd3QCIWzdeZq
l8gew/SYW+dYqYe2t4CKVWUoj1bKTYzy/BHXRfVULPqKqBLpC8vvZyKIKEgUvgoh2dsYlr+p62ZY
S1r2u07qV26w6UDod96Svi8fJsS5oCb4rhsnLHajDNM7K8DLBjsJ5U0XCyzDTQPtt3oEkYui2xHT
ycUJtjab5fzLQMhfmROZYFbHeDfNHom0CUwaQntr1Rm8xpnLfME4Fa7IsmRLuNdNzgV+8EObOKg+
53Ha6qlyOXLYObjPKg+vhHT7xVWRhDt/druTlfWMDTRzRUR4ojSx6jxoZy45ANMbqwt9kfRYaDls
nSyoHznlA/xjm7Hc1kPO0WgJucXTvZMA7IuY0XhsS0fsZyMIzq2JQS8KHTpFBmvpOgubZ23EwWvQ
DdW9WmrynFA5Igcz2H1/co1PrQGqIskYCdSEYx4rD/3MmGfdo9DTVy2CaFjRSu8pJdR0gkuF48qN
BgiBFemB26wp03v+T+NDNlfegcU1Oc5xXjxz2O0/MTtu3uGhds+pqJxtYUT5LbGY5DQtHtescygL
mHm+18UCL2AU9ewk40fBueBjQIz0s2+jeLNGy9vyaIJ05BWzjSTSgdmZiYyW3VNptfdWkwqGSJPx
HJhj/ZrCWz7xmsENY1bik+oIHWYqqG6jvhw/VDwsH6seQNQqaNjVxajTzmwOPtRYibbK1dklx614
03COfpUxGwKf6ZOIIuGl90S/LycZneU8luAXOWgXfpyegNpM2yl373OSqrsxaNPdmNvTLgozd0cf
Tb5wQhkvdGfRvDnaafYt6/CpMv3p0sbNExKYiLltm7Uz0uZaIWRaB218HqUhbmgGRMcurah2lJ2/
CbOwI2DuhKR3rWtv6XAbe/NzRYJ82xa40QabcoJqEMzM0fB9biQ+J1RoxZ4QiH90KgVPRwTZSgjX
OnpjeyeybuH4if6DimkLUUXlpSLBVCchgVbld/U+zIvyqQwQvTgtI6SFHR3tiT1y3GjoBMyy7lSF
lrGCaHgJrKaG4si53jDN7q7xPHCzSeIqjmgTpfaYEiwcs6hujn6XZfspcK5e6S6PbMVjbMHINsPo
AD53WoX8Eis76eUhwV14mL3U2SBX9A9dPBZH3ufduRz1dD8HnrpHZd2ca2Pm7Gk5DRuN2D3x4YtT
riufRHpVs/G0n9xKo1Ezu5OyUm+lS7N7QvYNv4XY8NOsdf5gmiNYHMLyQF5q8XlImTYqKvKzqgiN
M7IuTc7ElOpQA6u51VTs942HsGa24nNoFNPWcitvZXPc/Z4SXWQ4p0yJ0FEgPGU5kd2VYtO2Kb04
gjNoB7uRZ/FM93xgt9mJF5tE+SvAA7icPpXGDXUbvZ8SWd81TZVcWXb7ntA88fwVq2V08CKk3gTN
5BfTm5H+0bfZFm4h2d60PZaeoWCSbmr6k8kmet3GZbIxyXGtOboWp8zU3cec9v3aYR9yp2MYi5lV
NHtmOcMPvJLDrcGg9GvihHpLqxoIFFQ+9vJlcoaAZR16EzeEofwW0T0NMrbJiz61ajkwukV2Eyuz
P4tBmnuqWRaR8dk4DVZyqSbRb5nwCm8DOCkoQVQBmBL13ndXpriuFL7fg55Hsakxr1NLiaCVJj1j
6VTs6AcF+Z0aETquurhzt4lmNgAm9GsTV9aNPwRqV48VZ+hydvwtOZB+r5K6eJkSa7qYVYcIrjFB
eiR1e+eOhbpMiMh3eiyAlhRTsRMV/GtNa+/zJOIpWFmlB4a09afb0Zvtj62jEAzacfkkFMfEVWNm
zSXzkLGEmXJv68mZ9rxAUFd3ff5NZo4dQoNE6VzrOf1U+Mb4AEzjW+jZ800+zsMyxraMrwHe2Ht5
5O9UNlVb24ffshzvL7KpcRgFAIIMVK5bGRGtpp5DgGQlQkCoiWMY99RMqYPZcrh3k0k9xj01H6rO
7t5sxXxt42KRJeaQ8CtJ/GrUkXk/NHN7NuCGPsTdPN4EqYS54jlwPWo4RVXQM+1pRASv24K3YZAM
1VpybgfbsmS6JbnQIEnk56ZdyDAJDEYbCCP6sNrhzWc7EPVlYaWcT8k+Up3H9O63w7OlUt4ekeMY
9ipcKNFNF4f30uCoDkNtJqMbLGXOlCFY3kmO4X8rDda/pbZLbYKCjjyaYSfizRBSdZ26smvWhGIw
gLmWu5VIHR8pw2Ol12gkF+kGZTjQ+0RHIo61s523R/LgEYejuNkyp6Hm3eT1+ovM4QOyDe2sV0O3
8ZOcUpGQq5yH51hznBU29g85jQxLEBM6mm5VIr9uRnbRtaT4E46uyU4hr5J1VE+vA0L0azew32Rg
lh0ldrtHvzOzbS7m7HtptP03U1mCP8OzPkeqNZanpr8XCHFveh5ii4N7Y+19Gbsf4OnF6yQWzq1Z
e/1lTEbmh6RBebwTFIwtUxvAd2Znn3Rxs4u0/JH+vPfJI+8EdyfnVJfInyQhKkP7c46Ca10pNh19
ZBYfdT+OK6U7VDz16K8hM92kDHWvc2eRHVfOtzRJhgNb2+++6m6MRFdrqkZf/aa7wtdmamf2Gutu
diqxSqQFMCod5h2OX6A/1N3QgYb2CTVJs5Pcjyv2BR3TB51ch3wZqvM/iJEFfeTlyp6luheqPP3o
yUL1u7crj3pZU9CCY0BhGr9EkfFJlwz8ZPPsfsqT+lsUpynFCt9iB5JUO1vY+e1kVQPmCr5xthGg
ZylmqtXktI+EsEJYxaWfrYcwtS+DgTMICR1HXplyroIz8lebWYz2Jupguyya0qEsHncUdfo8Zviq
VIpjf+E03mpyrdepZrngYO7uWbYfR0E9wpFNsqGYdpnbmn2gqU3jOOr0XjFfzMkH3VvYmy9NEY0f
GMFqN40Jf4mCebyWDZWOBvXyXTPE1U3kuuFFErTc1pZ4oIb+XEeWtasM49mFw3MN/friDkgXeJ4Y
EUb4cmck/rmU5nilbONzp3EWHbv+gl83+9oKFsTOq8atl1BRcKOCYxBC62MVcSK1JyBNYhz6bTtm
+YOfpP5nyxrZWAGC2RaY3o9jOurPTm+DEA5tsNW1GzH9iC7USRt5nqdUH82mHnaCw94hxKRGCWWy
d7RMgjsZWdlZLoFGK069W/AQw4Ydln4w3Q5GQZUMD6XgoRxmcoCxiNoPDLukK45C2cchXRZZkZII
zDFLHAdwDw50G9LUK2XwENc2MQRzYrQL0uawTyrNnFWHaHGlYvHZtyiwlpPLBduMYoNVGF80JYF7
6RnNZsi5gbuAMlppVvouEvkMUGpKLn7oDk+RFeBdxmt+1aGjqKIxLYZ0lJwk63l8iOoguRv8uNvm
bdUcEo7HTzSiyn1Fwe7UOp6iuS+HFQ00SOIWxeCQ+blBQqwafSrSoiThYJl5eNNkw3zqSDqfMIqr
77Pv/UXzBoxlFnrw4jxmqnwLeNdoGMnDWMasa0knd4Yawmcm26jUJrXmN4izdm3NzfDk2ZPHKJXh
BmedOS1niZ4noZ8stFuVxXocCvfSZ+6E3DocoKDnM8FPEkomKJJeOiuRVJK9ndGsbJo1F5pgFF3y
wr9mKVmCLRFbuY5K/cljcuaeF0nkrEc/AybNW2UrRqpIJhOSe3Li3p3p+CwOBIaZ44sCeLkgv4tG
U4szu6uw00cImuGdCzH4TEECOlpQtjlYoVJdqevGIMg69dRWU7trMm9mETNUul2G/LZeR3V95RTq
SfXtYxdm+W2pgvbKB2F/pK2QvTYib7hkLtXNfMpK3vpTue8VnpKgzcpLX1XuIbWxHUf0qS5+nxd3
AeGiVzs2qHhS8hgfEqFI+bY+VpNi6A8GY/k3dF1ydoAd6LM0iL8YU/dapHXarog6NB8oTOGQJdsb
3y4Mio1r6/5UVbwKAWvix0zLqUBGljcsZFWwgankbBrbRU9D8XeVWUNy34R9ma4idkIHv7bvy8oa
vtYYwq9THxhUz5qXwOYwsjLduqbsrr/MsTccOd4BRYvZJHlM59WSvm/llhcyftZxZnLwjlsd6RWH
1Wnc2nM8DPc9F6J40zR5o7bEIOZgQ0EDZSgvP3Qn9zSV84ekjtj/B6lwnjjYS3FT5KX8OCUewYs1
Y3kFqExem9Z6oY3jKrHntv2atx0VFcMe6MH47uJ6nr2gdV+Ydi3oyU6NgDWssooDFuk0vXU7ZX+1
8jSgSdvaYX8neiYiV3FoPzTCt5sNoAsI/2NpDdVudPsxXzMF2porWhmEZ+yso5g02M4D0Y2sZHav
LZ/Lhjc8lUpAjOM4FXd04pBsEio9Md0moqOqC9WuY8J604ZJVf8zo5M5EdoJwvNUdAjqePfI/fJD
f+zaCEA5JvMT1bHuniWT+gIzXRJoqI3QzqyzR2PS8VfPDe77ava+TDSHtnY8WIAi/buGG2kF48JH
BkKv40Hl0hl4CMLpxipnSHyFpZ0nw7YLvZuZSzlWWSO6GzcLy+9lIYZ7s3d56ntObMPRYO78vkkj
8aLiwTGPXVIl9wkH2JSizwBJEm9o7G/noOyvYmDG72RSYAqeUuGTV2H20XBfHWGk7XroQq23Iihw
gsiEtgLrL8fXbHT4EiElUdmRrUirq4YHQkUqybtHr55duUug//TPcaAb4wibJIq/tgYQ7k1mcPe4
ZT5xRNHlX3YfieQgBd8rOOT+tp8itYcgR/HG6nXxCUfquJNpmnCKbt1s75ZFgq1g6BRjyEr1VE6N
/klJw93xhdmQOM1mk8YDNb/M/iYGFvRlSXSbYNhx7gNWYmB5cDkqHMd26L6w5WVc1WmWLrPONmJI
W2w3McYwN212TEhW+3IezENRi/lSqkSsG1vka7N3pr8CXgSPuR00ID84sDwvw0X3KZvqr6acxdM8
DP5Hsw5LDPLKW2zUdHIxRMc3TILmp4p+9dfSrdrdhKWWlatzhv1U06ql9e7idddZfcMQgE/Vq6by
u/IpNV+8fnC+9brOD31Ncyod9EfRdyymTn1yyzqPadHp+okprGo1ZtWIKgJoqdbL9mqw7U9EIV+j
SpdngoPWX//F3HnsSK6kWfpVCrXnBbUYoGfhJF17CA8dGyIyM5KaRjNqPv18XreruqobaPQAs5hd
5a0U7h50s1985xyU4v0hK/3xYUky5jx5SrXLCY14OqPYNIuekTB2dEc9AYmVDV/ZaaTqJT+VGZEa
xSNWC+Y+01xxkenMI6zNixHVQBaRa4AtmFQGF7LLjUPtGW/VnJmfEmkUOl+en1IT2fM8Lu5doOxg
35JOtZEwcNFoL8keeV757JXjemA380TZbeJxUUFtwSTwI85X/2JrAVusASD6ZOWWv+fp956Gptdf
3JSVpC8G9000C9ds3lgiGrS2IlJ9hGHIpfBDjij9DmrG2ih2tG9+25XPqcrmi27OYwT2IC6Wa71w
IpnPGBVlR3yA8QVdenpWs5QeO0OrKel0MH0d0cICbDCeXl1HvJTBcNQnz3vSqoEcgHG9JlL/NS/p
lEL6M3QwmLYeG50MmgKPUNaLuRE7Agf+lRFFyHcXu2acikLJ1m2Dv8GpYyxKaJ/n7zvdzQ5l5eh0
3BZZHSuHVzhz6L6WU7Jue0/8RALNkcHhiIfr6JrXvDdE6NqMahaUF1vUAOtwK21uX7qyupMCGMB1
M7yhU4uvV2pR7KcT7LFUWXZRhjRjBks/MH/BNRs8hlBOX81h2o8sdxfSeUXtdHu+XuaeVbUT1rci
vuJBvB/M1b8ufhKQRN09plDbj6U1DK8Zcc+/ezEbfgiOpH4F42xe+laKH7NcraeJI2CjQYA+j00/
/oZTmH/LQHh7bBPM24rvaluDPLV6Mp81k69ZkJrX1DQeMMVzXvIgibkVdMo/qzqUSfAjFbjm+qZs
TzmvId81mmrvWUVJEH74E/To5FJMq3ktikU9zESzL2X2NXoWQ7fKDJr9WpXPru2K7Wh18oG55Tht
W0VxQZTAGaU/S1+7dZNTMM9Du5G2sLa3KexG81ix5tyfe2U2fpiNXsc2eGYXQLYQ4INtUYFYIjuV
afHuZ1kGB07O5Cs+B0ye7dJ55tFYuLdthCk+DsllyokhR8lLGlfvPMCPMfRzzK3frHYM/YIBuL6i
dx9ry+D7hE9ObNKVX1DlWg+yLkg4J1tqsfQJw+JRi1YqtKdCjGRZBBAn2cSf9TPgU0dQfhhDb3/N
7Az2rtVRX42zYW48VuZPqVZmT6yKpmeHGf0h75LlqvqRCgETBMgZWxTTZgRxfROsEvZFFbzrXeIe
vSSwT0pgmqqVafZNtcw8Nqu1ErlNxtd/I8XkZL+EXVdik5CO15z90U52fakOwuA7e175MO5nLV27
MxSOu01zsZTbLh/LTVPmRaixZ8WMFt302K3yiacl+SB+XuPN9Zl1rwa3Z5wHCUu1eLP4H1ge74PV
9A6GJD+n1Gx3r7nkk7ZW0Z9dNx/y17pfsqO+plWEXM3ZlS3h4qhenYvV9+rSGCNunYp1yxLlUm+M
Y+mVGeE8YD0p/rmljbiahWlhR6Opa/NxxZYG0VvtNnvcH9dzZRZ44hhkDY7bfnWt/KPQmWZnnFlz
Pu36Jjd6QpMG18W1DbppMy2YFj8iIzX7i9tJ59kTUHmRnZH2yk+JpkZ/tSc/8R8Nb0mts+ZyKe4z
lrtjHge1XvJGzT5Y5qNIZ0d7nqzc8S9DCXV0smsrIXhBq0w/VmVW9z/6xbS1e1iyKn1klTtNcS9t
G1WUHYwlGFiuafX7qsmkUBtUvA3AEzPOQm82yPXJ+/sKWt0of2fapCUxS1/2sFW57h0q2OPgyLXe
LC1jDXuUNSKXbr1rzHkNdR8nhpzh8hPzmHUMDdDCU6Wa5U7nO7/P/E5lhyWpsSTuDeiZOcCE15C1
t00GpyT2XQ+iQbeTp940942L5T8VyuwY5blgVf6bWZL69NzF+nI0p/IYnpluGTXYH3wzoVh+re1k
HHs9cL9Gw+q941SLtnoQC83WttHGwj7OQvLMYf5n/kLioGHpHZDoBBnFyibpgTmTUtN3tTMtv92M
dmm27YTjeqmVtaG0Dpx4Zn0ET+87xrb36YnqdGj3DnfJHNdC4aQ0Dqwbrr2emL/92R0Pyihpf+YA
tKfA9iRhRAGIiWO1zZjt0WnXuT+l5Aa6Q8hSwlnunbwVadTXRWGa52yecvN9kEZVauFslHP+C+gz
Y5pmuoUaxmetdEV1X4+GngLFWYs3yId21RatCIvKriC5Kl8O3l2fz1559IOgDLZpO+WU2L7fD1fb
bHVcttpOdzCihhNJGflnQwIVF3tZLnYL+WpvnjI7P+rbYe4iz0umO0baU0f2bVO3yzWzVI+yKP1k
kTB+NGL1imhKE8gCK2CKtESGl7BojrGIqNM3DseqfOs6mi+g867aB/Oi6qinbRT7aQwM5gqN5vVg
GpVIuTNvGTF9PPpCjffFVKnyGYbI6gvMWBJCEf56iy3/v4Ky/1sjpp/z//opWjwz0qz/35f8pxIU
vf3f/oH/+O//+svuH//+DYX+l18wF8/75XH4Vsv1uxuq/u8h5rff+T/9P//y/be/5Xlpv//trz+x
RelvfxuH6L/YLyHl/ttHwRtIv8V/gbJBYtIvtfyzYdPf/sSfTLZp/uGjPbo5BAOKwsKjCfrTsMlw
/8C9g/+OXBw/dtye/8Fk2z7kNWgV4mF+A8J5XsDfoWznD+oWtI1sPZBr3Gye/v7OH/4UA/Ch/flK
//3X/2y7gYTnPwlt6KlRZ91Epsiwcd/9zzmRQhTd0AQBpue+9pmA7NK+ZVhv7ztsUfaWWTWUgYQ9
+x2ZrWZyNzqZvsfBSUaFl1lbTxhOWDbCj4qyfsE01916E9fz4N2a3gnpatJQIczFOsWDkVqX1mJq
xm74y/Lz4sEjSejoriRk9UKwoKrcj2Vyfo3erh6SL9WZVSxafzilbG0f0FvLoz8mVmgqfI5gS7Tb
CMagjPPn4IhjafoAMTGHVu+YOAclh76d2Z0ZzgPWP5/FQoBX267nfKKUMuaSprzXdhkoF6MDQ9tC
c1gX9o0WcBzju9vkFkmKn3jbqkrqXaZ35ZWeWZ/DISj85zQT2Gj0XRnLWvdf59FP9lh92kYExTlO
G+XmlsnuadCfW40ZO29Re27R2ddA77IJbTMd38oOF4kqT6ipc4j+vT8on7fjpRzykszeQ+sF2vPA
77h9nGiAoGlxdR303iHga8azZlPbU4IGOzMi0qYNosh0hGBeioP8suQTI50OPJachka8B9m4azyh
xZlY2s+1xOhbMxZ4Q9o9igZ39MonO6UG2WjQNiTd+7V5XPDwCFhLdAC9a5JrZ9R28LpjVS+ht+Z5
nPT86GzMYPWNp9j3wmNCwrPKMWpWE575xs56OBTZUsOFyWU/t9VPa7G+RbVe+nzF4UfYy++qYh1d
ZtogscEp5GVa15PRPmK3hClOHc2lU4QCHCXMSra5CUZLpM4wlH5fjKw7zahwvrRBPxk0lADKfZjm
nbWjgNqwvLafllQ0h250fkrZ7jRN+2CJdTC95AfeJPelWnfNrO9ro76qwOMNVASeyXRxHwYMEb9Z
19sbJVZ1VA4/PTeFoZh7fSapzojMlL0M+N3JLPwKoq1mdFADdBOKMyMeo78Lcm84p61V725j2Ahj
wh+W6+3XxtK/5kCjeMI3jSoFd4t8m496c8AZFOIOr/cbIGAur2hi+essvdS2gclGsXJnFeNb8NjJ
qmVr2/rPi+zqR8wy3bAZQeNhwcEx7HKk4/TqDdIsK05t3IkaWC5cnVj7zuku4H4ic16kcWHmelwV
1fyiJGQ23XJ+HlpqBcUm+kCBxrY7qfx3bmDrMo3sYshKuGmNelQZjfrwBtDeue3cNOyLNKFVdbFj
1V3SaxiuFHbx3lJVbCzFbjUoLD+qbayXahrIcVXyTm9SFvxmInHCTKtQ9CY1hOXkZ0+OP5dqmEl5
VLyupFgAWRado6LT2dELVIDceqBSuWKWWRFvgCWMHpnwN5ck79IrPgHT2cHBak9/2pzhkt0Pcnee
8Ez2wk4UTzkkrdbiZpWYYIQTp9p1XhI98gwMrybLvxdNsBMZb7jEHoWFSdj2lwZqOwbscU/+MMlL
TYRIHjwJVQdxYSMZUSSU4Wz120H7sDG1iYaWcnjr+Km4pz8+D/rk7kitng/W6nlX+E5jczuhjy3H
Po+fncZOWXsX2ZN4kLscsakWLk0ZT+wfi9Hfu4K4eQMS2292VS44HCiZkNJdkp6vWjf9NGmCQoQ/
22UqGGwjf03ClWIXr+Sz0z5mjKiYGKoYA7MyBi/ymFyX7jlRTmQtxrf0J41hQXAcqTFChGRpNGZV
SxYSVb7eude6rfNHpmUEsxlldWwTf4U1ssQvZ05xEWnL6cGp82Kvj0377OgqzlFy5CUL2EyR+THU
r4sNlqhGqEfHOUIHkcllfOA+wCnheydIYRv0EhsC0+6CA8WsviHmKn/O6rnCsIzgz4N06uPM1Mhp
GHSYk96GUMFJT0obuX/m6L3MTcNf75NUjU0HP4OSMlsMHXMpnZVkN+VoHKpkbzvo6a3lV4dId6cP
bb3j+zbvc2t9G8ebgILWOZoYY745QR0BpI4OUoxu4vkNxodC1V9OOrBMFX0bFyO5kD0MgmL5DIJD
Xp1XUfUHZN/0q3m3LMa+t1LtwVi6hfY6L8PWaO7r1X9i9HUqDebUnV5GAPkPWtJ+TNacx22fLbFr
yvydHh5sBWFziCqPEFpcq03W5RsT5Pxodf14T1fRb7KFxQp5xyUf9h0OVdZuwXDkEhTG/DqiZNlX
1QpFXpQ7J8Owrh70IcpMeBzcqGNikTblcF58tNtFI+l0Mr81dsnC9CeTHUt6bt+0EEC77KSKun0f
u8VEStU+1Z3yj5isAO8ZXJkpyZ6HSeXdTgw1jnlwaxE+3Y9N18QY0fRHeL4dLtXVfqSQPvYLw8Qe
ose86RDX0Y2cau3jDH+4WOi+fe6Kj9VvtGjRE4+2QPRXq9cc2HyeLdVrb4joMxgIYew9qQcPgHGk
reV9e+B6sPcVp0coUmgTvaGLCXkL7s6dpkSGmtKJf9XSgj+NDMDC2xRK7aLjqU62mPfCrGhnuX0s
7c4nu44gTZHdsyr5pYitkF3FlZElPys+i83g9x8Vo4tYFsw9sHVItqhBknepjRNeeNx5aCKd0K0X
Y7cG2Yx/ZNtv9NGVnxmVesISSiW0EMmaxwXHDSBvvkc7ZIXZxEYXIzGcp9Nhy4n+NklmquS+kMV+
WtviPJfvKUucuXhnrXPnOhUcBkPtWeycouDLlllXF5f4znqbxfLUFM5jWv4IUMlAAm8JWPgEAouM
8oJ6hxzAQymGd3PgXh27aOzFPVPtPUh+RGwgI0D25LG+MAekp7hOyawfZeNGyITUBrvFg1ukb7au
jRGe9FdCvfp9NuEb5yto4znllhKkeZAL3I8IiPJ2Z00BaGp1tPP3RTrbQQ/Ubqqbr3Ku7vXOjKrW
fCJxAw/E7OjYw13X2/dKyIeeB4ZN07TpFXF7nbUyrvDQFScTKduYGR80KtawMRZo8TEhZsgw0rsq
S/dra7YgCfyMfLD7qm4+/dIuN1nuf2rlBG/d8bj4PTfDKJDLSL5rM4S2B6UlybcaS7CzxEqdQ8Gg
dz+VzQ6zxI9Vtk0YOMaKzV7yID0t39sQIIw34A7lbD8NFT9Kuu4hJmlRXlEbCkQJbfoz19QnNHMR
m2bFZa1K5+QMotkFQ+/TMC6hm6lkm6vsUi/adxZ4F+VMPFxaA1iufi1ZcFlMZDTkKwPObcue6out
ZWzlqgut28tiQvdOrcbfoYdpC8vlUyxpcJTvlYFityxGZhtYbW6I+Xiryulu8N2f+IA/1XQwd5pe
fVOYtUfhOOa7paxHhCK8qsrcTPBOrvZk18YjcjAeJXNM7o1uusrMuA5Js1McBp1guOcRWjuAG+0W
/iH62FR8LWNaPIF2zoe8+EZGFJq1v02WvrkwOtHYdiLwgcP81O3stposYY3aNriv8SPgu1LLK9+p
B7+ufsFUxcI2tI3Qav0wLuUc47yN+eiI9D1SQASA5N0EL2I7sdTTk+hQJW0q23vqNT/TNw4OsS9+
3no/cAVhhCmm8pxIoqDSlAteLh46P+mDM0PSUs2To2VM8MSOh5MepVSzQdCeh9il3uvLusRJmVJd
pNkBA8b2LERp3tEkDXEvyg/EiFcMJPKPRGVnSHsmwuTAZy0FOFGO8sSinO0eNF9ol7xGQ2B+KabB
/rJEa+7ryWWGkJjaAfSVoxdfCo7DdOQ/FpM8pbQMmmlz77uGXZ/MoBpPuWCzZHiipnmCvxVTq57m
bO3uxyQH0LC9+llbDEgVT9Y3sSUfB0nQwYHbUp50hWY/9zxjYyxawB49zYeYicinj3pz26cmi0/O
9N062awK66ILOSdH9jAC8VggwDwrMBppm19AKcEvNLEGOtK0uDaVRDYuieqePVaYk559ZH4JXgAr
cUDiCbgohpXQdm9QB6VS42U2XKLLGPDzkAbqJwtSuS275dS0qQKTKY3gRQ3cw+yH3dBGdHq0VjOL
cKteYqD8ZePVN9kwr+pVs50b5C0d735GpRWak+HtwUTsPVY09WYEEdD24IdJOPXLGztwI0q91map
iMD2vgjaZZ+W80dGGFUT4dNfwPPLBR4Fn5h7VZZmzKZ+2S2clHHfausFYSJz5rWVu6VbrU+kCmSg
u/10NMjV4KyxOYkx4SVTi/gOhsYiNEd3ivq1GbdoJOUR+yRSaUcaYrNbXzyj1N+mERsOByOK15VK
+5XFC/l16wD8VDj1zvCbGjiyGUIEL9VVZ1+MjiiV+imRwy3Umjgp5SXdpVqSMkJmbNxLNuq350j9
Hi0CzBirmxdl9bvcaK5z8FY1GcxaX79i4Su+jKxO4tKTGjd5Yu5NDe3V2sifzNft3bSkGPpgEzZt
2jRrd54+W2eiUMlG7wz7Ic+dDxlozgsiQBXOawNoxffsbTFbehp8EM9JWs+7JGshEFh7XspMPhcK
rxE12c4BSTsjVK/+6Guer0TN0YLg6shiv9qYHRuIRen+ybx9I+cyeMWaoHwcLH3e6rI0otbOH6y0
+93MPaUd7sJnQULihcZ8fpCjEcTw/O8jNMYOF5Ls3I5sS/GwWDmO0unk6dzb6ASAMWv0yviurMWL
Lghkw/kZvXZGrd9pLRjOEq5ZMJPsZtp3k6GSd58l/B6RqRszrHfwBeXKue3P9h49Yeh5mbGZXFbv
jt8fNYP3koxufxxtyzkkMPePVhosewC4Ggqbajdq2EG/mzJYHoVRmFcKNeeH5av+btaHfKAItKZ7
yZnOSZTZv7RGha5VjwgpWhnLJCHWzf3JsjjN2wfZGz/TCT2KPJjymglUgO7e6psfADPqWK9DFgai
rfeB18lt4MmAsnMqtHMgHe2xMrGcSMtyfEVOkEdo+JqfPJEzMwSl7Wt/TM8oRyNbK9ZrUVvpOx88
8fKWV37biT0TjMeywS+D6hkeh4O1AFWR+vps9g3tQpXMr1ltBO/N1NO3TKb8mNm4MBO3ik/wAJ9S
ipAX3LsVibSaV6NMHoyoFKx6x0FWv0RQ8CD0jq13HEsGiKYalkGPtUx4qGp9a80+aqtwN7ab9ieW
JynmGL6mG7tedfg827OtXVGU3/q6UaXvNswhKJZTDR/pDJGyyQhfuDZuIx5K3uOugsj0QiddyvNi
2ZMXY0Fu3LeUfofcqmVFpNxthW07mXEx59Z6c/Oivpsrc6Z6MFj34pxu38QpUzI9DUC5a2TxTzIL
lu4dzGT1qrWGDU+lrde66+hMDa9qD8ryRUCGhEye4SEoXSYpvAd7LZ3vBF48qiiJucQgl8Opw78S
R+3COzE+z3fCHJY2lCj1optj4w8WBeYG7y9tW8qU7hk1a+ygLEN4t3o0C4KWqQiQQ3qiP8ITE/rO
MENiU1lOYG907ywjg/WhTqT5Ikp6i7oBzzJVwrSG1gp5jwzIgGQM5oaZ7yr2SQvG8bhQdzsz8b+c
TBxG7CdD9K06pz0pkSTUlcds0McQKqO9pG1BiOowHmdibrxCOzWZ9ayUEdrSXDZdKrc97ciQdskj
tFK7t6m9QoknKKJb5KDwvrxkxYrQX3fKvrQsi8K84oZMzEfeBdKf/t1Gm5IvdlwMZMAMrjz46I4K
cXsM3uU0hoVn7OoA4/nEDf3c3/TTXUrpyibY6yLHQTFXrIgunZKUdHkS0sJ4PK+4YvCLNyM9a+pY
4VGvz69l5T62yxqhmdnmi/9s6zXb+2REhrSfKlSjXGijPeF94F4dHGmf6QzHnT77v0lqhoLG4iUc
fae3N4MFKmeMcj25meseg6F0w7xgcYG8cGITaRnLcrbzcg9COYUWioxwMRcM5O3qlekFbDkzxU2R
EImFbe/OmfNm5/jBqdFJeKkz5+Rbzk+/u9V0Y55FDTaaVPDsj2+tp82d8FhmKwYIjf69mBTfnsjr
Kzdw7LULETIFM0Bv8jea0zLvwLUdtyxzSxGFYpcDjyQncusDSDy/MSDmYGLgu/wvqy2jvDBZgnZx
HSgwETjpWVXVRpgyhHqM0H5xuTlXpxlJM0zjmtQ0hkC/zNm7h6m8BLTxQxu8NAkrT62wsysbfpdg
WvNLKNtihYxyymCXrDvk8qYLvYmf8sFii1Q1RZhbbCIeNagge2LhXaY6Va8/x5UF+OLqT7YjyJHC
1b5zTnOQfkIwSJQmq4TU9YLnFanqMPonA1ldMJhRWVPJeu1p9ceCJA3/JWmdq9RYUSlwsqnX7jGm
2g1gLHpWXtKCd9ybM62AG9vL/Onm5E8Xy3auPC73+q4AoASh33R5cmTZc6VSvStB45G/u0XcJP6H
zOE/1+V2pqfXsYF39PPA2rSJecCQHXtzP4nyyelD016RmGi7BiPnTamwOAxoYTZCSfvArf9aJG2Y
MHSMxrk7F3p7nVfUQebBoO+/kU9Cd8SGBi/A3p2a0QHv59myeBrrOB29I6MaG2ocqHNU4kFoTbnv
0/6IWJb7jGBcqiURWmziemcMF5/tltcACNX7xXpg6EjZP83kBHObJDfblqlpNg0fDTMwQgpL+lu3
azd950FmTM28V0vL1lVngjV7Tsjc72Hyq22H+3rEhiVkk0+WAHM2BmUHIC1Qhum6WvrOlVqUul8T
y+U4UQmXefDLExUxFxCOVfndqoRZvb32F70x9UfVLWPkZaDvE8vScC789DWokVgK28z3bTJgW+Ki
xaYP+qrI/YWP4ukW2sWtOfCquYBgGYkcRmLCiG1ojhkmeUtgfyj1avhpOAbBPUHewIXB1pN2G44D
ucxVBLSyseynJD8HuU8oGuzkZCcRaQXBZESTfGsNoHXji+KcYDhDYmjW+Q/g28khdeaTqNAmtXJY
sYlBDproD3UvL4XDtJVD/kejz/d0IId6mt7IkjjryxsW2NdGBtyVq/DiCVnkvrPKtyIvdhltitvy
Q2mz7ia8wxyDfSSuIi+aecm1lnUGybv6cNJRafr1Gq1FFZo6Sav1eSmbAyKafaPW9KT4fdNwsEB1
S+6QdNkKPG0VWuYoowiy2cg2u6R6Ye4AUvQip7vR5UTx1ifDHBjy96in0X/XyGQ8StCbCSDzaYD+
pPYvbFNY1Z4K+cZRBLlKhziy0ciwt1LXnIp0tqdocZfQXK0H13nxB+zuzA9n+VF26OI5FSkrJPdB
x7kr1vnEGrfx2m3nvwO6hz0R0gbzDiRcG8RXd73GzA1H0JKNe0Q/+TZrnYF3TnVadex6Af3n585e
rIjwkhIoEYwUIOF5zAJ728zm1faG5SI7RR9iJiJc+2979o51KWLbHO4rWrxtkKvyaLesGahfIg2b
klObVM+go3ey0A5KYrLDFJofWRbUNI2kDGREcJxtALPVSq2oGLx9ptOGmgnH3+I/Fqvtxq62TJgy
9/R3N8kf8pXPxrEgwzQ1eBek5s/6hPrK753lzDjLrh6tqv/mCmL64VHJ2NlwxlRQhwu5neT94t8n
RT/vJhJuw5V8FZfjl2XGe5KmI271a/c46S+e1tyVRrmpEI6EXWa59/kauAd2y4xw0WSWTIdd2hqJ
oaM3r+hZkvS97+3l7E3OltqaVd343uKXg/eotyVV4myaD6vipjV3ZQ5w2aHs3WKOO8XG7D1nK1dN
YJ30Qr9v29dJwaF19XOpIY0bgST7yt80usFuwN5ONcu1Zr0NTftapscG44q9U/nJllF4sW/WFHlj
1rl3tj67h7JvL/irMMxto0zPri2DXMYsKQB0EzzWK+JZNTnkv6+UYiAjG91q9/hVMFMKpjREZ4El
TcmKo+uotJagqC5pAh5O3mwFP0ofksh9MAj1aATeO1HeOAF0EuWFyoP7xkuSY+6VYcanEDpe610C
WR/qXNxn2ZbYTxalhv9D8Mc2jlnpO9xAZOSY07VRHhkVmlZd5yTTd62XnWwf2Dzz9Sh1uhhbO/q6
9iaqFvZhtKvDKIe4tZGxt3b3yiz7ue+XAgVktr5qHrJyVgpVOIO+baVPvTT1MSZQr/7Q3yFmKZ8X
t/G4vQtKU6++zkXwVU+EAJsjOgE/361287ZUhM7a8IZOudeceW+0/uNapHZE/A5DLDJizNE5rpn/
aFHpDR2bW7S1cFBWHteyf6ll/SBM3wtxNrKZB8M716WcLkYH+enABsfmOMPtQBOuhY/OUpQ/siWh
aHS4wkYEh7tBz78K/8tb5aOH8w5TiOm5xZoF0A4idr5oTOR3uUUhldq2saW9P8hKInrAySws+HhC
1WKaMaGfYUWxVseuL+tdACpd+Sz2MsYHBpdjqj+haD80K0t5UVMc6yh7GHY3hK7wwGPGq6flWfOs
hVNnYq2AnU92dMfiyNQNhb4Ylx1SfYydqpsQ2rbgetcwcxW/ZwGOdIfpkAuphWu16i9p7Rvo6Ny7
UdcpeFBehbemZcwSA4cgFHkjm9fwpm1clHzk8s1x2jHzMBikCyc7fbcDU4vBRa6blNYtgSElcak0
ZJwujrorK+s+L6b+wEvLNqr360OPH+sxlRZHUIvINBnIbEYQ7O1do/9MMnTyzDDMiPyMLNI6lHaa
8cT38UHlTG8YbWUUXKYRy7Vn07syHEv0cn4nMNfny7RMNG9KnqZKL36hJRIHH43/cYX92swjyiQ2
38hxjFyLnFJ34nwd8q1ys+kAL4URguuTjdTUZSiIW6HiK3DkLnD+1NAnR9Y8dyGYjoz0nHnskKM3
Vqn+C7roTasp81RR7IwRAsG0pgopEwnpvd++p2yRHkw6EBS1RnD1Z7uJmSQVoSkrLZr8Qbug5WaF
IUadOOxZ23RB8bQMCog1+agGInhstQYEl8I6AzfwwhSYOsA//YruXgQ9ce4rddJSTR3IHCxexIrV
QDe0zkENjLgN12PojBAdf8Dgbm2re+GayKGDXvxCATDsZxN7GxN9w48FPulNlA2Oq3qz7mxCFhmF
Iq7yavlpaA06LYxOWkQdS2ZetdG8zWl5Ab5YxdOM7JF5KEuMAoV+M0sVBUbwq2ytKAvGJvZMJQnx
qamH8jIAWKCKqCnP1w3mFjfbGx+GwJzca5rbZlR77YuL+ikqTB/WwE7GuJv9dZ82wQL4rfK9X9bd
i6l1l9rQ80/2Kmo/p8gqDDVfapfPUFgFOpe8PXh54oREY12GBq4l8fJxY7X1lrlUzGrOQrzU1Ies
h+lWFoYqIiu2IqlRkBSKWNtK3U/T8JWgLIgBITjRutXsQuw1qOnbriOcUh0D/byk+lfPQCHTjK3W
Zdg+4CqlJr49mb0ihh0GC1VR4Dx1aI53oqrE3mxz68+og/93LNbtb/oHdPX/B2Vl/7fOl9F3LX6q
rz7/+ZcrJ8qPiv8hfv+lz77/Et5MMf+Zvrr9TX/CV5bxB3TTzQ3oP2wv/x2+wvUyCIjBcywMkn03
wCqzEarP/u2vzh83R36iN25OqoZn3AyPO/F/2DuT5biRrEu/SlrvkebuABzAon+zjonB4CBxECVx
A5MoCvPsGJ++PyizuiRKRXX2qhd/LWqRSiUiEA6433vP+U6//pEl7T+dlQkMKJMQhTXu9h+pryDS
/4DE9KXCuuhw9fV/ivS+F4jYwS8RHU0BRJd5AoEOgoUStuuTua6+ViwRdv65pqda2WRXcQAYca2J
FndDzZgXLIQeo2hT5AGtZ0DcWbgLeZedD9/0zUVQ5O0uLEDcgEcRtIGipPmk+z66izPLEnsbNSvn
93DqoVS3eZwQCSUkgk27Fueum0GbSHx4WZtUAlkm8ZE8AQqiMbl0otRgpAt67IU9voj3FhAvzAUs
6HedF6EnqWxRO6u20cGYPEyLdZihLsbnEOWNwbBeqGWLxJ7eYxxOH7npBtNmpkGET2WVfwkJwTOH
oariq16sBxSTaRwNAS7bE4/0UgMV10u+bf2xmvfljBhkM7ZN+C6xk/IJEvHS02RFYbYhIiiQnOdM
ft9VRJhu0Nv0pPh1VonLiWp4N3VSYRBXBkf4XJeHdlqf4MA1452VTZwijaHZyTSEUqqxg7ZGfpg2
AmODIOJT8ohHexPKcSYsy53nswoADEUNxhQAnqS4fBhLxeTIQXzAaHlJ8kffqQqJPrrlOl4+OF/p
5C5vCkUFtKkzJ7qdCJx1jgZgx1dwg5hSC84f03mDQLU8WsQALodgpsO6pYDg3eI4DojU1LSI45PO
yrkjKu3vxFQKgALaQoCWZu5j4g3YVile/Qd3iLvhTFWp/VDhe3rK0EcwhPYmcbG0efqMb314GOxp
5uBBFkCH8VKrmxj01RevHxq5SZJI9HTPoNltaMlLQ2PFntP9MlQtHZCeySEdKCn1TWxCapeNUzoE
6Raj79a0wpIxMVf4fgRS6CLy6DlXjfD3Q+iLgy5EbZ+hd7ceGzMhgU7RjYdnyHFiNORtHcEFDU16
wqPB7oFeahbmyo8sfFJdv0R0wrDAMQ5DXoc3wBvxeCNCnDr/Juy8BkGgAzpOXDbFZNg/ad664XVr
VEMIPZjDcO8HzZw8lG3Q2od8cOkDapVgBqdREszuIwJxvidiYpnsq4zFeLGkYAkuBXvBch4yhBaH
WjVWzydu+mwf5GVFgGWTKTzdPqN09DvaxmJOfdHtdJhn4gpgxjpSpZgA84qR092GunfcLWoKAEJ9
iLPp3ZDn4CIHkAvhI0aNpHjgBKbGaxHPur7oQWHgKcT3mV8AZ84Wtan7pg4+LxGWuNvcw3gFlYU3
0K1gw21WMUEIswtvxnhd070dLmoYrPgDsx7T5CYMEEPSOvdHmwp/Hulu4V5hWaerkKBMw/ZNyo/I
ZaTXY6QJje1+zMkjjvbARolbL7tEfy6coo53wl5K/THKkxi1CELkhxGe1LhlfMd5NrLILaQ2m/1L
GB90HT2UjWQPMpE+l2VHrTtklOzQBMmujAqA6QThVZP1JrAEJ1fiHKHlclS0+08ze+wddDqPDhbn
uASMaFAnV6g1nHCvUdx3t6Kkr7vNK9+5gYzmZ4c4CIcbPTFy53ePeSkhqxhTvo47XqLZH8evES7O
A2NGnuYE7QqdLMQSjHoNKJpN6Frqjv0pLe5cBgy3SdYqOhaUgccRlRrTlnaIBnwKhniyg0CKepN1
c/cEHrT/ACSzfkq8VPQHisDxcxb5glBMM7bISEyaxNNHbD20VCF6FunRzjTZY0Fgg/7rdcIniUzu
Wft2TPIOKVZCVkZfTqgwc5TOhHrNCTfLQmrWQOFBQ8kz2MxvWAPM5rD+whHLGgcaswrWgY2OF28L
PIcwyaDPqzfGdwPYnpua2dJXRaRiBlnB9/EpRCGmqcHPC5poVeLXZ8MgcmiU0EU23E8nvM5Kk73T
aIfb/aQVL90gFPptnmmPQyGWStyygWUjQoCD9cE0g/2RQSkDnxK460dHp9rdjzMT3Q2CkK65bQQk
ADRaBoKULEghzytVYlycma3tch7nB9kEPcyZAVTlplfJ+LGER3hnGejnO5LiIZ7IOsquE1BUX6su
cb1N6UfLfRWZbjxrCFYZcf0MOJFDwJcIAWRf3IeRV/a7ZOoRtBCoTRcfSsXkbR05oMMp7aE6s5tV
9uil60fNqLYQt6UmoT8MFYDFAYwu3SCWULBawzof9llo5/l+QJF6Exf5/JH8WFCcMd7+HM1Gxdk5
cSwRnUjxw63TAu1ptpFNYbIF0YSczY579F6zNySrkcvQa5uUfcTvE7A9T7zP4MP2IKDjFM32PrYq
cVnUzMA3TkrDYQthBsO6UQCRjkTCrgqQGn3eSuKzGJoMna53NNS9MygevrczKbpSBbeHewq26BYO
KVGhOX2+zzk7c8mcGXrBtgBz8LZjTB7iM5T2Ozy/tr/J4EW+YU2Ix7RxOSCjFABIAANAfeZE41qH
0TPTx5xA1c+SnLWYHVkR4QaylJlxX9rWfdw58QeYtcGXHJpGuR4BmGMwOuRDuA1iu62HvYdtM/bP
U93yebLcadxLgYIVKAgZPMPGE5opW+CPC+t+KuiOo6wv90UiLfeOFmIy7vAwxQuIl7qlnzehor30
8hImZMts7TmLOpxwyK5p/USG/uUS+SOZAY6kLvdHBpJDkFZvemrkYutnXcLbHVDtGxXlmb9N2a6T
vZrS/m3ohY05Y9BH7T8ZDleMVyhj9op5Ex5U4NZYykhxp8lS0bbILFk0O4htIsFtZ/Ovh9hAB4rP
niZJ0tScU/DVxeEhyuL8cmRiVx+JhueANmpu9NmC3rO8XgjW/Ti0DHzP3GFYvkLswE7jdMCJmeWN
YQHR1NfTuvaWSw18CvVmYr3PsFPeR3AzIRmYMfhclxV0Md6R83MhyI7ZLSzMj+FkBQWwCsu+BKHR
DXjZHUS4/MPkyGBg+WS3PbAahZDTIIgFsLhdfJGWHGlF/dBLHK8gTTvvGsRg3UP84mUCzXx0e5ha
bXphTw2tmYYR2Em4Q2Pvm3YwNyXH2S9jVKx9mqQr7ro2bx4DgNJfIjMF2U4MCDwo9e3ksRkjvFJF
0pbv+ricn3Gn1G/TEbE9dGUR3LdekJ2ata7j+Bry+8mxfWJXbm+qGoH1dqikN3D+qdMHopXlV/Ut
FrVqluNoIUshK8NSj4OwiluoeGvRWeXAScFPJE9OZyrOZR31NJJ1NA1e7n4Cyhrw6/dd+bleWsgz
DGODS2NrzldhHMZAKIPW/8jA1FxNXo8QmCqUFmFqj2i5SpMviKIFBn/OwbV/OXpzsYo50qmBFbEm
9goK5s+6aYjZmLPas5HE9fV9ZE3jsYgnDA/wVvy3rUPbGKRJywDIWZbgbqYipiPVLfO55JUfbVI/
G9/zThMWW0/eYmDnxU3Td2Faz2C3Q7pHtY64vV5XC75dPwb/Q7bP3itwPWw6H2XagbGLeYYj3z4y
EO+ANY5VmO7HuFmRQQq1ZjgV4xMdYHEPMNWvt7ExIEoTDvnvZnikhho77atDACb7SFC0zWEhBxK+
RbdhhdvQTHreu64ZPKhBcUJHMhRthbdkITVRIT6JtglYPNxd+PsD2IQt7eSlSUnhAKKWDNs2zWhN
u5VDJyacHR/JD5lF+FxxY2yl5dQn/kr4APIYDZninGUxkSznaiMzP0KhZ5rZuUKMjMSmDRZN7I+V
M/pw9KDfI7yClmi7Q01W8sCJfTuYolaIkXF+bZBIVc/TNGiiI0fOuzvltw5HVlTCmIG1nX4yrBKG
F3ScWkYYg3gEzE4FOMQ1olyiA/DSYUyBKF4Dch73WFrsD/zO9VuZIatpfcuOtj2OumvLCvIPWPR6
zKz0sPy9cfwYLUUEZtMDfrxcUFtW8AyDtWtf4kZ+Jpk7dPhIUmAM7RoTgWwU/TGsAjBjocqBaywl
5KcNrUrVsTeKutrR1KKArEN3LrdFju4IJVOu4wM4nWLeDWFDYdmpomMZmVzVRx8aMZI21wiz0Vnp
WUwOedccOsa/4JOSaOKniVE87HJXFpBsgagjP5OEPacp88+Nq1fkVh/N0Pd9x2rUJlfonq4t13TN
WR50hHiDmVdAG3084c1khcBPXF5lO9PPHs4KHL4JuiqH86ZHZkK3B2m5Mh1zJux3uZ3mameD/kIM
NS5JdKzAu8bbKdSm3owV/dazYsGyvJmqStaowrG4nhs/9yHGlhklQjrMbOigVBFI1qSq9zuXnQW5
oI0s/YzDTHePV7XKTiHRP/nGRjPPKyOTtUbryrhwNwA/ugZSiVuijEbkJwVH27Ou7TEdE2eQBVf9
XK0DdXC5MCLGIPiSthamjMZb62EpVB0eaqqNfB0BdPMJNGGTHHP8/u8aKPnWWU27l9ln0Cl1YlAf
RO9E0BiBqyobEQ/Oec4BNnZRgM+5TLodz0uMk75DvLLzphZdTIACjl2VmWR11uQsLZqpQ2Jxc/2U
Y6eds35JDcCcBEWdZiclYRNCKQvpDrT9MMgttgLkO+gd8/AU211M1YO0s0Zw4qXkUUAI9I4RG3N1
HTLWTo+LH9XFlSpC0gTY/5OI59to0uPRrZnzGu8jQ6NwBkNhmvVPzTSV8cEn/EBslYtCAbqwYKql
dNCoLyHTgvpQa1EWjCKcpdwKK8qb6ym22SllDhHoLHVHOEf1QO7Ing+YwXNoo9beL25BoW9617T7
rOvCGnrO7H5NxbgAk1y39x2Wr8A+xXy0BfV/5fpvEJ9W+bXlJUyfJ8TCCElnTJPngQtVdwc0Dbm/
tcwqQWQwlOUWeV9R33S4RxK8MRmSsdpHc7KzAhFWZ44IYX3vgpLDINzypiUK3e678XycKm98M9ez
GK5zg/r+QvKOyG8QcLVY+b3VN2SScBg/Dm7EeoTHuCzeLbSEML4M7NyFWT9iTjsMaMvfz/XQpidQ
JUxryd9w3QMwsTC8ZxifgIwvfYSDm6Vvypn5jjW0lOl0TvYsKPj1oCKYWhczhu3LzDSSwUtj403I
J/K9ttTwoG+aQpv4qFKnlnuVE+uAl2eJG3i9CUgcrcsg/ZzVlfXB94qiOdVVt/g7qfwK1R+3GK5w
Uhpz2drdbNhRk9k6M5jB5/3S9GMNM6SgyvRJYaEbVQ+l3CrpIV9r0rGUxM9LMifUotJ435muTra6
mXR9niDW7c7Z4HtWmtu2yNhtJ05ve69cR+7uglEEGmcjD+6Y9Ihv5CrpkQsagi14tqU/swMUj0Dv
SDTEhoDMptZRQowHXMDbVOfpJxiySIRqIlp7rHItR9+2WwC+w/NQCSP8vLvGuAI8akLXv5nBfjz6
RrZny9SBKVE8UXo/QcOudgRN1dW+Kl2OhHHFWh9LZ75LJPz5DXIXIJKzgkB91AuEYS0qRInxKNHc
0n4E15nSEEzwwJM0tjqofGbLyZK/pT1gmA4SQ3NO660at3OVYvGau7T46E8T9EPAZuY6WcDcHCwK
3Q9J6wcPtPpn0PiaVbsl2MN7lImTISOcCetuUgzJm9CaXbaIIRlO0pG4fDJoAT1vS3qIbOcFtewU
I9dCJgIHEk0U5oTcMkyFF8L3EurACi2XlUIEQERTofGZDSQzVNjNfGKaL+f3bUJ9cD4HMOb6voBT
W+u2pWrELMpRNBvGvqIbFmV9esXDBGCP+wsp5zqvEU7mZ0nVdhykKkHlbG/7Mo40jv0ige9u1Zq6
7QzT6NQemeH14zXdrTS6L8KJo8XbFkWVfd1ZMhgsFEcF2CAyhwpwFkL3Lr1a/ERdfScyZhsbl4aS
3rug3san3l+UNGxnbhW1uxg+Jwf3MGkoI8t+EuW9BD/S7H170j3Dk8xJdhHE0aQ+ENwBQWnTOX0z
55suVrXD0IjUypXEEQ/JAVmI1bMDBLk+wrcM893QVGhEqAUHWGUZBVy8sXu64lBKpeu3Z6nxFvlp
yOdguM3xk/tHBryuw4+tI++2zAT4gA6v6DrEznuqyosx8dzqjMaAoIRhOu6y81Agx7wuspox11OM
AXW8EnVLZdfansD8hYEYYT99uiJSoLkh92Az7RsCGz7DWJjDR6N01sMGKQzNy0SEVAmbvoIlTw1O
gE2KorsMXOcDB+q4u3ejxU+3i1J+/EVB3YvdDS/vSd95dcDhOyiqpMZAZYJE0cN0hvRNxNKobtmQ
QhefXJvWNbDaxuwhVDanlByBd2ADJqZIMPPxzvswAQQ4STphnqJ7aTnLkdK/0buG+A4Xf1FbnIfV
optTbzFV2JkYBs1mnOL8Wcxh84xuST4YmdLpSUYIGnu7cVbYawOVhpfrlNZnkckwHQSyXCySVJKy
3LVwui49mP/ylNcBU1nUVyHzJ+mgEJjskrAZjMVoLCJ8puC1qMN5i1n1fAdzE6HY2DWjQQnf5yBP
uN+cYZvM51TUlLJA/IDIm7JMdpgbA7pJtIdE8yEgaeeLleZuQC8ps+7quMLAA9SiUEQgmXDZBhkP
9jlT4vgtc0Dsvgy3zRVtIoDZYzNa/H+FHY6G5uS+LVUFpYf2P5q6Frn4hNt3RJnrl9NDtwSjtUty
H2DQYMUT6G50RTiWvDD5KumC8hW8GJ5W0boEvtDBxBHE9CIiV6jyh6fGNui26JbVHAZDA8U6ncf2
Q1XaiMf9fAB3MxJ7vJMM+J4o01Y3Q57dMuWMxy3wQmuzGN28QxebkpezuN6wMwYVOY30dbaCmzb1
d6L2gTN2hkE2q5lqfLIlwLMFxtljNY1ujetatc+Dh6Z/14ghu5k9YaK9D9cB8LZY6mPG+r8Nybzt
9vhZh1uHAqXaUeTFz4Yj4i3tEO7OYNrxDmRJTzPQasOMW9K5b60EgjUfbgp566Y8yVtOD2kCnMfv
ycQokxjJjFWN7wtXaGqMGo4XTGi8avBZOWBaKILUZhlSqsYxpvWHBzcR2T7BcksERtr6n6wkGHFI
irr4WkUoeQabuS+BDWIHrqvVlySXsX0D+Qmp0WlEs5Ulc2lt1iisj6iMAec3VUS3f0Q4dB8yeonP
g9yKRsZQoDl3SrLjAmT0xiu0wihlDM7gZ+qoxOXuVv5lkaWjhVgRzQwuV60gxtXWdK4Sx29IXYKk
5GIqxjBtSsY1bu3SX3HslHNyOkq4vmktUGvw0zrpjuDcBk4QXRK5R1FpxacWgRVHZEMDqUL1RYEp
MkXpyrsR2j3Sy/soygfBLDoR5hAUSFzJ7VK2s6mtiJM+szAsuHRoGAdpv6XkrInGGViUWqPrsMWD
b8JgORSLHd/YrSCTxaRLmm5yOk1fMl7utEMYBtf0cZBVbGhjOOLU1jWGiamZ3kmeJAdeiuyuUVUg
avWQB97kS5QQUuFVBMJFnWHq1ecqvG8dUsBo2CLm3dottvkNgnwrQXgECqeeqh6POmGCa2u+CxqE
EwJ3ywLgV+z6vIk/BM2Ep7gYbH1cQgStYE3oDGNYbBAyGD2jgTBD2hfn1H7qjsrNO6HSipx956Sk
Q4iwLjxWFnO5jRpS/G6pRsaE0cxu04/dUpmvaTMwQBdFPnzxnKXIbrXpTLBT2EBo9CQhgyAfctmt
qZfAAoxaEr0RuJO3aRyTftBFLm5G6i9z5tROm1x2fL7Lxk8DbwOsb3lwGDvV6MMUMvcJl/FXpwZa
sBWj4pSB4buF9uuRVjAUXfUJMHYDIlc03QN0LcQgos6rp3+OQPmPYJPvJ+7/9Soo5f/D4bwUWnIg
ZkgOEuY/cFDu+/LzH+dd/qn80n0/jv/33/1rKO8yYMdwbAdsj4zmmaT/i4jCnxDH5QCvwVTleZ7N
NPzvobzSf4JPISecTyHwmTn/Hsqvf2Q7HkN+l08opKv/yUx+zdT9i5ty/uV//g+6n652pS1IzyQA
XdnyRU6tVAWyK5dnhzf3NsN3yA4Wf0jt7DNBIu1ZUMnpAK3wuxv1KwzLi2TMb1f1tHLkmjeuhP/i
qvyDROOkdUEmG16KpHRuYjs/wTAvsP4k13OLkrXExZ0W+dvIjSEXFEVykbUx8AUaC4FwgUiVNKn/
e0Wbef2lFT/Bf17LyL3L5NMfLOU/js/t8hxVmIlIqX3+xgv619//az0TuqplAMDHA6PD2lk5Pn+L
TGD1oChkpdu+o3Focc2/17Pj/qk8Zh3CVo4nPLFGtf4tMnHUn662lefLAA6FWvUn/3rm/i8IP7ZD
tOv3K5onyUbgQoYCi8BRiF348+8yj6e+rN1icNLVG0XEUDI5zHPCIvev2DBhQQdl3ZFc06P3Xhhb
0VdEW8YRC8olS5GCKD2kIsAR4GAy/BSZUb7rYg/LQjjTBUShSK9+j8Lfo9UyuDLaT76ZYDJQbfrn
NbK8HmXmRJQGQ0wOwuTRdO21izYBuQuTgK9C5iOiqkGHeMUYcuOpyCzsTW4HIc/VKqIriUnJ2YQQ
LU6eMqtqD1TKw0pOed+CPr9s4TvSG8x9924c4fkwluXRWJXZHMUp58DLuh6dWbz/8kjKoKLhUAbi
5M/+2F6Ro4D/p6BRfeHDHLU2jDY1+rwenKGTB3eiCORVMlMxaS35z3LaHq7ZgdLrZLbzZtunA12c
hfFhsdH90sDvE7jHy5D8nihqL/Kisih79dyh1stGN6TKRZWyqaBw10C60ua2tUbzlUi/IrzgbDpV
uyajJN0xSQmSHVLC1t83QxfYR+BnIrzM2rV9DfguBAIn8gC1QBtDw+Hs/jhCrUcLY7zgjR1nRKk1
ZgS7GQ95dEUbXj9aLSFHG3oYw1OFm/2JPvcyoyvImgvjBhMMfwrnYxSmfrCBgxA32wGcN6Js213N
XuVE6KjIsuvCL8x1B6vC2ih/mPItyAJWWczEiKGJlOpSZ3X4yJiBYyI5jepBtZY4zyiwyKae8/ZY
aI+uDDe/N4jByx7FCCdShA4pnW6eC8gyVIWfy5jsuU0frvkTTVEs7wvS0VA90Qa0YNA53y4tRIMl
o2SkJIVw3y5DgsKGJCStdqXOvemAEEmFF4hfFaz+qmq9vR9qUNsz+XAc41aldZ2mMcoWHZu7YXH4
aI1H19xGdn3OEKRKUaA3SNPSYrz29JJ9TiaBzVLDkdsQFikvlzGHtNi7Gg4fDl69GcqOIcDgeD34
81baxYkSEbKANoiZeMLS4sqUlnjXGQ/XFvDj8bHjuLnOcrt22ToljAhmZl0M+EDhmEMX5j8l6WC9
xzww25Tr6XRD1JV8S3OAIZuTqoG6UfHQHTR/+ayMPQCRhZcOQKmCUEO2CqFen6ZIywe38dD8ZENn
7n0SRpmHODBud+1cegyDizhuN9bskZTigstoyXOwouot9cFkb2fiRL6IPK1oAAfW8jbLgvJ9gnvx
CUxt+1yONMX2KdXJeT5nN3Cpxw+FK8cPuVDZrT3GZIMMnSjBsE8xLlmQnOg+mSD7twRckNgZemgU
NhKUDKwLOeviYINhRUQN9QUzlQzLm5GwK/oF0ULz3jArt/v6Pc3d5SnuPOBGaLXbjM8pSKGpapAh
BQPQsxjKN1oy4Tgn+nz09/2mdL6MaK4+miCq472aSZNkPY8YhRy7xUqZF6GzRZtNGwAZQbxnNhYv
O21z+YM/9zWZYgz/PudzIT9HmY27EieoGPbEIOCXNUSTdPu6JYngwg0D+cDQbW1cdHo9mHtB/FDY
GhUMIV2Ri2+j1JcesVA8aCiIwGkuNIXYJ0A8gDyu561LT//CCqCebnkIIChBMyRR0fLl9L5DFAEf
xE1WDQmRIAtV6pRUl2lFUOyWTuREXN6UWh5zaWGK6yJqyyegQ6mi1Tv2N1PQFABxlk7fKq8Rz92U
IdFgQiihotByAr0IwKaBpkvsxC7BkZCdPO7GtPXwtVpboIexjVFigZvq12mFHq4G/IhGUFvHjnEB
4X4uq2sTR5F6QJ6J0CD2lHaOpR358IOzNtgU9Dzdg+ULcc3CKgJE1MgQbhq0OCk2ii5pGXdE8ivA
REVseFS46R0FeJ6fGM4SCqEDi3+dUYYTbD0LRzOSY8ZkIBHcqN6NtQysfc+mjfke5O1G0rLqN5nn
Ge9g9Za6Fjpbbgl6sOQOpXnvQdfR02fis/L3KLKq/lhVoXcROpLqEax3/2TiZHwzMIFoLlyACXBA
gzcx7q0BA0XMJDrpsihD5B7Hj9+dSH5xaHxxUmVfh1nj25pIawATnlqlpd/t6045urzJkzUlK+3e
FhacCfZtbwcBEg5uWrq7fAjKizllPvrfp8K/T4XqVRXyOyj4z1/++F/tp89/oBFBj/z8Q6mj1r/+
d5Wj/7R9gZLYo4iAJ7Ie8P46FbryT9d2Ofb5QlHicPb/P6dCShmhqTzApwee5FDJf+7vUyEcSY0R
V/oOsmXXRXv1T06F/He+PxNyTc8GIKlXcTQiVe/FmVAHDFEA8SrcPv5wyBxiDpMQd9jrK/RHcfNa
S63fzwkoajgBo3D+cYX66Ohpv+F0VejySY0Z7Uer78FGGZFcUgByKBqwfS+47R/yMa3+IpL+R7jl
z0WV59hcVfJs+ByoX1w+X5KCbMXZ2dGYwehPWjmkrdje2S1Nxte/6Ytncf2mXMpxXS5Du0G9uBSi
rlgpixkLlvYD6Sn3o85hg6dVg9SgS+jfEUZoVPLx9cv+4mfk/roUvxztudX2jze4HVpwvoXFN4xJ
tS/QbB7qkCS2168CofTlYnFwd/MFKYndb1L57180hFgxMwpdOnRWnFyS/VQ+Wlx3I5PCueQk2D+9
fr1v6+LHGtzjeYH372rf4S33YnUGsNFlz+sZWdLAdNs1xTniVkk8IKnr7Q4yHI0vDR7v0ANc/Tou
xWMiqvJQk9H77jefZb2FP38WFDFMlRi7vFxEXTLTjYixmRUDBkXF+5UB7ZuwAHQFTQozGWdnFNRX
Lp/5HEchZ7RKP0YpvDxLgLJ8/eP8YklzZ/79adZa77t3vl90IgkcGAzITldCWfcJj6k4iarDiv76
pX6xtlzbkQE7pcPh0n+xpEFHmjFixM/Ts+L3muwurzv1l1HlnzyiLtGITPgkr0S9ls7ffx9En5Kt
ldiXgCf1RIAZ+TlM/QmFIY3i9e/zy1v33aVeLConNFClU8cmQDsG/eahY/D6+spE8Ftfv9Iv71yA
EJmCG/+S82JjtkVElcYbaVdzit9XnsCNZjOHe/0qP38fIBw8HbzX6HvStfrx1sHqMk7t+dXODW1x
XhaIt4Ysp97tMSv/80tx1nAFrG06cGtb7vtfKeZnIswD91qB+/WhSCMLEUahHuBqtFevX+rne+ez
tTkOOxMNFdLtfryUIbS5aQNR7+bRq89WHh4JLiTXv36VdVn9+FDz06ydtm9bA3vDj1eZCfYU9ira
YfeWzxp++2W3kAYJiF6cjUqT2oGV8vj6RX/+wX686Pqm+e7ZJdwNXjvUBCT/0n8gnGUgZ0Z4DJfy
QP9msf98G9efSrp0RBzkxeux5PtrVU0zUb/qjl8MHC+6yOZETz38Tdvy540hICL22+oLVg/Ti64l
5mGKo8FF6y8tebS72jsK9pGNPRbcRhS216/fwV/8bC72RO0rD7Bk8HJxoELwYruVq/y0WcXiC3oE
bOY1sI1yPjWphkkWknHx+lV/8btp3rjcRFpytlIvXhweeRo28ck9IDMbbGPZFqccJ9nOT2X7my/4
ixuqdYBQCW1dINTLNnAcN8NEYglfUPTDm8pt+zuBU4A+xtQccO7702++2y+2WnZZl5Mm5xbFa+TF
l+siJD5gRUmZEakNuMTAVVO6YRKO+R5wQtKoFJN+636qPSdDFG16cxPIsblJgoYJ6Ou3er3ai+eS
c+96VKNrqh3vxZszwY/jFblpwX7ayFYmUgjLvTQmm2FxRw2BoTMzp3nS67Qplanzm9vxiwXGe5l3
tsYx6Cn3xXuBdo2SY8z1ES2EB7u06l3OvHeXd/JTnzLLRExkfvOdf1pemjIAoPv63hO0Z1985xER
+WJMR5NUlukeng6pn0D9ENqUz6/f3Z9/bC7l04nmtKp4NaxU+e/fCjXYWV93Rb9D9NTmtIVUeOaL
MDhvtSE6lIG9Q9APGt1l7hwqX4KSYMQ6/cnLxybZvf5pfvG9bUwEduBLbJD+Wup8/2HGErJrj3OX
wIbW3XiW19y6uYzvG7dKf7Op/PRYafrrFDwUTusyVy/evEvpz6HlwuSuRRXv2yT1tsxzp3dorukL
zr3/4fWv9tPbl+spdhU8cyQOu96L96ImMcPDkdTv2jgInjIIFWiYCQd7/Srf7tAPTwuXobXvO0JS
eqiXP2eKoz5Z3JGvReb0heyATzLWrvIdKmolT4jxkSWiNt+k+EYO2AXTvYdT/YR0xNAvIKNrQ9ff
uVx8JBqvf7Zf3QFQagFrTVHK+i/uOM6fwdLkg9I6tMVpsO3psFR5/JvT47peX9wAXszrEYhLaCnW
Jfbdjpr0IVJNd+l2c5bUMTqnJbtMliwKdxjv1JltifSq45W6o0VqEcFCq/I3i1iuX+Snj2AzqqRA
4rUdvHhjRI0E2ByCx2UMocBrrrkrBB4QU67cC8bs5Fx3tJUZgofxB9Zo8LYb+2KPUyRDcNjKYy3c
9Dfb8i9viyt5fXrr2f3lGwUYJ3bTErqjCRE7YR8R1Ao4+Ax4wSrOjgIR1XZcLVszzbrjOKGA/81L
7acXqRaOZqumLtWcHF+eP1omMdbkrUszlc2bmrvBUGfOzntfBF+JDpxYo4v8zWMuf74qIzbh0mmw
bbmW4j+uB90LopKqHLGJZ7932uuywhcaWrvSgj1jW1vp6HMb9SLA24t0OTDyOLe9L8xVdh3DITdC
mBotb15/En7xmbTPwY9XHS4m+kA/fqY4kFMsWmIVXTrUlxkmp+uuls3bxeEIAQuxfePNXv359Yv+
/MJjSQaO5CzBLJsZ5I8XncFy4L+tBCZML72Yv2YrA7rGEGba4p9umZo3uM3Yk32TVDD3xT0H01Ii
WsyWHfbH9sYu0n5vl2V5l+UtlIU88S8XRpan17/fzyt8vShdMloe7B/2+v2/e/AlOsSy8bmpQC+g
8aoyPUVL1x1RiiIqJZ81OYbCETa6m36+NqpefvPu/Xnz4roOByY2FqDzLzsUGKNQcRLMhxeftM2Y
SvkiRIT6cWyhoL3+XX9+ldqcCLUmZ2K9wy+baHVar+cxCEVT7oZfijLEmtzbH//pRVBd0N3h8XNt
m8CaH29oHc4+jkFB2Oci5TNhhfZTQmr5b9bKz8uSq1AAIPCg48YB78erjGRbTTKGgSX7Nj/XHWLv
jSUTXtek8zI+IE7qH+9D6+YohCQHyqGr//KK8H6rXhioW5hZjnbbWFdqJLXvn9893jlrpcUwn/P0
i+8lora365xnHF7ATqZus13SIjv8P1yFo3GAdQichXzxUC/9kDDOIXaN8dd0KLpUXxCBMv1muf3i
N0JigySBUCL6Md6LRyuDrUljzeeMqCZ1XkEbPS+ssLl1nDjeob6xf3Pvfn6SHLJhuXtSIZBQzouz
Em7ztEhcrscowzrZyNCDTevkpbcppul3O+Ovvpz/v7k7j+W4tS3B/kpFT3rSqIA3g54ASE9mJj3F
CYKURHh74L++FnRfd0n5GGTcO+uuV6FndCUQ7mCfbdbSKZxwl4i07YvHXGSMGptC6nwpoDE3AW2F
i+6dmeszT0/xxdP+7y8um0aZTcSySC2fpT+fCoZyGrOeoIWjEnLYLrW610Z1t/38qfjg+i3vEk1W
KpQHQ764fmVHzz0j9N3Cu/zJTIxOnKN9a1mNNv/kQBQf2JqSm718yKWuaTSl0phKYszjtmZwwRvI
dF0Fc/fFYvTRKSmqppnLJ5zC4kUOSLJpyLYDhBQyDchnrTS0lWRJ1d1YjdoX9+hXYv7P+G1Ja//3
sdQ/b9Ks41q1LXbcdWWFV32Da9jTkBox5V4owY3Wit5c55JCY2TvNEwHWezFW7hXFjGfNgkQl1ag
5XQhG2U/e9Ogti28Wis+0Dkz345FMxb3g1RUP4Fk0BwA3mWymLcuU8v//P78yrZcngrFUl4hlSjI
ki8vWxMlEXYeNNtAiFZRpInrbmzbZzq1mxXeEmcFDw4feK7P0pUKJXQ7WXr1Dx7H5YLqeMtInlkX
4U43sZ+d1KaHeanUm1AlzK2YediQPTK+ONQHL/MS5hHo0AdMZHXx5E8wQukOGnofxlp6XWiazvx5
KFVXDQBd+JNabX6xVn14RCoKBjtWmYfm4mGhvGsCo2gR5pI1AeNsdsx9hvDgwy5QrhlxiM6f39MP
lhCdOIXyDjES5brLJWQWNjd8GmBnAdK3HUZPQwr+Xzw5H5yWzleLW/YrBnCW3/8tmmozPZh62KA4
rWn0hs/R7fGaQsCjheKEorL74ngfPaks+rZB9vVXy9zFk5qjtzfVsh39cKJVKKSpZo3Gt1j3SYK2
FyTaaw6Dg2FbKog3ceM4b+hAa+Ord395QC5eGEI4UvR8Dcg6GcvV/+28wxC4BOMdtDKbtAnA6wc/
Skqd+eIFWznqWXRaWr0OIIxVr2ROmW71kbkq0DzkbLvqnKmM7gd0ILmzXebraBCRh8yi9BHNRD0u
AMpUs612X3yiP1gfl3IUbUxEUwo9hH/+3BPbFzll3tuv7Im+9cKURgYhB+Vc0Gfz/e8/gTzxvNIO
TbGyffHIA6GUZDnPuUa4R7DGVXSZj0a4/gdH4WWmn8GWTYqNf57RIDm0xlc4fCjgBdtMJJByHDqZ
Pj/KB/tD0gXQtggEKaHTSPznYdD/DTJhyOArUBV/DFktOi8HIbJS08B0dnIeOp2nktd9QLXK6CWr
rXykTynbOZr5Lg9WvjWIStZ4QMKzofcl/AKSHNtRkfvHz3/WJRL5t2eTaJ84RVc143KHM8YGbW0l
150cx7ybqji/ykKAhFAdgg1tZgK+RaW/fX7QDx8si7qrTCoS9Nny+7+9EIgfDJjNjFTmbfoEu0H1
6KqDMsMI8urzIy2v1r+d3m9HulhyBAnOREbQ7hd90fgFY6XX0ZwNXyRCPj4fnX0wDbW2eflF7FqT
LkYLMQT6nmXkqJNzl7Fb3kyGer7a3Hx4SlDhyHxQKMYP8+fFYx6nq+niHP10SBVUYJC3GiFXX5zS
R0dZ0qYWbT9k6y8j2Noa+WAYqDh1OrZW9KPRvFQhRf/89nx04X4/ysX7mCqyqBWt4kFgL3fXlQZz
LAijHvUqYPb/82N9kJXWdW3J0PLQOVy7iwvHCNsimGwHHoNu8EMdGrorFWLY96BJn4bGUfajZjfP
I6PdD2pqSFdB28UHHWKU+dUKsXx5Lp9LCmc8/wzB6aZ58VzC5dLoKhbAn1V4tQNG6lUuR0+jYjV4
Qot3qCJ+0cXhPm5ppaZxD+mbHX9x9T+8x+SKaOsi2GYO4uJJYgJbHudx8BunRpEMW41WYZF/8RVR
lqX78lzZoSjmEqyRFL+47ohs7JJew8EXTWgd5jxMb1Li1yPfWpTFKpiDPf5Ei0G6tHiTbAgkgWLZ
zyoZPZRNZIS+eBA+euh+/3kuogK9Sq0BWMTgo/Km1bXhAlDOqFalav6Td1V3+AiQoWfo4jLdkaaE
JVRC+BBMWusOAbbAvMIe//mTvbwllxeYTq8lJcmO03C0P+9j0w12bwzRAL1Uh5UXMwGlu7hdNPVG
l9O88Hsnq+CpCxJVWrD00n5+/I+eI8o8KkngZcBAvniLKdmG1hyC/C9hfu/rntn3Ks2b28+Ponx0
35gOIikh83+MsPx5mmodpV1rk/hotCkCbG8sqNi5k+4ntN8HpaTtHxZ+L45ol6PvRoqfzGUYsqt3
c6tIT4Mq9BpIVlNJG1ExqJtL+Aq+uBQffU65sEtXAbNDNKP9+TNinZXHtJcHshqyts1DecK501rn
2bZzVJrYCnQ9N+4/vzLLYnF5/5fgUl9SQwo+5z8PGoZdrKY5C9vEGN4qjsS5k/CuMGL9TQEJ//nB
PrrZFpefUgShtS5frFwqwICRgeyBPHOn7jUsZa6cGN0/+PzQ02czms3iRGDy5yn1SmpYecx1ZAAd
/k2Rn+e2b+4+P5WP3hv68pf6GSV3Zxn1+j0MifUpI86mRgCJZF7mjWnzD4c0I4/fAIiWdByrgSZc
Rx6UL87vo1uGC5scG4NpVGMvnmWqdD1SSQ6NoDMkI9lE+7qSlGiVmynj8bmcpw+fn+yH980ySb2S
zKZj42LVq0u16/mJRn8A3+IbWqr7Uh8n68+P8tE7yhnRTscokEFC9OKSRg0t7bEy+giflKMmsGVT
j2l3cpuOX7xqH909mLY63a0ki+gy/fNQWaObkqGkEPVDbTimjqo/wCkqtmMTSquc+75jSHV4LtRA
+weXkuSrvCRI+XjqF68Ak7+CFK1E1IIY5zEuK83L80L/oqDz0Q0js0Fmiv2QxRb0z/MD2W/Gfaax
3Imo9DH/5EwhqKXzT1Zvm4FGynhL46Fz8ShWfIoLE12OPzujsnIGZ9qYE8S+zx+MjxZGKpeEk7Tx
cNEurlkd8kQ2+jj6BiqV6y4OGCYYOoQvDQ4jk1mQXPIDORu+aHT5MAUAR3lhMFsU7C6fkqrA9yIr
RJgoDWWI4UVtnYN2Eg+sjuY26Md+hyKi3sxl0p8GJyrO2Vx/0UD/YeSJaZC2QjZaKmmWP2+lPiuC
cU7eimwIVDTGTr/pTbl6TUQQ46dkMkRGAPKN3YLwxkwgfgB7bJzDDALq57fho4fq95/kYslLCtOs
GCshrDer7oDPGmqVA8X+bx+FxnE+DmQOljnai6MYFYyE2CgJsuc+BbkRauBHxqxSvri7H5wNkSsx
NJl9oujL6m+VK2qVi1ZBagRNcUwwtzTUeb64Zh88ulR6VapjfF6pj118iwq5qBtDAyyl24BfpN6c
vuc5EtaGJh0qgUzJuipND5vPr6HDM3HxUedx1UnKqRySou6fz0yiRnURRmjfhzpSb7rUitaOukhq
1ELFATY1e1g7tScHEea/tKrkL876g5WcXhlyj3S2L31DF2fdRE2UMj/DdIrSyWfkg4zAFc10Zw3S
++dn+uGRSI0ROFIL4oH580xtR5nDDPCbPwh7OtSAZVbAOKU7WWu/+mZ88MDQLmPzaeIjiGnl4lDx
kFRDENuKP9Fj5mJVHzy1jIIv1rplLbu8dezf6LJg2J/uz4tbZzdG0DSGjsSztmhnckwRPcngI+eN
3PVpeB0WBe6ozy/iB006REu/HXR5nn7LqZipiMwFNgNzIe3YrEeRilFSbVdzDHmY6Vm92GgLshUo
Biij2R6VDYN6+iPwmgMkkxWAXRiweii+f/6TfXjNyftyNZaB819jw7/9YJ3W0elF2tVn/10fpnwC
CBTm7d9fcmyNif2lcXJZZi9OX2TYAVPSwH42Lj2FkEZWMY0jX1zlv/ps/ry3BPW0urDToSbPZuvP
yywzYelIIkSqJc3WsLWmuX6eNdXVlfmbBpEwZXwQ13lvU4XDShHdl1YFCFAokUObMYbiYygVSu+B
YNWkbTMrrXHfxY0UnljpimsI+RBtuqbXGeqsQxvVdb74WiYbfCouTTWpkCo3VuibISbNdZnWzksw
VnCt8iZAjNmCuzog8hknSJbdRNqgFWp4xZDlRG+jw3feHYoJ+iUC7indwJHSIt9iEWugrYx0qMgJ
G3aIZ6GgiUYoJuI7WzgrZchi7MAF4oyVMwXh1WRU88OAjpS8XTFz/NGuncUspg+AaHCqtPt0AMzp
xcxwQJvHBMAQMZQeKB7cKxK9XTqE7tQFuYrTNi2xj82dul20T8VaKCTu0LYkhoW1kG4ekI6isjeZ
MiFeL/VyGXOJBs3cAMyxNokFfHJvN52YtikdnTWtjRTEDkITWejTIASis9cr2Ckj8zO+zrA58mbb
iQcP1NKIhAVUc/oAhGY0HlJbzDeqMUyAVrNxhpFby1K9jrqYnBQhJ0THOFbjJ5V0BtNGWl9fI7mp
ng1DaIhKEQdUE3MF7qDE2OUAdWp3BcmRlAb6CX+t1BOLuQ4E+W2lg7mBDDY5kOYZSl08nlrSH5C2
hcggeyFuhRHrra/YKQnxsKVsvck6M01gIQfWVWJaTDLqwayOG8GQ8JMa5mCqWiPVjnE4YQiENB7V
O1JLicb0qgp2yYQPVV/VzCyp65y5gdyH5FwfHA2yLqsGMDyo3FYpe0rQWwhkbbnqTrC6pceg6vvn
Zkq71LMG6hJ4LQvzbeKJfTXtYjg1TJkfUK3lFLll2MXsomRznfbJcC/r+QJ00pthb5U2IyQ08cD3
UcIS5QF9tjmTqZMd2kcZhIy0HWJYat86224NUKXLQPLQtr3Er1meMG0oa+8jHLTIleTFuiI10nsZ
k9QBp81AzHqoC55YucimWxbizFnNxZw/GXmRSYBpScd4pByjlySp7J0Wx/nPUjTxeVBGIF2wuPWn
NK5hMWU0PqmLcTySfVvXgoYnJqcVOHdarfaGUGRil+OcalxEsvFT0csMAvM+BOV5hAyT+tCS6syb
Uab9MKyohJyZFYvPyqr6lzaGi7+t0RTBsk1C4ymCrtpjojIDFZt6p52Yd2Wo1eKJXUc07EirNnNm
gd5l4qXEC47fW0+dSl5ZjQWhTkUcdErDTEJOF/CDgB43QvwFVQ+QyZmUHw3bqGPhaP1bCO5N8tTB
YDTYQEX/FDMuELq2VTExnEYJxqmRTpdmRTOWYu8cqLayHzs2wWIBTEnzhJjjs8q7jOQ0pPHF6wNm
GTw7GEE0KUlW7Bw91nU3rgptQSJ1UMsbU4UcmY01HFA1TADJMwVLiXqMIMQDsUoLpmZto0+uTVUa
EEHNDdIFW4oaEF0OJly3FlrU+GyLimd1kIXjdn1eJpvJaXg7oeaC1VVFH6TbZjC7BkYXcD2ftD9j
KnERQMEkc1bcjCPwBikaanVdwzlGXT+YA0zJCFWED4YRtHxAky+Eu6XF2WUMQLpRjDIdNqPZMMFP
sc2c93kvCqaVc7QbNBV3hrAAEEmQXxXxRh9eMUo3Mo4CExinrMVS9lCOKRJ2zj9QKd79r6JmkM+m
DcvvRVwcya45dwZL0b0Bu4CEXe0Ao4xNyCw11LuQ6WEWFqn2mtpSH6ZISfhtRzQPVlBgagoy1JZf
xJ//1nFq01FC7YpWI0oAtOlc7D9Duif7YnR0Hw7jHZcL95kCYCEFSYf7ETSZWjS1rwXpD75KKXAK
5r1LOn5dVB2aV3Xi4Vcc8bdcQ/9/Qo+Ypf8tpPJf29d/8V+Or/nP//0/juV/5K/F/xT/sRCPfkfD
/Ppz/xIQQTSSmaGlrrEMdRgKMelfU8Ca/p/00JCRZLHCVM6u9v9OAWvKf5J/os1G5UU2mYUgUP3X
FDC/RcXXpimGChC5Dt36O1PA1q+i1G9hE8Yhhj+gCyM7omOEstWfYVMGA1NSDXJAzOHtkviqbrRj
WJVvZaXiZ1azNe2GZxodHrrA3lcQiUjsXgNnxblwoEBkurMsf7MqxfIkBIaRNv4MZ2095eGV7oHe
n6m8BWslfhWt+sJLOHl6DH+hB4HrMb/22sfYTIkhUtTv9G9eFYbBW8X3VtXrV1XfqOo2uXOSk0g3
DcsQSNpqHdgrOKrl3qnIwGAl3tf2+dQCsrCsa5WcXXRFfrnbQH6D2knMA+wdTOPAatWuURK6wlrB
ZmYthFuyIGp1v+rOTnqDKx0MZJAcCN/q0jMCH+2wDUmi3qjpsXHWjr7L7rK7xOdTx/fovX7Q5Nv6
GgVQHsJlcLXUcLP5Kltna+NJCiDmufkL9uTqDrIoy9A9igVGkOvQE/HPSLkt7hrbva+zYyk9qin+
JqoexEN4OjUcn8Csq+s62cgNavPEE9K4CUIQpvHgRmhTd9kI9abemt1NKRHAruvOOrBeZkXmUT53
lQ1TWa1Kq7PXPU/fpRfpZfou//p3+de/L79Gr+37X79Gr+r39l39/n/+1b8nr8YGEuj3/l3/bmwQ
0uNsQT09UQ9fB9Pa2dTplWoBcoe+zYoFioQiBmzK/CU7JmIto3JQy281vEHanfi0PGevuub16J3T
e/pZbkdIMO2KzZCreOUumldj7g/hxoF8EZwYNFKM9RD5fCTN8oQybpxPfOConPB3LcLtnjlbNy9P
drO1EM3N8A/xyPFLYawjaUUe/Nvo2T15LMDa7MT3NX962ZHfjR50jQ6j8Uvv6ScXQQkQutdSRyLl
Wi+bvNkm1XfVPqEpcqNppcmbsPMsiwANBok/nTlPNJc1W4rW1+/LwdXvp3P0FshrR5xhclnFfiRc
PgTMf24jhIO2WGYYb0PpeyhOuXml7rJuHW7442X0OI63o/ZiFPuzKa8T6ZlHNdRhazN+o4SoRxGM
L1pveyrRIIZMGdAXaUl+1+9SaHalF+uHxmhcbTxH3VbDBj57iDtqEIqccGmsLSDY13z5PMlOXa8K
oclea8F1dZXhSFjr+7K9sm9eDMQCDomUyHNOTbuPolVY8n4jBb8X0ln0S5uE5DIXlcjnBLjQe3Qf
H6/9tW8T3b+vayrsyDlfr5Gdx66DUNdb7CzzOo5uKuH3uieOdKQJX8wrB1kEBJd76dRHK/5GFYR/
uBLTagTE2Ab7TL1K8/cgfiKscdOJbfEVwMj2lW/4SmgY4GVto0La1CXDNZhrYKLfrePCg+BI1Una
OtEhaxNPid9CmkpHsW8SoNNXRdhh1rpywAoHkrz8bE67qs7yK/q0mN3BoxO79W1ev6cEF+EEwX5c
WXg+bpHOsN+hFxGais0Cc1L1fSLkbfEjLg9q5NHUiZUD4HnZOh4bSP67/eO0DjN+NO5o4o47Nr/Q
cIncrRcAmXh3f8I6fWqTNR7CrNpN2mHpzQNua4f3kfKk2wZnuinkNV6bQn6Us1VFE9LRflXxLIlI
MCyFmBjH90FTwSvaq86EKLPusrM83Seqp1frPrzqrq2ngfVQccub/MaRKZe4dCrhEuM/FKfuGmfi
8j/zv/31K0pu/jNr1bwsaF35r//HPSN+ltd0REIVZ2GcD/MTUmDWqXQEmglliRbX0bXPtX40Ak+Z
3njsKZNL45vIgNaJozFlPElPCOcYo4/R9NCZR/xF/MuEYSa/gbn1Q+nWaiQvDHdhhQmAn8IqdoJo
nyI5UGDcHNOeHG1U7RrjIUeasBpsP51QJuDvZLE2n4XMugo7rLrlqgL4LnDn0bxisG8v3kBgc2R4
Wu4Mitzu6NxpnE0pXFwaI66r6jkbEBH7SFV6C3QqyphX8yp56wavToWn19dReTTDR6jOIVJnp9ja
0GgswtM1KsyJnkoPAN+oPhcMzLdz7oW95AXjuELz5OUyHxJ1Xk2pem4tm/9Og0P92ijOqtgbvLRx
+6QbI/5cZ+W0xlq15lVSButsqN5DI/Nwt7mqnru4MBbrlJ+qD4GSvvFh/5ZkqC5GaXR1uhDYKvvN
khSk3zOA4CYjI5nnG7nUqMX0gNY14MWK1+nKThTmSsqqQwYM1JhsNAeMA5bNCt3VEF7Z4imVhg20
M1QzckQq+ixpTC1F0IbdmdyjPsU3sVEAV7Wd1Yic2Wtom3AV0R9U55SPdwqATWY8V6mqs+FDKixb
hatW0JyGfl5L6aaTxhdD6Y9polyNRnaysvExz8wfaJ1QWJ+iBcYHvu9vRan/r0E3VULCzxCFWdzH
XIbfmIT8gb/iTsmwEFWyc6Svlj0Kzaqk//4KPCUTXiEtUUuGnrlmcBJEuf+iEkr8FtNKtKs7dBFR
FFni1X+FnhIEGmBQWBHoy9ZI5vHn/gaXkHbZpRL438EnfW2Gwvjfor+kKs9k5pKh/C0DaQ99ozJk
LK96mj0I1Ewg8shl1abrr4swVod7SUVZu0yfoqKTUVDOGHJJV74ZU6u/QboOrJdWaRO+H9jqWo/t
OBFeZuqh1nnVNBOQ4V8oblswxPFaZkySNaFNIEG5I7asBRA4FcqpzmzW7nmsBojCDZzYK1kudXw0
uWZFwz09icb1kJC9oC7VGKW26lNjHvnAtXUtABfWU/qYMXKf7vS6bHJUvRavEbT3lyRsVGttt4S3
cETMVTGkYBOd+Ah+YLxvurzwAmDCqxiFlARrdLWg5PlH40csneV3aVANX/TA/a1wepNjWzvMo7QP
5ZCZIwtOcQQnHBVLWuOQr0jm5YpOsCgdZMWuDmnK0m2Bz10rZhXs6MY4GMhVTlpKssWPLDJPmn4j
phmvRLOowCai5T5r++OcapkLpNX0EZ7cBPnAhj+B2diN0a6Npuau6ytzZfehvaOGrrLmG+1aM9qf
RU4xTamtU2gaza7upX1ll++KNN1gsEKtV4bSGuffQ9b13Wbow3ltTUl5o2Tqm4PUhVUk0309qOqH
CvoSq0derBI5fZNC+wU0MhGmKpcbU56/a2YknWSYbwi00MVgR6bxbukcU8u4v0sdgl5egtuq4lSR
4XQExmHwkGLYfIl5ArZxZVYrSaCSa1GIEmstelXbGrrxnjJ5JP8Y5jp9VHs5TviKAPS+q4t42gFO
CrS96PtW+xH0GaFWUwJ39IhMDFqnkhga0rqKjbbdJJIpX7GN0knMZmEd7aPOtu4kHG0LOmySoByS
eq9jhWaKHv9Ed01uOjLP1tQ62BfI8RaG/V7JIXqQq9DqhKOeIz2UFuHrQO003ovGgD6nz1Zfb2oj
16KVHs7dbShX5XSw8RY0fFYb5W6oDBVpOV8eqZ3HbZdE9c3CmbrpB9FsY7INnjKahNA9ZHPPxFPx
zGOrebPU2YhnTWPga5232yht6usmSKp3LaRtqgiLsvaWCeg9wyDTEYCoJcSqhDIuiUfmC6bBs2iL
xLRAaSwMh/iojNo5tPge1Qg5CJTodHCd3Ix0P0V/wA0YOkKdnPXC3tOAN1XWRtTSOG8FM5IeYEyJ
PU4mb22n5ZMXGBoocWlakU2tXOybtbgSVR02W1E1iexjLw8aMJvp5Lw5UU1jsdHjGRuiAAOtHobB
dhkgdqdaPERNabxIkH5dhk+A41eg69fA/aKzXprTxpIkSvDoHNbA6uW1XuOmGuAFklqzTVfNGQGI
yvh5rnB5BG1R75TBkPwmqWfydg0M8SJmg5nM817oua2nxPhaYp8E6epDE1TFrgobXlgDYrUtN8Pa
DnXY9fkkHcp2wOhGS8o1voOEaHXBA4w89iG0O7AyIXlmY/lH5qggTtKzDeouewN2Eh5o2jCHYjeI
QuSSbaTNtP0uU03ZSzoDFV9cOVfp7NjHsgCLUzqJvJX1ODnQskbpiW6Vh9gAgixCQk5BnWw1zclO
RGN9J/OeuL8OmbZTfadPwBpk59dP5TyGYKnwE/RObPrcDo4bt83zrztYikreluTufbri+Rskc/jZ
jE1BW3X0Skt7fBgHXdo3JTr2MCrGe3vikrD2Bqe21QQRNEL7qKniXYFGYC10k/OrB1LL+Ew2RocL
3qocbRc3i/JgnNRTbfXDys54euIKFir9Zd/sYEpefx2/dMzoabDMbJMK/gkZ+/nx1zUsw3K8RxfY
7mxMFeM1U+aUCnn1foTCsJk1ibQfY9LKNyKzkleB1Ykmyjl5TTuteS6KYH4b8z4HsBDCD7X7iaVv
FOa3VAFl34aSc2+Jsb9jnEh6ZHB9qYux/UBCo7p1ViB2U8wUxYE9vMfwz9Hk2taBaiz7i6ZwKvuJ
nkNHsnZAF0eZGlZVmxRPQokJ+35PY1aVRF5KBwAklGWQcLECVF27Z1KSnHhlGelOQoJ1T2lF24/W
NG7awTwFpXzX1untZNKqU2hL5mZYRcawUUmnF1a3Vrtpi7z8rQLZzp6UUN4ORbGXMQm5UWWfQH7y
oNvKGa/mU48OytPSmo5DU0/X7BLEZpZaydd7yhl8cybKZS2bTuhLa70zqlVQ2uw38RSQW0baFMZs
SnI70qkVlWIjRwXErz7W4K9YCpoFI9wiug5dMZi5go6mfbVqyoojJTqXHuVHzQKcm1vlfaoGL10T
fDegvvtKId0pzYDdqdQcr0MxuqXKnq+SDgLxZLEUd8s4QI8tYeugm3wYS0j3ajSL5ylqq5XVW9Kh
iXs6FUs2yUWjjBuqyDsFYzALt26/j7JYzxMcHAUrwARDxdXi+RZlRHeQGqpBZAX6wSQ1MCnpSU0l
67oyxsi3sex4wortw5QV6CBJjeQ5SZeqih5QkrFfGMjxDrXY123yVLcz5i51JK3Qm5vWphADh+B7
rKMWskylWPSozXtLvg/ZtQAjLAL2O7HCbkuh/thJ9aqjj28lO2Ph03zmSfpgA8gtd/rUq/6Emegq
zCoKtgMTCGUx2Ksii1gGDUva9/IMPL/pdryvyUYaJ3PVKdUORTZrdQnxNJyKV8Dl7Be1VrsZSGNv
wgFUmhHUzjk32vpWERT4NStjPh1d2h0sXnUTFpO2Tal7lq6UxYwG5SL2BV0Js59ZerHtYXDfBKG2
Ixpk74WnQt2h+xxIh+H+O844w05OpuRr1mq2b8okyTeNHTRPzYQGwm36uNvZCIF8AlKbJGPJZ8Sc
1HZvOcGPuLenYwD75VrGsughu2RXW1X5TSwvO966DncKH+kVbFtwSkTIrR/onbZprJTnVe+jY8Au
Z93ISXNPI7FOEktiYKsz6/mlcAppY3VG449GI8g8hMOu73NzP1FSXMdjLR1i7Bk7oxDKQTMTazuw
Xv0Yu7LikUykUwIEi8c0TK8UJhCROxXKrjf1ib3uiKyjitBf+bPOIhPRAovHqp2AtEaxRQo3aavJ
D9HgjFB9Igc6BiVqq7JIhuRldV3iOPKTNM3QB6kU4Ua5uSuGGG6uRsRo2lNIx7A1vfSq1Lro8GLS
kxS5b9kdDL5l4A0qxiH6mRglvt6iSzZ1HWUmeWCDh2JSGrfNYT3LROp+MA/TuRpU56YKxBJCj2sB
5/s44GT/zl+cnh3KiKu2Zv3v5XZ+6Eca3gIdOWAsJbt5cPbaAMuRtsXpZ6jm5g+7suSNZKLWxuzr
x6mmb+MkEK4RBBSFFMxe7mBasR+VQUt8zDfJToJ3yJfxCiC0Bb01fW7TQVwrTVzeIBF2UGaV2B6b
dFXRgb8vmjS6x9yW+pZqxDvahBFttASgwHVN2uL5i2yreOeLfjurZCwCPmXkUuxj73S38Aci+gIT
ssDDoDIo2PA1CZwov9GZGMAUObKq1aP1lDntfUJovw8N8cNyuu9yRqZzNoD8FSmSvIx6dc7YH4ko
lsuiWUMvfzOHxEF9mLxa2czXb87J+Hb1iQ4XSuw2Jb7J6PjSVmT0CDWEB/dnIXBgLZIDeV71rXXN
gJN6xV4k3xQjCeZRzqJHZiJo06qcDF4uwAfqRmFLqKx6DtG320XlsB4L1tGGvR3i7oKmB1l9tZOM
80vk4rVdngiC+P1URVSB0QVtAz2ubsbCGrxOyepDHqUFt0kNfArA/R5ix+zF8oSC1Da3ek0xIAZ1
6/ZigEOe6cfCMF/tTGA50NW1bKVkUVokS0pqSmtByS905SzlpZ+rW8kipqRYvdzUn1psU6mvze4c
lsO4atP65yCohCk1BIymKlJXaH1xp0ZWdwOcE+mCGpvqfpbUyjNwjPCwdcGjoPm38gmwzPVAtET5
Ya53adzoG8eKGnoCne99p6KzN7vC03XukwAyvuv51G0zTbrHDr/TJLve41eRt2jpzFOf1tcSXSkb
4MDhHox26CMsdFhFABIKZHjrSmpUL+vEvKFPA5soM/fFik06qTED3xfxZIJMbpZvcZ7TPt8WCcaY
8WYquldlrrKHYsC4CBvwVoCWvw8ZuaDhqNG+sa8S69GWf9R00O4dbWAttOoTzJTTLJfH3Co2DO8G
p4IZWq+qkmKXmjlG2FLD1uZEb6CDriia2k8B81Yu4Tr3URlcpNfOPjV7PKCBULzWCOEgoMJewWem
46alLwiXX6VfDXpb3A663a5rKak9QNs50rdUXvfO3KLQmoOVXoTOoQ9CwjPpxSoicpgO+B4tl/qf
QWI3jyiusFVBxV/rFKO3rF8hH8sqeGS6szhmdKZv8LAG18Dn+IQFNs1ro535WkzME3AxTXkIz4Ol
FT6IK+MEsDqtPBPcM6Xodrg2WtoiC0ZFrxlNz70o79pjwuLsRZI2UmTI62OsTjnFKFxsrsIu3ovk
+UehO5iHxqi/GadM2ozLPpRgxSSf2hpsvOvuTY90SKaNutAbEAGw60FXPUrtG2o2IiULpdHEqOfG
jOnZL3mxh7RSvhkzmU+DgcR9bNQ6zz84eFIfz9NAZ0FNgwzzh7SXFCiLN0MdWPeZsOSbEDLkVeLg
igpG+mlkx5m9HpvzIS7Sm74mkx+2prYu1OzJjiNza+uV4Vc9ZbeFj7Abelu4dlQPLBtmXK/NaQzO
nF28qkV5XDw++Lm1wbibE/1bY+qL0iFlDq0jf8kIajEvdgbxVpokRYvE5qLnCgorQyYS6bqiJj4z
O3cewmxrtJJ8KMwkoCeDPRTRhnOja1l/J2yVhH2WQCiuSm26jcpQWbEXTrcIDiPiv6Sj+qTRHWeF
1q6PFOHjuk3vS/xut1ox8RnQWWevay2btwtR7gBGID1Sxex//BdlZ9bbOLCe6b9ykHsG3JcBcjGS
qH3x7rZviLbdzZ2sIllkkb9+Hp0EwWSAAZLLhtu2JLOqvnrXWZfs47W09wFytOfaoz6oWsIm1q1r
/KKNWe8puiU7huqpGzFZ8sOUVAHnysjEKi0LvbUkm8vgetlbnxVkjbcXl8t/mpmflSf61xA4Cz1o
UG0JPup3TZSgY0bAlMvKi0tvrn9JujHOZSrClYOE4J3sgeqsCJY/WNbyu7NHERdVMu9U5y1n12v+
mNFondIpI21hgoWzXKX3TqlpTVhUsMpCllxUpP3ebajf8AywYpGk3612+jgpkq8Ro+uu6upLx/Wr
X3oYtUA3j4E/+38T/149i1flTL2e90jbWL4LcrXkK3NMxWfTeNWZjw5LTxW6u2C2kaKZWf9IBb3z
oLhs7cM2MU8C0IGORAL7Vp5U/sbwWSz3zyhZBQRnWbyghUyPmVQ6rMS+t6Hcc0ZcVMjiacp6vSf3
LthNoHnryKunXUQh8BoFtPErEuTvU2+DvEwm9TMdC3qdZqngg8koAmUc2vYCjHFV2GTzlZ5n8xAS
dU9Js4Riqmd73LUOzZ5qSCR4s0qu1IT3awbamtLMxv1sZ15UP6YFKQ6m9Pe2kPXTwlgdN5llvPoD
1xOSa+gaJldr19xRAhMv6dYoOG3n0jxE0hz2vC66zjRgElhDdXHHqtul7pD/JYcaBQEk+XYqh2of
tHW/G+k3/OgFm4+ZRlCUbHzut2/D2VFhFf4OEbZQn9Co/eIN4d7vmxbuOpP0J0CfFLmbUvaqBusn
UmbzNoTk55DGrKInS4TmTS6F+d2QYBijd+zWwxC4fxRw0iYt53TTFqRIqrlotmQjobNNeCijTIs3
IKiEoPuCnt2CEItmCNpzKgbEp1MzfeeRendSt7xOaS73augZbGgLaT9nrd0nWyPid3WhP8JcDGwh
bvg15kt2EoY57mkZgdHV0+yjmzOK57FP2ITpM1hP9f2ijfDx2Gpr2fQyy6GvOITajFvzKq0bvHEu
daSXsgzzkyhU/uWU9KHcj517wYZdFw9DB8dcjU4hVn6f0x/Yd8HV8Y1yPk2ovNB3+riF8hrKwx7K
DRb/3llZWc6hU1jjSRmRPLgEBHFXo6721ugieAJtKy8WnkAMbZIK74riz1U3LZTCZ+H4XlupSf8N
538H5vbipn5yinxlbKrZsLd2lE7HNs/FWjkNLJRhGH+UoMGJDt+HXqbjg10H+tgmNfhZ2eY7+ibZ
G0vq+qwoRToZqHMRlMmjwZ+NoXSOHmwN0YZUKaQlthIXkZjJkb21vmal5cR0guobywMRxJwOPxGD
kGjTLxIRvwzPfHYBV89G07wPVvKcOwvz0GiOG9PD9xHwmEC1/qBbw/vuRJ++Qh1RUXbXOXV6Alys
Xga8f0xB9sYsg1d/oh83JJtrbSJjtawB+wukLLFHiYydmUh5Blm6BjO4x3sdSqqLbYOWcudJ2PxJ
IJkSszjSwzE8dwZNNG5fXsYstdnuKkLZimaCtKSPWjr2uKmG+S1t1K9WRpISaxX3zbhtuY2urMQc
L5YFgoinac8Cp9rIMqC2h8HeLIDcp8BsArz5aBKQtjKuOSEEekR3ll0MxQHz77CfdT/v5g7tsxmV
xxZ17IVrUpFytrtfY1AUG8Jf0ZUq+9Fp5bSXJKy7mIDXdu6kO9Et7h8MI90zMm8DdTwVlJPDRWrB
wbZGoubvp0wj/BsQYvmZZ8fcrSKge1VepiYCe6XTdFpJr+EWWRS/FK7QTZC5kOzFYFxyaVjFneB0
Y46U6OYHQLxRPr7QQWttrD6gBnKe6pUcBmstPafaSj/JHscB9MCcUAkgs71A10EaV8C3SnXpIer9
9tKAJW2DbuIeBVHbdy2fPZkA6863iGD65zvjcXjRzfwUoYlH8YpxlbmTqU/KbnW/WdkUucYSWg/W
UR8TZetNHzTiSor/wW6Ld9Gnl1EYP2Ikx4M4yjE25yC/mmn/aM4mEqBgmNepmdBIiClpY9JgHuNd
+wr9nqaZsPkFxEPxkOnfzVVhBkmeUnWf3Od2BLKtBv9dYCQNwhMeR+HwABBNvWroK+m5TlBwgiiv
MtCmEtrbkiQ7hbeMxb12bZHHY1HWh7AOzuSubnu7/TXNpkfDecA1WIZrWnXf+yJvY64PycqHHtpK
d+m3XulL2A0cEZATF5esEu0Rux90YLKN45+bqESJQbzoqsmyKZZOoOMFCS2VMWLrVy7oXib6VZto
e2V3pfMSGP2HioDpbHok1qkRaE5M85S0pVoXVFNt6izsT244vfYz3bVAAua2FuavInQg6J1yRP4T
vbTULsZycPTFzigbofuWmjpHOEfhqafAR6BMlAQl4CDjJPz6hoiJeMi3Hl3dkT1+jhkSxwRIpEC0
yU5PzvFgJ+y9qHCVLs0Xxsdil0ffS+g54HdUhZdm9MIc+Y4s+8ZFg1Aap82ec9X8zPA5V9zV5lbB
+F5cw/oJkgCgSWzMu069G8QukkuznxyVHR1aazkxUQcoHomAgvLdfL8GRFWzrVzxMxL8n7Ww3TJx
N3RVPdFT2R4LxNTnruZmGyH1tKMGmTNpK13NvYduL6itxO0PpYMUZU44PowmbM6UcB65JaXHKTDF
zjas78oSL2mZo0HLrSOiA2tfTkW1r6MKJomB9ZQOqbdzGNXOdMJQ+1WG0568pzGefSS9s2P/OPVY
PdP1pQ+tIenmyYR4dELaM8MGa2Ca0f/D5b17TBebKqZGfeSaY+Q8UYeaZy9s6dOhqiexcio17+wa
Ymf02/RTaGFtVNvwiJt9sWbuOlDCVvBujGLTe+POaepDNS0ftbLOeB62i6M1sSzqiMXk1ioewNxL
yq1VFR9z6z7yeR+048Zec388S465WZoxqOuuL/Nn3ScbTV1BLFWTPOQZ/2mkLb6TJM0ZvXiCaXty
dLdVdnYQXripKWgmjwDTQD3yCqUYTmTrk4qQPVDC9makLHWhkSc5GV9VP2Wlqb8xrK++Ng8eq2Hk
0dhNlG4LMzwYdviMCL/CBlAfdZ+ih0B47TroNFBLYB1DvmJA30UglBsicYjeRmEcVdJ/y7rm171L
Owsb8SG18eCVyHGs/tmVeK/6xTpMMJHIj/MYnlf8MpfiSuDvyiAImCOKPEXxauIe4OISbelWvBJv
1hOpMdsHFSUzQo92T3lxsu7C3I3zuk5gZuG6bCNHqaa/FqpdjkYXlsfRmBRjVvLLu08WnsEE5Vdq
4yvUYUKlfVzN+qPOzImavORic23xRhpJOpmwN7COqiiAwW2jG13kzjaUwTENs+gkeyvnhuc0wTuA
mEd7HfofFNPTLQzMk8QqtPK5asa1P+RboAbxy+3m4UEHbnE0ijy/UKAkQBKCAjTVRw6PLQOcJT9k
veFvBzJ6Wbl0ILy5lPJ+uZKBvdfgLjzkTfU79z1u68zVbsKeL5zZiM2+E7FmlDNE+eP76LrqPCV3
tyOrTUdLis6th9OtzR4+D+gpo/ksdvjL4LYuYjTunN53CVdibQKaETyqjFcktGzyMXjOQ7Pcj4Ee
Y2oGv92yBHmApAKzWCmVH/gLrpkGW0B11WzkRP/VrDzvaE/1k1X7I5SGgRWEiJKkOcoAOaUyzQfa
+MrYDkSFL0O+VZl6mEb7FSq0RCcE/2/41ARLK+0OzdJRXeyF310qLS7mptqNhd++qHYMjqFbPA2L
fwiTyNkq6VD7QSnZSrn4UcQi4rob22M3Lhu/ont9aayPcQgp55aiWHuA8z1xD48ef9EgKJEp5h6D
axrsZohRirLmjZNhMK2rBH1/mFzLOn0KGkCLPhhh+HEZcfrsx6wyV0mabFvlffah9anulXsdnGI8
itxadcXwlrbqOzIJHKQampB0Lx7xe/IcO4gD6fdtqx4qqDK//TKv94aPMN8N4OeCMgsYHex4DBeJ
T606dWScpWryD21QfBgtZERJV1owDFeKCp2dm0lru/TyKUwsrtze04Dh5ZbqAFN0ov1z17pqkwzA
21QikkPgl84xbEgfnsjGgoPOjsOYu9vFku0+og8QLK4GTE+4hFJ4TMh8GlIPVvTXRpTeJRvyU9/0
Cp9juif68oZfBd3u/aBJuGB0RRnXLQG3OatjLJ0OBAgGt7SL22QGJGL3pk15Mh6wKc/LrYKwjzPy
SddliOIQqjw/VPQ98ipturO4FiDbH89e5dIBOPqx9qZH6aAYQT/91veFiaJM4GhJ2+yQj/ZvRwNj
tPT4pU0dz3ZTXczUrRhAo2ptuVxUgtnhdlMbQQOKy8UOjdpUgHs6b6MjaJd7aFNhOX8WWyRyk0jY
+5W/VO14cFoVlCetF39eCUlC6gVO1qL+zBvL7tCHhBKepegyQwBVSJgoDPZGsfX6aKIjR7rd70Jk
hCEHRNW8Z0B1+rEHShKrHDBy2vHFybsM3D/buAr9OXvgfE+6W2e089+l1CE+k8oU4PU1+XT7uva6
cktJ1JjaKw1V0hKWLIkYLrzOsM6oPxgI/TnIPqSYUoqcPTcQTzakGNM0z32Zo/PKKXseuyRicE1t
WWwUGqXmiJ82UrRtzwbgvRehXBOOHM1d65sdXHNJWKJxSsFe5+ukE95ckrRAWrTXEM1fhHQ22qto
HK1cr7ph0u6vRk6LecRcsziMNdq1hpi5xw9vOeIJnuOpNqiaNMJ5M1lFTmNkHUYPqCnCqxtYX1p6
D3hFm5U7jv66oledQs9+eiL0AC1IIeS+T5Kk4HFS6WddTOLBKI2xRDlJO97aNjlLqeLFoIPQ42kZ
A++FaJ1faRds/SIDALeStV2rcUtZ4EM41T84vDYGChwEfnPnPkKct8fUCEW4ZjdUy5ub47j6O3ad
ff/9o3+Kmv51EoPPBpNt6SX/zlyFJJo2vajodmJkBu4qjIC5tUkKwoOoocqhQmgtTBaUsjrAXD7X
1aG/Jws1xbAcrJrUeFJKkf0Eg36Ti7cXnW5PyWBzeWPsPU01vX11pO1T7REEG9w/pMZrHKDvDnO3
0x7IlJh3kyO+GiO8ZnZUc0eSx0kw43E70mxwi9QsS4+2QqSIW9+mU9LMWCHTEFivSR+wH2vbv1Qk
XG1AL2ekDEVyMMbOfZ8JqocDXd7FUP60DB3kUXW7ol+SfSAksWhD1GBN8or3RkQ/NmnGB9Wqaxtg
+mzH6SXTuT6NIF+PUoZV7E1Bt6Xj/bMZmmxNMgunjGOAR3eLSLcFFzRKCkkC+R2EXGipO9y6Gp5c
Z/2B4FgdN2jXuFRJiAg5HyHtnD12e/Sls03eujXNuyqtfKaE4JfKaBswm14/plbir3wPba1P/Bjw
8V3Pj03/Egbdk9uE4gWzT4nKc/Ef0fRF+0mmAS0jlfxOpoqyeNx3Md3UGm6mt/b9iMar63ruEgQO
cz2zU5ppISk4Zw2sqrI5sNrBXcPwlCOm+ZEQB4D7C/nc07TcQns2100ZeZTlGvjpkvKjpFNr0+cc
ba1dPNMwpCln1WEMDfu86Lq+RGUCrRtJpsFA0eTu1YV+a12nZphBI3WE8FYzSgs+e1ow25lehzBa
fiMPs7+qqPLaxyHicmiD6lvbpiJ74QFlO3aBwczMo1fU4msZI/BAShSld3YrglLXRnV3/lk5DGMr
XlG2ESoEAorDE4JTLRju71vWauiT8uKGooEOa84VckGsJWAuIkKCPt2HG6s3lj0zR/FWENWJ5imb
jnaf6CMbGIN1mFTluhM8B3GTdFO27pTF1EV5qTCPVKOx+pxB6fCHS19DHKzyojjUSYMPo8T6Kida
VVv3yfD8/hgq3LM6M/yHqNbzFk6iuA5z1jxlovnGoGpfWMRYCOrKeGzL+pE2aJTNneE+Q4vsgI7/
eF0RbgzE6/7osRUurvsolKXGTW6RaL/4aZGgAcqW4RT66adTta8wj2oz50uspGkcioQrsp3nT7qE
yHNnsCnO4X0oHeNPI9EYtBEl4nO7K2zqCrRcpgM7xNbz0BGFLJK4NopZ8ZATSGN5icXJ7JeXNDCf
xwhuz6ysHcwXjWjudBLuYB9sx+jXiYm8mpzq7RKWfPbT1OcPBCSNjPMNfOSAfUHiDiIsfs5fbTEE
19SvA2o4u35Yt0VHl2toDwcro/Glz+zudSnKN9LLOLyV/OECNDwhwUPl0E7PGdsuJqVW6z9+4L4A
EOVbBd8CU/+UYq1dJ10UMH9PL4ygxN6a7BMSc/O2VOJ9IQ8XeLaajklv8qexBjjxyW/ut4upmwjC
xP5KseY59TxvBYEevDql716qyau2CBnynY7suEAHNEf1Et+hfH43+FZYLODgym/jGn3tcA7Ii3C3
tmV8KbIeY3Ci8GDr3CRmDbX9lPCEEavWvkwdSnH0XLihChJQHNQB2G2GGTfuUlrXpR0+S08S0VJa
5a4qMExUdHecICP7q6OluxrN5qfhecTOlJcn2SFbJQk//eNnOUohGRNNiC1AnGeblRbJ54mox20L
abGv5XgOjGBD/km2rx0EHc6wWAzjTb5uHTPnUbd75h+swobfbiVEQ4/yB+r9GClrr6Dk7HlAQE6c
5tihiOgL6zlKh2tQi3NNkA7IWDtuRZ0isHU7VOqVG6g4XSJxLgpU/3NfYD1GqbTpGgmbmk7Wxs+S
FmNHmOz7jpRiBfDG+0X4lUfzW20NOLiDDDifT6nscXAMRVGvlC6ejN54M2gMgt+KBPYBnayGaV44
6r2Hth7LU4VFCHaiXeVJ3Z+McqI40Bd7qDq9ySxG8rYFqHRKc0T8EH5UGXJ9VxvfjjXTNKvsNSkq
WVx243kipHZrjB4hVfPC9ZDolT938PkwLcEfqxjccG354xCXjArYzpfl0PBhXZJGNdxA/ucC9/+m
DXP8Q0tT9+cfl9+i/8cWVOb3QPTaP7X0362YO+5sw79L6//zn/1/Su3vNsj/8o+4GfJhflR/uvnp
T68qvvVb/6/0T3v/n//dL/6HiP1lFhgrv1uIovtPS3lZ/7e+3SOi5P8viF//4bt+V//433+7/Pt3
84+nP4Iy7pxYDL7ASzz8/Nu/3H/CvyvkbQTyPskXmMUt3ybQ/D8F8pb7r65F9BgBIaTSkybB9/yH
Pt6y/pWIO44nsvE9PFgmQSUw70P2b/9i/yvFQhGKew8gnBTb0P8fqeNh4f+LOp7ODrrb0MR7kUeF
EFL9/ydHS/VFIIeu2uVtXacjz7DXk0wxiKaPDe6te7czP/3eETtmdPXpAhVxLfaHmwij9t0KRn3r
UsGaQGPWbNPEit7ANb8cFOrJZhGkl98Z6l2A/3RTJxNzYd6Z3p/AKeajV1s+umJ+opZIsQxVfeFd
IZ2lH7Ju1VE6+J4hjswPs9uIg6mEfksJFzqDQZdP7tR5Z588CEInyEqn44TEiEV2xa0Vi0/nUja/
6ZGhaFD9D6Z5fmLvgS31HtInMYzOhVHVWecW30ugXUOlW9Vcqgb3WFINtyyvyxsk+Q8QeXANKgRq
pDjbB6KrKXio+p86TYz3vKmHWzvUVF2zub4bWgXXzEubncqM8VDPeXBVg+j/5kb+NdZGdrh/J+mt
wdUEOHyhpP0+Ls2nES3MGTBmfpsmfrnWhvdXGnmw5yoZ7MOl+IJ/tjZL4JS3LlwWPPj3t5GRFL4X
GZ/TP19lOE/lzbRlcEXR8TPlfFdJa1EqHIsabYp6Ws2W3xB3j4pz8P66ZOO+RwpR+zqD1LyxaZh7
r8/Kmxcl2cG2MvpzAn6CDry//FU1sw1l0zhaKUBfEd1q7SqSdF4dQkPWBcDT1h/GaZvXvO30/sIH
m9c7JyQ6K8wLN2CeBq8bT9x18W3eicHL9wJhnpTqTdRgfoWVogOBuMMQjL8U6TC/ygDpenLnjohB
2k8EfDjMtzS1QsTwx5MUiqy6Fsr0/uEWGQIfhkicHGJOvL9FUH3JpuI3OtNP3RVfXW9we5Jee7h/
rI0zBPvI5S036DI3jqy/ltRs1qPBLw1Q9f8N0Qb/9QA4uCjzB6nmLNgXTv/j6MS/ul45X2ejcz/t
1uZTDHEaDd700MzmtL6Li1b81ze0UA9WlbTjeiSH7xDQQJGu1CSr504OBJ9mU3AzconVebiz4iM5
ZHcHVfhmlmjry6Qzb94wh7HonfBcR0B6qR9hLUNb026twIf5YNleZW2qOyaanHBhOxeEZrA8tuo+
8lJPa9/VOfnSYJfYxUd8GQOyDqMP0p+FYrR9E6Bi33g0WO0DFTo/DtYUTCwzDu1VpwbGjKTzNk67
9EAQAkV6Gw5/CqaUdTBGCEdTgLm12xnc7MKwv0088MS+AiaTKseAsDjejmI//1Gak/MuVDg9FW7Q
xoyod13yPdEzHVkIy+J3p7DyrD3ZmdPTnAbFladevYM/MC9rlzbLUkly/6WZXnvfEljFJ3Nr1RiW
/b4FF00tXxLmilLCmGXyFOEt4dEaogdlkmwhi5JyRVPaF+T6CyZ0tHSkssE4lONwd3eaQFojyuYO
sO1+3xv3mWlOqEmaNNxBahZxMBX+dfDJ6DCbZHo22yTbylDh9vSC9G5NJrLBoAT2MqnS+ar5tVvK
jL2DqttvFfj9k8VWOa3mUXvHqvagxZvo6ucOBVJpgn1T9i8Wlyush2XTxY6ZOLGDV4VXiCrPGVkS
96r2jZ3bLrg2JmHV1KQYG+4b7GULBmdZVzDF/LU0k+5o00r11SNdQKdvmwOjlYlXs5ZDeax7G3dK
lIbOwRLWa2/6+XtUBd67Ev7RWTzy5ocpewnypo19Ywh54Ay5Wax63ufILAuihDL03k2fvJGHyAUX
lf4+GdrhQfnYhGmNxzKd1MCrk1MO66kQ5WmwCuPid0HyBOBCEyoBJcRamAqoy58skOHCWLYCXQge
9DCvfoRIGDMIT8lInyeFjV5kf8mfVZ9He2UI7pYha3/g+CmSramHfmVnnQ+v1tgHi+DQ9dRpIkF0
FsS9Mrsrnz8SIrevojVhMrdsJm0olKF8TSdcFL62vGPWmulDiglkjYMj3BDlpT+0g8UhWxKPVa2i
uC8ZoD2NjFCXdoW9HAcoknBcsiiiA9Du9DdhRrynLiMK3JYDvl7jF6lAi7PSXWuwVHRbHpdwqS+L
R0aR3dnQAY3GRZQP4ANNA4Y6WWMUS8RKQNjZPnUFyzsZxu/RVReubRovMO83NLxThTgC+XU1Hkx/
jvZYYxDthOTNnqq6duJOzd2llC1/DitPsdOK0bFOBMx099KB2mRbxwFmW558ykyR7RlKpnVt6nk9
R8l06MzRf+9GEx4U5d63MachM4B46ccmP3StqF97ES1vJl1Wp1mn5n1JONcArp1N2J3t42A11Cr4
KQTCyp8M7zGnX2jvLYZ30FbenJO5XfaOF4yxjU5kQ2Zys1EGhJ69WNU1aWrSabJe7mpeSEyIP3ur
2bIgCHs7dADn/SKdoz8m0c328FtrmRorcT+pOO+Kg525xaORpk+VUtAt3hSdSGcvf9Rk4dpJPMKX
2uYlqSv2Z8ueQAXt+k9qzc3FB4nCRQDzmBRuu+3U0j7UVf9cp3MerVo/CbZ1maAC7dIaaaWei37N
ht/vI1KtTiGNCY9mjexsxZMaHH1+4SrtR3mLRGn+FGRynHo3zN5sX38YVGGeTPKuyxWSb0QzXl4/
VrDo5zllU/Px/a0k4mYeR+IjqIZ303VngR5CNONaaeWjRsG5s0V2MX2X2tSgbfgGg6e9G+y9x8/f
ekZNNDBa/HxsRgTYfb0pCwy4SVbfROa94XPWD4aZjBuA+WoFSDyuM+62Lgeuuzj1hbUKPSJ5iPvQ
heJEZ14jX78FnXzoHQ6AvLZfsqLZ+PXyxQRLH5bOsy3Q/WeUWDymd7GTIH6IRZujnKrmaI0m7dnJ
A2vbdeBO+CDMIwgtpvsCZZYZDf1bMmXBiZ2GitbJsSAmcAeD2I9gOOiCymICdkxCOkQWz9IHo07c
W98Y2A5dHT0hp41wUUxQe1G2/O2i7si1e3y2vD65kRFkXFFFQAZJO+Xaiqy9Ju1x40+hsysk/jgv
l93ebo0uHo3Kickcm0E1kTUKEkW/kak2cZUFs4znuxasGvpXn8PtAmAliQCYLePg4mgRq6Yl14JV
Y3vrsIbfn+fGfA117X/Plib/hMF3Da2XxX3k00pNGtdOzYPcoi8mEAIhwja8KydN1dYbRO3HLPKI
UlMs6SOYOK0G0z9TL/y4903vWBRNvWuhC/BtlyvZ+cMuIrLoahjsE2He+6/OUL8XnT3Fi2XLGOmW
cfBrWHPPQzWQo1nDzeS766JyunU9Iq/zjelRy7bYOlGOO5tNETdjUG4MyRaXtt6CZNIAgnLxyYyI
R9chCu1Tju70NEo4WulOah9aQ7gTc5HvDFeaP3NW+qCrxJ+ZvTPHvKcEF4FaTp5dLQ+aoQDPqfwG
u6nXlMR89pGT3wWXxSMiP/IMI+2e25m8D0DKK76rm7Ewu90Bt1XRN+bzbFpEtgAjNXYq162acawV
3O5Wc4BSZCTJ7zvSi/tRcbp9k6QZHRox8nS1JqwuLSehtTWT+U7DlIZzGcqE4DzL80IbK6WaTvgn
u0PgVs4DK1YcrMX1LqHoHKQ21pD/Iie4PHsAhNdkTAZKg2ZPv4wDlvxcLMZGED25B/NtH1BfWWur
Jfuqhm4/hYSoJYjH8bWJvOfSr0ZLPnmEFTzW+I8/LAcmFKmiT0OH049tzKkSlEhOmvlhTKXxpFii
NYiVk3wh8Ev2zIT9m5eYZcqIRH+7kfd47lC43nIsJtsEXHfn+UFRgW5UwHkEo4UPE9li+8Agk/fO
OMhH9BsIKx0/0QVY5agOSx2ILwdY7YeDYjl4+YinZ/DT7MEf7WWHGZpgEytEEYqx9W2C+4+B9KcW
wWdrXdKIDvkmiQpif5q7cmrsTcqwQqe4ZJBxltFlGz/ol2NWyyzjuhM4q4BU1I3mqvRkWITiDQxW
vnJDnDn1b+i9FGSIZIBQN3kcZAO6eT8inXDMkxUBh790n89ULVivNSHF6yYYfwg8zGMgPGbGdmaT
5pw+q6R0Y40h/FYv0PQyCH8PokD40o1qn3bZeHZTszqP6YALr7b4Sytjq+8VLanBsJ7w0KIncUtY
5PEJuwDkApFivNa3eSYu0J7KY6r8KUb7EK1RPxsQUuQt6NG76KLPL669TF+QHeUV4aj714qE9Qib
lJ8jUjk2ADoMZTPGNe2Y9Z7x5zFo5s/ZKpBc5GN60azXzYLPLJ6nxD8GlpceGzkYcUnzE9EU8qzr
HqsMl9JNhxNrJ4yMZIlOlbR0jdYbGH238oMZfzxCPpJPhvNYzj/snSWEcxbu68DdtmTDorWpt5UR
vSVd/VLq+bkevHo7+AiDinx+adpmY9JLsmrG6VVT9IdeqnA/BNriU1sXwYMzJ82rofHyoa9+W9T4
kdRL84BfjG4j/85dsRQu2AM4zdUPpsoW0zqkGQwSbcLRuFEhIi2z80Ez66LaFs7SvZpGW5/xIvUH
LCnpFoHqMxDDIchUuXLpS/lV5cV6LAj5AUFwNjrvvubc/EI9jvbOcF46zSkZwY8D1mVHqhUJBPLK
T6NsivVgec8J4be64Rlc2ltr6o92Am/EHYXdrF1WTdDP5yTxjaM/EEe1YL+r0HpsliTj7TcY65Rl
vFsjykQmwDPVqcWqHEl+aoGM46gv7QvaUuRuC+qjMmWaHEzhHY0yBLBwBZbbtLgylhIZabrNqih0
EsNnzLHwU3FY7CqnIVRBkY7tt26DuVyVtCyuCg/Fa8QhtxkirV+MNAhPIfTHJ9wPoTkhsThjlR4l
+iL+h/NtcnIR+hKubM/chlV7Kb3au0WyGXcFs/AaGOjvDIx9mGYH6TXw/SppF3ubJAC3WjWnwo8+
W3d8Xrq7qyqyL3mO2yIf/06e+nZS//9Qdx47siNpln6VQa2bBQqjWtRi3OkyhIe4ITdExI24VEYa
tbCn749ZmEZlViIbPcAsZlFIoFK4X3c6af9/zvnOnuXr2SbWtbE4U2S9G16rKr7KSILesMm5TcP4
IFkDESu5yhvonIJmqN3cBWrP+u0ZjOOVEeZPXVZPN6JejAcCqmxAbfULMibCu/3l0mWUACzEYMUk
Bw/zdhhqaFADUuDSISD3lvVCPOWFKtB429twLiv3ChNAzNwdJoAeu7OMf1MlOL5Phvc48pAsuCA2
HC3fimCmdCcsxCGZp9fJrCKa+/ADMxYmHu4wI08YrQd1iIV/UQaiPtZCd+PkVKJLGJakkgnUNeSV
Gen1Ly5wzb+z1DwDzENczs914pb3TiiGgxFW58B0ahYA8omoLfKrgRMnQyyxG/bP4XU9yPlsm8M3
+zm05Hp5k5XojE3aOT9sI34pHUPf17n5BuWS29XUvVpGc69c67sU5UtD6dm0JL9yEVyPdN4nDnEI
J/yVSOsUsEnf2L95a/GPbmeRPuih/0gxqGJ41lxttTNgOOxO5Dza1xo0BuY68qa96TicFc342ofQ
SFDAwTedpAUHzU5GhSQjZqACH3nisTnvyuVAB1oUOoS7m2HcStc4jPVq08KsocQZdYGpzvCOTUIG
BqDGlrcDrLTRV3iB3/gwH5FXj6pUt1WAaprKcT84ksfqcMqS1tuWKUlUVbTyCN602ctKeZdqMLaS
OQ2XKSKCTcDLasa9ueItYM1hYsnCbYKzoOBsnhCUY+fJ2CT9u17GB+If52D0TgT6yMaCWw6nEpSP
157nNHuWusYwi7hYDqBRc4eHCAGegLQBy6b4ye8nuRWuuydjUW5GOEBHzvH3hjZu+D0c+K88eDq/
2CguO63dWxHnJ1ToabsE8oX0xcNY86CM1ZVrcpAOmwGrvX6qdbJsljQzcN+zzehEel/y3NpkxfJs
z+nZlPFFYBQk2moeZJGO27AIT2kCNyHIhiNc+OSHg5l/a3rDmxd3xECYOOCMCnJLVnqsuZUdZjuJ
N3Xnc/XS+1gfVG3GoH+k/4FrgBm8yMNt7xt4kozCJhhWj08sCWHEScM6p4k0YTGY4lBUXSN3cZV3
z9qoWue3xN95JMDK8BPkxJF97oopDp4bFdjYQ5XZ7wnWQmiC3w+sLMOz6LAa2oW2a9Ew0Yff0h6D
UwzzFDNrN3/2a9atz0p1FmGHfzvxMY0WQiLI4cLqLJ2de5/NMDuC2ZObdi6rR79N059xV1pvrNgE
cKfBvrO9oHtqu3zY5C2BJrvHmDOxpjtLv1jO6LDREHa/vSX1zMlkbT5n/LFI2pw7DqrRovpvTUjs
ip+tu0fq4gNekgW6oDffBQO0Iu4THRG6dF0a9R6jXGq1+8DU487yW30pdB3fLLYQO1uG6V3aMCmL
2gpfiwEDS2Z6YwhGqnn2x7T60aWy+EiWoiEbpvp9KnkqOVNvn812Mu5HAq6wXIwhO9jWgF3bqfPu
LW8BoHv9HOAssYncd+TpYBAyhplDPxHn8cdrpnUWDrjymCibtyps2DrUI5Ab0mxZ5OICffTtOozC
CVObX85YV9xG7sfUd49NXor7YNHfC1LyDX+k+JSrbtzHquSkYSYMvIQcVsFt6skqN91VJYPmoHxk
XzzPjvXq5dN4w9BR7VIevvtFsCKAEsiaxEmKhzRclkfousnJ9xv5NQy9/5C63SvwAruL/MEggbpm
XDOO8TEH43Nd2fdeC4GkGhYVeVbCjxvUNoSVsv2ADr881m5n7uu+LHHsYMfgGDO8afYGV54Klm1l
w+4DzWFsB/C9HF+s7gpLlHyC0sM8bHHHrisvvU6Jfl8PPP+uO88AN0OJyTnBbpiHOZubwe1OGEqJ
t7dtsHVDYVwQAN8nAcZj8bJH7TC2lHVz6aWZXBN7QsgIqh/QoO2HMcxtds0VAaGhL8no4F9g+WW6
xMXtKdm4Iq9w/EImqAtdXLeewu4xrZmgsiFwTolQuSEXOJ7WNNVPXYwDXnCsDakajN2QrF9sW+Xt
OWnxARg5nwNX5i6JPetm6mq9xST7mJTYS4fcbHiaI31i9HFPlQ+eOQtztUs6og5DArUXUgOkoRIz
pZhH+sxyaX3MFjNib7f5LlnvKnbv1TfzzKsyVMLICSgDq/gw9giY/YGQX3sGPZBtk9l1L3IZfwz1
sjz0Dg43lZiYopcK23lK5ZEv4/t+cYO9u4BALsFwn5uuV1EeKuAL2cQUqhaO5OtyNWfbRqgdf7fO
0+yBK7f/wipCfNlrACfnaCYINn6U2a219+XwGMOMeeyVV+w04g25rql6KUJ66D1v9s9Dvsa1lklF
hQ9DtPVT4MOO3RzYtSCb0FVzazVsmDDHNPc4CrybeHZjCKDLjeoggM6F59zk2Fav7aB4F/hC9v0i
5GmIx+ZQmz4LFGau0sWgU6Mbnvn92nejNQ0kfbE84nHAm+NOxbG3UsCgyfA2eDXe0MILruMKsEEG
uPuQLfPn2JpxpBZih2wmdXLVGzPOhLEYv0imYT4pS22dKWqtDiRE2rPCHHeDFJXvOaDu2XHtxrHp
9zZeMM7bIPVsKHiRVfYBHjHDhT1FQs+LY/Mws4W4Ymlp7qxUZPvcLb7HrHSu+jydTw4YrF1i5tan
OVfBrnVpukmTjignRTEkRNjP1jCd91hF5/NIkHrrTTqIeu4N+7nW1QbqM/d1YEc37GD8p9ER8iaJ
azvC1tPtarSgbcKunablYtuUbfcD230P964xtpWHQ4x8WnteFieE5FUO8pS78gOxUR4aaU43I//0
1jGlscsN3z52hen+yDTui57M0l557nVaCo72GnPxNimaAqetgPBHGDUS5C34Q8JO2IQtRa48n7x7
O3BWazR5FU7Q/ZI9joXsDgqc00bCECE7Brtko1VNXrIAC+E4jvdkjahmVhfqo6HD/qfZD/VtQ1j3
2xhQMi1j9KHySUSxGMXwZk2NHzqsnvuencodHjy2Fb5vsPnN+A1YlQNbQDuvll7Xq50sn+Ftk2hx
hXz2mHwiabJ/5m2Gd0uGyjU7ozyXVAdFGtvj09iMX9DSk9uy4yzDXt+bnuvRmG9riENbU3df0M9W
FZf/yOBVRmQPvplFCv/2q+YnfkcyJ+Z2Z7Wvgiz3nUN+1MbJ4xJ+IXFQcjTHDPHSTFgn58Yb38pp
mRoCZpPrAhPE7VibuQL3OvDekhQGCoci9q0Z7zwoKXXtrLo/kxuZn/O276KcA+H7nObGSw3E51gF
SX8evGB8M+ewvMeIszKAqZW5derg11S5xbgx0OLfysDq1jy4uPi1hSOrGBKiZC0fph2a3N981hxk
gJ2bNunVy2jy6SHO/QJDPp7aZYkZNxE4xcwnkPSpRgIzUHX0NFtfgjIppJl5taEk+WcThKvpt5pO
1bKw/jKEeWiwuFxww3T0hpjhXdFO8SnJCNzg526HX1gqOrjjC/GTZg45XvlYgYGOAQ2Xmo1GyqVj
B6jurj/IeFtbDNbtwv+xXaB5YxVb8sgsO/7tHJdzkfbNXQpS+jKGIj5RbaDeB+7JJ8dsBenhlVBR
0bjXaSzEjD78ecMRnVtbA/yhGFF0M8j1vWH5NjCVzyjEEwvhGw1RLY0WV5dyM7bycyRYgtWGb1r4
KaFBOX7hUJ6jsAQkzBCs6hMye31WE9DUXAzJMfFL58JNlai3y3sx/bgct3bbqk+aJ5z+a/DKpjbu
eZn+ynZb7uVJZmLnhksUKUTrYeM42u8P66dS8We9izvuXVFd8vez0WGz28tF3xH3QJNzPhsNQGut
hAgH/PJm566JGnFk1wdS1WnqNNJzYO3UqpWbjvy0TUwdOmqcefqKWe1CrpBr0KkMreoNmb11HzKz
TuabVhLJ5bgufi3lOIRb1OqUTHbfg5unBIsXBVc9tbfhXOffuurLee/mXS0vEr9zNAXKt64wsWmx
00yS6YMtfftCLNPpyPuZlhVhVFAjgQfpdjxNNCmYLfcFofdktufnmC1K/NhOOdXzRpA8QACxMcCi
nnqUik0GTyR7ab9sy6pRZPkFzYzwpW5vobcVFkD9rn01S0zU6+ZbPmumHp6mnTZeykRP/ktFsqHc
F/gS1vrB1fWkbE4bS1l7XIhh7+U8rvLwdXILu71BpnkabP6OnsAkfJRJV+lbMUIiP8wqGM5Bpnqe
b31sWs/ZrAwoBEVlNic7tIieT5JmSZev5UkrbruQSDQFCfWQv5oABz9Gd+xvjWk0KF7MEvga2i3w
q9lxIkF0jCplD9FU90GSmFu0JitGgk24kR59rqirBJtOZDGfJtSBI3tG605vH8r+CBnuSpsehR7S
1C3hD+YiJEiCUmlCpnaR5cqkZalTu0uHNyydevRmzhnBWQic9y8T3s/iIKbCLLchSf4cpmybyQEe
q1shiKq+ubYJPLKshIjUZNtitrsW5Q5ff4Q9OANjhmth2qgyXdPBFdzKlLfRc/4VVXzNriToSYV5
3jesQIy62aQY5LDBFjjE/VB+Shiqy1bZdvOVur7nQIRSSYU/OK1/uSQ3L0ZjChKGvNhDuHjMyI6v
NUpYlTcPJgcl8yrHsFdcoZ7WHpueOrvUQiRiN0yUM5wr3jXjVoyprjJ7Dq45DnCQ3Sq9FyNxh1Rw
uW8cIApQaRMgsLvO5saMB7ENze3oax97TzLJ6VQ2YUnQoCo0NSNVbYThHsO32/+a4cZtqxa92nen
LOL3tw3jmOgYeI+To5d+Hxqmd2Ej0h1IklTXlhryfY8ZZ8ty4KDTuv/BKRmeoNPn34wnVbchkjbs
Qn+BYlt7KWcL+cwZ7UazN2idgrVx5i0nYc20frlBuFXao0ipgWjAp0lHW7e8YggOIj9e7n2FHT6T
rNA5gvRbY3B+okdy/FX9C2Ur1TVV78d0ScU+94z3QWHH1L1137PA+GoHbhY1t84+FOXBmjqMCzmT
CdtrYhndbySv+Lr2nMeypbAiE8FJJLEdFS4TkltV7CUUDGsf5LNm60EkcFZ+sOFoHKVNDxLZitY0
HgExClGLZo+5MHxbSNFupWUCJBVM13x/zg/t8pAtveCHTgShWHhHkUoCNqPcxtCnduQESPwmVfBC
FRW95Y3FRAgbzgL0l6wRF3vXtQV5emIoNrBqtkCt0tVtBifvpUYCYZ0EQuC6bqrmhzu65U26JE9l
w+HQX+rnkA3tFMNlmADoiILPd1Pni1veBrEfkMS2Xa9mQxQTVkavrvFjhgmkdZhQJPfnO5YG41kr
pEiOP2QpeneXJuTwXEteUdt075agsnP3Tuj6yMb4ROE80VsBDrQzgY9zLtlOivNFWbb3cexwHyh8
s4SEPIM/XxEGsg0fKoma2wXTvnc0Uc3FvzYDIrNGal3w3VK4Q5fivhA62VYaGkUjik+dd/6+mufq
0QTKs6nr2d5CWbMPyH3Yow19NYDXO1SrsZRKPU26refo2HSJh0CgOZEzApkRJmyb7zDJ7wiHP9Rp
2x/I8OT30IyvyJIRU7WXU2LJHdFPcVJZ/kLVbDT1TXJkDchGK66lPIdkegfunOoZrXT6sDPFEq2v
WzaU2Qth+uKqcop3nNDpwyztt1lVgB2AKVAMqZDNJrM7eG2yc0J8to22T0vgAqaEaq/N+KEl+7Mz
m2I6dmIEHZc7w3fox19WkbKRqkqSbyXCoHTqZ1iD4jR1RGFwJbKE06m8llVhrIJjTSQtOUlQOHsi
GnZElIOvwbL1F3emjEUw7gqvUdY1USFzD4oGTlTYbZIm83ZeOr/GPKiGOVXXwpBsOpIP5qjXuIPW
PljYUFwxPbmuRcy/lwliCuHtzvSDi8gQnHuxfAQzQ7MDLmbr5OLbscs18aCqS2BphOsgxZqMk2kX
dxhLxnmmPCYAkLXStpFj0bxsUh2Ou/R8piFo0kA8Iht9SaPlUDHPAUvGvI9oDrtJ7So41Yv/ZAh/
5oGPjRAPDlKE6QRvCrLLQTioGIt7ZPthbNUs3vOxSw/0hTE+/CoAawFq/BkMWFU8WxMA5C4NVL1q
f+RwfTeWlR1Dy9hZbbIfzJ6tt3FeSu/ODvnWOzuQp0U59u2SxvelPX7m+aPy8kthcDhqQhGxZrsy
zfxWOMT0lty4s4kvH8seu/7glJ9+S01Bndx0nYpf61G9FD3JtKzloDghtzemT+Q/jn+O+bCnyXT5
0bo2euTy0AYBa63AP1ttS4JHq101yK3hF+8MwlFQp7/MPrc2oc/ahoDKbmpZvwWFQSpsIvrhuBy2
nPBAWyMndGobcuLxe9wpy9kqE8U6MwHhnwevs6hf8xbSS0bbrdiYuSihDc/Xc2vyHsdw7024ZDrf
Bhfe27CYGErKYZ4utpddPFc+Afk6pTksLKMuT5qFFGPIyKw1foak2la2UrgDTnjr4pNnD9Q+ETw4
9y0x5KL+cDj8FQ1Rs76rfnaudRgTeLwymUf0niq9kHnaSjt/Tvzm4CQ1LsIeTL66AqBy8bPpqIMw
YltydDLYUKr2rjqzA4+AxYSTz1gNDHQySqrsLEqMeoqI1IhZNvJbVhiVUk9p0BPgFvF9K6dypxaD
JKU490PxnY/2baHo/BqFRdq8omnE8MaNWXHVk13dyMDEF5PPn9ZKMFKss3cxWKN3ZwXxjynolBhP
A0lQEvV5rgDjlba36nX2vjVmsEGJPz2EAwzFcbLYjVs9dkerKTENkVIjVWuLa2/ordtO8NyyuQLi
beLGw7RsqcNzU2LP5IuBreEh1Qg6jaWoQCj5oYWpwAtjLiGkiqwivhFfWkw2F2JLTDwYRMKCNyYn
dK2aR4we3QfpFs8Bx31KlqvyGDCBGHRG8FTCicTdU+jmum0EsXCeYDxVpLG10hxTYxWzQ00HALDT
eAFrJoBn+cbdQLGIQ1QHZQ+ojj8A8a7KILiWedNt02K6z0R80EjhzBJFC8hkEAdWOMF56KriMHXz
Ve+0t5nlPvNouzIr1wfRwFkpkyadCAqSR6F6LoJJlPe9Mzl3zVi6Wz7+cRsU8XUOnqoZsiPDCdIk
m6EiBjvTtBMVM58sp9EaciAdpgq2QgdGlIHH7v3p2uhbtkDJjamdExV8zzyJ8KutxDP1VMsJh+9A
0NJTnLOJ/8fBlwgat9oOXm8PO6wy7vcknOwmD6v8GnUyvEmQQ89p1hB8HDkTRvHoii/P4RyXNeWv
IuRxifMENG1FER0p7IASrYV11FIQHFniMOKhE9xOSGbXZUAU9z+6xUtc28nvAqFGC15RXvT8hVzO
+pcOlih/+X8WZai/q8e+/f7uyTL8/xBg+Kv8wv/W3+3nR5Z//D7z8H8CC675d2IFpqDDWwh6ddfA
wPTd9f/4mxB/ZzZwCSQ49HmuZP7/CiwI+qJC4dEAQPm3H3r/WiUV/N0JWVb5WPxZWoWB+J8EFlZW
v6JEV1VrrMJ3XJuuAOISZCZ44pv2HwrGdUqV4TKktN5plR0NDG5vAO3L/6ZY2FqLYP/wMsLnvXqC
o07g+H8oP6vIDVrad61dEVf+afFFvfOokt549jK9LI74Ao9WH8cWpm/dYbvx8qQ+zkSmPrxZ9jee
hvIV9VXmHTH0Ud8B7R5sZ9yc/+WLu/vnG/pf1UA2GyGl+8ff1ibZP7xN1zJ5Hw57CBuAOn//58dD
hiD6j79Z/5EJBl+bY8BuzSgzQqcMNSUK19XQ05CVypjd6IjuT+7jnzGgfyZq/uSV/60eji+CpBRf
OY9Z4VKs8PuXrsh5Z0vAUEBznnyYaK1+6cvJ3GXO0O714DdbomTxRxnjDSfa1L+oPO1exJB3N+Va
LSjH5fTXH8afXBqubQsuNd4UcZI/dIwRz6ZieKis3dLag0tbiVnspV+WBHf+K+zzJ3/yP3sZUEE0
inP9rdf87//gTWf1JYHweafSsj3lPStK153a/f/Fq/B7IbcampRPkw36129WeTy/uAdT7CJxScu0
NtAE48+/fpE/ucrp2CBp5HEJeeKP0R/G9SkIi4yIXxY7N8Iz0SvHSj3YnZdEjo7ZIYRC7v76RdfP
53fXLHeQwCRz5HGy52e8fr7/cs3aThdXPYWRO8b99xoq2Z1eAQk8WhJCFBVbiAXQalc69TYclfv8
16/+b9/e+urcQcKATzVku/v7V9faSOeuIVLpjfLOJRtw56GrPPz1izjOv/0whVjTW8IJffIXFND/
/mWSmklIpV2+a5TB4spNp5ucKO250IAiWTsl+VscLsUOz1570xLHPLAxFdxjtIxAsn6H9ty/1+ZS
oF0wcFNCMDrTezJYdA7FCJGcNOR5CLJ8X2TFaMNNZTqPNTuEIsAdCXgLDSvWg/cWN6vfyGCleQhw
fvWbLB9h47gewDhac8YVEWIOT0O7ZLu2d+wr+ATyfnaaaZunrfdWFEof8hxlOxYy/+XDTf4Bh3nZ
Y4BkKuBrXrYFN2UAM954FhIak2xzb+sgrexdqBkbp5Fov139Pbj5jUMDJlpZgNtzMmO1Q7+Pb8sZ
CWzjzLl/ZU4yPDuNB9+RiJb+0kIOZ/aE9TmNJzw//P4pwjXY+W8J57CE4ZMqEaNrC70LhyFB+xeY
X+1WQcHkn5kFNbkl6NPU6xlb/GTcG/HCEbpO7HifkIuIArauLPqW8YXzy8KZuwwjQ8MEBhbWUTja
jfoDN/jaFtXRHTuWkEO3tSAA3U6DelgYnV47h15klmDklHPfdaMMuGfgcaTErgYLZanZYXZreh+K
7gmvLT2DyjUayFQY0rxsfk1VC9bCacXBrefkWHMTp6LBtE5kzr1Tnv+2Mw3G0yCGmjCd4z/g/XtP
+XLuAt9h1+uEKC1GD9GNzrlkQq+FID0elShMDBPINWP8SDj7IRlIMDYmpV+tv2yaQe111lXXg2t9
iDX2EpvEAby4Fkf0DOQZUEHX/Sww+7jNuCuoEusX7Md5Tk+a0ajunYD+EVeotSUPvGvrmDDwcJ06
HJgHkKMSTyTi2dWQ2Z/YJXsUF/cuK7qH3MNUqZOsPoUqCe+8NiihWwn7VCl5lari1qpytru+Mx6F
ab8H+VHl6mfvyOvOGJ6rBBNvsvRneOiv6AHjKUj4xCSxsJ1VumNkJ2xTaeCAlkVpQbYpLAztSQvY
L2sXUDZzN+9wUG1cvDqqx9KqhP2o6GE9koU3jyEusIg1DvamlKqNpcfBgDlM4KyKWGZcWPXcEoFB
CKLaeJf7sJHrgrgNh3lwMoCH7E1nhcBT2N0Ola0xeMz2KW3G+C5ui0/KvDu0WPa4doobrSqS+azF
AE7BYKgeK5p6ynIBbAfmJ0/YLLp1NwIFc66WFQ5IHqVjeXVkBnqldhi/2uxeco2HqHKCp1ApwI/S
DN/GodGn3JSXpiL+VJVwxTPqhSLMtXpnt2gwjQH3Cb6f7dZ3XjIfqiL7igfcx53RtgDOcImOBt3g
vU6eFGObcmd5FeNJYap7H7OakkR7+ZBFxSK2Cj51gJeps5h+OK2EOAgzu3/s58mEranb3RjAgjZY
S/1MXNAVjs/iqgaQE6pXS+n6xcjmLyMISAFgE42kNI5i8vVtRyjaSKEhySpMGb9yZ7ksHPo2NQ7E
LVcVEpvJpQUZCyuu131iu+eX56UHgnTvhpNelGpXBHFz4/my3xtlxw90vQku7sl2kwIr1Jwfloxc
feOHB6hs3qamcRkYx72l5QkWn7tH5IEehjbEz0nezeuIZefsIsaSMFwacgPvaCag1XBqclYpy3nw
B+eMEK+pjF4+xsbAWSbQHGu+YlWvibakZYe5vA0hKVE6mna0CWe4Zl0QhUzunx6AK95HaJ0oR3uq
uhweM/m6v35WudZ6lPjdA5kdCud8DhucAFj4/uFZBULbRCD2CYIZBn0ZEoRTtbfdbP1RuDEr1hj2
ELWmqds2t8lQxNAm28UbTqE3ttmuLspGR6Oym3g/9336gEbMdUGxvJVEslTqcyIx9RFLztN7qzOr
3YQa+IN5s/vFmlmJrWUYBrxg2ZAGgSCMnTkDA26AHqeroiAEsXUJxpX7hP6OmzDvyw9HWMawmyvP
/VktHL+zWmJVBLdDLRT9Q+UvXxrFxyAwxiKpB3TdWbkmQcc2S3U8fv3OwE82l59cfvalN8z2zgS3
xN0bQKi7X1Iju1OKLf3KHlqx5+bAzrm0u/KcdSPt1At6Ah6oYCZCY2AZv0X8Dx7MugdhGHT2WJ9m
0G0fKVHfjQOxRH9M2DQJffpupiE5w+JhUdrWZqQCZq0IR00Dtdif2p58DWUBm66sfH8/BbH6GZd+
U+/D0bARBFn4gTKN+/ICLWyG2oeF4MntSvg2WKIKxufY4enijh0fJilEdABph9dGkXY+4wua+Qbl
xiq3Hco7gZR+WpuFQnN8cDzll1EmW4GIa/vUkjKDlQwUZhoTFCpavLp2DsvN8FryHGR75/7smP4U
7og80HBVstjM9zWl3zQiVHnxMvvEEzGdj4BLjB7vFHFUNr3YsEp4P9THl8tV6KPG71u3J3fKBsAC
bMTafeMPYva2Rd6EyxGDJYvaEOXTjeg6rpet58fJl+tXYxpJPF3sVcdFgYkx3OybaB+3eoiJVWSj
vtF2KSXLngS/hn+wycjOu9acakRoMQpwLmAevSP/G98HNA6Pkoy5aXaolLZ962mjLK59l4KPeVOK
qrPOMsBhkCFzzW1MJD1XRTR284JPKrGzE6u1UT+HwWhMUch0+mJ0ijKZOCWwucv8jE5PrxEtTECE
ajqzQ4uTUsihZofwOzy1iJ1VpCh9B5vRsAxNeTJguqPzC2st18F9Y6f0bycF9issQyn85NoFgbgF
Mw+4vNU0E9smys/WxsfBzb1JFgs1Nkhqrq4CgKzK+tfUotTcszSr8rU6aEvne/FzYHD7aBY5f9gL
0CUueepwR4MI/HGxMQZEZpKP4CgbItyDLgHGYwII0TM8PBNJY7urATpsMcJM/kjW1IozpPxeY4Ao
R6+/yoaJAhoWddNPGoG40Rnx0POYdNIJejamH9iyBgu7LPFbDw6y4jCVjagr1ABzxo7cOslfDCPA
1eDihMiYL/V4HSS0VRkdpOdohmvNIc2aiXkkDXQOCy4/jdO1NY87aTVjsAqovbUxEmWfhQWE/+Jb
LHXnxLBjUNvVfF0Vfu3wbJtiqD4T7o0NyC6y7oaTxDdolYtL7qsX7BiTLnifHAg362+lQ7tDfbqo
pMD+7WdhAfOyL0Os6/GQYS8tnPBVmyRsrixP28M5TwfB0x6CHGvkQOXIdwNONg4pwYcr2vlpaZXt
QT2WJpUBEyl1pJDAfS6X3IR2pyh/OSxGrrmB4QDEluppKonpvvqSCwa12WiX5oqUAr0nixljeqWO
6xxydWQ7iy9s4oEPEus8izzUGz0nA4NDNnMjYu86T8fKagkYu7qdcKgjdl7mCSfANmV7d99Acpbb
3hxBGrKGJmVQIeCW26WVqDErK4ckBF/eF/dXYSN3MUJGPeBpeC1hJh6JJ4A1WXynu9OwSrKLZSHG
HAriTLejO8MycWSRIQ3buWmylOYsCiSFSoFdzZbjB7lI8YO+IwNcjMJCH6XBDB7I9Zvp4jVL+xkC
Dp+5x8PTZVPc63smjvw1TtJabtToOhchYruNLG0ln+RMglOpcwYJujhA8obTxAoFNamtVmEA/zSV
Y0hFFs6TZ1/5+MUbTIrAzZi72ivC7Kg+NJpMn6mqDTJXoJVcuAE4T0OP4rqNZ5BBrHBdQVz3yBgC
KPLs60nWzX0QGunPWhj147gwxGzjoOo+YmGYp5JqFeyL0LyC7Vxha9i2/MnejDkF/Ob3wJEjq4Mq
uthZn+5GS0oCkRNv47TUE5YwJx9c92DRBvXTbmbxbdoehFDHMca7PlDGd+iC2mD6c0MyMHkyHQJq
D+aoqh33HbMHHMbGGZKXkjs/cpbZEDHDpGosmyqItbourdZ710NSPwxTn2Fqo2+RmWEJcFvQiVnR
XuCHetrQIsGjCboPWvdkcYqUS8x9jMyaHg9iToonyQBBLCOba9y7LMou5Dvy+9ZMsRHbrvLaLeo2
iSIKNalfHq2hojSZo4w+FXDvkVi6eZ9MJn0odhLwYAp9GopLP0uferdPOGZ5hUSxhlQi+Y04OAVA
kuJggcxE7SYaFLEGXbNKopghJOO1pNMPIqEJkRxydw80R64X1jrX4A75YcfT9LDm/ucoD8ryburD
ifMGD1Yisr5BFHvyGKGiLJPyMx3R7LYKVXCgP77tUDy94OLQPulsW1/hwAXeC1ScgikI5hrexT12
KxBVxTz3GAddHM3cZWIstAWurc96tDuopL4uXnr6Exfwej1PdEqoCPYb4ygbCiDg2v/wSik4+efp
m0H2CfBpblB1iBvMvQI31dwiK4YP7VzZ+Rq2DgbGnzUXIAeBsbFEoKm3/UzNKNjjmM6srBctCEsy
yCh0LMT2mTcREYSVSz80rqx4Y9l1/jHPE90A6Hhd8MKQlHVRjIyqn/6TvfNYjhzZtuy/vHGjGg6H
w4HJG4QOapVMMYExFbTW+Ppe4K2+nQyyya43a7N3lVVdsyxEIAD34+fsvTZBZFaONxDirh6E/7UH
2p2QiuEGWAjYIKftQle8Zy4/1uuui1vns+vi6Rv4dfKZSL24h9A1mwPtiBG/8a4VFvzbFnDOeSbT
4TbtVOJuNQVEhySxReyLi6/nkaaI20vwbsY2grb9VRIk4RFuME3eZTkgYMI3L6Bxo1QQy4FXW5cN
aYVqE8xA/Fj2GzPdSf6P/ZzR54HyNFb3dRz4nBEQEv/SkcVGOKD3wggehug5HOq5bu0bdQc+r7HT
X2FSsYBYSUWAANVLjAMCh+21DeWxWyV5BCDn/VpevG47eZ7UtoP6xXUt77mt/WdvzfGALgZBu21I
83jAIu5hX1JYQACZlYRvVbZ4KFUmLmJ7cRuVBDh3WdlVawvcJp0nr3GPFUk4x7o0iMdWVp4MK+4E
6P/YQL+Iemz812f+ny86yWCd+Psf/xv6dPK3//n/yJP6/2wIY5k0H//dWV4oVX8Doq6eMuhTd8MT
RKw/oVHPf+Bf1CjJEIbGL54AhEU4ZCSHsn8NYSz3L9expOs6wnSXaQoX+ZsaZYi/CMu1Oc55kj+h
+Kt/Y6MMQpVpRipOegQOmIKuxz8aw+iXbVzluNqx6aS6ij6qKShRX3Y4i57eCll89yQZKUIvPPyC
xAV7R6is9aNltfYWI3t6FTpucZvPROSwA4zfib3jxByTTogMNIH9K5srWAPjVwvg6j3IOOtBAZje
dUMzHVWaxo/zJB4MEcyfxAACegyb4NZPcYjbrYm+ZzIYp8seQ41T8fccOtqj7GxsOH2bXuAQcM+y
1ifBuE2JG9jFvJwmxmtO2FXY9l8StwKOF4dhic4/1+ob78bYbQJ7ZqBNPFpzbdWFiwlRUZL6WIMW
hoNHPVc5rWbkWs7uDjexJu4s9YDy2wMyWESFEQGnJgcoT0lsFaxW5W2GoCQ8tmbXPUKtYceq7Mm+
zYZE7/koDEV8W62rwhc3WPjwekD3RKSvyqMzRtAQkrwVNZoKliZCLjZtKc4a0O17X0ZXthOiz0P4
m5nleDPoL57sblro7Gg2QHdX1e9KflOcRW+DAU5M436vkwmBC6E92TljtDMO5J/Qr6xV0tXbYdQr
06zvOfX9NHzEfUyXv5RkiBzxP1jXNQWaDcl5VcvF9xQ7SGFH96JpK+JU3WuSNO9Hr4JO2ne7sBqm
7eSHAf0QhZSxdH8oCw0nGsTxyczan85iFy5ZQ7+OqvkaVd5xsIyzrMY+iXSLsZKY4j2ZI8XP3HTu
nbz+bc/iEzOFe1+Zh4mkRNwzu8YnOSunYbWrrAZDViQBQdrPEQV+AX+Vvf4wZUwcKM7unDJ7qDNR
XcTW8KToUgfw+Q5VP3FPu47zdTLvlxavdS67GFtGET00MUJ0OlqKdVwMprWFDWz+Rpa+riwOHBjn
kdyGI/IsCGFAN5JirwxO0vg1KtnGj4PtTwSgcpxF7Zv2X/o0dbqfRtTd14BXg/xrxeal1m3f2Bz7
yVtEVNhYW0THlH+GjRHeD2tNZriqyb9VhhQ4N/ypO8s9A7kDvfqsvxBV3DwZhCHckDDkbFF5BUcV
WoBZ6xJI2qrFFU/vH/ZH2GSPRoCIlTbFCmkV3O+gu6L7tVTR3o3mzL0apuYw2M1n5m0c7rM7IhE3
qIDvY8q6CubXprXKW5TixDuMmLwVQUfn1EW4YuzoK8jsnWMpNDuMyOBde2cNqtRtV3YXeRNiJeyi
C9klVEAttPUM52niWJwO+qHa2cQeh41qrrKkNs+IVyEmw4LmLbn9lO9IRkc98z/2TM2VlHpPU+aa
UFJUr3jJLziWI+fLUgQPM0DiHLlkY2T9Vhu5tyFmbSJ9IrjPwghq8jRaD0amglsT2hklJrdSOi4a
bj0gNvTa7ifRP59R3R+N9DdNb/GQYkbZZpVjPCJ7xjqIhTUsq8+ckKxdSr9xTc/rkGQa+wPYA7Re
EhnDoBAj4djsnRrFd+Oi0iKSj1B3k1Nj42Lim0mUtEff3Yl8EHvZ2Po7zF69Q0mMX6icra8gQu8C
Ag19gzg4VcaA38bvQZbcEmBMzW2SRYGIJyza+6aniTZleBkm06V6zfx434GKcZv4h8+t2zRgUDel
r36EfXKcKhiZYfgYlM0P0K3Jd5yZh3hpANUD5+KKciZD/mSjKef+X0d2d5ULdQf+DYGG0cs1LqDD
6JpfzJrX0fSKxWW0olGM25/SOOlha+bYbokqVleQ2Mobvg5chmKOrshD67YxaT4HwwZXQCzvWdBO
wdbxh4MOhD7YWGlNh4Dg1rK+epE1LFV26D+0+Ryc4dIMd1lk4X9xMOFSEQefUh9/bGXvgfxKbCxf
AZGBhiWBPD+UViR9eFra/hyyf95IWcpP5dCxqrvBd6xUvLsECUzZROuhIui9mDVnlChQa7BA9g+6
MYAKhYsItVXGEQQFkkC4u+fS7M2OBnibnduia78XI6IyuOWKzqSF0ghxsE1stoiUVGjYzGqTzZXe
gxnurwoSQN1LqyjEJ8B26Hns2DD2mamuUmxlV1mfkwaCU1HejIuKra3rRcg7ebvAmOrjUKv4HBV7
564qiQewAP90Vef4xobcITqBCSEvJll4sYFNY+w9eDsqig4zyXBIm2z9uQyCrZ1ljCvaA0XrvswO
xdinB2HF+UHOad/R0SHBoAn6Y18MUA+d34aHcEyOJnrUMUU01owu6j6GggcXi8euMBN/p/kujdfP
5zV2wxsmHxixBm4B36EfnUfmAUwkx6i8mxtF1kDz1M9xtPP7Un8yuokusqZB35pti/q4GQ6x3fhb
362cx8BMiieDCepD4GqEoH6fXcoqiR8NKvIjVgEDwWQUnBEOFJ4llmdcGWk93RqRW34lUgMoVEgp
wu45uRiRcB+xYbfOXVsb+UUWmfkjWvz8e0iL5j4apQ/IeGw2SOjAIGSuf8NMGTZVbvr4h6f5X7KC
/66D/0Msx5D/ex18bOqnX+mfdfDzH/i7DlZ/oUOCdoocif8RNpKjf9XB0v7LAre8zPHRJOlnmdLf
dbCUf9GwthGoMGWynKXU/Tc91fsL3KntugBX0SMp7f6TKlh4J7MTi+GLpzxn+UfxUZRzIkeyQ9Kj
tV7GzSNuxw0ot/lLTXrzrTta8xe/6Hy5k37f/KLfVT6yIkwpDQuWsluN9aday8IRNMOSbJSbOXOi
XRUalESOn2EXbZdpUOJlD1hASGsIGoaV2zGNc7iQ9V4PTpBvGJKTlaN4RjFayZZtFjdSVewy0mAd
1supGzatLEbzIojlMG+CqqNvR/fKEKCl3JRVq2iOpMtbl3Ned/lB0bFgzGBnzIIBMpK/wwS6oqsu
aYOqbCxxrNi2gTfZQnW9NzhxW0SbZHZxb0nfCo7EFpaEnDdee2l2wJWPfuPlgkUFVvBOSsbPOLU8
7DsB2QWsagQwoqsKTMNfFYkjuoM0ii45jogECAEa4ur76DA7WUV0wrDNFdDcGf27ubnpVeosibAA
Yr2pgdWCHso3EQNETcHG5ZLbxSwY54PEb3Zb1RWe72CMiKRw0mLazNCHuvUIejRCxmqmKISHXFxW
fpM/NiVeZkBV3vTNzHNgeI0cgU4zkuJA72bqQrKKAWkzB1lc+rJ7guXfDgfTj0N/NaJLx5xluxqE
URx5yBfNHPdKjKkEZqKWaXTbkor60zP0fEcXgxZ5VLIRBksbHWJo5F4UokxjfA2F36+7sYVABzDH
Pe/rNndIuw4s5oh+5NWbKlwEwQZOFciqzOuoB5M+w5U78NytESXzvYSJL5HL81VXhD0WxnquI+8X
k7GipG9L5vM6i4PiZ4/ext1S6hCKy3A83qS6mPa6bkM0XNpNLjNP9uFa5sL44bUh0TrhwlQ8eB4t
kn0zKxcduA08Ju5jImWmIZAkosQ5WB8QwVeEmsArzboIFpY0YmzRpi+M39NkFxcI1gQYkCqcyCbr
WmCDDKa9HqO9DtL+UOXaBF445qL9IeYCY0xGuUGzD4L+lH9hX+3cjdvLyj+rPJi3K0flnrkvZ+07
DLWHjpadA+xiZRFd3DHVmzEVq8iM72I5YhRaeRO5PpnRhsxtzTwND5YFQQdTQWnn8UEYiYzX9UDX
indHe2odIxa/y/BuZochtybiAzqSVfILCtag+dmYc7QBjaAOUWXlT2qoimBjsu1YG6esxMxgS1QP
uJSsqzwi7riCKx2uQsZ/e1qT3g6fHI7C3suu/1hZ39CuvV6uLBymwmPdXI7t9slylRU0DijbRqD8
eKSJVCeyz8Ovw8snzp8v9d/72X8I/e5+dlXUw9P0Yj9b/sDf+5n4S9AxoXNDm8605NK9+Vtc+5ez
aE3pz/ATmWhO2bT+3s80f4jpPBsdOw2Kl+UP/U0DV/ovT0tPadP5L+xni/jt/ygBHAjgClEj80YT
Ha8lxIk4jkKZvBuaGhs7FNWtYwhEIYXSy2QZURLSJjF8oJRbukQvr+jQSVK2pha3PVsvD+wfDcsZ
wZWJ/h0KeGrkn0pUintMMc3x/cdeLxKG08tATNeSO0iraumL/XkZD9hPlTPZh6uYdZ9FYxv3Cmrz
dYELM115kbIeZDtosq7Nlj2JM7F9n4IRA4BTNRlafgSs0T4jt4uDReMwMyOXiCyourOCH+bzzXHq
dGo3cFixdTRRjeoL6bufrXIzE5cRcYOEwTHUm7dZAzlsp4c+fEgY68D8T9uQZqzVi2BN/QyyRY0d
8x+Mm4wOe0meyxVouO6nibIC5+NQQPJWUSHYdOb4wetCzltAtZPgfMCZcB/WYV/R34rMx3Yx1K6W
qrZYkXhF5kQmh4SYKuJh+jN/0Mm9TAEgkRGzBP+1GVC3m2KSabYnWAOb/WwL0yFoOBFndQOXAPvy
SOQ68QZyXosoDThCliRY4h6ucS0GYUOiNHs0K2wL6OB/5GQ9Z55fk7yZVvYN8iLYTxmxaucJYkWo
JC3EGvxOcYQtXUY4wt//5V8/0UjRGXVrHm0TYNbSMP/j+epNDE4CshtG7UJuOx92moOMZVPZACUi
M9IfPGlLPXr6pPHuuEpZy+Nmn75CoNj9RCedhRu/zEkrjItUX+h6JCFagdu5bgJMuNt2to07b0FB
gidMonDfdj7tg07aME1A4Qf2Jk+m+IuC+/tdzpCOaKN0AwdjqcTvZHIJ4iMJMsVv46K1MWnM3dHX
A3XlhQyv8qTBJjOPQ30M+qz28bL7BLkbflxAbk2Nipk6BibKvsgTK1fPI6oqmnbY1kRhPDJNxwYu
Mrzwm4psgDMUPnG+VhST1GhpEH2bcyhHHwiRXoqRl8VnKaaRlCziXMd8fof/+KlI0SoorJaUgKGf
8fHNzZrawjn4TfRg0Sw8RKUnLt9/PKy3fi72QkvRG6d1bp0sDCLBwQNfBx6+L/X3DDPXJqRnu1Ze
0LA3kh55lwYEv7ldFDwQQMQ5u0+zCveRVz4GhP9udKLqTyXw6Q5ZKhOtFVSuId2nIq2+SH+GZkhU
vImQhz/lMZX54AF/7rO/XNq06WpG5KjwtWUtg4I/n/Ag126Q42vGaVO4pAvxuc+zPE2XkBJ0N6um
nfybNEKCAcrWhJvizzO8lSgBk7VFyE6uQY5vrNzEvoCMXs1tOFJIkoFC7ROCZ8yRZJGXBu7p3AkY
zK36EuEGKPDaus7QDKAEcpsuX9NsTp3t+7/Py3pleSbgxVmKTQ/rj8Zw8PLLOY2dC7tO1SZO4c6k
Y/6lmGf6DzULyvtXEkvp8/I+upqdl8mKRgPH8fHlpRiG67obwbJahml0CG+I0FzNCTivtWqYq67x
MdU3qvPyX/i5I9KQ7MFbJTJPxPr9j/L6ReB4yg7MpIZd0TNPduGJM+JUhItGYugI0YrF57kiOCur
XHBxwRjTJBZeuHv/ovbrq3KUdjUf22KoI05LwzbHGZ5p5AR2j5JjjcdhKnaYtMoryUgT33U8oEdS
eN3WRC1AeOtxQiMt6uvB3sduM2ODDVMkxTXJBHpp2qpridrZXeXCxGfYGTn+NZsje43OB7XExuoM
966nsgekYFrxOZ2bVK5cP8m4RCf6685Nemh9DZsVswUZfVYgtRaf+Yx0WJuTgxRTgzRFBI6AcDW6
0n7UAizWUU5tHayD0HeKS+xC0UEwXhlxHATlMQhAoJNVF2fXWakYR7GQznvOqKh6nA6i8CoEP19+
8CS/2oiEKeBqOfyopq3JrXj5eKEkYjhGssXWynrvV9ZpuPkDdDRQMJC7Erv4L11PCX5LflOMFi+v
N7Ib0BrJ0m3UkDSnawBsTII8Y90zjWJulpJ6/f4T9OpdFbixBGNJDFN4vcyTpZRuegBLrUgZ6I8Z
XcZQ7EFtTueGnQwP719KvFq2l2s50nLhomlg9Mtn+WOvyETaFAnlxxabxXAxtpGkyR1PpHGCf/tc
evRkN0zNxos498v7mSEkNlx0ZgaKss76/cGnWZaGF0sHn0awYlCfY32zvFe/LRIlC87UlhdUtMfU
swiQLNHkoMJMLsrAKIgcS+aftErxIqu6+QTJwN3CRIo2EqnyRVFHqDf8Kv3gJznRA7B+8sksov14
5DSb3HO18sd9MghUG6pEJVs5Rn6yb5JC3LrM1Og3TC1SZD+ZSrIegXkSfFZF/rwuRZp9m40a+IUB
099Z+wTF1VtLGZpUs76PbswwKt2DRvPDDDM10vY8nbRR79+/qW88Tfy8DuFIDpNsTkwvf2GfoDj6
VZG3SYyJiBsdVee8w+adSXPrHy/9wpQON8cWrBBUiSfXAprGLLQNDOatufjeQuih5xxkT1MQiSvX
boNvIfK6Y5l1867HNv9dhejq3/++b6wPy4mQh4ifi9Lx5O2Z9ULHcxyfNgXpY7vRtIsHEEfxfrZn
pgAqazABvX/JZ0PcyXPLl6ZNCiYIlYF7skbEJr1znO3+Jo3CUu3bhtYfDDAbTSPpzdknYHTtNWNY
IqZBsnawa8qqWncOv9q6yDM48QM0KIcpPskS0Hmmajd10ODWJTz/T/GM8n2NwDr+BEUUKsYHn34p
bE4/PUdfqm2FogHBw8snBGHStKw4eqPMREXrFBzWouOpO3wfvhOjarUtBSaU+q7fwJ9hFGWasif6
hE/zo7EDA4c5/Tv00N5g9R98PP3GEkU9xvLEP1TSjD5ZouySiIi67JkFGsR+nA11PRmbpPSH64EU
rGXcJNwbZeeq3PTmYJwn/EgNqt3IwcMQuyhCw8FYZvhkNl+MYB/ilerh2G0U4brpxhDM89dRW5dX
6YTcCtBfXv9Co4NJtSQmFZSzNSs0uhwYCEpnNpTS6qH590kG9Thuui5EKmaG5FMmXKH/uqgmISTN
DmeDSMXJEi2OSr9prR925qa/PWh85qqifCeCvLSA5HdlJpl7mh6OtqY0kgi5mnKvJ+HN977Vj79y
yQe7VEHIcaZHH8fz0se4VbIgojcNJz9nvZFRfWMnrf91jnV/18RV6IBOUbhdYlISVzNa8a9RaTg/
Ezk2vwDl+ubWNNHcrWB8pU8Am+iNTg2j8LUOJPki8MhTHubWZZRHl1Ea+442Z7sZmyH44PjwxkuL
lAYzIwuH1Mo5+Y1xVHrMEUtjk9ZjeVnUqD7zIiAoMGzyYzBSn3zwzL8qUjltm1gK0dtINttTW2Fb
9nEeTZmx6X1V39cDg3gg/P4ugsJ2hlWA423ApIEEbt38UK1GgiFQx7//Kd761qyVlBXLokFB8/LF
I/Eqt3ArG5sMFdlhFhnsf9vL4S9030fAgXf//HLLpspmxkYmn+0rf+xhbj6jo7ZcH+ZeRqNeuMXG
x9/4I2vz23lwor8DDl/o0f70VPMGvF5ZHJRN2NX5N39xsi6q2jA8VgcDHqXX0kO3e53Q380r4tDq
GXsmKo2RsauDg7U/iDhzwKmads2cJgOhTTamdvbEe/BSuzGGJSYklrOBqzTaWxrD9oMBjx57+Dya
34skhclLcAahMWqGgYFHqOZdl2FMsmidJQTQMG1xDggnIux4COfvkBUihbJwzBqgN1xUI14K049N
YsY9UFkJYsQqFM2DUPSTVnk6utdDYDSf0Evbv1pm1bctHs2bBsSVSVZ47FnYILAk7Mu68G/JBC/D
vUbH/ZPYMyNdY29OrnCnhd87grrirUCQiq1NxFTMUGXBIw1+bJWA4+b0EoEM+5cbJYgHqN/oeNuz
0ccrFMGzd9YP4fCt1sowVjKzzW8+OaYmiNWkpScTFsN38E4dw+Gpdu9ISBmZZjTxzC10yo5xsViA
/LKo7ookaiFBVk30DTl7AScuLod81UknutTj4LITxAlOUV1G6rpoOiJZHdBKNVNrS0hIbjkuyWzq
0DpZhYGWvGodpDL482xQOsDDL4j2qNlDlDa+RH4U/qyUzhjM2aZzxQtQflH9gKuS8OH2l9mjdF91
zlgeat9Uv0XihjmQXDu7mcLW+VR2UAxru6vuG1LlHidPZuXKbn1gW0D22NdJUifFYrAMmKNZaQSf
J4GrfxX3Bg6CRi34lJROFt3ICCNbaNROAwlfOGiGvJk0XBnl7kOcOwS6zXFpXNqqQ/xOHIlH5EMB
U77MYi85c5yJ7EKwmDB+tCKIww5zcbTdgnQtUHm0ItGHBd3TP31/F0yAptJYztfytDp2IxpXMJHJ
7UIbvWUHdFZTV0xXKkSlZSK4375/vddvL3AIlguymRU9P3myPGVhgfTLWEQ4MAjX/Ej+A6zm7JGM
lfqfr4TL4QohJJNkTHQn6z8eowSKJUSTOqndx8hNkyt3AFoY1JBZaL95H1Rsr78agwO6iy4BJUy4
T2sK0ctOF6rB6Vt6sMGyOifTPsDsBANn9/5dfN0PeR5SUBsyQgcA+hwb+seya0WBAVkt9jYt3Ape
w9RTl/noGschnsRWIwv/NNtBA7dsiIZzqtfmdkg6XOfvf46XiubnE4zLeJ8yj/EHZ8uTKk8WtoKA
1ntEJowEm0FpG2Z0PCFBViH9rBWhmlWy4ysUTLunmGSq96//qi3CbbDxRtIhlAg5vZO63K1TkUkP
pTaafuvW63q6yL3Wm7L3/Z0XmNMluXTJB4eft760DaUAcS1dyVeHH6NuBlWMKc/VaMlhHzIniNbA
fZQFaqwwqcVq5/qZJiq8Nrp4/xu/sb3zTPNVuT6f4ZQ8YaFIqIukAF6rtf0jqlswkKLt1riUnGHd
lU359f0LctZ4veEydzLpGiBcl+5pHWWZUwbpqYJKHThJtBP1bD7hO2+WTL25ng69N43uBiIXggdv
dH2xEyEK59seH2KLd7IYflKVAKKarK54mjle4VVyTMODmbEs4rkRsQ8CJgyyNZQqCUoclf+N9okD
BabJmaCmA3qZSraqTeS2wReEZbRkBnshmBcoYmsyzCoHCq01jwgARnY7nD94ImIK4suMihyjxVwk
nwFvDt2GVdDDLxG2ZKMMJTpqpLhZcN5rui9bB3nKwNDJb89EJdGfNggpWZ0HfOeTIYpxhbuORlxE
a+cHni4/3vao374h63IZkRFOux74+sQtYFfJV55nFU+aHN4GCdWI2XC2WItXkezY4jDZJP6qKt2m
2HTScK4Ekit8yG1Pno5H6nW8tuWMZg8LnPGAhrkM0EiNcbUmINJnWECO7RPbSFusSjLBQvRe/ONX
0CCRV5a058msxIX4qxhw7sHqj39TuqLHG6ogCO6jGJAbPG6//O1Oka/XeI27aZMWcrh32igxtuNY
TtV6aASSwyxMOlyW4ENRDZQZwLu4GWrY94Np3ma+V0KwJRbtMNAQpC9BX1BvijoJ0/3ca5AZkaii
lYnU5XPOWIQGpT21Lfl+g3vmM0/HFmVJNNn97FvM5SqJcnMkmuoHyw89VQ2OG2FAOJZHWVK4cIqa
auZ8lBv1yhoL+ydLT7ecKvNx2Jtkq6XXpJb25ZY5IbgUn5QojN6RX9sXzHjIDxPg1J01wkTf2mVW
gXIWIGpSbc02oJ/KiNFVIFkjvrMKqv7bkKVZvm90hJstHDv9Bd03yRRpZGCy7AOfO8T2mqq1MHP7
tpf1PB6cwRi/E3HijxvcLOMPMxzVj8DjdcLka3ikunRKn7mJLIp9RNpERHytqaqziJ6OsSLNoPgt
5xmRW0yr4UJZFrEgSN0BD9c5KNlVPtsTlh2oZSWPTXQZRtLq1gV5ip8JI7CRYvilt44rA7AxyAtG
eV5V1N3BipA07yZ3sueNRtMnkODAmd3ikzW2iOknwH6k2vK9OJS1a0aaWK0rRxhqrQIfHFmdhj1m
3yTPH/gkKaaeKExTnOLzKI/CbO3oHC9OY+1K2jPhB8es12s+aBjByIHzO3Ekz6KvP7a+CRdrmroG
nGhi4nPcq/5Sdg74wAheneJjExThPinwkL+/EL61DEpG/zRQadrZ8qQPBaZYjS7uAWLrJSYDGWq1
0r097iHCMb3DJbnVlTMSKdmjhLILWvHvf4A36gtCdgBrLf1MyoyTD6BbM26Rn/FORyo/I0ZKQNQH
X4Ad/9v7V3rjFgMdkjDvqWQWQcrLM2Rbtk2g8XoCAA+X0wcZCVsRDcFPA9MpCBQldz2ZbR9s5q+/
H6WoQOPChEcA5jn5flPjtiYQer3JCEY5sDdMeyxf8hOjmPv3v9/rHZwr0fdZVIFoM06nctMoU2yT
NKes2SRAC7TGBi9VTVuCQGydcUMpvp3uSxOnH+ymb3xHSZ1kO8gSTQ3Q4eWdjaM6IAxuQQo4g7gy
F7DOHNru48z9/OA9OWGALcWZ4IAM081iNrdoRl5eS2EaMzu7hekBSbX/Wk6Ruen6NpjWKXN+APxs
qGf4apwZGHXdsHk70KHX7lwa9VqWAQHLU2ijpE/CvP7g2PHGfaC1ieuc0aiEl3pyH3RRsIK42t8M
BIReYsiWW3tS9d4myOwfvzYCP4gFqEEhxrFOH+YwVoQ9zLYPezOi+YMyvVnlLQGT/H37UUH6epHg
YjSKUW9x8GBQ/vKeT9JJ58mwvY1kmkUcmGvlhzidMhLeLYNMzsA1iiPzW8TWCNfDa+yevv7n75G9
uL+YLVAnvioRGQVgkyL6aWPGwB7j0Qi/wdAhzidjDHj7/pv0xkrBZFtai3UNacDpIKCmqWc7SeFu
QlyczY7M4oqgGlbneCfsMeVbh+Yj9IjqgzL4jevSPGZxWrp4/IX98j6TwGZX4wQTvl7ybAZHxLQs
0Rk+NhikccwMJNO00fzPj3hsPCYn12XejdLs5PQ6Or7hVL4dsUsq4e4Jls3XFFcEcGuqsA/6l2+s
UnxDk3MVP+IilH75HXNTY+Tg/djGtM23SGpdBCW2drcY6tKf09TaR6kGjcPEq41o+/4P+8YLilAS
JB9rMTf5dMwNLiEUKCrCbTC5wX3eL9D1bjAvjbTxPrjUG78lh3M2toVoKVkbX37PxHUTRE1IcMQ8
gY2WdmlsfUAe/pbUminfZiBHtnbc+P94YbD4egvtDk2ByW7w8roQVFNXSYawopH6tzar4rPpuvFR
QEs9vH83l8fx5TTk5aVOvqIcqjYeLCaiUcCJfk20uUFTB0XVB6/F8s85vY5tYZFBIwB/7FlQ80dt
RHOys8wYcl2ch/kFLuTmOmeedUEQEIo1lGO797/Xs2X59IIOij2TczgH3FMJSMfZKsYYn2498mdQ
pkBnAwxS1TFITj3b5ZUf1cN95YXeuHOLrr1N6BV+ZnRW733GOligDGHEu5xOUYgKLM6xfEP32IDW
io/A5xjOvv+Jn/vfp5+YEA2Ts7tCbahOVo45GtLKqz30G9ZEewBGUo5mNEg/hUMZttfk26A3jvyu
h6MsbOLKB+rJ353OWr0x6gyUWO+BQt8HVqi/mIgs2k1bxAMd36rQ3+q0ZKQhk8a/7zMZfssML72J
Z/AKZ4h++k/ZjLVnk+GqI6/GVnhcVIeu6oOt//XLuzgr6JLz1GmehZMnWxDOwqknjLbNGH0NyPO6
IT/uyYcL/fD+3XzGQZ7cTToC7ADYP9ClnlZScTfpTBsJyHnaw7sha8Qukb0LyCKWV3Su5xvSU4e7
jrPRFWBiiFoq8olhC8EE6USQGUcUdkA2hWZO8/5ne7180thEXcg6LdD72Sc3YS771CujKNyS2Jfv
o9n9GsJ/OKsyOnTB4k8jJ3A+RmoOP3jEnlWEJzfF9sQifvAo9lA3vlxY3KifYtIGmVhnrZNtIHiJ
Q2Smc7XRjW3qnUVFcJR2IuQuTaD3PKgAVbpldpV3iRtlTNeEjdAv8afBTldI0/QX4myibJ91TuDt
379Nb6g1OElZgmJFugvz0zr5tFoEQQcafdtoehl2OxEKVFcjSSv4BDxjW/q4dhMnzM6VxDcgclzh
WxvHxBVHQu/X+59meftObh0fhp4iCmv+8/y8/bGAsdG7iStQV/GzwJ3Kjf6Xku78+f2rvLFMaqpO
bzHwW2i3T6rPiqOG3ZL7u8Ud3/7iASYwbZbGSkNLNKgeOOO/f8HX78miXHNt2mgu8hvAtC9vcjaV
VlHVkdqapBoGnJfL9EHNurpE++zvjCIUNyECoL2ayvro0WerV26gcA01ia7vYZCYF+0ckRAnGGG9
/9lelaxApGliInxkaAmcQr78aFXcmX1VO8R0kOEbMQeAWUaYNMaTLbHvldgXY+US8Z04DubOXmWI
pBw0Ku9/ildFAJ8CFbDlmhRXwHtPC+egNTKSktxtMeYD+jbGliilEeS0OI8ywH5n8K3i7fsXlW98
d8kEkXcUVgPG9JMHobWCAZJV7G+7xiZ+pbEBzu+oXnN8RLJPaMKRMyF3QerLOyvxw1+IKJsfvAvD
d2KDSpps0q1+T+MMhq6WhkcmjevS55qn1H+yChN8olHNTrUa23T4rQfU7yz7ae3uSNvsb4ferm8p
ZSNU4PE0hJs8Q7RMWETm7l0If9kqHeX4XTlxYW7RwIibtDdTvQa4EsxHEE/aWtvBhHU0wVGzlnxO
4t090SsCUH3pfFDFvPEb4c5D98NbuBSmp7+RbRA6I+saVFpcbvIpq69bB26DbZsEqLbhjpO099GD
8WpFoJyh5ywk/xXLXvPy8ZyaUU1VsWS9c3A7FHSLh1U5aj188AC+HqksdROWQQ6K/Jsd7eWFusEp
y1LAwSTlXlx27LBrY1TB3sZxva3cvNqQrDUdPKJdNoHqxjXtPPH4/gP51h2mDKavzxvAInjyZZGB
ycrVdr2tBdl8eQT8mQVhWBP/J7eJY1cHlMK49t+/6qudkjcPwxG6Vu4vOQknVwW+2CHMHLEc5Y08
5pDbYFUY0dEJ/XQb4kzYT3XzVOeN+QEg/fXXXbRjKDOYQHq4Z042SvTYVt4lotmi6va+WkyS1kk3
VXI1eTEmOR/I2LoWsWF/sEO/Wv/5wssDxYrMv7zTlkA9x5lWfoXCWtTJ1QixZd8Tbnjs20yck1ff
fX//Br/eY5cLUo1wex36Pqcqido2QEJC8t3CngPjXceUfH5GutQilnB/E6VB/l5ckzDTClk161S3
01U1jEzm/xdn57XjNtK16ysiwBxORYlS57bboe0TwrGYUzFf/X7Y34lFaTcx/8zJAB64RLJq1Qpv
iPVG7TY++CXjZvk9CA/Qz0Su37KXD/PPNVsqTgS9TMiDMk1lEe+bsDFqH4hxh7J4ouCTFc1Yd6DL
Ulk4vETJgrPGbFpHMguPYd+hLXSnNiUOlG5tGOkB+olEUswE23WIejtTFqslrTribsIkW1fm6M+c
gRm6BcSdPA3kjd8VUzZLjq3jXmQjTrfDsJH7px5VsmKEx835XnZzgoEAKIzdgLFjv3dDKT+n+jA5
u8RU+VFZF9tPEV6Kn9g2xqthjCk82KGOvqhKijZjhpiZxlRAKy2EBPGqk2Wmy2Ml6ghRW8V6nId8
mvYaY6uTN6v4A9k1mEzUPQoY5rgkl+PvsKE3SI8hx66IkQRCHfWsIb+apLUXf2o83KycLEYTDY/k
qDyFsTHVN+TKItBiOWJ/Rn3wGe0I2v7we2bjBFkAFBB84Fo/pn2HXSYC4C7okXz6O3lNUx/MOgYi
9/4mXA7TWWrFN0eVCC720hO8ED1HTkDBmrtCLE6Z+hPoJMdXzWQ+WTTpN+7V//VqV4vR3qM/TxHK
IExdXax1VZqJJfBfSKkc29deMYtvmVtoGjOFBQ+nDIrzk0I1ZGA7xuM30iNDfymkkk0BuZH6K7Hk
2INpzEpMuOa++QtDOVT2rooI7l0XivZzSiPVuUEJ0bZvM0Ud0e0rEFH2UYiuSgg+Tv/Ja5sSUQZ7
ss19os4qF2WbFi9JphqRX9XoEuzwxPSifQ/q7rMnbdyZF2i9ixAGsPbDaNlGjrxLosLkVQ0YOJ0D
MafvJCzVXoVb5WOih9m9IjOAT+aAsN+91UAdP1H2ek9jkdbIlBTzCOK+S1VouurwQZsmzJfQfBTC
H1oTiKHldcpLSSTAOEPgjMV8E1EIygFZ3zr1nLeILtJk8kf2neULC+fUVGl7UC0t7u9UCBE6JdZg
OyevRA4iSEcm0MQcSxwWpHfvFyAJTb9hzooPZEbdtLdzisQg7HIuN0gbuNN5xYANcW4L3YfPo/2O
najOX00BhX0/tio9YdrI6o3d2x2AHkydqh1wRIAwKcSa36QzFUYXaOc/9Fnrfh1a+lX8nfhBPqLG
Xxq+CQIHnWLTmsIPE8rSGuik1FmUBL32Gxh7s2d0Y8R/sMyo3ZcxDdvxiB+qtIHxDCHeTF1jQpti
/EV2k/e4WoMJiL83EdxtW8FzSO0n5eBorZOdmkiGWOiIdsg+sd1l+tT0LWp0wsGBbcKzGWo+2prM
C8fKDCTe0/3eS6IEXeGqGz+OhogRKumKytrbio0wLsK+pk9eiMK8Gpp94+ukwxDzMtuMjwg2LlKU
6iSTo8QIFZl2THRIJ/nHOi66pMnRW7y+d6TvXbrHAa75y/gxcQNYlzXyBJll/YjT0Rsf4H0y7Qwj
Y34UIfxzWavqawOoQ/pmL5IYHJIXv1pKicwU4j74JmsjPCJscPlRMmTs5ENxmx6BuyCgCWsCad4u
zGnNIDz0WziUdEytgGPhgNThCgkfuS0/SJE12QcDJWQaEknv/gS6mhrweobptYs769P7oejK/buw
WeCyAJMh79bPrx+jbrgddNkd6D0OHwcvRB4kLH678Os+0GXYwhxdyW+WJt8yL2TswwV8vpzATXLK
IvRsilBPxY6JBwXeCDKFDkXaHQDZ1AH0zuymAMG2wem+kuLQx/FASDpLi/PNiuKfm3bS21Fl3+SH
uSgiWmDR7C8YgVNR6yCR2lF/xct83rjfr7xfamf60/x0Uhx9eSH/LGrV1CY9ulwHxc3B4ZWVdUhB
VAauOepfkP2yju9/zysPyXrk5lAsuGK81ffsOnPsCsHVUhQCY0HbePPm7GBHyfbGCXubtl++BcO5
llQZaKAChGGaBwpolbCjD9moRksPSWmV1jlkRYRcphqKCaxxOijgBdFNvS2xRdZ2QMtbHOOcqKhP
AMHsV5maQ/N/eO2UDy4VFgBcSv3z1y7V3C4mO27Qs/KiL/UsgX9EExitWOJGgQvAxjG6cqMvHSYo
4UwyGaKt9nUq+0JJHLM76FWZfKxrwBEgcbx74Dfxxhe+bPQyq1tG7swhyMWhap8/W1xFzoDk2nCg
pjVOIBSym4r/dx+S2x9oCrSLv4YStFgDMqpArdJA0/mF+IfTWOKg8lEW9hTUNsIXu9pxq709NXmg
6i36KO9vxiuFnLXgnoEY6Q4jmjdixT+7v7ORYrY6s0f+QmZfYM2Jpwr3509mFSNLpgxi+FZDGcfQ
27BewIy1p7QL260XdtlaQBuStsKCiWY8tt4M4TLVKZy4B6aUpfgLt7bIP+Guq8KUBPQp93U61S+R
Jjt738eJpsLSTvPPnTFrXwV36UKKzqvHAcz2r6SKUVtLoKQB8c+yGtBT2X8FIh2+YGYxb2yrK6cZ
ADvlAUB22kLr7lgZi7iw5dweSvRK7zqgrYe2j/s7tSqqQwKY/3ae03wjZTTZP6uEke4xJRLFt8W8
aXV2FAFe0m2ZczluIve6VTRfykoYm4245UxcrEP/nyof3zNK/vN9DIYisYmb4LzKzpiCZHSLb43U
xaMrBxPgrTM1J6zL2yCLTGT9l6z9PtTC4v/wjhkUg2kiaLpM2s5/hocLS2q5VXdgFoGwyqBqd80c
NXvalgkyfPNvjat7owC4vBWo+Bi40++ipULP73xNABueJzLWjAv8dbMO2eIYarKLG3YRHbIoNP4n
MvL/x+ovf+P5y6bYpc6GIkxvUXVXQSPJbLvL1blDVUHD7bbPRrxeKvpfIbbqtKq0CNdEaLw6gL2y
tWL6ZGhbPNZ0or8raaf9+c+RAX4GhfiCGWWEu44M9BbysJ56dItFFEEgI0YYQ5uflMEFrSXRBUDQ
un9IUnXh0nooMgKi/fb+j7gktcMxJRnBFw7NLCAJq6jtIZsjJ8UaDp1mLK4AM5B/X88L727y7HTw
5wbX870Lq5mGtNk0H+p5mvJFddL84AhLnxC5Ez2K+E3TfAvtsc7Q6asUpG/oZnybFLTUd3afNjcp
vJPh1DdooVMBR/qWbsflnIMgy8gPmdRlcACX6nxD9bQnYtHXwwGqUQ4CYJan3GVwR4Zl8O4mbSTG
NslNSi8TJ9ZYMwAygs7fwZSiA6qin1G1cXnjyArnjkitSOGN6vT++76MwzY4iGU6ucSVNyGyf3Oh
CrXsFmnJ8YCnljzC8YURX5Tg3ADRfoQ7MD4jk4+oO2DIg94nzcZBv7o8DUNVd+jqaWsTN7pnyQg+
bEIyoUeYu08MHHgnp3PC+9wpFdeXDWNvEK+ZhVySOVrYOCd5qGykoW+D2NVRJA9lGKiSL2DQuErR
EH9iCqWDeuEaqtwHWcxJdB9rXac9gU2FhSSYoD3DrwAopESR8mjpQ1+SuuTerYdtV3qyI8NAf6Ec
kOlMTRcViEybUVyppxrZ216j1t15CHkiIMn4Vb8xcEJz4B1GRn1jKrHyozASGt14aJCTjoWZA74N
S9rd2qAkp3pR1Ud+NeIrjB2Y36mxojtM5/EKTGP45ftELF7ZsyPDoBjQ2ECBRSQ3TVYktGwjNUTo
O0WW4rZvbfnDbcfqSxP25kdhR2n6eQjN9KamQKh39kRi7OqZWR0nXDPvnd4uPJ9ut7qBortMz8De
wFBSKT4AUKxTph4BZhuQDwfdnuL7wqR4y0rJJsdHL3h/k79VTKvPSy7M+GQB/HCrLNfrPznP4M14
xKjhcKDFXWM4rGoUo/sKFBe664mpowVGzyN/1JCWpSwXCOtAdxxn55cmm1q9MbW21b+qhaJ+fv+X
Xbl0GCnC1CJtpJ+97i0DVexqKfX20M2x8s2KwmIPTaH+OfTyK8Iw8/795a7kqQ6jNnPBu9HJRnDl
/EX0Nc4obbE0noQBGXkH+isvdhEazJTZos+6wMnU0rgN27bK9x7XQbPvsYHTAiTy+/wAFA0z37zv
QcWWw2IvVs0G3LG0kf1zH47hcw/829z42ZdbxSFN5K5kQEgT3lzN4BwvHmyImimzh5AhUtJ2fdA1
w3BXSVQS/vtiLEVM0gFsgPFc7RXJ1SKmxddb02rnNh1Le++ozL0Es7aNpS6jH1ccOfAS/mgF2qus
rsANkaZjgZWcWgwH3a0QCKUzHZiZjeVN6+TlaSDLDLgycVmoCrk12rjMZWneA6FahvEUSe7y5/+c
CwfnRYbmmEdYJNa/gJY4n0YPr7BdE1XOQQGk24MBt0pn49Z5O9xnB9JYQIC6tohccvGsnXAjhI36
EIOBQzPCMrvthKo+NnJO0wdUGtUqiBpZJUcdQtqwiwdSIHxaiuSThVZyelSzwf3DzDd6RveY12Wl
zIq534Fn7pKuqsdd1sQS/VdnQvoaExuCOM/Z0rweyQ9aXLkwFJpzK/S70gSmboed9ctUWve1bCbR
7SsQeWA/cVv62IwxNjy4IeKvVfPb/tj08vsd6q0d9nEMGtMbKZ1oIyxcfBdeD2+GgTjsa6w4Vxse
QGRkYnczH5ZeXIqiTV7dNK3UygNqgJqzawdFBPg0bZJ0lx23/i7gs7FsxUJouRHPN8RUWCHVsqke
Rn2IitsRsxluEqgryp5+tvhWhvABd1Bw6A13pqu8vh+fLg46zw3iDKAkg1S8TlfhKRVwwKNUUuxl
eGhOrjXCDEy0YHZpP72/1MXZY7gDJFM32YWQ7S54sqYAolRgJYhiZo61Rjd8iRoG0zthj8Mhagb7
fjKpBiYPJokXheL4/vpv6kyrVw0SFqU6dI9o0qirbxzHKoWUqLQD6kQwPCFo4O4GHqq+R0e/cJFq
LJRir7ghrqkxTDHfHAq6pijOJNGJAG/Rwc1VdbzpQwGHTZ3maU+3HWeUaDTDHu3lzHxR+Pn4IiG1
1iI3k+CR4milij5xqU8Htxx0TMrbsnrCRal2oavCS0qYV6MlJ1wBEKPJ5cbWfhvmrZ/bBO6BcQ2v
n6bf+RazBq0yuhB3as/thupWVTTt92g4UfPYRYIJw9h0Woc4PZQMvy+wfXpohUGfxFOdsTo09eQc
c9ksquAl45mRlDD0myKjm/T+B7pyBhckK0Kc1CMucPHz39lVcRFOxtK1lxHMfKj+8yJIg23eAx1R
eziKvgMJ7+pzGG/cC5f5CsfetpCj4QXhiKKu0lE4WwXhsdWRiCmU2Z+m2P3c9+30l1dDOEpjGs+u
ScccrI7ziOct9vIxEqHfTFhIPpzbeOO0XHaN+EXgJukSo0LIbl0FBtcQZeKq7FaDqd7Hsuinm5kQ
re9xD/VO1GrlbcstvW/yVvlYgmj/WCeqvREeru0diPQcG8pmYtQa86tn4TA1aY+IgqM1AA77Em6C
47WY5aJiMFZ75trhr8pB98M3rXQ+oUJupaeoBRW6U6H/YbMURu0zcQ0NBqOGxe3DIG+e3986F1md
QUmFsCWO8Y7rXHTU9c6O3bx0zIOGHOYj1oHC59hqH3E0LT5nWZX9/M/rIWXokEqQHZHYrY4UTPgO
jCXsTkyswsIXaI7focaefnNEH2GfU9BV2jgdlxcF4is0ipaPYQB/WO/Q0oojMaYYLHRa6EvM0dKd
iu1Bg9QvjAksRJkMJuEc4IE0zxutmiu7kdsJ5S16ybAR7fWAHobyCJvcNQ99REO3EZ6+6DBWjXYn
kygOD0Y+FSfVhTOtDUj6JnGnRncmENaNDXnlQ1M08wqWmTSl4/KW/smfavRuLTe2zEPVQZxsocX/
kNTQGdkFwi3+GIOb2ziJl1ck1PhFtxuqBqz0iwx+9gbDrIV1GBl7YcGsd3guZo1y19ixmW4UTlee
jx6ntUhBLmCIN+7rP8+Xljrj+jFnMbejMS1LBQXBTDxMcf4bmEi1AelfL4crD2nHwsxgQ6EitXqd
ngMYt4trrG4sA4lJhB9vYYtMco+loXUbgXXb2sbrIP+2IkJ18BWWfANF9bMPiOAJodxSlQP3h30P
X75Fm6AuP6hovUBU10sfk4tNTOlbnPr3DlyWtRn7M5pBtxEw+vmyvV6EDt517gG5TP2RTNargmys
x1etAxq3q7zW+I0cuIJqVVXSnEHPT7v1GA63OxmG3kKU0dRnFEAQg+ttaaiMusv0Blu06APiuzip
24WBF9okJ/GxjozixQY1gA6nmna/BwQPhyAsxcInLSL5o43V7ms+tqjkqtZsO2TcuH/7iG6omT+h
7nyMS1LwR+jb9Z85xyV9J7oIf1eQJ+qtTMbuVi9qB9mKPo6+RzEwA8anFd5nqiydyvemgSZ9qTTk
MK4UCeZl1dwDE0EZn/+W/Q8B2B9f0VYV/X5Je/irgMT/YZd0oZ/PJNh+XDKQn0ooaH5ktuUf7GjA
siREc/w+wmlMQKsmPHjTKKG5B72kPHuMfqNDODnJ/YRv4+wPcdHeeCrf+pCkppczGDeSXxQJqGcU
bDTUzz27+RySgpaHsNZRJ9WsSet2DLjp2w2dkT4oagztAxJwBKM3wyh6F2N7Y+2khhQ5Wj6KnB/R
/Ulmv9NrvKRH01Bw+6ZVed/wZx/CXCAd6+m9IrBHLKglojyuJ8qs2kASBsgCDplV/8eWLlkhgony
tWQi+6ftS7QGqXpdUG6tKF/1HPHwHd429R0UyxBfVUGjFukQLfpL5NSKfTLale533ehNwM5DZOSm
3JwrtEpCdJAS4AVfnU7VxCkp1OQU6s6AEKYGtm1HyrN4oeNliOiciZirj6NfW/ikHCOWUCGCPYxG
hMFqzAx3CL0o1hduZgyEup7hDMTfsUCbWHgzPQa9awXGVpqNy7GnNA7gp350fMR1p9+zupgEDrDb
zV2Rx9lDB5Yb8bBu/puEofXbBTqCQZVr0nKDXj/ioev10T1d3PR7YqWcXC0f7Mnv0ijGChjVjF8Y
T8Uq/IXeua9LL/nJi4OEbCmIIGxcglfilfO/ocwyx2KmeX6MZ5OWyGRhfDAqc7mPhQeDUJZy7yKD
eY/5c78xMVhaD6uwwfCFuhClWbLDdbSyprI0lEyNghAILhr6ptXfV2URbtBkrgRFhiAIeML6WfoD
q3TCpTM921krAoOZqXZQRBo+MV/FGMV2+vaIrUryqdHsrYn1lbcJeZjMiXQbxPE64UY+A3MoNY6C
thfFQRWzdkLkxnikBJWPehhhcP5+2nSB8yMMI9ztYH3Bqqa5Jrs4Rj0VwsRbB2FER/7s5rH9Rrlf
NagLKIl359YiOuF9huwX9mDla9uHMFJVDa0Av63DMPviSBtMVU6n+DEt4LidLKQWcB4OIWbvdSEV
7BNaTfuMF7Xe+pLhxa+Y8W4ZFNVi/Dox8EQ7J4YyvAtjREZ3U5Ead0qYqz0WE/P0RDPKbHZeqBtF
4E6Weh+lFV7AU5KZGPtCHlGAXuVYns8GOyLPQyyuMwfADGddXfyZk8z43Ck6tUKUtd1XO52ABpW1
4ih7BhcV0wm1b1tmDiLVEakVZu0nU1W9dNY0d8cRpaI5gPGreb6GGfHPqnRQ9BsznZCcTIkDygkX
N7lHeE/D5TIpHOKOQC6iwQ4DlQcZ2QWip3rxGGpi7PdqwSRrEeCbkwN91mE6cjq9341HG3Y3W7Rc
/Vl46a9JzYqHrPLU7vT+R9cvdzepIwR1QiBlKAn6+aF1amsMNbVPg9mIdMzQiwEZctdWUP22EETI
rEz3G8S2cbAqtRs5d4rv4Rs/YFbuojppNwM2GmUdt3+KwsBgAtdapK6puPI2nl6M0HTuPLeZKMDV
Mt6P0+zuvEYYPmI3hd/Y5viI0lyBI1kT/h1xCwnef76LsROSokxyXMIR/C0y9FX/slumqsmALTly
IiOQvslGDHqOeto5ca9XHpOxkA4HXbnqrzoKbK1DkvVfENSEszflkD/HdYwswVSV7qmqFhB95Lo4
NE99gWPc+7/2ysewgYIACFloDRfQGCuVOd5WVRWAStD8soZNgCXN8KPL4q99ZL7ykOqnjSUv4wyp
JRJ0aLbQCKcDdL4BShdBla5qqkC1aWHtjDIsT2Naq+WhSiTNwwYPpcLX6YXlB1MpehCzSj5O+0Jv
peXLSa8bDP6c7BMIOFxU7aG1wye77u3jEI6kbBzvBOSyk7mfY9gM+d4etbqiCWMDa3ABzT7HkFna
B2PyZmarY9nsJRJN88eujIz4SY+MCUaiiW/LGMVQAnMF9xbuyRSRJlP8EZ2wvlqACGPow9443aZ6
Vv2YmZEj/CxapoaO2zJsUnHl1fZuIorHWBnbn/ncCzY1rFWERhKt/QRD1syOBa/4o53xjQJPS3OJ
403hfKUAGfpbCygmqjlgQr51Q09b30mG+AFLbId3IvPibxNFKsMtLkkkuMVU7GXN+WZ0G2IFBsRR
Ack64+5WOllXonIJ5NAns+hfq1Eb8U428Gy8wZC5i6DuZIjOiNrLPrczGj5HvKwRJG81YuF+Ywdc
XKNwuRD/sw30d5m9rK7tCKF6e+7dLDDt3jkOrYH0SVvsq9pinOE0+V3rRO3GsXyDhZzf3ew6Bgug
axh7USue77omnw237b0kMBI9ivap0A2qDNWUu9CugVD2Y+2gnYODmTVxhNFusa3PJeDY4qhHNmZ8
NXSA722Gs8N9bzR6/ojrJLMb1GELg6oM95sHOKMpAtVqTr5jTIga49+b50NAGMWSxlbDonzyetE+
4IkwDdjZC8NDC91W6O4KxfnTNpnynHuN/duwc5Qp33/tV86dQ+rCFQ+fwnHXTa0RxqeDHXuK62JZ
3E4zgm+JoKWNO6Z3pNMoNirl5Ryv3jjdKgAkcBmgT6wbjf2QNX1fLQJbeRRp6BxphXzwsmw+vv9c
64qcgEu2Qs+cxehJrdWqLU0Mc8HVEPToKT0kTlOiK9rIp6nRp42de2UpJtTGAhthXgSp9HwTAXCl
X2iNWSCBch6RXAQLjzP3M00hZYN88sZNXb0+jsjSVWIIwVB8lQXihgV51Y3joM0bKw8UyvF+pwDT
PAlwAN7j0I/un1CT4U1nddPvsePC7roWYL6bdDaFXYbyqZ+o1qTu0tlOTl6Fq/1jmLgzdkJWazx7
aYZ7c98Bj9uzcZrotm3rBtECLHNvOJvW3173Oqh+WodGED2m7kttmQsfNp8Z+EzMqFtftWTzeSql
gffhSGP2PpT2pjPG5da1OUdvg1ognAwFz997rZSAcKuWt6AqY+H3g9d5L6GjKHd49FGUK24/bLGU
L/SvaRwuM8g3RRsAJGsQVJxnmioHjLoSJfW8nWwt/SgTad3lnaLeQqK2TnlcFjt0x7o/piJwyWrc
uPE9o7BOHh4OOwvpz4emmDEHtfpFRtzLM+DSmtoVO10aYiO1urzMiagIBQDyBENBEn/+lohbJFPA
8hZYmBqgrQpsSYJ/tFo99RuUNY/ZaDYbp/zySHiISSzuEdry7xpcG1ZumnPFNAGMjQanr9SyPhdO
Bkysogf4/klfUsPzIwH1EnoS8DCXIL6WMDRhF6IrJMtgnivvIGFmeWUWQPK3Dv2Ue48lkno+pA31
2/vrXjwj02GeDCUfS6MEWktATNhupRUaTkEzuZ/pOSSMHczUDKbeqD++v9TFTmcp5sCWY6NdTuBd
nXrFHSGUjVoVzNGU/jFyaR5pMOU/AQTQsXHEvFHSXrRygXohPMcQTEfdwiMxO980JiHabWRZBS0a
oS9RmEsLWxKog5Wsh2NuaVAvoqjlz7lAbpmJFjinKu5GtLv2MyzyTzw0AJ+RQK+mPfikVogYRE0A
y0H5lWg97sUwXQ+TBRWMvtlg3pllohhwDd1s16lApCa3qDbi++XbZxRJQgIe0KVGWUPGJqZR6mzN
XaBm2vTQNd685+W5N1omBpVfgZXVxqV8saXZztTui9IDNySb+/z1az38mTCOkd/Du+mU6TQ7odUk
x1yM84Pl5RisdChdMz/MNroMl5sacSMmvcB/yMGBJJ+v3HeG2cxIaQWx3aUaXDq9uy0tklsSoiTc
eMyL0MRjLmrxnB02HK3e88U4s8oE01gGrjSMHwAPtJOUaomVkj7sPbibNyMk6o1Frz4h6E608EDd
kPmdL9r0BjN8DLIClwJqr+rw9uvK009ZhdH7+8f22lJcTx6DHFqOgHfPlypS1CGF7snAUCN713X9
D7T5+q+mdMR/nG05DHtQ+VkkrTHiI+qerwQ5JcsrTECDKlKc22kY2w9Q5H9GSeS2IPcoPN5/sssN
CmBpuQWJuMzT7FVAgkmswPZsmekoQ/bLCdPId+bQtXeuxXB6p4+50cBha1CVnyz35f3FL88jlF8o
cipJ0CJst8q3ogQjUFCIpKxa5h4jjj1hSffuHTUP7yFP/h+W49RrkG4XNNgaFUO/Aq8tLc+CWc7m
gznLCV9wBmuWcNJvAzIEh/cf7/JU0LXjMwKMe0thV7tmyfD6qLJ5PAn7xu7s8VYtunBfd12106Sm
3BWjsYWvurYohdCCbgGlAOHofAPlpB8jUETuzW6yg6nw3CNSN+PBYyIRSLPM7u2qFxtPenk+DNyI
kMxwgLYDxl0dxcqZPLcyZQZWSE+flMpFPoRttfcYp2zE8GvPh7wJpZ5NAw2U3fnzicbRB6rlLBhG
rb8vUqqwEH/1hzzK3Z9oKg1AKjfFlS8QA2D5wChQzTICZky/RnKBDXJmBQffwBZD+UEsetrHOWce
AjRKv0EnEE8FtEwZZaA79hBnSbercs/66WJ15M/omP94f2tdHltwbbRYFmU56ASLIeS/k1HgXaLo
UAUNvFwtn4sJcmpnUAkAdEeyypXRwZGGsvfKxv3Pn5oXjwSmBn2Bje2tNnVEieJO2IEEapWmX3pJ
H8XSy+4mjt0t16ALjpXjQeKBl0GFRAOZfXX+lFaLPR9lpYPXlOOdKIOcR6ZI8/Mi4n3KestodknZ
ucGQGPBFrBDGU6plX7JC3YLVXEQqfgl7AJdp2loqTnPnvwSxIKfKrd4BNw48qNTHTwze4w+TFHhY
5aa1cXlffF48rTH5IlgtHl9Ab86Xw8bZwB/XHrGGG+uPAEfuSw+8gSLr6g7VgvDZLLvmZ+foyun9
fXX5nCCNaaTolGHMa63VQeZl45WUzGpQd6XFtJ/6x0Tm+clJxY+00LcAs9eW0wBVkKi4NG7WA/AY
FVi9TCotaNGaw6U+049YdDCgGmit9l2l/Hr/8a7sKMpM3i14fIY89rqGir1CnWxl1gKVNsyz6Q3J
Uyfs+FhGZMG7KevrXejZlMdJmr8mVqGSpsbOYTaz6ev7P+VN2eas2mHqYYJsAFaylB7rQF3m/ExG
qDNcn1ydnkTSSLnrR24Jhh+9EKcS/Gr7rFaJ9gptBKycN1jRsKf6ak1kmws3wLNpqu4ZFLbkzJkx
f9EdQsGhDg0N2+daHSwfP5kaQPYEI2cni9pu/QIl3xyV6BATqkLA5fqvGcUyzQEYATlwaQSvxTXR
jGkzSw5aUII8nwBXOc5nPCnL59h0ljQD6+oYWa59Zo9bwJUlHvz7SrEcgaVOps3sDvjMmpLYgiXo
cLDCQnnAI1mUrn2bVH25AaNY30DLKovkHF8PtNTFhxtRMjCbSJ39QtPnX4kTfy9GO3tsY095YDLE
GDdqtrSCLi6g/y3KzAGaFDzetdb94JqQE3pz9gXZfM3QsDdAi7r1fjSF/klrkFvLKsiRPti1+KVs
PXc341v9iG1vc2zivt4IFFdfAikU+Td3MLJS5xHKHG3Uq7xYBUFREHedN2tc3tcEgsJFhiLvjWMN
vGVjc711FVefmF45cvDkrFS09iq9sfKwYSLbzr6CveQuNHJs5pvU+1SYpfid1IA5kgoxBNmr4xHf
84I2fC1uMp0qE5Gi6RFQWh14Ibhi08GfG7VFwGN5m72OArMNkbnRxn15IYTLlwPUBzOCMM11vXYQ
S0o5ogYPrLAxW+feNhiTC+T8kFlTBPQTu3FgZmSeioxDNASNmdp7nF2dg6MnyidAniQ4bbLVfrxg
Kiy/aoE+gvQjBBEQz7+fpqAOVwh9QTO2w3c9kz1+LVPvfRlwfr8t41BR9wi2amIfKR0dRRMlGGWX
V2p3M9INZf5JuY4Fk6qoTwqKhF8qOzae6RDG/a6wAIIE74fLdYa5/F6ONrUeRTQZ/Oq79/Bti7ZP
J5B+sXxGGDy+7XBS2Xe2vZXMXjQr3taCq4VKwMJTePui/8Cyhswma8sAjcRp7Hzh5lc+KAqwLMzm
u5+1UM0doK2E7V3Fh0lxZDB3duX/9+el3FwATEvKsabU2EISuFo0e0tj/h0VEfCWUPM+aa00N73e
luRldaaWBIve13IVQRc43wsNpTNEaMKmMXfM1+QU+Qp9hRP4BIy7cDPCX6FMnRtOm37MgQTv0nGc
6l1lhMOH9x97nRDw6hdJtIUpBwLvIiHA1T7nINeznzOJ8ZuknfciMYtbVZUTApizsVFNvDHP1s+O
njlZgQZNArzC+bMr6I2FrDdjoRHWN/oA4vvRKkfJwA12aLdzZQj0MFMkuX5XdIntC8D1PzoLbuHO
XOwBD6mRNGiShMr0s08UpFOKLkKN1DFm5TgSaTAZa8zmOzbY5geRjTn7RVTtjWW31rARla+9PsCE
7Fs6mYTlVTUvJulZiAbR05N5xuA5VZ6EyBUCjlyYrqH5+P7nunIL0JIGyQLBkWRqnS6i6p+IpCwn
3w7r0deyKD0oo4ORRl3niJor3zqRJBvPeBEJaMCQmdqgC0jEkRU6/2L1LACLoeiDtaDp3vVzDi3Q
TQXiM/qWMevF4y1LLV1hizENpd8qG67FPMyh4rKULpV7rD2GY1wUE2w2y0aPrbQPcynbjXd69fmo
qwCDc9FBHjp/vhD7aNNI8Uxjklz/AEIS7WWjoqe7SKK///ku8iWeD029BYIKCp/PeL5Uk7D9R4S0
9k5pl68JhBPfjkHKbV3aV9cx2ShLm2eR+jxfp8IACLVdCJ15GM63dENovHi82H06x+EnI0wLH3GU
6rvd5/1TpE3A2XBR8ws7RzYlbB3rFxmxGaQItmy8gYsDgxU7VClw1rQSuKVXaUyj14Me4mhD+9Dw
Xqj/xgNknAn+5+Qde0SRNvrxVz4u6GLXxjLIZNC4Zh71eDTZMVai+7p0nAAoBEAQbHp8MXtbH/fa
o7Fp3x6PI7qO6mmcTKAWOCc4cgOVTwByShFVflvK7FhNmrLxKq89GqX6IgkCvx3o/flHhkyWZhbM
in3HYPIlyjG3K5yqvuscd6vzu4Sxs6DNV0N7hWeCAcBQeFWNu0zsVXMGE4jozRTvh6TOkSkfjZ8c
FuNe4tPyiOBVrwS1YiUHNW3b/fsHZzn46x/AYxLy4BaCrlkFhrJVQycsMEa3nXp8AH+lPBVNXp8W
D8/HeRrj2wEFuIiB4JgH7y99mbnx8HRgtKUjxXFa6wlR1patZsNkHZK2LA+22SX9EUYJ3tkk3eGp
Vim7bmlKMNqNkH9yjqGZD7gug8k1/6ZzUQeOhkz/Qz1n5ud6oje7kzMy/QJ1RiRPIQVtROwrYfTs
F68+l8gLRTSU+XtsZ+SLY0/9Dey3BC6sCWIHUeqX3iQrf/89XVuUSRMHjWqBTbkcj3+SONtJxoQC
uNz3Xhj/nZoGSS4tRYUnl8MTuLsuEEAYDu8velmm8XHYlgyWCaoQeVbxBIkHuoJKXu6jWvOib7GH
diupgQiL4zxrkCvDBNDlvmp68yaLZPpdzlYbH2C+j+Pz3ISoYbnQ1V7e/1nXtivvgPTm/3F2Xj2S
20y4/kUClMOt1GGmd2ZzvhG8Xq9yDpT068/DOQc422qhhflgGDawsNmkyGKx6g088zmZqw9Q5SmI
05icZhSFc8LUbzq6I3KEemboHzJM0YGuN2Zxcut8z4p3KwoBjyA9wOWP23oV+rU0Uamd5DWOYUaP
vqGK4Ayrb311qX/jB9v88+qpShN1PrqLyMoNWqTB4CuPgUUfuqzRD51rpmgKV2GANad6LKb4d6Ua
6XfUGvd8BDYmSh8DwR/KDlJyZBX+kNtJUoti7KGI8N/TzL54HPJsOOiKYp4jbTdr37hTba5vmSNA
EeKv6/0tHLMJqzBiYYWd6afBtcr4EemVXRkV+YVWsQ7pCDIu2TMFdrAaqEYpJnQFvdjQkPiyZU7t
8ziE3ZNoO4GEzaScG6XOgjCmjeqLcuif7WlABaCMCtunMhH7QtPTD/e/88bxBg0hn4T8gz29erOk
s4e83qAhewgN4O2g91mgAJx4KNuw+wi6znhq0+rL/TG3lpwUAFKZbK5wx62WfMlyvVQTngYCv5o8
yu1nR4mbnV75zUYCEIQbBV1G6pMMsholSanJKTRbWOkyCcBH4gYbVhBWp0G9DOCGdu6yrfGIClKu
X7Oll8L1rJxa73R1dNygwj9dlh69Mw1K+1l1yyZoErGLEJaf5mpDMUHJ32NPAUoFeXQ94ELPwNEn
nQF1Ba6NksfOvyA+pujY4f2aHGrEGt6BRsKm1FpqVJf1CAWvGJ6EjjR30kEfBgRyTiu9NY4KZrKB
nRNjTlYyxOVp8txk9hsDCWp/rtUYNJ9QxzM+pp3nK5FT76lf3OxEpsNbBLEOOAqaua7VG6jnl2Vd
uIFrKZDSdGCryOhARTyWc62fNUQoT4b1atU75KMM8g/qAzSACFereKPS6ZqRvXQDbnAUjZrJxnes
L43lADzMO0zd7FHxqve8y2/OgBwW2TuLZACQ/TrsFLOK8LfFsKY0GntwUwfzCfznoz1F7K2BUOyg
0IcDGJfq6iatFV7SjVJ4kJQBh5u9LT5WlVV8vX+ktzY/HRZp6Ex8Y0Gv96KwK0PN5xn0ve70HzWB
bVo15BVqEIn62DfIU90f7yZJpmsmOfhsfHpJdDGvx2vjYYQfVsC6KjPqfkPZVU89ksWaX+lV++v+
YBs7kyDC2r3sTm8ttSHg6CRpxuVngSN81oz5z2KI1DfrbHj0yrx4ytm8O7nexoJKBXN8PAHZ8Kpa
Ra8ZDTNeGpYXVO4IpW1qbNCJE8EZZ81fy6jv4vE3ogn3vOzL0naQvM3rFZ2srF4qiq/BgsYTEPGi
wLmCl3IzFDx9MqTro1yJj31LYX5qnQYS7+KdbdGOD6gV7il+bE6fLEv+HKL3GpOCxFBYDXocShDF
cC5GMishC6xF7HwnsU5O97/wTWLHdpK5lQvdQofQKbfbX0mug2lHvsSEUqUMLf1C0uu8zTwxPqWw
en8t5qI+NJ3h4jOiDcbO2Fu7CwqkiRmsTEPWSaVJlOlHB+JKGmJrbKGb/NQk8OTKou0+DUUqPmL+
O5n+/Rm/tMVWtwcRD2IBeRaoNnUV9zoq+fia5WFQtpE1v0E1Jht+AKRHGHuolKmrAtitM7ICrpd/
cHH1GwMxav2/ytJhlNuZijNB+4NEeXYdaZ2oT6H7MQx10QYJTxG8WmLazr7XR30TYKPiFQfWFhZe
E06x/msp1PhzOmJFQZnPRiTaHG0kcU2Ee461XaHWi+CtV77JlKnNIWhGsfIYtUprvEGWbHwoE7US
ftsVxRc7tFDtng03zHcaVLevENmblw0SIBn4ub6A5f/aFrMaJl2VTuhKtbONvAaCin/ssCouDcja
Q6cvxU90aFDdGrz6UVvSzk9rT3zKFVokfh7N9Z7Lx8axoJcPo5ocAwGSG+TN4KIA0k16kITl8G1p
hC0vx3R8kyI+LGWQo2in0HJTIqDU9P8wxaSIcI+vT0ZT1k0lvJSMYerMYFjoqgLn1s5zAfDRH5We
km9aN7AoyURaim0JzNf7W3Vj0jwFyE7JmnFqXpubgyZQKOS1eiBm4UC+6csO19pc9Y5ISQ9vFTRA
itfWDrGVZLqovckuIZCF61lX+KbQ3q2NoEqr5UmYTeHjW5HD6hyWx9fODtg6dV8GwantxsVAj/WB
FwcNxzwVvHfUcj45Q/orddPkqGvpazWqCKgQ5Il1eHSaJKqrMG8rQjUS/g4AcSLEMI3xuXbz6uus
UX2+P7PbO5rnFAnq/4Wq4ix4vYjzqLdRVds6pjOOl/lTlQy/hqG0nRPtIig990e73aiMhg4KjTiu
CzrLq9GcOdFEERukj5n7xs0wHPbhKc2JnyHLel6S2OsOfaZA49Wyuvql50LZu7Vucy0JK0fqnO4L
fp3rh43Xms4QmQL0bd2qb5Z8MT6xa4admd6eBxDPSNGBAoZfYb14o/0VlYSF/WidQ9VLpwr5KHsO
jUNmQDEuqQF9WTyi7v2lvUF7yE0jNQ8M2TCEoiJ/0V8jqm2DrFVSQO6pPbc6aZM+HPuhcy8WCu3v
wRHAoMrtrAiaYmy+hbQdkEIowx9R3ujv7/+WrU0FYRBVFTpnPOpW+7eb+7GZBBys3o5xUqyK+CHp
bfUsvRJ21nljKA2NJ17qNgQs0s3rWU+zYSgOFJEgTLX8nZm6n3gih09dNH2+P6fb1jY8BEI61Rb0
EOiUroIspmy4IqWtGThTW36k8FV/DkmAaiwG3br1rbJKpoesibrJn5LWwUm8g1Dk64vrZrRvmsr2
LRsebKA10Odff4ylGyrJIUVpnQbf9TK4uqJ2+QikPHepzQRDPYQPiEIUAkkHvTrsLIXMa6/TErnJ
eCUAh8DF56YeYSFW0neDERQYiBgINNTasODHpC3xRzebTYgLadT+mHKPOjxKP+K/wqUpuJj8d4Fq
iira2/zyM69/EZ8fkT1w51RwVvOXV49atKmK3V2cH1E2MH4PeGKccDJS/u3hKXewHApcHAAjJFhT
lOppXvpuZ2E2whuoeiI27x4QB2s9lbhcpDhkhA5QHU7Hzpv1w4xiw++JZ+TjUtZp40eeksSkHWP+
gxbp3pV4I2pEEJCZEGg6gJvwvVebNEF7UwmdQg3CMhcX1ezTN3mqtl8svIgvVCfxwCqmKoibhRQw
VyL956iq1UM+JeO5bLv8E4ib6qeo1PxiVVb63/2NsxF60a5nm1Lz4Fm4Bha6JhKlRZWpgV1j/mSg
FI5KSGvHOwqst5gGqcsJWoS3LvRIKAHXp2F2w6qZIxzB6ka30doTIBbaHo6FH011A5vUnD7XvNx0
qQChvksXCHeItEY7qenGHUB3CPcuqRYq67TXP0PY5ug4SauSjBXxZz1Lmm+mniRfoS7bbyZwpDun
QCY8q0MA9UJqRHHrcM2ublcNfRuvdrEMsVAYeFe6TnQcRF5cdE/Uj73Rgp+i6fh4/5tubjkIZZw+
MJRo+8hf9de9I5hNvfBiCmxuvH9kU+pSi3z+3JpJ8TAlaZlD3A3DP7Y9t98LqWIFxF6arvA+V9+a
0WQjoxipRbBkbv9BFBXGSPd/4ua6UHyjFmFLwIDcln/9wmqh98PVoQVL2caPeocep1GH8QXWGhp9
cK6bD465tDubfevrswPpRQHfJlKuigNJ5g0iKwstGPUqwhK2mZMPJDx4fUyFnTSBPo5Ixdyf6dYB
Aw4o2Rs2j4+XdtpfM1U6R63NZtYCdTaXT/jEfcX7Uvy4P8jGlUse/P8HWcWYDPOHeqITFcwtrKYD
HLMFAT4vKgtELPvpf1lG0Kv4tNH7pPh4/fHCpeXmL3GWQiHWKI68BAdx5BDMgSkaGl5dvKePL3//
+hhJKTLHIgciQZTz/3sRF1NTyjohJU704rEeMEScss46DRjpPOJM9Ju6R30pAV8/vH5hoVDAKKLK
AUphNbDXp0vmdGgXANeFlGmYFvqi7fgWTlu3s1E258hh4JKSTpBrbc4U2IJiE/6Dzoum9odWaKF4
mlI8oWn1lgZyVag9nSIDN6lA16botYbQ8p7iUBAwOJXgPlZ7KK2SXMQuL1YdUapTNCOJ0KpL+b5B
EOV4f1W3EjdmCPABeAk3wlrRrqaRVeGvpAeLbU/TG5xpxfQOYTURBQgjsMjYjIMpLtWsVZ7HRJj9
myKfdeV93iPt4fe11jonp4+Hr7FKUNsJTlthAtVe+qd0t3m6r8JEaGOTHKHSGegR7K5aS/DzWOLu
CVeh37DPlp1H81YslEwrRHlw60XA+npz9wMAEGuihoUuNbTDwvg6Yr/2EA55fnZF4xxCM+539vXW
04QiIc0PPgIPTW81x9KxEmPUCEvl0g7lNzeb4ovZes10xNsppyFcVA2dy0UZ/CEpFeMiukyUvhKD
F/R5KsfV3p7YCJS8REE78qTn+bsmYwED0Cp2nhrEylQpZzWytP4EzrjJvvPSWKpzFPO2OfS1sYhz
HCXw0UjtU5ZnzM3vqVboI49zgMq+OmHEA/Jci/Y27tZvlDtWeqjAw1nTSHtdKXgudyp1vEajZhPq
pzx359P94yGDyira8X9HkhTRAczZX5D7f0U7+p3DiAs7Dpw8Kx6narG+FsPwQU0b5fzakQiq7ADZ
l8enaX0Ne17Ytn1U2/D4RXFOIhdFDirl/6TNWH66P9TtLmco2lN8Rjni+h6MyyQyOqOzg8JRETdO
FPXEZsItQYEBMCuaOE3WPO2s5Oag4PRktw8421rkoFlMB84i9nBcST0FDJtKPDUA9+QhNP2UFOb0
6DWqvhPJb+OHbHvohAJqbOCb5a/66/vlWMgYeuNgSpdAB+X+RRtlUq0zwjvF2amwsru/tBvJNbxQ
WvASrqfJ1s71gChJiSGjwBO087x8iYua7jfQq/wT9N/uCJQ3fNYQ3zumrW48h5Mzf+6qee+qvLH2
kEg+CuLSNkdWAdcPnRjTR4FcnE12VWtOhu6VVJGK0mlEfAWideNrem9cosGZfvZVrL/LF6m0ZYUQ
fHw9tZs/amW7P60yrXt0wkXzDSUDNC9ja5orvxuV6XfTuI138nLTvSSm1RoXuB7Kl/urKRfr+vQx
DUqmLCcQ1pt+tBbPZm+ggxU4WiPUs11oiYtxn15RlI8xxQNyPU2ngRCWHbPBSKqgokZh7uTwt5GG
wgHNR0obKCmjqXL9SVvd7tTQgLynpy2MRitNPnTIb+zs1NtII1/GUMwllI1CxWqUBW/IWllcM1An
oVUfm7HOlYMpXZfrhQf1zqWzORpVMJ5dUrTFWm1TbEeHLLI9MzDqoTYuha2Z5fOiI0sUOHaHZOD9
D7k1HEUotAdQVJUicNdLuKiTZFth7rH0ifvTdtPyOIRx8r3S8au+P9TG1wI0Ie2TYU4TR1clr96e
EVpEq5lXdBv/qyGr97WOkp08YSOsMAgrh247jxdjFVaAArtgHBlkUWvFwCGhyk4U9WKYNlO72I8F
4g47Jh5bkeVqzFVS6OnAQdyxdDDNgMw0qVgloR00nXq47x+pbEaflllzU2whxXROp1h9M3aT+HZ/
dTc+5NWPWO0bK2wXc5w5kTO6kUdH4r1FErcfXAAcr9+idDQhyoDIZ8ussSEg+bqCmqIbQCShczKy
6BdlaQhQyrTsFQc2kjCQPNSFZMojH4ir1a1pG9ZeXruBpoy5ca7j3HhvWt1inD2taLKDl+iovNp9
togHpxXt12jOvAVHmEg8gncNi52m1dZCUxtmFzNROkerHYZ7oNnSo2YbZ539GzJm8Q8P+Gn0U0MX
ew/jrcE4K7zCAdNSI1kNNtLCL+E4MFiOdEwbNe5n8of2QXfnYYfOujUUXngMw8OUy2m1zmaUJOmo
pU6gzY6iHZAacIXfxG00H+JS977f364vtazVDcLH5ApBzgMK63oZi4p6h+txUN1IN3EuFWLog6ZP
hsTX81z/lCzJTBXaJqj7MFzK89gaVGBKAJJ5P8YfvNjUz/d/09YK4M1INgmZANqVjC1/pSQLCoZR
jCAvxBpz+FJE7RjU9NRhTVvazlBbsRBlKZaaLW16a/aSi6R/klMKDZJUtD9TquyXGpmzeCe6y+2x
WmSK/7LLyjsSrOtq+4TOjMNkCUAmtiwss3E8Vn8jvYsSUa8Yht8qhfozxa57J9JvZAdIC4Je4KEm
S2urS8WsjLkgGXADUZtuiZJD3JxiskvzhG/dEvnzbBfLUVfr6HPfTjke3KJ3tJ0fsZVqETM8CHRQ
pSVP+vpzeq5b1KHReEHoer17mUdFWw6tA5TXB72mfIyVokiCyXYiXJcBqER+5WoJrXehjW9VsSz/
zXle/QACywIOtoaVszk4TuRjnmt0gat2qLE6c1o/Kk0sQK8YNc65bi/69PVH0yJtlbo40rRy3SUp
+6jVtQE8V+3NWDZ5AouIXF1+d6S7X197BnAcYSSQG3Q6yaquF60TxlSNYR8f6BT0T06CNAx6hvkR
d7hyZ3PeXtUM5RLU4LKjqLJ+AWi9k9Vz1MYHaxyac2ZLVWXXKM/ZjNEwgI09LMzt8YaWK1NuiqZg
v9c4HIWXlQcwVgnqEB57X+b9obZq68kd0j3A0+1Q0hpTGs7yYkQSQR7/vyJJsyRl3vWwNxRDLykb
Z1z+VKreGnXvvXpvMBQFAbjy8jW1Bqt50+hiWjbRI61At7T1MPjpgvVD5xrV6bV7g6HkQKwhuI01
bj4cjQYNEbxz7dAOTznFjwAdO/Wo14iO3R/qdm8gNvfyBIaORE/EuF7AdIDvmMaZEuh6jthd6lnz
MVHCGfSS865QzT/3h7uNkwwnNwW9UheSpX49XEShbQYoHfLEr0KkHBDxw24un39NVfFujrpip9F8
I1DLi1fF8Iw8ldo+HKNVbFJRPkbHDIjhkhHDfFo6aJamSP8Wb7JS7WVXMob8C3+t9Qa/7y31h4sY
a+IXaqr/lzpV+ux1rdXAgcK15y3NDKGf0UPDssdfqgZfnPsLtJHjch/z4gMRINuV665ASAY70IpR
gims7E82RiOfMhrHfjNgVsjPGw+R51QPdmpcdLSTn6ME4dL7v+H2VpGkAbSIuDJ5P6+xbPFsCZOy
FiLFwsa0spKY9bjRT2lbVNTfav3RqcP0iCp3ii4RnKr7w280jGRKwi0qTcl5LK0uUyf2SgEAFQH/
jHvC9yDpBCmS+b91Q8EOAu3Wzi9gWv6IZ639GJtLcqKWPP7Gb6AF924MZyvWvFOVj2N4TD1M9u7/
wK1NDNqX2j/hW1IrrjfxSy0wVR3iW+O5RzMLMx4kWoyNUTycEZqYD1pXtDuDyv/pdYZB105DQZzP
woFd9wrzpGuxEkcqmeed9S2sq4orsR0Peu30h5mS5OOQJHOQKmO8A8HfirFSvQL5WlpkN06tDZxg
kKI5MrKahrZBqjsHrwjdi2GVe1WbjZWVvXFyY/S35O67Xlkl1pNyNllZuM6kh47IFqBiimEGmjaF
B3xyswP9v722/NahY1jSQ2iZDv9c7TiMnBP+5saKdGd2fyR11R9olQ4HdZjV9JjrefQHRR0vPAkT
tSoo4pbnx1O5J+e0sdT8DsTHOHRUCtYU1AWBG2ijEE9n/BKjwHJHcPvoPA7nTBv3sFYboR8kAIpc
NHhoB64vtKpztHAYiujg5YOD7oNexR+jSK1mf8mn8GJ2lrXzFtmanoxrHGwJk103dcZKV5uqJfo3
ngCQo+TV90IFGYxmRf/t/hndHEoan3C3yRxrdUYpJA+RB/wmUExezrnpFA9pl+DVMSEZ+j8MRQNS
SmFJoPPqTgs7USOAZYRBNKUeCqkm6hpFEZWxr6T23n29NS/aQNjaI4TEKso//yvhgeneF9jHhoFp
RuNwKD2htmfEl7FRLNyiH3di8dZw3J5oL9ED0Nkr18NlRsMXE0oY6Hi9Pce2yIIqR4mc1NyIdtZx
667GpJFvxVsfWOz63kl05HmGLiE5MMe6fRNaSffJTLL0m1Fr5Z8lzJoO7Z7GfJuoiaOeeNGk7yez
tPAoE8v074DZQUg8jCZk1UlksJOxjezdgBz97/tfXJPTXgVj2kII3yPExR1gripsUEzmGEUSeXSK
GnGD3IWgrYR1f0wbx/xI9jhofrTE9bu6UeP5MKPNeFQGNI2TsBveWgl6l2BKgIoqQ2OInY+2cX/L
F798kIENJeG//mhRh/ZZOVukj5GjgDLKnCfYF57fqsI4Uns1D0Y14f/cjJ3l5x2UlfvLsxFYoOIi
x8Y5Z33WJIQoKYRnpqAJ8RAdTu2gjODuuRrDaXoLaWWvSrY5nNTqgAEI43D9vGmtmaKxR9DEwvii
W3kZYBpOmtTl4qxN6vH+5DbKZBTj5EBYeYDBXV/ExaLqnVCxSEz7Pjm1FO+OMC7iR2/CvKAxsrrE
BsEaPi9jXn+LHK98jLvRfmzHxdl5kWzsQhCdCARTmwdueIPq7vRxQIxaCYxRXy7SEBe1WrN7uD/h
jd1EbYFwTfLM8VzLFZD/KF4U6vFhwN/xIVvi6L2SCu/Co74OCvCKp56j4889OmKJNrzWtIEEHklO
sh55S9GbX23m0lAG15iB/OCOqJ0K/DqwnNbQmWtj82A1luq7qI/snKCNsAeHjGb7C0iOaV+foF6b
pLYPL+ZGC50j0NTsgJGecwzFftS7RSZyc8Dfl+R9Tsu6QtUSuj1OYnzQlnZJAkAn9lezEdOlNdX4
qHvZ9GROyeIjWUw1QmSQKvoo2ZN+2JgxhQb068HmA9FfF3+TzmvQ8bOjQ7II7dxXJJXUa/JfA8na
XpyXb8pV9DSlwAbYGYAG6lrZOsEiygFOECMzkVePNU3sz62t9OcyyfKHseia73nWe/I+LbEuh9b7
aLY1PJXcCv8ZGojSUw/ZZefRsxFFYNJIkIX8SdTwrj95C8LCNFLQG4qX/DE6YC1GFLtHuxjTc+V1
006M3Fpv3ji8TakEw0lZlX+WxgR/Wet4tkwlfWeBLQnxWSZ9MX3Z/2FuVFqBfFFupjO0GoxSboeS
/MBgVafyep28Jy9P3ceqtDT8Z4x+2Rlw64KkHgO83aLBRmxapV+O0PNkQdzjsNSqfh57wzk7EGsP
oRWe8SV6BxQX5runtX6nmfO5xpX0XdeO2qFDnO2SGihYjlEdHu+Hsq1F5x0DXYpmKlno6tpOcVid
3cxIDpVaoZNZKB8HE854N4TRzueV81tvcXSLyc9wnAE5L4/AX2kahUx1cSwCCGXwd3bcF796HIB9
w6n6J6/U7A+WA//fc5R8p+CxMUXaJRTdIBjxxdfnOFRsMwzDMjooJcJ407SQkHYJPHxj/B9yQyAu
oGMo5Uhu9mo1wTt5Q1830aEay+Vs4dz+xo6hTGVduScnsHHTUQ0zOJYv/cZ1w2AOUeUv5KzcSAuf
jTgynqtqic+v3h7odkvRRMovQHJXE4KtFeeNNUeHMhkjvKrawWuOqcCbvkvUvcbERrzhSPL5WUEa
E+tk1xh74EEJWQvFcuvJK0Zus7mcEj9pvLE9hIrZ/7g/va0RyRfA23OqiTyr6WXlVOilQYifmyo8
uz3y7u7iLn5sG9EbEEt7hJOt8XjoobQhLWjwNb4+A22kLmPjWNGhaxrEdx1rDAxEU4N4id0vWecm
/8Pnkw8HhBBgYkG3uB5vQdQn7CozOtiCFDcLKcHYM4b2WIHt0Qm2ThkbRepNOMi1rndK2WBwOJrS
xqupl0MSVm3gFIn1IeRmen0qwiZ5MdwlZsEmvp6Vs/SwvUojR9FYX/woHJQHNcIIIsbT5/WFHupL
DCbtZUB5rIZqksRzSsRdD7NouneGXtgXLG/FU7ooe3z2jQWkFWHzjoWJwMW0uh+Kxi2A9SfZQY9r
JAuyHikms2nLxs/GcdpZQvm7V8FYsj6kdy4Fjxt8pzEO7uLQjDtkltp8BU/TvOmiXcmTrSISQmXw
DSGYk9+s9zt4qkH26bNDB7n0TAb5ObZC9UEsLs5YENp9p9WkUuc8QL1O64e4dV7rakiyDPlQUujk
AdDWZooN37T2UsGy2k6NRZD7ewiT4jNCoP1jNaXhzobZuuZpqVIsZjiefGvs9UT/Ize0hlaZhvQH
mhll8yYHm3AZ7FAcptArnnsqiw9KXzrHwUyad8AYy08dGMCnqDTNJKiKxvjHtETy7/1gt/HNqebh
/ARWg4Le+h7UaKS3RlGlhyUZVWCRChSXONuj02xc8+wnWuug+JG8WPcLw5lUasDEhE8+u/D3FBW/
TJ2nCba6S2afJ+HYb5RBoAqeJLW9k2VtHCKKaEQFHkjUhddJBqyUGZBGlh/yfE7/Kx0leopEY18S
t9yppm3Nk349wC/KCXRtVleHPjhjyccGA1K29oXXSfZIVqAeqd4bR4GC/xPizOmZdMB8uP8dNy4R
bmL6NxqlFtkUuw5/QxertZUyR5qoyZ/esrqjmI0RJ2Kr6R6GQuyB0LamSu2Z0g4zgNAv//yvzK2P
FxvuEyDrbFDHE03n0e/SxPShjcWnLG3cD+G41L5uRtWH/2GqEOY08lMQVWvIPU+eBJUeFtlEqMJH
zFp86dz556xO09ktPefx/nBbu4fiAS1oXtiSyrCa6AzqyEwnJApGq/w+tVYUaBMKt2rc63/uD7X1
EaWnN0mHzHXWsqJ1iX5guaj5QRelDc+t1P4p+7x4P2p0bg0793aAYreHnwobRRrIXRT0ucmup5a0
S9uNmYIZYrJkAV471dtuXPbkPm8X8HqUVb6B111WVjmKCK2ea1/GsqTCppX9+0nQMnjtAhJiANpx
s/CheDRfT0hT2rmL80UiV2PnE9KtP/EAth88gPNv8nLcgwzL9+D1hSmhArRgeMOBU14XEE1haU2m
RuXBldYZFU/Vzs8gyr1Vp6VFfQZ3Y98SvOCcCYNI7rUsaXdi2+2W4Sd4VAgAEYDtfLls/zqGdYgJ
kIo80QGQnduhnmrWn62pGy4hQgLnHJWcVys2YpojhTtk7wXGyfr6HkszDnHLLQ8qfbVjVifaeXFj
j1aUuSfHsLVzGAxXZRru4D/k5P+aXGfWLVWepjwggNPTdaZZ8Qz7rx18RO69HbLj1mFAcUE+axDd
5gl1PRgwtN6NPIFCogn7ln5Q6WPEmuylAvIKWO8Z6WUF3BTayI3UXIa2IvpBKIElTWdSobJHP7dH
m0b1oh9SY/JO86znx1rv57Mbh6AMQj387/4xuY3d3AL08QBOUK68VYFystitXL04jNXo+YbgTVWC
Q3nEuj4NQnOaH9n080Gdi3GnFLu1XaU6NgkWrw/wQ9eLjLv84oQ1saDP3Pmtlc5/cksfC8CRaCRj
iiKO92cq307r1UaLgXYT2SZP49WFnObApCOV8VRn+S20xRz8qhTl0xT3ToAyc+0PcR/v0FW3lldi
X17s7+BQrwatEEhp8j4pD55JR6gLSadQZUD0pbAygBxads4SL/mqKUP0+iqwg26BFB5GmUoWZa/X
t0zqnvYQSrFKPcSBoZTd2znGLahHreqQl1YV2HY67zyYN0r9XMb03OmJsKWoil6PqpRubY8eqpmU
aFFtKj0lN4Mkt42fhIioP0Y93uiPClKivd864VSAGhlbINGjVF/thP56ZBU/CFAEOCTyE7oP1z+o
JAkcUhWdv8VqNb/JnOWCxD76WXof/rm/wzYn7+FTjsAZVbwbFLlVR51l4nmCc6stDnVaZLUfo51Q
+07TcqFayfhUiXj5BuidLIyX4/hhtqLh3JipF+z8mI3oIjs83HwePQhcSa8nXrQTlDdDilt3tXOG
rJ4HkVd/G+UvmbQweXCxmSbzdotHCyWUQ9hH3en1vwHXI37Gi/8qEnfXv4E4Vihhxks8Ii1Tn5vY
Es+mO3sWZ80Z/uuTUH1vkSC2T4qdxF9rk5hwJnut4p27ceN6pv0rPTdYEGgSq8WYUmXGeT3KDovW
1ZdB6O5DphXiUlZAxhQjNC5VP+YBchDDlwkK804YkLHsOvZIKwCpEI3gHu2C1fBzYmpNPSJ1tcxF
F+iY9wWTocT+OCjt4f6a34a5F74JfRFcnVClk3/+90WZD/WU4E0bgOzzIPhq9dexzuYD+urFo4Kz
yjdzstX89buNggsyGfCjeU7zr9fD9lWrTRgreHia9PpDB+3nkJld+QyvSxywQSXkLLb+CerFwyzc
6o02dcXOb7j5xiysLZte3GiANF6Ev/6auZJ3Xd4buNzPWgLwK0tAiqIVUOVQqUbF8TV3sT7G1Zz0
+GS3U3mkQJo/vnL1+Q00kWks8jzgobn60EIB86BPFfqNoRVdsrmvzo7ZpMc4VZwPYsixc553bU9v
btKXQemaIowgJQhXz5JO6/porGtEDpWqRhAlHh7C2hyO3Vx8U6JwPN+f4y35V44nRXhgHIJ0WKfW
ELdHAw1mgfJm4X2tcru+tF7cXeplmQ8GSlEPvWeLCxe5874d0vADjqXWw9B7w1M1qcbPJupna+fj
31y0suAH9I0Guswn1qDFTPQZSoytAGqquKeyqnU84Ms+MNt88i0vE0HmIFimjxim3l+Om7MtR0Ya
4qVuQhK92vkW/pzeQP8+6HMvOjZt0x5g1afB7LR7KMPNScoKqvTNkWNeH7KC/q2JId4YOHarvEWa
UfWrJNUe0jjpzhXiecdWb1pfpRe7k6tujsyQ8p1N9r1Wp/HspVS8mkm61gijr50a7bkEzfVr1iH2
VprbfsBuEhlR5O2MnWx8a4HltwVBQLeVm+R61mGJc72UAwzGBQGrc5UYxr8Rddfs1Akv37mybsIn
b0XuB8y9YPOAHlwdYAQXprKbYFcA0C/OyxiDlExwwP0kRCfOlVGgazEPuFne30Sbw5Iy8MShh36j
tInWu+G1UzZCri2Wc2gI+0EvJ1xX0yU5ei+GKkXS7uzcjY+K5iM6wUAFQEatAyZwbN53NvqGXdam
+CK3wwH7d8NvIGwdyFXC34Yjosd+SfdEYDc+KdQSRG9fRFxgjF9/UvrX2girALHbUi0fZ63P3rmG
yP/Tak3f2bkbwZEyK9chjBbZwlmdmWxujJ4kdAzIzJCtGUk8sMOou6d8MMznsoraL6//lGjqUo8l
7ZTI0+u56XqEVE7XjBhYxuYxSuf8MTc8VDbUsj0mbYiY4JSUryV+sW1foAhUpggQ65BMOHY1UP1j
kFbxdApRoLuIuovewAWPd07I1rejVQpzB/lZmiurworKctrWyAlpUUg9J2mrPruiLYLEHcIf95fy
Za2u8iY5LdhlNgVUepnrYnHfWZgwONEYKKk2vBuULJ0OgivFCqC7erGP5mLSnmZTG2y/UbzwhxeN
2cfc9ELhYywzvNVEk+EUHRr6fEB/M39vKLpiBaVQY+fS553jHZQ8NL97i1M8I6sT/WzQ5p+CrqcB
4M9UZ1+N9KJMSg7KiYMJyj21imZa1qEpPXpE0iE1nwaj7859E0cfSlwXJG57r61+Y1NPd0qqLctN
IU/6Gv5oa3O0GA0ZZwvUwcXCo3fi/6hl5Zaf5qGILksvsh8OK7k8jGVRFB/SZs7FgZomepuDEybv
3TEsPN/SSwQ/qIz287cpnyYULixUjv1lWMZP+aiJnaR54+QC8pDkSs4vkXi1UrRJczsOlSngHQUb
HbO46Hc7WE3/DvLjEPvxmBbWzjvhpvLDYrGvKZ3zhCNll7/prxxSwxKsFZ2Gq1k91x8iz/vV65W+
s623BsF9lUK51BagBHI9SNEtidZ3OhlDnA9+XJo23JgyO94/PBtXCsVIwGdADUAcrVFgS127idor
pKLauDzwScdHc+mlrkA0PyxF5QVZ7Hk7V8pGcDDoq1Clkwa7vAaup5aac+8VC2lY1rbln3Fe4uUU
Ko5BGwCVuJ2cb2uGINxQvGGfkPyuiivq+H84u5LlOnEu/ESqAsS4hTt6jB3HTrKhMgJi0IgEevr/
o1cd25Vb/a+6F0m4COnoDN/gNWUNEn4hukECWBeLBwNxuhcFUUjQZZg65KpJH/6+ru/cmmjzAmqO
gS/ERF9DsRgoeI6D71EtPDCmaqa0e2ArhCEt/HShfjYk/U0Q993tYBy58E3fW15A7IAtxBZH4+3V
9gSUrgunAsFjG9btZ7UGzRGjCO03kiBxFy6V9/YpNujGvwe8/g1/YgqKBYCidqmyaUq/4JtHURmw
9FIj8L2X2sxiQV0B9ha87T/3jC8KqRLMyysY1q3wRxb62i6QF4AMBxQf//7x3nvWpgifYfyKluPr
IfqC2xnUACCPZ7Sedkm7IN3RYaBuWK/0/3EWNuF5XFzIdbLXoh4TZCUBOoRBgQohLF5je1QrBrBX
axCyCyfhnS+FagxBG0PVDRj56tjNzjsolOIk0ADa5FrENahaSlzYD+8EZPT1YOIBet2Gidt+xb+C
I40nQ8cVk9lQthgwOBFmGOolZiwT23J5tQ5peiH3f9tSg6MewLrIUCFuiBb1q0sAnROJKym3UF8T
HdnjdAe/wGmKb6HwtP6G5x7wDyHTAiiIYhmDHaj14zGQREel1BwSVP95/2zFL/gfW2RFYvnnErRj
AyTUhFoEcodpyZY1w8h+5kcHpZQLr/7OVgW0Cjcfai70q18TlZlbIoY2h91YJukx0Sb9NEtGwWXr
hwuPeiekJWjRxRg44rADDfHnW6VMuVnNMcBGkBM5RTaEilCYuDuSRct94vvglEt4GkB+l374z+uJ
yfGmJQLvv03p488ndwbrWFO8ZJKs7V0zCIp8onMCyucjXS/ob7y3oihoNrV53BpQLfzzYXPWdXRe
MwcLUN1/6hkY0QGhyQ1AtOz89/d656hscnfIWtGWAYLs1aNimaQisNEMDiVxd6sOo0OyYTs1tviO
KncJOPbOVYjnZdsgCeqxwGv++Wp9EelChAmEcKfZHhp0yEpi5ac0bOkpG4rlPAUXDbK2o/cqOUdc
w7dDvgRy6mtoaEoCiJt2dq7WJO7HssHsTpfxWqR3DeQ+RMmpHV8G/N20bITkT1He80sGi+98UnTb
AOnAUQHtMtt29r9C0lzUIch1WOcm6ccfbUz6xzUo1tsUhtGXMvf31hhNL8weMfN8q0SbqiTvmrhF
YQfT8fNMl2TvaWNvGTyzdyAgoSgBquRCZH9vkf/90FcbyYQs9E2KCkikk616n63nwTdgHbd9Bqdx
1l2TdPo5ovrdhOD+jysMA0rMQTFRhmbNm1q2DxLdbk+H7k+84y4UB3DwCSxdp0uzgve+JDgZwESh
bN4YfX9+SRU3DXpJWN2ltespnFB4DeCI7AxLw8PfD+c/9JbXO3cT2sIsGQj+NxkH/IAmZZZ4rjKb
6r1Xgl17ErFrFbb9V55RbcuCSfko56hK2HyaxZjKcoxVB4bBkBy37B0ptE9/wiXBMxTdc/KtnaG3
+vcf+l4UAT9u4wNtPMv01eWXLz5KAbSGLN46kZ/Z0i5ROfWBfNQC9GwIkoQf//7Adz4CuAwIWfgQ
WJrXeQRQ3ZPpGY4T2GLwlMwHfTuip3zIVONf/o9HgXm0QYYwknltbkAd+n3KBjNkrRV5pFMPfFK/
johb0tILleQ79xsuF+DqsYrIkF7X3BgXyHFKACKUOUSqCcUgUOOcP80TIxDKnMRJAO1YqgVOen9/
y3cSMzwZadmmyoP+5avELFo1Gt7JMlcDTckJPqVpVdA2vLBP3uIoAVZAU2GDYRQbG3cLXf8Kg1Kg
1PAxNjQZo/EqVf2HLJNu7/KG7OOG1I/OFqxcArCRGhFDBTKbigs33rtbZ3Oy2oQ3txbqnz+hWGms
sRC4DQKc2rjJ4x3JUeMCz7fu/r6o7z5q6/FDZwMU69eGWboJEpmwHLu0WPMTjAZ6yHv24QFR5T+D
BraFxfgcHJ9NXPs1wiUPmqH1GApWhcjqfWfRLzJt1EDK0syVQQEN2XF+iejyltX5z1OBXIbu4WYF
+WrX+DYNxnaic2UhuH7wY9bvoUjo73II1Z3AksjWg+CxPPQ5o7BE5AMHWra2N3UwuAONmDta4iDa
lzVzux+Ar9hNmPpf0pt95z7cMvNt4oT/4GD9+cWlyhvWDCFOlW7s/dytDNcEL67A2mMfodFY7FJM
Gk9///bv3IeY8qGiQgaH8/QaxRFDyQAQJ2wzNS/2DEaI+tIzv94G3rOjncc+KaN6rm+YAtGftHN0
yfD7vbfGKdtg5RSNztf31MIM+jotsh5Klvw46Hy5Vg2KvCaGPI8k8OHwERkuYGXeCyPbPtg0IoGU
fi0P05lIRxz9+comPL9t4GVSzo27xG5/71wBM4p20RZJ0KD884MucSQgKo5gFUup96GYph9y1L9q
Js2FSvKtwtaGrkK5gZHHptjyGjc/19gzoM3NldB1XkJ3ktyLyXxOUzPdRaSZMLuMo13QkBUysBNA
9QHXsG+X8c3Uj+2Xv++pd997w+5tnTIMYF6lHty61vbRdj0ktTlQQ75DkNY+YQLCLwwj3tk8uIIS
aHWg1Qpw8Ksj06D7rHpOYEwPL5NnPc3kPEVMxyWUzf19pzh9iGtq/jN1ACkyEO5oAsL/BuI4r17Q
s2K23EuA6NGf+xrWMi+XxKT3y7hcZKS/94rQmweSFA1nKAm8yllaSP7XiMOofOYgPgjRLp8gN4LO
ROTSeaOgZrtMTnCTd0YbmGJBFPHQd5k8Axc+HYuYr0uZT4zFwBPOkDSuUyRhDeFk7xK5/B9bHrA3
ENs2zDtK9+1t/nVxiiFUonMFXItbdGGHou12A6vZTWrVf2YvbXUK4gXaXP8M6V9dkAtZ+UykmOFU
bk5DAf9kswCA086iu04znl3Yau+EjK3O3bICbOw3ulyq68jY4JEYnWDVCp2O+7A20dPfj86bzAqU
QHD1sHSoEDZjxz/XrwugclOgd1ClDrp3nXDLHvQVUa0y8yXYufBOW3A9Q632UvP3LQoBjwYeFJIf
QEjDKuH1WUIKzzmpzSaZH36bIcXxq64dhijxquODNACIgItDu59gNfln7Lam2Kwqiruagf++FwPg
wyU2onr8+5K8OQDb70I/E2YRoBQCB/fnkmT5GC7EIJoA9BDRKso8PWTOdrvGTgrObSLZ2xWCW+Xf
H/vmewP6snUANt+uTfLm1fbK6t7MRYvlSMe6f5mmvA1LR2Jx6f57cwFvzwG+GT1UjP8gPPPn6wW2
lgqbAc9ZAnYc4hbm7GG+dLRqo8h86pa69+UywhGziSfoi6EVcCEFeGfPYWcDarTFUPRXXl1TPZK+
0Rr8At+0Dl9QGahR87gcM13sJJPNXqm0wwRiHJ7/6xqjcbIZKiG2AcgVvYoWcgmSuMtadBtYNt+G
NVk/ys5c8h16U/WBMIKME7h1RIutMfbnCs8tSLe4MnWlWQNzRG3jE5CD37w39tQu5lKR+Xa/bvQJ
3PYw8AJ66vVLAT1dYBJe6wq8NZ5AbcPMV31kmhOjSf1YJy66UoSJCyXZmzsXLwmmy5YA4I6Ascyf
LzkKu6Q6IbryGubTDR+XHR9pV3Xw8rtwMt59FGITUlWAId+UC17KPoKTH7BA01h/a/lS/1zYEN5b
ktLvf98g764lSj0EAHQXkEv9+VYkbB2WmpuKpBhEndJJNOFujJqmRec6VfnZNXqdMUkFOeVCDfju
W6JMwXfcZgCvO9MuUasAychUuU67o42i/owJJPzfWHcJ7Pf2AG7q2hRFHiZD0Bp7FeG6RcBmOeIa
qVmdH0Vs++5YKG+PlMr8FyQreQ4ZzSS7jac2/fr3FX5b6mLjQH5626nodiLS/bnEEXW+hdeXrkYP
o8LSZqt4nvrEpTtY5fiXLk7deGi8VU9JPvnfxQzHqIrIzCYXmuZvAy5+CGptKG1stf2bb123vVvq
SFf9qEdgE9a6rsJhyumFD/veczb0KNLGjTv+GjvahGhZz4DMAcAyqusmIvKwRt2l9tt7QeffT9l+
xb8SoWxImRUdnpItcw/pMKD/c11L6I4aYQ7os9pfFz7ktkv+aMLhQ2KugZxrYziBUvXnE3nW52RC
YYNqo6dQp+tSmZb1EGV3k8n9F4sgfGV6NEDLJXf0HKWruRkK2j2C1T5eZS3Vl4Y7767BxqFBS2pD
Rb3aWnwhedfT0VS8H/RzSvhwBTvi8AuYt9kuB5/GXPi0751ZpEMogDay7Rtpx2Q2ozK+M1Xdk+7k
6r7Y1WLt9wbO7ue/L/e7j9oSQfBMEJ5eswG8ybxL81XDyZCYg8+m4dyuAUQcQ5f85/t56x4iewJa
GpCd1xo76UhmZhrY8c1BNmS7JGdAerf1DAluGW81O6gkgeqCQ+ApO/7n10S+iwEIuMubi8H2if+1
jT1bVwplMVNZlAy38yqDh8ZlQ6nNcsm2HQ2Od45mBCFaqO9D/BWS7q9S0BguvLlU3dZHhmnxNVn6
HCwSmW6spJ7yR9USvGaTtpE/qnCGwBEwNcVO5YqYMm6zvjuE3JiPpE/Jt3Vd6o9c1XVa0gRJ5A4u
vNLtdC7DogSkeV2Pa5g0dtcNWRccxZyInxK60+Kg1Gx+pNO0iXh5cMRhtdDphzXAfLbqUhH/zOXS
/wwNvIhOQGTEA0ajYvmA4f7MS97HW77O6PAD6X34POXInnYpRM0/O51ZfVw9Z583kgGvMhbrtITp
SP/YxRQprIqADgIHT7eszEwc3GpmC3GCjJdNt+zTqZIFXv20VqXD3ZBm5LCm9cAPSGCBrwLqqq53
y9Cp9AhwdFJpCrLAoS183p0gHViMFcunzEL1ZoX+9MpXPexd0E1+R3jYLQd0RYZTISDRjGqR5BQi
cqtsHpRt+GcvafNtUtP8GYBoyM9GHM696Os7vtFFfXILPgAwzJlL7Z0fIIi7I9D2gyZZES3hdc1g
wlEiSLAfU2JacptnbfiogKQCBKrL6o8oHMNiNzO4EkKJfCBdqYMpY48Wo3i2zy036A0m0/qyZlkL
3fDIzCv+iGTPfvGWojhCeZx4njQlta2+nTy0/YDVmfCb5iSsl6rIfPcLfMUGALawD+GstPSLvhfG
uwwqds0kDo0ThaoQPKI7ggl8d6V9Mt11WVbjTduiv2oSMiaHMcf2r3BDxZ+5Ze03eBHCcAcdOlC8
MF4JqsSy9TgquIvsuzCRE8wLGQi1ddzAiH2YGEeeDVDoLZpiq9s3PJO0pF24wPyvBQv2qpXzOh6N
oMBMTU39YkcfJjuX63bZKQcz30M282Koum4S/W0+9iEt6xGymzIMOlHhLcJDY5I2viKYqyvorpu4
L8FeaSG4YbN5OiU2C8gO3qsRwO25Xq8IsoBfXeeBNRKtx0cIvSnceehnBmhCE2TfYlfI5JBCbJCV
A7AreQmnCl48zsvUr8euGJb8DM03UNGB8+HJkdY1/jFClvXKxV1CTlHN+EMeSX5fD0wYyForfcPq
lj461wVocoNL/TVNuyStIsi/gmSTBENftShOkqswr2taAiXHgPpE624+eJ37EFCJRCcf1i7Haw6Z
XRCH2yWRexM32h2g8g54ItrOhh+GVckOFBFZ/5jTbO1PsazND15H0wsqS9/uHHExfP7A9+CHtVnD
3y3EE29Afu4QhdJW2jJeMhWXMC2Ms3KSqvioG4KdylfZ6215+9OCbchLks7DQ93AY/C4oBy4WtCx
yY5gbKCenHg0/dbMgMC6ppBgqUYA/vsSKnz6nGUDTUDhTYPpMJDaefB6hnE+uSGrd0W4TujitHkd
nftV8347D/ZHuiZ0Bgqt6B8LjDbznVWjO2N67D4pS3hQrpCH/ZIu2CW7CUh6dbbN0v5C0b1+SWKZ
yp0dqcMlucJz61TjIwc7kRdkhE/rXDya1LppHzVt35xJ691SmZGEBnRY6O7sae4C+Ackc+BLrRwc
UpB75GpvVF/LknOQ6iu3ovUJqV6YZqE9FXiwN2rR5Dsd8Cko1dQyeUA/cmZ3bTuj1667ebW7Fb6E
9tTVbKmvi4k7BWvQqNFlmwGYWjVmsfbMczIAnmN0r6t1aTCNISvMM8usDcjyte2aZXhCdRv/DHPX
YsgrWsVvQwm3+rbsPVf+QePnuD3U3VR8RN9/GW9CSbPlaDyQKddYfAwI0lWGULgD8ZCZ+xXyqN11
7Ql0fWWeMf4zpTYdPzftMCEcrquEr0BpU/g4mGOaqCL7nnaNzr834WqirjS1hRj0vm7Qj3+J+kRB
V94lfiYfZZyw4teKVFGA9LxOCpZfbb2EpEwgPkSLcgkj8PkOROS9WMupUW4NoHfRp/0RIwzdfkN7
KhhKQ6Go85OE1soEg+VUyFPdJFGTXUMbH+GqCrvCBE9mmcPlOcScAyO0kIfuDnCAzvzsZziJv5AY
xujXBBcKrbRIm/q3omDazQeR14xNRxWrlT2kCyrB22WBQ5CsEjjp5qTUY0igeaFqRfivDt4HUOos
qOHzR3SaO37dL05mkDbIPfhTCiZUn/nkk0Bg+wRzc8cAvIqBrmwWftMAeZaC2jYmmj7lEQFLILMx
rMDKyUF//5EMqe6bPY96ynBVSVPnYi/jqCUfsW4B3UHEONL3ucdTSOn1qLFutY8bmP+itEy4fRng
Hx7tWTDlq6gWjWq5K9cmd/UJgnumvTNjYcWvsfNQnSgdxda/g/TEmhxCnI1AlkFiehLvA/Rt2C8o
8uhG7SwFJerconpudlGdjnc2Wow5KeAbIcDSA8pxnXOyKQIVYwEJnSqFy1t9v0Z8M1kKM7/G0BYU
rohKztoYJhki5oO5jf0qitt22GwJ1nHWdVGmdC0kjKXUWKRPo+7wUWCaR1wPS0DIgojj0hcMjs/j
HEcnnic6PvcctmI3acALdhBpiJMQw7BNV5zA67by8FULoNzVFk37M8+8be6gnpZGpU/G0VbQ61xh
JzdD57nUBHTIKqLreq9xMIcdlFiQk4qBcoBzIicwReRZMB7mhUM9WboaYRkoctMVO+A5x7FM+y4M
SksnzFcnIGu2C9LX7Q7Yr6Apk3Ae7mun2AJEdMieW6NoU3FrEnKkMl7viyltaBlxUsw7ayPzEvjQ
gPLdIYzvSABLmDqK5gA98myB+HqHyf+u61N6vw6L/kyX1PlqjkmoSpRB9XI1iQLChvOAvh/IblBp
h/IeaOJVmplhKH0d4c8Hbmi+jwmHi7MobDOd1sQPN8B6gxdKF8GvDQmD9rYO82nde1u39xZxDwun
ZfYpieBp2ZYehoI57irgUiszyUFXAPQuELJkM/KCjGXRVNkWndWKKWh/VmLzO4b1o9bBV9Fr+GW3
plCiRJYIe7qizgQ9AMpoCwhqcaDQnZ5EvssMR2RWQrZwUw9njcFPMK/mSYzGyWPXjd59R9YYxSVt
4oH9aoljApgMKd2x1sTOy10Dn9z+4BvvPCkdFNHl5xxOCkF28KAvQe0XUgFqL3Xqhr0M4Rr9PbQq
+CJUgNIMQwe5ngOnXF6mrYa019qxLtsHYAqScm0TCTddlkfmetIJOwWQ2p2uLIBzeRlCaG1+CAMX
BEi9oTCza4J68vsUxZy6Xs2yLsdlkZFBTpvNI7Y6M/EOQEUwGMKxQIsWjkzelGloHWAmSQ5h8km3
fldsaoN72ymkZCUqadXcIRiH/R1mKW3/0JkpnO5XaPFne0a54pUh+fJxbGU9nADMzM4dNMgFPCU6
4Y9xhwYbRAyz5BgPIN9XASjp8171KFseeLpSum+FzK80I/5XJiLysMgtJZ2Gbrrrk1G9DIBG6TKT
AVIUuQCIVsnYjWmZ0w7WSuhzD99xasz3JHQ4J5H0Ir0R3oh5z4Mx/Z3mc6P3NHVyvKI9z35bG0PD
s0HwvOHwPsH/pj1FHxe57ViFCR+gviiL8aNDmHiMtTTQOkQTDff02E31HeZFFGKIcz9i90gLudVp
KKLHRXSMl8iM+Qc/4nY76zbCTSsmWE9c4R5WkJpuIUcGDYmmQcjKoBOygyCqXG4LALxuoUZbaNRU
BD6lCKkSzt4EuhNEdaP+mouxf0AshwYcNdP4vPT90B1xEtqPtUjwj84pg1fQMo0dMjNLIIvhWKeR
xjXAee5Ts+Lxuij6E4lCl5WQ+nKY4/fF1irXBJUYCNlFpWUyhFW71MFD27GEIa0KgRk0uebXzWKD
8QWdOf2triWnFTyPhbrCmcyO0EtO6Je0HZr21McjYyVmt/WztczCNH5JvN4VzaCCEgle99WkEgad
spigzWMhWvvk03z0N9DaIF2FDrAxV8Myi+8W3iT4wYAuZmVD0SY+mRhRYGS8mA8yU3a4SrvMn3uF
r/XI67y9CS0i435VkQ+vcDTr6YxGBx/LWGKme+NmLzVENTFIOPRywqgNCqJAWCWrsXRvMjANP4Mf
0U+fQxekUzm1cmLPEJ9MiwoqLjGkftgkR3g/UWieCinNt4YMweRQ9EB4CCYMs8iqBYrpAXrXERLc
fBKRh7rX4PKrVlG4DI2iDdRnRuWal03W1Z8jxNasTGEj/ylmpv0S9N695D6Wz3LNprt1FP4bhlxs
OEMbhCxlZ7GTd9EIFcdjzdvpU9aaGt3PDos3hXlrvpE5o66kKq2fXCrzZ9mmhT01Rhff89p4fUxA
zo0fC8ilJHu5RvGPmoRLuivYlORnhHGE1KRDpqp8P4Q3sNzlN22KpKrERZFL7BIRPNoRtfppAIGS
3rVOGX1y4J8hyGQ1n24H7ef+5GLBwk+jn4X60IfId2+E7WD3Ni5MQPDHkit8yeVH7CFVcASJ2E0f
RiSm9Cae4/l3Ow6x2qkBvMUyzk3WIRnimlczZ8AgmoST9bbtBpXtQ851eF9HOenPoKbkPwNY+D3B
99ebM/oYXVQ6NkzB7Qzgztl1PbTHExLn9mg1rZGKmWQ4jnRyzanjQfeB2NHBW3iKjDvBwrk+tOjG
mJvJseSc2hB03sZFPrgesTrge2UJmY4gTU5noDdTdm4mSp9oIwckF9T020Qopy9h4AFoMxxN25IY
NBErFScD2gOaRj2enoxDCSQ6igoORPnn2dWSARiAPcpEUEd7GYXiMXKSThXuTHK9EX7ZzmVUUexu
PLiUTqpfm/ABsrbaQEC/aIduRmpr4i/JsvTjOVJCoemXwv8yag1szWAJvdAP0OrJDwr6PvURrOJo
KJWCpM/eAuTqSjtiM+0QQRHckP8tP8K4ha4Il5ZAz7nJu1+cqRXu9Gm6XHUuVyiJh7Ch6BsDM7/c
DBySi2U8Y+iM0r2D6GjA2cQPwQqs3xFFnsnx4sS3cHMNJyA+AH/I+V2UkH45YW6NJloQQ7HjGdVD
oTZyy3AdeZZcrwyGsGWAPnX4wEB89Af0u6LkYFOlXiBiE62VBEG5OwRoEjRwYJmM3+VpM3Bs4w4i
bPDB46WRnIRHHOsoPFrkKLC5jxeZnOPGr901W5cNMZCzOi4Hwz1BDQjz2SrHN5InSdvsOK807HaI
OqEuCZyHkgOEHyGwl+Pa8LdwirNmPxU8mp8NQZ649/g5e+SsFG4RbY3mlhW0h9zsRjjCGS3g3BnK
AG0TjUfLsiNZ9hFKqlMG95tmbMuGz2iy5G0jVUn6qYYdUD/K+46ARFj2AJuo+7hds1MfDEzt0LIK
PyCID5+hr9nCOw4i/N9bEo9X+RzppiRjF/Rn4ZAnluE/0wzW+/iRGdN/xa9lQVn3YaGPDO2JL8oJ
+gShvt4eh0jKYR+bOHmZirWTJaVO3ZoYl9NvZ4L4kxiwIPtRolqdG5t7VCQp2j7onq1fYaYRA7Ft
l6itHIuC7oYoLBaIddydBaea7+s2Ch9mEM0JtBcBgbtJMAmYdy0s8q4nNfp+x6euEIcir+ljPhIF
AYgOjqdlmpJaoej759t6V5CfaNAJ8RHKjkLfZzGQxXsJKWH4zsca6iOzCvXHBEHil7fIVCsolI3J
mQ7afgpU1C170Te+2Oe4bkJE/9zeLEIb7Hyck2O/FHCR5VM/f/dR5vjODC2VhzB2g6naIfb3Rgo9
nC1QZabE/UmfxzDx0MYd57Y+0TWuH3zEFxyngCBHdiSQkOhtW3j3MOiXlDCIK2RFDVSgytkbSfFZ
G3y2ufbZvcgM2obYPgYudrKHEu0KBtfJWQAKy0hQNCeXKQjULu4lYpao54lWGcTqvlmSEFGxeoA3
Y5fxDh3D0bSPq9v8cWyNBPrkGFKbsk90/2CEpfEBjVr1pJIezEEg1Iyq2pZgtgk7zfwnapvlnBHU
jyV6CeI4dhF6D4UZ+PzdFJHUB4hZU3E9JY0i3zwwm78L1cHxQw9tfFOrQfzM0RPu92x18acZQphn
H9XNsEfKAH+nxEEOssSUOPhNe/TN9i0sTDcesHayQkaGSXyJr9/PjwrC6P5gNh+DHeilwzlGMj3s
PULgU1HzBZyolujngk7L45Li6hlW9IngBqTCJ762Nr4aFzE8LKurg8cUScF8IIGTNZrReQ7zDvil
3Q8R9k2J0DrdE4/icR9DDPWcYwAYVdBwLprbZAGX3tEiQ53gw2HcRy0zL9EkuT4PbhjuxKBr2PM0
ibHHkOjhlC886q7GDUaCIicZOZpdA0fqhDtClUvtxp8gqy8rus0KXFhrKNJ5B+vUthxTb2q4VuQL
vNhRoZQ9aIsfNlkb1INLDvEbwIDNPoMs0jfkpgNc1wxKtx3spGG7EYfZ8lkUdfKBcMnGY9Nn8SeV
x2jWWcg0wQw9Wwt0gHnOvs222z515JN9Co3yL9vEo62En1hcKTL7hykeUcJBmXL2Ox/ULeQYfSM/
hKQFanx02YyDIMbskLsYvm82lUUDGIU3e8/mVN/NOUHGBCvx/hZpzQrSStdFdrdkqQvLAl3zJ94A
TPbcy37EMvkh0B8DFGBfmhWlSyUo2C93Yu3mm5gTl+A0SPw2hDwR07Jvlf89cEzYjuuqxJ3N69Rj
EBDl3T3tUmw49JlFySK2JdONk7CNnzQULOOgj/cRHUE8iFgffjRQMJ2uk6arTxo3ykfup+gGkrGA
j0X5zKHuMha1fyBFCxcuDuZyuaCfCYJMQER028wk+Y7mYCLOqOOTWy952kB3VgZQkx4d/ZrAtv57
jYiFBrYU/Q0stDpeIuHSzwPtBoLxDXG3qePgJ1uI4NnKwGaFQtgr7/Qur5uAlbBkx/nEUS3cHkqj
qO3w67KbNW+yeB/qRd6zCbyVe/Ds0Z9YixkkVnyAPCjRcYpJGbW5fxIqQWYhIdo17WtCMYrRBHZA
s499WDWhEE2JrgcODyot9ECRc66Qm6Lc50gfMMM4Q1lNBOih+oid0J+2H3FHw0O1XzO+7tPW2+4m
DTXunQV5m7xDh3JlN5YXKH/ATIvEeQyblu4SFq33NfPjVyYzc4htAhg7fJdccAfJKyzbFEUdqXph
Bn+7jHR8sQkysOdhTM23wXZJ8jhQqgHqNMkc3uRA5F+tS9zZvYNdAU5UTbsYvdQp/Tn08AYrMS/j
7W0rAndrtMYIRcNu7jMolRm0/9FhewANz2elgvnBtUjRrt2NYwu3lJrZ+aOysIzeJ+ugpjKmjcDQ
pm7YVbNAnfFTsRbRvH3WlO2sc/wLzeTYniF/uZA9tUn/JJfFYsd2kAb+ThWacc2CBs2zc0P+sqzb
j+7GBrymIoWDyG7my8wBdqa1gDPfki3XQ95PDys26HpFhag/5cAZxk8THzNZtZg+L19SwdRGJgH4
xQcU1iijihb05yxEAcsZMd8gX8KrIKIMwsLRKyXFqUabmJwmTSi5HTrgDyCBSNm3lNF0OTYqRVpi
hY78bp0ghbNzNrHrnhBGv9LZaFKGpJh0WS9WdgfpMEjb+ZiqZ7R0CnIy8Lb8Dl6xi+8EHdXP1ATs
3gyW9hUudwRVE61Bf+jDxYkq6/7H0Zltx4lrYfiJWIt5uKVml+chiXPDascJo0AIJAFPf746151O
XGWQ9v7HjCAUXp1ul5RVdlmpxPXf26iGRyI5YtV7tPJJ9nOBQGvPIMqLuU/reHqj/KdYvqZQ62Yn
vXngoI/FuqcQ3lCxubKA52Zb4ujqZ7xP59JgubqvN3mrUR6RZ17ID16796mqVJ0zxIwV3M4GnDqx
4N0s7Sao+RaTFTA7bh9tZMP+JbPz8A/3VihxibokSheidNR5hiKUZ9TifCDu/YmvpiJZ/ozyJFl3
Axrd8+oU4bCnDgiYx/eK4grbE7EP1H32QDEIjj5RZw3u1Gwc/2GQDQBx+wnVfbzpeNsFmR5eimBZ
nsamU8tO4uouuEFlVu9j2CnQbw5VvS8Juz7fVF8YRWSi62fY1hYF4RgWf1w29mnniYS8MEygatul
sacea6TSKq+8evsP5hd2EOF2VOQT8CLYNjTyDUmKlusQmyE4T5JOKLJgODlEs5V/JjEU4sDOzR+2
YYwGG7k2YelSg54fG5EW31ss1F/ypxm2bevVzOl99EISeDs+kjQEtD7JwDkwTjrVcazHfn6JjJVn
j/luA33sooEAYDamI9h7JCn5Q60K9CXWt4D4KO91ZP8eT2axzo+sm1cvX82YeafaZ1a7tM7MaNq6
1fKcwro0h5mcofbInr7a3bhtrCygSbN7CDaPc3CbJm/9FazLCI+Y9QvLadr1027B2rUQJrm4r7pa
EqpQKrzX2/+fjx4Zfbdf3LmH/t6s1+4NsrxfrtoqDyZj6v70XhHbw+AMM+JG4cYnk5JrTK7f0ryV
ozN6b1lvepNbf+qmY6bGYDr5c7KC8OjgVvjVL1F8hC4LG2B+F4eTDRXqyGgoZH8H/SRkXqhoIaZA
1iHe5XIgea4I/fRpo7+HEZB39F8/Jd19N4LVnTq30fuCNtr40HCk3KBIMXbIVXjNq0zepgBl/QYf
YgCEJfWc3rdRKp1LIL2hOUgQAfnA6lnqnH2fRT4Q1PTA5i3yLmtTmGef1RSaOvXNcDBcAgDIpQMw
Z8T8nwqCFsI37Wd5oHV7ZFPRvhR5b+TyaayauPeWoDs5hFlSZjyKsD6T2dFMiLj7gO/Buz2wnVyo
GygZvYgd7Nx6R8YQ+Ng0FFO5B0cpcVYERR/mzeDHw7Goqowst6HK/Du8g+gmnGDjpXd627mHbtTy
cWxr+EhkJVWas5jIT+bnZs1Z1Ls49xJGMiJNh+G1r/EaXBubsAU5U7RY6tnR5spICbXf+sQ291E0
SnGguykFQImW8pplTrveO6as74fJbuh3Zx8KL1wq8n2nctTDmWvK/Rh84f6N/BVfSHVTp4LkDAIn
VudRr7s5BVGYCQuNPJCiP5HP0/b959J3DPGGhP1HAtxu1QtLr5BD+QS17EZnnVSeDhW/DhLknEut
N5gFcoa7MEevWb21ddh5x1kXcFmMN/oKi22r0+SF0HabV/KnywkJzmVBykux2RrOMt9U3ykYztW8
lpBR044GWxpAbWGg4YNt1XerSJr6yMxMWyvhTCxx7Fn2kq0t7ZLQbO1Ixte2vZo2TsJ9ST1Qeu4q
UXuXeimjHyP85J3daF7aDdD0JSOTtt1xlb3j5B3LRMxa7ckPAa7yo9/WLdo59qZOMGlM6XFRTwn7
NJT9eOdAUL+NjE3hB9vgJJ/DYBmTv+DuFQqBpIa8EQBCy76zlQfGgwyRqbe0wxelppM8ldnkM7oH
bnEpRFMm+bS2YX0JiB6kbhRBWrCHNS/Wf7Gz8QcNS9AbIg3y4rZg2oIc3Q85odOYZcc6raKE81Ss
/rnrZPvWlGP9u9TwyLtqIleSEInMbDjk++YvnIYHwbDBxdUc50s6HddNzv4erAANBPM4PTZwVfGS
V9mcXftVLcDq1bgijhIRciIzSPnFpsAosKVJ92eANzP5UoNCHTxBnMt1bdvgsOKvM8et8sd9hPRd
Xtg19HToSq2dfQEUdeeHN+EBIWax2KG8WLnhyLyAKZdR7xKVF27qaVi7sQcb67woHyRH29ihOTgb
PXBepyrunxHyjOGL6/N7+h3LrdvOmrOcKCHXVPFbk0o/OTglIX+/l46l+RHeg7MOZhkQzp/oO8ll
W3QqL4G5eFvjrgdmEaRVMP8EP2COuPrF3JTqR2w59n92Yd2xgt7ufO73YN3pbJ7e8ewW7YHcJ+yF
fM3y52h1oh/qnjbmCygLrL/4/0fZ3LQL+QUz67xgm0NssMit+bnKtSIlQiyKDkJZNuN9U9fkKfR6
k5eFjkt1k1mTFuWPhcdVq5zkVwiUwZOFLkTslpZR4uiJkKsq4T/+N9oosqDqqfseD0v97a5VU+bo
TdwvikLj6lqoMRF7yLt4PnqrlO9WreJvKju1HbD+NfZeaqGzXR2k43iwQbUaXDO2Du48byr/CWdK
K3JCq2HOm1S4r+xAaM/pD0KWiZIogqhNEWE1kTdzf08c6XhLCmkPnVXlH40q6n1GRU+feNF48T4N
qdvIVRg6/l5lfWl/y2Qa3rAKZuiTtqnsjviDfHQFVR3TGTvNxLCCL63u3vUU+oFtzOZ6j5unqu+n
jmyIvGnTGdq0nADvR6DJ+w0hAKKidYn+Ibm17XGu5fgxB0oleaPS9U3E0vNy7p4A5rpNS/9+kxyJ
+1tpy3Y3Aw8XD6OagPincXGSg6Qyxv7WpnfDnWmUdh+g36lpCntJMp7vFN1TOvX+AlLVcYtRFbmZ
l9g6MXpgRSnLXYPxhietVeFDXBD/cCDWh2DQjeJR98DxJt28SjFD7UfomsOQSrVh8UTddsNn1/s+
nbz4aFbjEWM8jHI99FSUxvB8a/fDMSgDgQg033lrEf+9FHWScWBrGV8L5oS3IgjRegUZilUDToPt
pBhje8wylTwxhgyfEF6BekyntjnPrr/Y8zDyVx/WtmsfvZCaqEM5Svnk9G3yL946pgQI17Q/wsOH
T4rR9xOyANk+LhkENlHn++NulEuS5lGFAOJShCBMTumn9m8bVNuaN6hDYEctLd97pkykL9MGBSLF
FNaHceyp/qgiXf+O3LJJITxcVqYc3Q0zqCtRfR80JGCdFwXthbu0g6w59JEoEX9B57+O/gDENdtg
+i5WjrFrMyPP2Bde55m9vG2SrLKNZrAuyvpJT4tQ73WL1O/eCaT7ftOTbnkarts5BlWePllnpy+o
WhE8zl1BZA+qmSI6OEyu9xv1LPPOw/l8X0/LEuboIUgWrsD39f2yLOqtiiLaxnmSOYLWOeL4S00k
H4ctXsmdHue1y41dxe9Y6Ki94z6Lvmyh68c1jpb3bBrjlqsyQuiOXKL9qKrCUCLrgriiZHLTZzD+
cKbhlYsnl6rK4lzr2HxvdQgkb52g3M6dX7UP9CHXqKTg8gE21IQcgjiV9I4hPaj2lQcDsl/jUrxb
Q/DOsRK+cp+aynDysEuq735dGtrfCgLEYZUrFrGia4/eLJsGAhEk9ufai3nKjUM8RM4wvz4OBAKp
P9GwLU84YE16YrgvvMNczCZDvuhkvzfZRiyEnZuCKqEq8v4kATLBQ2uC4eSGMwY+LYKK0c9mWbXj
KLLTtQnKZYY9sFDNJq6DJ+lE+j+uXbsSr0pD6sGfveFn2ZB6ssumDEilz9ylvJOtnmA8R5E9elLH
4W4tUqhlQ0u0fy6zuf9g9xZQ0ktdPnEIjMm+Qt77Jdek+aS6BDD+Bo79DMVYvTfFECRkWW8+nxkj
Og9j26bHguaF+pBsbvnRudXgneMZyRHqoa4oEckNHKjlMo2vUB9ZXthhgNMdpgDwaULQyviQVr86
XXfToU0z+V5ghIn3KAaiZ3SxCLk8Pt+LmKIs4qgoG5FrNYbTgxZO+QnAWle5W9dDkVOCzTEbl+10
F4TbspITVlt9tJNZ/oLqtYwUs966nW4guA+tgMs/eGOcqdsukrivre4GH7naQj06VmLxuGVt8Etj
rfDvTOrZO5Y2nzuNW8Wc/HALtpcW8Ou/Jl0X+tV1wlbBmlnGx1qb5MdGNGDzSBumX7LBdv0n3a+J
PiwxXwlnbL2xldTT4B6SNZkBfqqOwItGZ0OFkiIoL2DRTX+kf6+5xgGiYzjxjiu1W1dQ/m3r/P+c
JaRfouw6CnuhY/yHBpDZ4Sm1Su4pLgv4d1bf/7VOQRefkPTbs88ScFv31ficWsevDlMU8WSmiLA+
51YAi9oy6FGNd9VrrZKy3I1aR3/EzSe5E7qPPjzRe2916xgHlVzcIkrLTNLtxoTR4+iIOfpMzNz9
qWvP/CBpNI53MXFtzICes4FgNZnJdZRs/wxSE33y45G+Lvy4wT1+f/urRsU3Hi00DrHR3o12hpTT
OBpHHHVou5naauo11h3irJKxuJfddS4S2+/U5DcfeHi9dWfnZHFOm7hR/hnM9otAGwV3UiTdDxQ8
4YAaweOL8us4gjJmj3iuiWm3uawz+59xG04bBzkAtn4Ulke72tTmYLXlZ9FqFwGtE3mCCMxOrNRm
w7wzPGaoPcpaNgcwUvFLIGREmjV73bpfwkGiJp+2ZD4DkE6c8t7kgxo25UvBY42uvHYAKibVp0ha
wrjfdosO/HOlPbc/j160PMVQGs1uRuyT5CPqwyZ3vEmp89Jz2RMAtEK6YH0W2XPSFs4rcilEGeU0
Nx/GwNH1uWFrvSsG+DL0VbZG7zy7zLsVoyLEkSPD06bmkLZWlWQjf2GJnA79w7DlA/rhOa9UIcnv
mBSEYbZWdNyPpjS/CYoc/zRhkfxFD5RcAxUBJHuWuR6dDhFs+5S8SLoHgsX3KdWctvckq/3wgAhO
X7SLPPRxAu/8Y0ench8RY0TmbhqWTj9Vnkxf4DuHnnQ65T835InKOzN44neP3hvJVejOSy4cqx99
zJI2b3VQ3yMymcecLdL5AUNYITlGo77zZcxN4VvRvQzSSb7sUM/ZH8SGwXzEdCxC+EzbPKCVB3yU
Osy+B5MCKwUoyw4KY2mVox0c6l1q5tA5t6tpNvSr69bfRXNB5ZGYPEG3DurC8B4ypHjWKfz/cVG9
BIYPysI9LlMDue/giTviUac4XLC1vrnoX7sji0V8VGvlUgAYhyXmkE2mBsWahlhsId36w5IiBXk1
o14+y2kwTzpOS3nUhR4hCGI1FsTAurDpbRSGIAGGrJUja1h0LS3Sv9ydskEf247T54ftw1Z9Jc7E
PbeKsXH2G7K29iFI1358jURtl9yVDAto9k3r5bpd9D4eWXLzCMW7l8czjPZRN+gujrLwEpgYGXWP
pNZsTMnIHY++b3wsEHper2VvOOq7yiANU4Mov+tZ+jFDN/DMleciONAFwlkIASt9dMcjV/io1K2l
OYnGL+un2I2KwapwF7u2AfRJiRLm1hjb8cObfWAdFlXYRXuzGaAiH2dxIs16aM9FV/avZVuTC6kI
ieiZqRt7ReMif6xONF7Xrgw8AKuaY80dsUNCSa128fZhYFPv4EgC5x9Sbd3+NHva9mc51O5KpAeT
MEgTQHDuxXHChY1x7jxGyLixGQctwqzBa79YikJ8RcqzZDrUaF9Q4VcGNUTWVNeoc+CEqqRqeBLS
YHkQvQq6A0K0/uDW8TCw7qaSH6Vb1GeId/FIj4EYLpkvYZV5IuDDLb+N6WWSJUJM1YXyIZPcFnnp
rFWcIxxVxVNqvBrBEOVv2XOVhWVyaHUV1Q+JYRfaeavKgsvclaJn3Ig7s68WQsegecf5Hrp5GE5s
sPol0iH6tDLEdp17ReqrC8fWNLOqDcPfNAHYQm8/k54wbVna7yLUTMUxSgd4WcCiwbto0Ikjowcn
ian09q7qrv1OEniyg1xAYvNknPQvB5g94DRk4SOLTpfrcUBqZk6pbCa0Wp7pPvy6stVRtIHr5b7D
5XpwKhlBTI/GctP0JaFQcSPTHxvKCQZygqxAP5oFab9FN8A+MSDMrZHnApkV9EEhZnDb/UrObrSz
0WqeZj7PcsCjXqvdtmlaKkCV+u6hhzySeZ35tIy0W8x4u/G9L7zX7brsIV/RYsxO7JwMp5o5Tjbw
q2O1hTeNwWKLx3AxEnTakfTtja41P5uoVy92UDNrYz9X9U4ivY+gLPHI5JFo62UXtFpsF8vTDJgr
1uJXxD/5HATJ/CYmU9SHni8CxjAxCI1Vlyh5R06k/wCSpfUODIIwbJ+r40nZrW2OaSWTJG/XesF9
g/pR0Vrtus3+5uaHNuXU/EowDQSHWJJMvFMQV6zjevHwtg4l8uE6HBDPZiGHAiLDsWDFNoiiRjQ4
+ljFonlzTJ2oiy4i9773dQq05uFinNA9gh1EQxBf3QT/Fd4G27zqOphg2JJ+upLAnvBSg1J9tYU7
xEcAaP5b0XKp7gAn5reZuaPIycCunwAUovRQL1HQPiWR1G+2D9zlZ0PXrn+ZdYvMqzfxcummQDmQ
9UXlfq8wZeqxVwslFKjfQ7mbvbabT4W/tCcfsX7z10tHG/9zpbsMOcKAyrk2/uSNO4SP7nOgUoA6
uU3R26YCIX7ErMkKOJZgcR717fbIyFUAvTsqPfFTBusZJ4S+6wJR0iwVdD4i22QjDAJEbDlg0BUd
3JM17aXE4bTweRRsewFo96sse84WB2X9v74M3e/CjoiPfKeKnwrsS0Dta4l5sQFqyk7aAmvvdO04
MzRtp5GRu034E/TMUweZyGGBhjXRdzZL7CTIJlFPewiiP2cp3d+FUln8oDqz6Z+Wi+4X18iW7cN4
QT6EmqOUkDoi/sIZA0yrcDvXj4aNtTw03kjoXlBFTsqvpbXnUEIXoYiq2njfjyO4B2Xe7puq4DhP
/DAoIVlY5M8OSTAtaUhGp4NfB8gZWAS6vxNOxeafExf9d9uj4Dg1UxLM+4Gwpteohm1r1Mb+HwCb
RDNUc7X+cHmsSbKpo5KtJ9u2pwaZ73rH2z3KH/WSIOLKrRnMb2CScT6FEOQLC2pIOilOxnX+6Ih5
al5nGUWaqTRGWx9umfivEKF3T1gkEFGbMLjuRZoC7JUWNNlbXW+9IkHstl2zdfp1TnqMHtydlNqE
ptf56ggkkjCGvKsqCzmRA91x9ig9x89V3C1I2Z0yfZiCYU5vD8wM0+PGW9PuykBl1S/RrGWTM0K2
qJrG0NuhbOS3QQl0ea2RFKrLbJIRLfsUsxAUac8cGoaFYkwm4N/unRCHSp5qT61MLAGzBT+E/7zA
Ls0nU7vLOy+XMuemmRv3VHLxnWHKEFLN4+w/ULfhrV8G+qA48CUjFA2n0EHrpLW8z9qpnfdewj50
WXAZ0p7G4VXmy7D4qMXITNz+m0PSqJ984t2Kk4GlC+/lItJj1xjfO/pTU31bjOoPQE2IsRcQoEPU
3Jgevl4X0jix/z+KG1OBNQ/63+ym20erkLLmntL1W9jGfEa3m9STs4brcOrjDvivd6wQtGSUYHTB
xot+1DN6ATpVG3LCWi+M+i/iR6kAz7yx+AfIQlFn64+mPY4TjpFdS0hpw4TTlr+qzoVEY2a12U70
G3hLk4A778oBwcqdXcGJtJhAaalTdaEZJLg8e2EjunMDlxU8K8feUoXWPsjtHK/Xjh2dK9mdK27t
idbKfMNgzbQWCnyUNWhi/LgYTB4Y7TgQ0tF3XxFGUHjpcTsnD0aqfrxQEM1UGIY8kgf2q+WJmbRp
c3IGDI+BxYgI9tuxKNza2DRFYLgG99EMZLxvKap5TxtG5juvrViUAusUV8l9SVhBrH+SBgUnF9CE
i4e/EQjQ5pSTgghx3/1pFSNaLppRv0UY8p5xwYOf9KboPp3ZFO8uEDI43EoTzG4cFWHxktOCfdXR
iMiYCf64Aegq0B2TPJRrtz6P22p46FvMMafUJYJ/33I3vQC7RMDbGufuKU2L6GMNmt75yJqgYBwW
SfpzGOT2a2BuRGWx1UxdhqbFHRvBGO4c4yItVJ6YHjse1O6QlLgf2ctsXN+XBEDAGfEzAUpUDnsG
US7uMdSpqz+6SCTlxe3m8vb7ERWWkWoJGGCZ7CBFoqDL4zGp3wAj6e/q3bb6xB7jLuBwvYI/jLAs
HTkj+v6pF25EQ4yt0Y8Oy/ou2t75xa+mX3fI5MTHcON0d0NQJn+N0e2/QbmM9zqQQbSft1R137qf
m+h2gvp2gDSW7ofyjYju0DZv/Rv8O+2nzTanYDeN487fijcTpq6IR8bfpvIY1FrX39WULyHIWp2m
geNp22uRmGB5RXob3GlFxPiujVEWnPteOuPZnwDimV5THR5BEWoU4xbFEFRqk8FIq/BrdoOOeybx
4/rcVnZ+pgQUg2eDI/2dznn3TzCV691Uei2gJo08nEBiW55x/coX5GrlAKxBtsxLWIXjRz34zg8t
OhUQCJ6KJ29yneIsJ8d5QONZzB9+j++OkuLOnGlhAcR2hGlemRIDIpKrkhpRvN3uNR2HBFluxhOU
+6BPpAVEi3tOhE6GU1CX63gK19Es1IFo5KGpnKPmOSMqp/4MhkxlTwADi3lQiuFyL5f4lJERFs/a
/x1ujf8GreNOzNzTGp2qgsbs84SxYbiRXf6/ua4LMFTZzC/AY211RtRYP7XrZqpnwIeUlowttn+7
peV4qjCqL07eL7bWx7D2kgGcrq83qgkTbui+xx22k2EdJqd1AWg6RyJK5KEj3fEkZumElKin5fhJ
inRUkUDaKDjnBu0Y+BZQwF6vKQZvFA6siHSiD1V76aQe/3J0l+8b0Wrm4HUNVJUMJnwyDUmw/6hG
ba/I5ld7HRK23l1Y26Q6aG8LDtaXUbsfRdqkx81ra9wUC4h9R5nTyYEnnfMoopoSmld4GF29wgsu
mNTrn2hI0haTJX0OOwagYnx3Vqf/wrMB/SMBRskEWLUMMIoofJ71MAzXrhw975jMtEef7IRN+8fq
JXaGCgPDhrsf6pghPgoZlGmP5iAIMx519KB/StDzhZW9b9GX41cGHicEMK/wGCDJHT2fH0UtaX10
CiMjlNeGqiikKPi0GEf1L4jF7nfAJeDxgLFQI0JuyiN5Z/gMUQgk79AQ1eOCKafK+24Mh1Ma0Za9
N/FGACQVrOG9x2T+z++T1TtuNLSpfCQj5s/Eel9dIOfav34doUosjTFfHCJyQWPPGHrEJjf8V3t1
kuJz4dDJ8bj5Kl83DLH7jr0QJ0/UFxDLYZb8xiYryASpRerBJInhK0mwSyvw1mTXMPBdi3JOq32n
QvWHUQAN2WDDKCPgoh/6S4BS4rVvJXBdSoFIBE7ZDv+MdtPPUGN5IBQJUtcvF977zAm5GeU0yfRE
zwGS1jLuly9o7WY8I54jZRoJ0Pq0zUhPzizzEIzz7G4aF+XsfuM7AxzDp1DeCRcvCUJIr+sIFw4W
74CBFVNmMsfp1QN9647dlmE1JHwAjV/opf5fuXnJT62kfoSnBSLv0958zLzHgrc8FlfMMIjdeo1L
qhEBnIW7tvWTnUjcOa5TGXKUlAqlfYW4+86JuHH2so/Uk5mM/EprL/xHWk973Vb8ANBl4QCjh+nx
n9A3zwJ7KWxpGk7OsU5m93VrDSijH/QbPa06VBt6RbIED/yA7LZIJrZn3mr1B8VjEQFjwkRRbyjj
MwMAGQr94OBGcqYeHWKHPmRfjYEffZK1B9DalFHvE42UVes5mDffXGzX9nd95BKgXTp9Ep7hvgdB
wnbFejYO7jb9ipzV9y7IyeHdCTYQiJcQzE1IQXjwc5v0yz1bXp3deaxI04NBgvwyLKGICSEQNfd5
ymx7SF0SGfOmMetDYG8QjNfYLNnbKQz5S8iobX/XBJcUJ4BxHvO09Rz1ShxROOzCosmulePcALci
bp4ix/Z/XUQkLv97nVzdKi1/swlkW57YoosvBLb13VV2oNmvXj069YW47HrbFyj6EbjSrw1EhM0l
aRrZPqvWNpSFkhXxW2T0CuyJMoNFtF7UpYe59Ey1b3GbP2ICxa7IWhli1o7tco/HEu49YfDwc+kL
jSRVU7H7MrUiXPa+t7QRl+bKfSMnbe79Yqq//XQOh8+kWrz/Fnihvtm7Yiz6A96j6jEF3upOFI5k
qPqSkUrHmYP6CTFG4P/hfRLFVVSD/8g5WXE4D5Gd7wcOBAyNHZ/Pu++A1oK7Ni7r5hLBCT7Zajb/
JaiRvl12yddZwQgflq2ZfqVTXZpDFc69fe0RfO8rbLe49keyfPtUJ0S7+mt5dgdhYT1LVR0omB3K
fYKiujwGRZiKC5grjQxdkXH68vPTwzhBA3/obHLnp45KwGvCs7PCW41gDYWhivWkAYHJiurabueh
qMeTl6ZYve1N+IgSPfvoU3y8eWyT8XdpqvDGQTf1nA9xkwW7DBa5zsOoLf8beigZ1BNgn3nmQlfs
uVSWt6GJeb/qBjtm7nCuqUvRFOZXxLz6XHrdwPQQ+vY78pR9X5oCgyGGvuCYYdH63ah6EnvEY87Z
7af2v1TNLORt0M85bJa/7G/S5WBfQWKbYxHW1bD3GAB/oXga/nOihi6TkgQHjCJN8iqoSyqufmv9
K4kmS3ApUzNCrkDaijsSgvRrHyZy22Pcw5AiiRIprmxPSG4SAeGfrxAPU678WAfsQUP0CSmXVWeP
x54rsE3ED2CkydyXyPO6Y7yizj8Sj0ARDyriYDcU9MVyS/m92eN2SMOzYgPCRjeNA5YQfyn9XdPc
1Gq3VkFxT/Kcscc2mwMY3L4bXgQsJNCQ16TI+pci2h76hhGaeUbHwaUf/YxSYbDQ4rhGABUHm9B7
UIFcsxfDQSCOK8S4a7H7Gozl84rLc/Wdi7UMKAc7Q0/lLvgIioJ1qAiaMHZg2yIkSV1ncxOE+z63
De04U4KcqsAGhj6zedqiCC4raBZFCo01SXgvRLgdwxKba+52RL7kxM2p39ZO3Xsx9au469Z+fZra
Qj8yB0NWBqG/IpucwvG+QDeKxdopJobwwNFPPk5/H19VZK5TP2TbD9z/22Pi0g3G6u+jnGaYVQBu
W4qRnFfidUnIQDo68VZPj3wraUK6C6fQXZNy25+iWRDT7EA1ctkipGsO5BiIp6IWvLRcfeEru3LY
0+FJoAn5W2P/S3VFct08jvucwVb8GINGPBgnpme57MisZQtLMbIB8lwYdFEwtcPQpbgK3PRIOQN7
zUL9BLR1kozbtxxCVBNyi8Y9DbzFI1kmc3kPVBhVzU4JN+NjjeaH05bRncTkzbcKhXZaujU0hwkR
Ic3ZwKUA83Xii2/fhmt11Q2GN5M7dbgMPzvSVf6IMUA95szeQmq98rona8JoyfshGJIjIx3DD71J
HDDkEo7QZe2KLhGC3isPwhTudfDim1UIo1+DoN4JkCHcVI+7dkF2jgfOD0Fp6SlhEpHLGu2TGwwD
MBMW+OfwqW/5iBJpfnQIeN+eZJvEX3KWARp9BgR12AicdX9yw8n0btlaskvCmMM3r5ZBYQ9bYgc9
RNRsd3ELH0NmujWzc5QjE+F+dkdO8B5N587F21/uMuSL2Ie5G3dLnZpH8HKaxquRue6oWnyqu6z3
luCKnCq1xBKUtIQCCahv4m3n8gPlaDUR/jIjO5mHkWChFHYLc3+rFc5bDITVsy58+YqMyOCHZRdM
d2R1ZH9Cq9P2kgyV+RbLWj3o1MTk+UgRPVFtEvn/0QPE+o/1PolyCbuh97ehnaWgajEeKrPGlsQA
e3ORrWX8ElOPhJzNdyRAqK+n6UW0uOf5x3psY2m81NMhrcfwtbhZYZm43VAc2GFD3MkT0gwcTNXg
viCuQBpn3HJ4vPmOLotA6gG0IkA4qDHF3jRmtN6zevdJfWJswtfwP87ObDduZM3Wr9Lo6yJOkEEG
yUb3uUjmrLQGy7Js3xCexHme+fT9sQ5wUEollHBtbGADVRsOM8mY/n+tb0k1PaoSSuq3KcAB1veu
k91PhRnmh9AP6/w36boIlbFQ0Nwv6FM3e/S59gf07MSaFZWBt8GlrEYZyHeZ+RnSwQe6/xxsaqMD
+aNg8TzXNu6RlZys6RO1cPOh7urxR0QX9OuoaXr+WbpVf+gLK8SMxTWYCk2ZZxwF7PRFJ6Lit6CR
46/auWseE/5WS2mEFvA6CbEociGLxJemsH1DrmazdpifMY/c0zcrSdCjJF9YKPc5LNHDDYj7jOFm
0JagnLHRA4UUCeVuu8U+JI7BrPSo2LFw1OGR9URYXoiSWW0MxIRsnULOPxAW9fM6qlzHOSYJdUjP
NOvxpsrYxDaJkQQVcCqjkI8qrcL66OR+972g/YEhCqrK58XWGsFTiMZblkUOXXbEDr2tw4zac91w
ZQe5gdhig+QqzL6FWsnC25Gr5h7iZtAfwqmrxr3O5AlWwZT0t1rnTrDy4S9w07Aajv9NVXdEGOWL
f5TGwIB/U3ex06dmkf/WQ5iDq8xNrHYjc0PTvRinABUBMfjUwAwVnFqUX19tuhp0BqJQrz2T+EJ3
HQBMibyYPMj7Im/ks5ZNc/OplXwmfKpMe6ShZdY9cYuPu2dboU/HBzu3TxqsnmfqPYuBvwqLez9I
eBp6pd0JPEclPGz6yHTcvLUeXeKeMm+I4pmtgRs+okjcB47nxsK5c/W2xgU+IvntaR5ERXMybekg
19CD9l76RPRudUAVzzaN6O/83NLam/4suLU3mFe3ok5GtUdnGx91P/QLTzaWTuWMCgFgqBbJL9lB
IV3kgLuv88FNR+7EfeHwx06KuM+bqpiGUxEEVXMcIt+mjebAivGoJDnURyg/4IPln1AnolFfbDED
YBXqG0hyHj6QDitXIuZhzTEWfkc4GUy5qQ98c500ISrdrg7QAVBP5dxaQlBGMAAvTd+MmIJ2SC4q
tdHw83EyoNQn1rgsjWw15yaOclkY4qFqfOzYrJPFBgNsqHldh1DBi5p5NjATOXG9HwbFIhOnRRD/
zLhgtYB3dMNa9dNQfg2n2S32CPxMtRJtFXyKVB889TjhaWBabmsRiZDX36lX8Xs5YdJ8bVIhaBHh
LCEZR0b1id48rYG2ngBxGXIMnR0Gw+pn0kGshujhTP6qi3LMHz520WnbAYJ/mE1+TDq/ATe9kMLl
s1JSIymzyPWAuZw7n33FuzimZKwOKSucQCRJNDJ3y9LVrKODT7g8RqkNjCDnXN/suL/Hj1PDQu8F
qNnaFfeVPtzYmPqHbZqDX1k5EUS4tQxd/7HLRKzf6UWmDugCusiDuBNsITIn6X7Kwza6QX7H1tag
aRVHt6dmvaKH1uLUcIEIIk9SO/qSdX3SoazpnlP3xadmMN1POnZqc1szexb7e6HtAI9XwY5vdFnv
O61mve7KZEt/t0NHNBr2M9BwBIfNqCFl6k0mptsZ5m6oOpQbaWRkzq4vmk6tB8yl26Vxi+MFI+pS
qzQpimJ1FOV2bAfno1YXyD8iM29TEhKr7usEw8tep6iGP6JJp+/k4z1GlD6ZyN670rAy0Cghauax
rnH3aPRMXOSmGLQ4iEVc2UYLLSFGoxE42yIrDCu9ilctTLZfPbvr01jMUAeQIhnV3cBYt/qMk2ID
RkMLGDdt9hPmKe2GYq1U3ogffUCkm1gHH6tqt07zkNIpy8dA8Cl9sGUhrpzoPosNSqAVfaqVTtfR
vxmmjkyZLiXiZiHlSPN3Q8LArVO19UBjHo4O6jkC6vQVPmZbeBFp4Q+8vD6lrZEXP1w3sr6USHvs
oy39WOwBJk8uB2jDyE9y7GbFlLOMbxi97M/s9Ym+6dB+cu+NdPeHXmv6I5gA7sEN8UyLqjHi446y
X27VzIaXAZbpjrMf6MGOcrb7u1Qg+Q+6FAEgdMrxmjfIrpw3lcSkcAI/IaM1RytOxFnR188zecXh
qtacAiuzFupIWRyL03uCGqM/6CprmUNumo1bWWAnWJcBdf6NsuB7AN2bJeepgPzPR5gN2DBUgA53
O1NkpLxnjeZBpxhc0pIxQbBZABWPnRNwQ4Y8BvFgHJvRXxnCdFhHkC4+xNUYm3SmOyreIYLhG+lg
cQcKa4CKi+kdQe8ztPE7rBX/SSotj/b4yowftI2gc3JQG2BxdoaxmajC6Z5ymqag42VhI076BPJc
iGOGDV0Qce5Z/UKiRkLM0c9G+Z2vAAHnLyZGr+JoW5zSvDhj/9+AgbYXlF+IY5N55XL9h0TSPXHs
4i0VwzjOa3Oy9firqFQzIl8rQaME4ZzdSzeIqW5wHuYLp0KQfQTUWVC1nE2qCgnLwhctRX2+Ryjb
AJXMbEqLDqdUFNm5oXxcx4TFo3vR+anv0pomxYHTSWocuFeNyRH5jmgwBvYJ/FErDR0cvg4IBezZ
NALnrGI7Z7GY5xs77XJcI9mcOreYaEnhoBStvtoVzblPGjwYZzNRwWNADYEXiIu5xCQl03jeKbyq
VM26KKh+uAggjxk2rumE4E3MOzngIN71Dmksd3RW/buuUMkPkbdN9BE5OApGvsGJYiWeY+4TlRST
J7resr9Jiv/xEe9cFK8bkgwIiuIFFlg9DURhS7ajdgwNX3xOplBT+6Qb40+iaIEd9EUxYChIAhxD
jhOlN/ww/b3bFEW0YQ8qsh9xw8Fn02jRXO06K5o+oCwHQD7ptfoSJggNR+Y30zaomxAxrB2Md/mi
s6QW5XwUgKow/hoy3lbU/QlyxjxffcxJaRu3OAqS7pS4crS3Qsvy3Sy4C+HWFRVwCt7Gja6XfeVB
RnPVpo/N3tn2AFVR7lvQ+zFgxF1+GKRTfwUBWtKskOxF+3yExb4ZGq44+xg8xGaK3ba4c602/2JF
c/LsAA/kNqT706dpjuPiZIwI6zacbRxjExgomdfBOAf+unUm9JghaCbmRoBqixqzTs+IKyGd/tEx
EBRmhFCHgITmmxGUULcr3CAxPX6/pMflG4x8rEWdf0y1eNCeEBo3bEGxmu2THcWGv0GHzOEZ6xHX
JX0Y8nTPbS6pPzRa1dyLUZb9pm+HPkKvEIfWRoeB+SVBoxVt7cZtux1tlvAIwY6r11ga6D1ol2Rs
hLMW95vOrcqTlEVpQpSx53TX+KPBLLbQ83ID0bLue+uO6LBKCxogZnTX2c0IG8MVNwuDm+WsZxIM
ZNIWzyN7EsIPXSPBFKtQTh+N6vyI38qMMwAYdleuELfK8Z5DoVF60CEp6ZJiaB2NGKn3oa+LITqU
vAsKBohgyxOa0GEgUc6VHxKnD6y7oU3c5MMwRiNt6aQZdwhJo1+Dptlim/oxL003ZuNAHQ3sk6Hy
ZYI3mvWSh3013tIFtuttk2aNexw1PIG0EQbs4DTZ2mCjA/4EidWY4rNWWB01kVm1bP/2RNkHgk6M
gVRFDr4FK1vcapojPKfNBeTAmb4kNTgj0O+a0g0GiGXKtjYltG+WhJaj11YvqR7BLgLRN0tt+IVu
w3pJihontpPFGJBlUUwfcMCFvziFlNligG/X7jCiBFzW8jX3n5H+bDgGH4s6ptKLjIPaoKiFJCnK
z+vfkMuiH/Gc00ryOfTtbKoB4QnfGEEOBTq0jpSONu0eo6HghteG0n9IKr34hU8Hfk2FR37cJHpj
+vj+ZsobuqOTxmBT93ShOhgAtxwWDTYijA6fw6wqnKMfFN3nOZ/nR3AakBg4kv/GNlWw+NhuU4Jj
aNy9bNBxge2Zp08iqaxF1jChDVR8XQ+NDON9pKngnrsTrSjVYqE/plbDZWnhjxUeoDCACmata/HK
aXvdPpTEVP3qqgGzpFFjsAdKW+FicqhDTHuBL6H8XKaQaLeZnP3vVjK23TFn7u7wLfvtzdjmyQu1
xUYgM2vNGwvBRguIFDfKi9vjm6Kmh+aX+Rtw+u6dTFYb8HSFu6qln+3c2A1qD799lR7HOE512n+z
QQXXwrOAfqZMbqGWBektuBqW4qJPADAoSfF3XaXcG5ebbO8fHUGLcSOM2S42onYB1xI8PSUrE7As
Sk187u1twUz7ZtZu+6uyC/8EAoggbnxjKEOastIXmjzXGw74Kpk3sxPqD8CgEUHVblo+oJOg2d3w
mvcNUDBa+VwUvwmU8MkaQS90ZxiyMNhnv9STjZZI9cLLqnUvB8QdHsxoNKjblAARPd9KE+uGra4L
dpCJzHCHn5JXwP+z3ztxnrIzWdJuTuQdsmPYmEr4BJvceQ45o9T7QMCy1vNc+20J8kz2c95FxnaM
u7lYfDXZA9pXqrL8RtnvvDapTFpJO79kGcC9D4BcarkNe9H+hGYf/uZSM95GiBwfzKHAAJinevk5
cXT5xKLn3kZd1n5xcUx2m0BzHczymYlvazCeAw6Sn615HoZVABGh5a42x9qG8nl+SNA3oY2LhMl2
Lqa2WSfcM/C3Ow76/7bsYDP7pm/dEf/WaiyhcfeTSzN9zHSI9O8Ras1vfSftr6LsCY1YUlRtbtyB
9ZgaHRKpQqb4SqdEDTeQspT0UqoThfhKcyzzD0UROMMmowBmejE25npLvUt7nP1o/maIuq7X0m+t
rxTM+cyVu9yUQNDW9xNEA2AGoFtogiNMujMDSuIrDjEGR6Vcj261CmXmym2DYti4mkqpodEVWjd1
5HS01ulFIFw1ht/mFKf3pG/66J3ZwmBW+WaDhM5XxF1Y9jDGJ6ic4qntORdofeqnHgYMipjCoeM2
WHaueb5LwtutM7s6/M3GEl8VjocHdDxh6CUIUx2UnA5SXwfv9Z7eCIb+vNKcZ6KvbH2tcQbcUtaE
StSlPdgR3cUWvM3Z8VAQoMrz8EnV8QZ3GBVNKwPK9hHhvcA1B1cEH1pJbrQ2Lk2JnHYvposUp9Ew
G3q7CxEYLGyAJuXOFdENXjUWXUKIFG3WHhFCDU+ET5jtt1ZOoB0R6mjGLtVH8pZ8SpESnXipss+d
AqKFupmxH2rVLBDdjL/RVNXtL+LXHIcWHpmuR85SxSkeWh3UxjiUvyeyfU8GhRqK+rTKP8jEKLut
M7lorBMmrDxRMJzjtSVLl1VXsmPf6hPiic2cETu1LdPOeeZukGaeqAEvrmgxsZdG0wzMr4rrFmwM
J8Bhmzkzx25fOkW9dJmDaG0NeBvWZmwsDV/N8p8mNaUvbc4p/YV8PBTsMEn17iarQN2swP0Byu8r
+okrM54LtclzHoluA/WTVRiZ1tMQlgWdB8egyh9XEWZyOkPlr0nNpMBDAm+GdYTttV/BJassjxOM
+p2h9rupp0a8LBKjYKX33AlYfShBrDo4g4v7CPE+cNjJfdSzoE/uB83pwpuoKRWWPuz8TMca+2tV
FDEGqTpod1kh8Nkp0025f2rz/COirgMGr6j1bRGo1qSu45goBVuQyh/8CqLOyhrhEOwH26KshTNN
1Cu/1azHCHDwr1ZBRwbm4g53iVv7gWfJhhXWj5i/WytEtLBNa2uyVpMsi1u4u3TyNUgtkGRH8awa
2fxoYZGjrTE4hu4c1YvfMZlG6S27bXGLrSnkWOQLvdtotS+QTKdYFXmAIKYICq/76Axt/AkQCp0p
4Hn1U2lWLZT+Ke5/wuqqilVv2uJ3bRbCXwOgoKUB+8y5b1MVcjpgtYVqV5nxi8sUhANs9DH9J3NQ
p4EDMG6lsLN/ZsBse8hTUHRWKVdBewWPiUUgT8Uw4L2vcda5NGCPM3mUI1evUSQrKD3ql2oQezdx
XfuekfrsHoWs7Q/o0LG6oElyn1GXh3ujjuDy1NmAKTm2QHNveB+IQ0CXt0h3RsdeGm4hugtdVkl+
J7LS+FmgDigPLujIDFp5I34R76FJbwpyiXk0V228E+jWb01nzNqda/hz76U1Xc7NRJyO2KG/m26V
M3YYWMZAH9fEVpbf0yCIvvpIGp9M5Y4g38aayfTLTUKR7aBAdc1KZSIQyG667iEiNMLfx3WSRAdU
D5ypkdu1B8csdHBSCMmfxzxynh34+pxf+n5EAJP18Kb1uf8eZZLT+twSdGymJldOpJHWp9kxbSqa
ALowJFrkrdCNIeP0jrq49aS5Ka5gLTFTEMwOhe4OloFCNZHVCmUxJaflGFCgS3+02plFsSzx3NH3
bPpmq/rc+toFZFh7iTHLT2pGWkhsQiA2MR1rNBtQNgy60Ca3U+ZQaEEexXKxRphsY78scQpS2nAr
jU6rQMNm9sBvV0HG0roOqYFtBkhNBMLW9Oy93kb+fYsipIVcRjsIxrXADmFEHmO51UZ0Q5J+CmCO
+ACvR9qQqCjdfgN5FweCr5KRxhwh39meDTkK1pRDzHQvJbq6TWn08odFez0/wfPncJ3V2oK1aguQ
67FJHgTfmSa/6HWgPhG0qDkbmelzik4Jj9ta2gg61kh3OKFiYyxOI3EpnzNEET+6otZy+n+O+ZQ1
Uw8qAwM2lYmg1L8AoE8/On09UeBH6vXBhUcBBTC/SdLpWAlFio5LEf4lZ1mdkL0VoQNRsS+pucPB
JlfDdsanrO/GL9WM4l1z4gQdcjP3N3U0UmOWpogA4iLyfkoR4xk3I0EEmMM4Xi1sAbxWOzKZ6nu9
N/g2BnR1n6ZSFvoN/dCIyyI2n1tIjQOiKgDj+DAUck5ti8oIuFRrS/0RBl1gfLNUQ818IPvrNmQB
/2nqgTFtVQyh+oOGxYRa8eQ6MSsrmHfqgJl07s00xIPQ4eKoNrMR4q2Mw0lO6wAd5oHNpEuhkhbI
pxvNtD52mdWxiaXsSyVG0m4VGZWWcJRU9VH1keuu4zy0OZ+AiZEbe2z7b7M9yc96OOXGuqE1a3ui
rxy+6IBsO3C50UT1OMdZI9EeZTeTJaSgvuL67ddwwMN94qgyHTExG+22ltT0A1YDfPb08IGC4+kt
7hGAcjulfxs+9YPNSuZ2gYzXtIMcCvM+5Y41t6nkiwb0o/LgVk72luSw5EseNmqEQKONx78q7iRc
hOgy2anFBiMKaB19XUEy/6sK3WGo8pQkGkdm4lSTI/JD6mFMATgT9E56H4MCfO5K/gxanKd40dCw
ASsYgo+lRUeHVJeYSh8JafBBBHd31C4dcMBvlMY7576qw7z7QD/b4Phe1IH/Se9GMa+NaDYPGI6i
DLtNFearv9xByinnWLdGYBPf0FdwgYfzqSfbv/SSYkVJbXAd2r76RcOufcplHC1nJ7RYAnvy81/z
jKNR9BILsGoMnxOtQLGoIXGlDFJmavsXDsrWFbafbgplhNIT7JtHkRDCs48RMk9X8uMuxJ0ZS64a
f4otoFUs0Ur/yBRq0DomoqyWAC7DfE4thC7bcWhHuR+7ID3N6Oy+TX4yHVqzja8E5V6IpDJM+t8c
401TuPpZ1uHAacZmlWPsHMT85Ct7E4H+p869qKyT1tn853/8n//73z/H/wp+F/f/L37rP/Iuuy8i
amz/858XYqIYzzWROKI3cZ2zhMMgnmqyg7hBaQatVpiML1rX1rfcNcYr+aRLmNar+C8WDDToppDc
fyx+2de/6kBObAFhS3lRrUU3w9wZOzbUwTM1UiKsTH6v1QDunLiNm8bqfr7/mG9y+ujEMaRum8Li
uCjO0s6qsA8SXPkkSeR1fChFRIYl4I5tE7T4Bc0+hMiTpH/62/49KE8tBPI64zxeeZ7KoQ0tNHBz
05WfhQSTnZeVdgccP/rTdEUezLVM6ZBqaxBkdvYa6ZqNLWkH2M3KstnmtpuvMa6269EnXun9n/LN
F2ObOnUV3eJ/LUuJs8hD0zf6EiI+6ElbPdZunH4YZfViZn12++cDcZ80XcvW6aSKs3S2VFcWMifY
AVBzm9VIVeDOYHnd0gzHq/n+WG+mHQ9jOsq1XBL3HIy7rz9O/LbEr2Su6dmwRyFLT8YqkQVNCzTD
K+Ix+vX7470JElvGc5fXxQJj4Jx7PV5ctgHYM8ar0ebvIEBqG7Obs4f3R7nwVCR8Gi6NCkF54zzn
OquCmW3d4dBJLpnnF7G7xT4KJ7cVoFDkoB7fH+/Cp2HYNk5f17DpCp1PcV3DFZsJFHmp6BrPsBRd
3QpYkTk48+f3h7rwaHgtDYvv3eY3NM9eWL+UB7KI8Ik5T9VTXHY0HezSfGnBFe5Qr4ZX1uULjyaF
gbKPEgETzFj+/T/2BI10AHZKNHUaaN79HBScyhFUeWzj15IZLw2lA7sQAJvYYM4nGMSDdrExgJ+B
Cron3oUZ0NFCwMnW/WkeoU2yr4BLu/zX5ct//VSGj08FR9Eyl81qpRmROPjICWstNq8sUJfeF2sG
ayHCW1b/s/dVGkgOx5BHqRE04Nflkj0EY7wLrQH+2lzF2/e/j4s/Ip1TUylC0MV5ZjDJH0Pau3yK
OcnIu3GQwdokPGzXNvHLvxjJcCXgEUfYbN2vf0Ms/yTp2NjEk5rW/NwF/qYuZL+Jx6D+Nw8lMVcK
fkJlybOhAs72ph6NrFKDATUPbsDB8jFhgIGwr8RHvt2t+TKAfNJbQ65Iuu3rp0JYjvrGBzAMGSdH
2jzA0NkGHMxpyhMc+jLUNeK91tDohMyolI+TK7n0/ouf1hHEqOuOIx397PMsuMDn9Qj1wfC1ikQk
vOcULOu9cIb4yoL895/1+niCm1kQaaEEHWCS7F8/sAiytqApJr18zsMvWk0XZ9WOBB2VaM7uRJgm
91Fdmzc0yJoTqXjiji133tBudw5ocuzfU1L2vxFp5w53fERadPiTfRzpFHg1zDBXNqw3Z1Rm7j//
umfvR9MQrSbKkV5CzyLIQ7qw/kgQArEXG+DtwsumNoI8DDbk/Xfy9wn0vR/KeP1DwUnB8DIwcgPK
EdEDnLnMuVMUz7xKV/2Nu8gCKBS8+LWsTyLKwn3V+Vf+FpemN4s/70stC5dzthxjJTJjicwH3x+k
ST+CON4g/j+ADK+uDLVMqjfPC06BGY4oWKmzSUfZJe4w8pme336zUGzuaMzktHahypYghd7/dS8N
JpeEUdQemCGMszOPWyatudBwaT3mge4VulmeNDuud9YwptTjTTxoV55PvzSmQ8mAE4mhbOM819jF
cc0pgjBOcC4NpF+SCdBj++XB5rh+mMj+QpBiqC3wwOEedVF7N8mBu9CcELtHNVKtNCtwNxNC8GqN
pUZsK6rmu/d/mGV/OHsL+Ix1iCoORT/2kddfXb68gwKqFho5vJZOhQTfpAe3eX+UC58Ve5PLqZZd
yhDi7Nv255E2LCQEr5kElF0TZoptGSvs+NP2/ZEurK+s4Tq7u8HPLtXZB5wOskd7xwGQNlF9mMPc
P5S0eTyKKksvQuW7vtFD8JCudiJMpP7zlZVTNSsIsdqsEm/S2EfMoNEQWp6rFdpDqwR2CzGVxQkX
dvrl/Ue98H1ZBB6bXBf4uvTz6zR6SWzBFWMZCIX3HSrlVU3BjvJrDPODY8G1oN4Lb1GxPfIKyeu2
aOu9/lbI1YHvaVHbR73WHMlIBwdYts6pNhz3ymtc/qizz5KhXN3gbMP1WT/7YAjuacgK8tmRU5te
UNpEHdTSKIQLTs7aZjCF8YGwLO3KMnFhNiiETI6yEN9Ylr78+3+cRtN8rAi7Bbxn2YQRgeOK1n5Y
qtMfvzi6E9DJDYoxNvDR16MoDbI8ZlMOubMvHs2qjOkdIEDe47FMXLR4fWVcWYwuvjpXcatkz9dt
5+zBLNnqrIF8KyII2mqjgRj7AOfEitcRRvM/v67wA/L2lKMMyQn49fO1XJyQFeTgC7lDoDbinGMT
3L2pSySe7/+Ul56LRctxDZNcWFuePVcCVLtAiGx52M8s4oZgEWspYbUdAsT1+0Nd2qCXj5/LAyUd
nJ9nj4VzX6iu47GIfLIDr3SK3kIqYBd7UDQCznKKISod3HzgnjYNv+saATzJPvVx7nQO5+//dS49
uWIvo4HOempZZztak5IRZQ9QM0nftfcdfqjt6DZP3YBF9l+M5LrQsdD4sFEs69A/JgW3N+JK+Rtw
WjSIF8AsBvjIQPtKPt6V3/jStLeX+xkZa/R+nbNp34w1Mq0GSUWJ5PcAnZFOG1lW65o+zhGMtHbA
qOjs33++C+sopxBOpuzGbBuGfP18gQ31cQKjjao4DfDdIsXIQqV/ncxsX86uf+XGe/EZaSHZJkcs
6JZnL67A7OAYExQnPyq6BzsyY49EnnkPXyM54RkkgAJy4ZVr4jIPztdTx5KLvIpIeUedPeMMkA6N
HSD3FL0q7GMXtBkWqzD6+v5veenhHNvhi+S7VKxxr39LaGimP8Ly8NRkNU/j7BrHukDIGpNK+nkI
nfTUDdr06/1BL00FyspQRV0ucaa1PPw/P9A6tytzgJaAHWZcF5M2eSrV8AfQJ9798VBUO6nEUAtc
Sj9nvyMh24vbjNYBFmB9HVKjPFFWTrZp5fdXtsALT0WVHKuTsLkpcqh5/VQdFiaMWQ20WFeIbYKm
klZIqkBgOy/vP9SFjwOrH58iByZqMOLspY3C95uk1BtPIii5rQmuHvF75uR0vj/OhbPZcjYyFHY5
iiPW2QLq2FWexOBtUbrU7j7VHG0rs1Z4HMxpeOJPv5c9aoWSTZAgBDv58f7wF+a5bQuFpIQ+maI+
8/oHdeq8swJbMs+FNTzavpg/oucGW+r0+baacu1KnfXCXLDJO6UuTmVLOufrZtL5WI4TOooJMVa7
yHDtl0bD2BnR2AdiQkRlFg/N3R8/JCs1CBgppRBcH14/JPhjwP2otL3eBVBXQIq4U/SltzAh4Zpw
j7zyTv/+1c5WFrZCvk9HWsxB+2zJdtNhokvaAFfrkuSHFWb2z2Vh/yFsbJ1Yp2oY7Xo4hjiYZuwe
6LiCTxl1R7V+/8Hf/tqWrVzOEZKzFeniZ9MFGwcIp4jyqFCa8UBwYvpCI4IUVKwHN+ASLHs14a8x
r2zDbz8qi4+K2wo7MAPbyyz+x9qjYAxHDsFKZBiSOoY2b1oTRpkccbL85iOMrjzlxeF0Z+ksubrL
Vvl6OLCFOs4l5E0LB/ATCh7zUKfGCe4ViiISOkv7z59v+UXJ+sIIr/OMrwd01EImLoYG949GVzJm
wj7OnakOseUPhGgW7ZUnvPAeCXVjTJt9hMPq2fYoqz7KSFrC/ulmzT6SJQR74h3Wmu8n+zDU/MOs
acaVWbOsPK8/Yir5rOfcabi2cZ96/ZSUZQuaR0xVcj3QNdUjQYMJ5xxbL8tfKqyqX3HbkCGAvejK
/Hm7yi8jK84DXMAVwqvXI5vQhaa6stgwYZhu6Dzbh1o6xgnWT3GlUXjh26Fuq0tqcRRwWQRfD6X5
RlyGponCoYTbWI/TvMFfjcx5Lh8LnzTv9yfkxSfjDVJNQldnWme7SpLZoTZHiE6wOefbgnMjAn9f
24LPSa/8iJden05Zx1UuzSZhn32ksTHi7sgWhsyM/6+vtWBjwt6B8i0/0/g1dkCNlqiEUbtyllsW
ldffDZdhhnRcDo/8omcfazJMpBNldYv5g6qSRlLRNqLScWVKvH1x3DooGvNdstS8mYO9DpcE83fr
NU0MVgc7wBoQTbmF1gl1iHSYKz+nvnwJ549lL1cy+k0GZ+Kz6VCLElByK1u0ztYCAdXi3ZSF5oZC
eY9JHCPNTpQNNgElsn1VZeBKI7fdtH0gQXsM1QcBWO3p/c/p7TtWMPwMCnj0m9lBzj4nNNcB5rvl
HZsihyeZNdqnIGnHHawg9dy2GDH38SghZaPgZjF8f/QLr8Dldsmpj//g2Dhb5l1bjdhykS5ozfwt
AIFMu4Wg6QkzE0vg9v3B3p6TWIV0mrPMG0tyLng9UcnbKYEiklAhEHXvCeUCtGPPw97PiM2lkmYf
iiADKNm1bbyxECD8eRXYZhIxPn8LBZT9bD4JqybbK887r4BlscXxrn8UVSrXsIeaK4ektzOIoTiR
YSFl8+aBXz9rt3gPEgu9jTHmOI6rsN1FdDmvfNEXRuEIxr1yORvQijh7fYQKYWcHPO4ZDk7diQSg
I0zBfvP+e1v+lNfTxl6KjsvT4Gzhe3n9LAXgWnDSI4zWhek1hbI/KD3+Iod53v2LkRRHPMmFjjrZ
2VG2h1yGcWXovSFQE3ya2IVV4x9sp++vjHThW6RiziVEh1RNP/38/YQO0TRq4cfg3G3wR3TW1hyN
4YNuUKVfZbJJPmUTjr3G7qvnZlB/XjqGQIdiyECWoOhvns17IL1UdTJUVIte8UQTfN4UA2zKRIzm
v3h/f0sV3L/f3nkbEA5M39mdAVYiiPVTZSf057Iuvod4eK0fsfxs55+KzRMt8hUBVPrsg3R8gqr0
CZ9lJWf5CPOufC41ZTwbGsreVd867jor8uKPtytyeRGucaHUqZidv0yQPeOYBmbvjSgpbwhXKtf6
4FpXJtulaUDIHdW/RUVA+/b1NBgmwqGFCaYdryFs0FnCa5Vz7ZHn9+elKR6F+yTLB+1U6oCvh9IN
vMrIqxE72cSW2IBaN6ThWatAgmT58ym3VFAW6QB9b+tsyhl1QzBQL3uv8ptpN7vQsUPaw9u0H3+8
P9KlxYr2G9vMIqqiJf36oVQrM3dOSdyo6rI7tHWjvNxB4//+KJfeEhuqtHDVQsa0zharUvoU/GJc
l5VDdAhkfnDQtVXt57bor2yeb4biIThVcxMm6AtdydkpaYa11KiOfFdh9faOiJRpXw0dNQb8R5v3
n+rNvFqG4pdTlEY56ZpnO5dGmDeOIpBHSZ4Fe4TPARiiNrwnl635ikkeJIGrL66yPx5WccolYoi2
AbvM+SpJA5vvoCQPkx2AU3X7hehEfZdmifEb7KpTAIKyqivz7M13woXhn4OeffwWOJwsCMdFyWwa
HD6ndjtFQ79//9EuvDy6di4PJ9HMiHPtUVe71lwASlg6aPJAwtFERBJxbnUFduD9od4c8ZYHQitJ
f5afEYXE6w/fR00SyTFZcjnTkWQ2yK6mhL+DXkHblb2hvnEESx5Hu7ky495scmcDn3010FzQ0pvh
7LWtPmy5AgIviiz8mfocl0dg6+EakBe2e7KHT3SSsytz8cJXq5a6G3Oelgml6NcPDmNvbmuXpBMR
kkG1igRUy3UQpvnJhwsQ48uoYIJMcC0O/+IXpwEPdoqOGYfN1wNz5Kp0QtrBfvvwB4zIdb4YpBDt
8L/Y60rY866oXWdDjlx5pSB96ZHpjFMNZPtD/nX2kw+l5uq5XyyPjIbfg0EfDSdw4kL7Ofe5dt+H
TaxRwS3qn+8/8oVZwyWKCzA/tisR1b1+ZFXMZjUBwPE6GBjzJu7Aenlxm0fplTXh0kAcOiXHTRcN
6XnLjf3CqJwa67SiDrXE6ky1fxOGWFauvMSLA1F+WxonghTGsyeK2tk2Uz8RCxiZBNeCEIa56a91
ZC+sAzYr+P8f5WxyhgmgdpgfwoME0u5s5YNyD92FQmT/cU0EvReHdVoj+DLpy5ztF8CkqqwPDbQ2
qjC+htqkPxidTZMLGdH6/a/hwmdoc6olul4t3eZz+RxpOY6bp77wwL6B3ANcCRp8mA6x3YyHuh1R
9kOZunLnubDOcWCBd7Ocj9CGnB0lhB3aGklbOpy5rP5J6eU7WMT5dmBluPlfzs5jR26jXcNXRIA5
bJvsMEGjYOUNYTkw51Akr/48NT8OoGYTTYwNLwwZUDUrfuENsO/LwFqkwZznoCx//3O3FtGWJS7K
CRT811sFx7uoLzJ2yVDY8xlGOm6MKQQ/HZmdt79ODmG7xEESv99gZD2aPW0EvweeUledq7p0TphN
7oHftz6IaiHIPQfiortuGMaidYe5xcoNJanm5C1O89A3lXnBH9h4az2LXSmrIRLO6ZAZry5pb8Iy
Dpsv3W+tsjhW8TCfcP6az7AZ92qgm1/lcHeohOoWmeT1HUWnpo5mha+KlaF+qGIRXRBAR8gnb5ad
p2dzKJ4/aoqUBWlTXA+VJeDzCyfX/Q5PzAdoC+ZDjXvKo802KXd239ZhY6W4EHUiNNpa12PhmpD2
vc0MGkb7TwZB8ZL08OQy3HGDHrMIjKuX6nx/x8t35CrRYtVIdV7L5dRS1gCBGnh7VE5c97MnO01a
k6XB3IiihDWPByMC1OUOuuO2I/I6JOAfS+NOgSF7/ZkW/vWliIEKZiglI09HxYHbzD0lsYXmHIRC
7TQlOMrDyhpxTqkTDWGFydN2VnbrluGzydyBd9GbWd2imaNhERUngN1SV/+g4MWiAsiwxZkqmvir
rHoLwhKK9GPXGnvx8O3YnHquVTz8qOJTQrqeglqJ7GmcQ5y6qrQJBtOcMtTxDrp3gpHUBY0Zi2NP
Be94f7FvX0KGtTS2sSmxV+v8FoY+5awBkhu26ubRmdPwXYbi3eX+KLdHRg4AtJsEmvdBXX9c5i4z
HnITwNnQejCMCB8t9F1OU918e/NIjskFIFNp4rN1CIElOrW5ydHhJBr60cuW+Cxcrzlri7B3Pur2
bNI/lyhd1wZ5cQMmi+zEUsouAYfvoahulBXC4aqCDlXphifQr8rBQf1750K4PZy0m8FekOaSg9L9
uN4mgwN7e7AA68HYTC5mg61ti8PcZeqh2nYJoOG3zqesIpHFkx7SYlrPZzlmWYf1FLpY8TJA7p1a
LoaKpOO5AEyzsxlvz8D1YHIb/dYZrIcwFkLChZy2R4Pa7RCHiAYjUBdL4NILUd+pDLy/MPTeKfNs
jUzvjF1q41bLE3I9cqVavRXR8fQjxJi+uokDvbRG5xQlUvxiJzRLmxaLY6vQx52773ZBbV5IOFOS
QMKxl7vst2+GZxuVUYenGjc8zh0gYB8mLYcxjrLyp6xolp0NdHsUGY+mM0wVBqTccj1ejlwjSj/e
jHWO7r2jujzhfhYbQWQOe5WF20l1VK4WXdNtEmG4FtdDIRozLUhiiMCq2xEzgbHrvyQeIu3a0GcD
9ODJ+onTSvsUYb++s5Vup5WxWUvAyyZllDWLKp81tFOnCvWOOq0/hUYaXhbsWh+FoXfnWNWGnaj4
dlpljEjXl3jHBaa4SguxyJkUO3FE0BoNV7aXTgdUM3A2Vdvv90/ka3/z+n12JHzV02UfTTa4rqc1
j1u46F40B3jFosYoCsBDh9bEGxU0nzF8HZHG+mAjqPMezO2MuH9KJ+QgFaExJcBR9yDywt5plN4+
I47OtasSIMsHbA30QyNqUAEJM92hissgqj2xb4hy/vf+t8sHePXpULUsGZ2Q9N/cfnDCsdnSzBFQ
f4iCdQGqNgDh0yRnDaNR4GcGaAbIUG6ANGdvHIoZebz7P2FjoSmzyNGpzKH5IDf9b+fV9EJ0YjOX
TW2p2TOBQX9RW0t9BBNv7GSpm0PRPINlw00Prvd6qC41iD06TQT6ovSYn5WxZvpx1yHx7Bhi2LkY
NoIwKsMkVwZgN5nbrb4sHlkJFWUSBI+EUvqDrsGNRjrn0YCV6o+9BkfdmJMzlGD3pVva6EO0aHuU
zq0Vhh5LN8gFpA3pZ/3NSAXqWjVhKKRpz7NuYAyT4IVdFguyhNi/ImipK0Gew+Undhk+31/dzeE5
V1weMKrhlV4Pb+ZdGGdcHEFZlPQyiEtp4Y1woN3UmpBFBP2eQ0ujos3JqxRnD029teTkZCDhKc6T
Ca7WoLfBcQxTOwXRWNS/aiwKzzlFkVOT6v/hhuThYS9D+6QCsuatRNrg9voiJtRQMhQzsEy+iMk2
TijaJIjb6P35/tRufRooI9q0dC01QqbrqU1xwcxMh+3VjN702WaAABJj/5TWyR5sY+s2koUQGSQB
7Frv5H5QcYpMADZmRq1XD3HpoqqE8xlOA/e/SV61q/uIegTvNrRWSLRrVquTz2MdVbxwVWO4T7ih
WsewQm2oGvrlj95C4BpVLe94f9CNieThlrUXCaPQX6EIv91AyJk6IsrQzbOjWuAahjlQUBvSFajt
0PjauRZuHlLkB4hOCKUpthqEgdfLBi0+N/PB6f0e24j0UIrCe8772vyBa6n7kipZu3PH33yeHBDB
P41GDkzG9a1nzlYr5gokRZYvzsU0+8+aosSXJOm0//JpjkxLHF4uyN3Xn2bGed00gpFwk6gvdYMK
dYJOGeJ+6vQwoNVxub9wt3B4+Wmyq0NHHVj4Gs2JrH6kOw1zWRaISwyxGn+baL8/GuaIjUg7OQl8
TXP5mSdT+gQYUnlR3Ci9IPc2vLmsxU+RmDiIIg4caXe1rF0j2tGi9eLzH837PCyMAL1GyAb2QOhy
/7u3VpQMgvscYjtzvQpYRk0zssVhnmuaLwW0W2SMaTmhJWko2fTp/mA3R5IPA7OFAgEVJ67xVSA2
4WOoLDaDUflcfiSIBX9vht77WMUJIgTCXgCgQKLyftwf9ubKkcMiRgBtTeKN1ktrOh1/s4VCYDGF
8wkhmhCXjUo93R/l5nmSoxBLywwX/PEadmwkA3LyLaMg+ymCUCDUFOJaccB2Fb0FVFuewz5PnvHh
GILQQnHpvwwv6xOE1dRhVwdGiSYghZXNXYCG07mcLDT/xhlJ06XvHxanXx57bvSzhx7fAbf6cOf8
3C4tpRlOjeQAQXYwV0XgVkxN2pvqiJXlsvyYRvyQwt6hOoVHco1xTugI5TBWjroTFNzuXxpN/Ct7
y2xgS7++J0rwSsgP0zKvMgZnrtUPnd2+R9VY/X5/gl8LXVcPCtUng1MJ4pAwANTW9VAzQkRG2sWE
WyXa7UehusoHLTHr7BDPbfZDbW0dv15H+YlpUvl+cGN0hhO8tJEkzr/X2qg8jyi7/VGqYbWz9bYm
H36CbGwCbgVpev3LkGssjcwBD2SlYZIeOiy6Du3o4N6KsnCMaQHGzQjs7yEjbnc8h9kgHGLeuUHs
VUDW0wpzzBaDcY9qbnOoFqSxDllndz9oVmk2vkJRejbGevyJrvASnVCUnrqd+0vehetFAQClShCx
BvZqdaUsRVc7k4ORdFyNzblT8/Elifr6q46Y3Gd0PN4cBLIJuMA85DiIgAmZrqd6cTDVgg42+KLA
yztLmizAh3LwTdTJdo7UxtbmiyRqAkA2cN7Vp+Gr1Tmt9KzPeY59qU3jh1QngxJxmp1Z3BwKGKBU
NUHQd10DVGgY2o0JTk314hdctgbNL2hoPtno/+9hDzfHkmVUkgiIbu5qBvXRwfe+NgZfKXStRVFM
1N6lyjpxUr1y/nr/0G5sD8m3JIZGj+NWtyiOPdl9ZrC6oRVOGfUlRUoXozDhFAG9Yqzc7w94+9ZA
poN6AsKLCgePwfX+4BVIjL5lfzhzLl6WkBtQq7kJ7o+yceDlhqfWgCQT+jCrUcw2Q2V0apB9XvRk
CoA0pnhZxU1GPczxsMRo9WNah5gv3h938+voflnEJwaBoHv9ddhR2zgztVw0oSLlNJMqOUPSROjx
/jhbe4QrljSSS+2W36kOtKGpdw5+LwtvHYW4cyGM2E8Mxwz+w1DybzNo4RD/rS6xrEZtWyTsEANz
Pp8oSXssxvEvcyjdHYzAbRIvSQ6kIrAdOGkE7Nezp0DlceH0c1m4yLm1Zlf9XZXUQzDuzB6qRbGf
zd78FI1C+5UiQvLN40XZmditBSRI4UxAjeJ+Xn3thElR72m8FDG+CD7Ktcupc8c9lYyNhwFRW1Ig
Ck+gi43VEa9FXFQ0g0cft6qFZ0CEDyN2rEejchHha0A9o6+MyBa6vefGgJX89iWlkQGUzoMBYawT
daNusX2n24C8Pq5Fk5I1AWKUFAbsaS9R39qohLRSD4rYg/W9XtIO/z+0ISuQq2WKnGIzp8FogV2Y
0JndOXvbQ0Gz5LvkfbZaOnjOqdGoKPlGpFu/1LGrv0iZ2wcgreHOTt0Yit0BPpaWEIoPa1oOmiBm
qSygZEOykMCEGHtUJkccCtF5Oxty44Km0gnUkW+Sj/hqqwj0ULU4xwMHizRxSvR+THwMaRD37/QK
VnJmTg/3d8dtjZacCkkyiPiUOyglyd37W47eFhg8qvJdLXH8yg9FvlTWh0ERQjtW3dT8Zfdm0vuz
Q7PjYJDQf2wKRyuDGCvk91MWGtERx1lt+HPnZ21NOtghGn3kRpq2ZgqlGNcolBR47qHtnxRhZ81p
6HHyfODSqP+xLRzb/Dmlj/61i4X9Drf2RPCulUh/aCa2KmY65sbzZMXOyZhoTP7Rgz6rd4KSjaMt
e02UkmmvE5WsXgAN+RgcYNPBxxl3DuwS9+4IluzRa7L3STMWDzxWGn5YzXCS7eu3nwHo2dTEHBpt
NC3lbvpt6SrHIi+30beq4yQ5jJ6lPCWR9ksdIK7eX46t1TBIZyRG0JLMreuRUtSYlYZUjR2IzQzM
lA6vV1SMrQVO/v2hNh5zmTIyrcAWgKSvhkLRLo6hihBSxs38VLfRTDDbYj6D9mp0bvTZ9rWm3WPh
yL91FTijjAaPiWWEZLTubTkJFk2IEI0+Nm9oeupT/gPbyHIHZbKxXRjFIUoB2klHZH28E11LR5MS
taYN+Jcuvf4Ud5nxp5emzklBrfLkVL0dJLhZoSLfmZ/uT+2r3tr6K+FRSeIHrFW4utfLmIxoQBcC
Q71+9Frzooch2mKo1oTzIaQnEvphM6ThEUcPxTyGcdVLGXCn+yc1p/nf3BrUn00ZN+dqMJITHsbx
g6BM+qVTssQ+RlT3uhNONrpySPK4o0okuEyPWL7ZNdjVTksurpWLHFsgpTzmSMtWO993m5MSSFCL
pkwMiZtK2er9yVDr7m3iI3Q5va9JPZ690MbNDSvtQ+wp3ilzi+wgZpRBsfqguScvPLg/34vE/lj2
0YNp9R/vT7m8AK5mXO4oGxqHrPDcomLwrm80Z6AOMed9+jUjdfmMjdH00HV4gTk9trJK0oVfnCK3
TvdHvnlKXkc2gGZLageNqOu1rrEwNXEf6wHqex5JutedzA7dziWcneM4ZN3OQ3JzRbyeHZoRjEUn
dX1uC+pXdTxbva/CfzhPk44PoInWVA/DYyfe3xqKBrTs1LoE3+sOJlluClo/pOU+ZS22dKI8m+ai
HQvO3s6DvLV+UP/oCpMJ8gytTsxQ6laXFGNPkNrCPsyc3vwTx7jwWz/mXZDS+sbYJp1ehnnZE//b
HJr6skuMg5yMuSpjGMB3YDQLFnCx42Pa6Kb0p0CCfhLRM76OkY+6P1LSUx2d72+drfkFuavpRHIy
A15dU5nSxehw99Tu6mU59Lm+oJ2H9zCix3vg6K1dqgPiQhsSgApQ5etdih66lVre3Pt6BIyWiuIc
TF6yHPBhzINltPUd9MTmeFK0lNGkdtfqwaYkySLTD/BV5N6ORVpmx8Y0azxD4u7ZxqVmJ3bcHI/U
kLnkqeZKuv4+Qq90Eksy8GZl4lM/NF7QaV31gBo8Vl1QDHdCgltdMo4hoBBSK9ruUsnpekBdqRrq
4gUq1j3YM9y10qI5xcpoab4xONb7IrULes6eM/D0eEr0vlLNXnxQ4wH1dS8F1XLAKbR0MXAaXBqX
2EB/43/qf+Apg9f52zca2qBcGdA5JA/t+seShE6aG3OQM178oze56UuYSJ8EJN2/3x/qNt1kYpBR
JlMHbUHGuTrJkUhozNYKLRRFVb5zZuvvmbmYF2eYtV99iykRVopt8sQtYH8yFXf5R1Pbwd1Zn62j
RXbNbqAOA/zCuP5iQLlYsiCK7qt5uASD7qZ/zmWv47vlqvnX+5+8tffAQwETRH9P0jCvx4ojI8eQ
A/5yPxjDe56ifjjgsYCpDEl+hql1vQe4vomimGMuK/jgBmVX6p3XIzZRVmtOC5GWZF75DKQN89s4
3AmiNgeR5TIAtIRq69K+h0zkIhwa3fmoTF+sTLHf4bKoX+5P3tZCSWbi/4+y2i6a1na56la9P+I4
HsQIfPixl2Oy16X28f5QW+vEDUEFi74lncvVS40k7+gUvYxa3HZ+Jo5QP1YE4d9rorjqoMzcujuv
2tbHUQmQuBTuQHCB1+s06iBnFXQCfK1GMSDMnO6coDd3wYAs2jnir4/xOgKSgHjYEipipGuYxOJw
lU8GL2g8TkZ8tPrO+KhTyrFPXpy0fygCAwL0/JopOYYm9nZH4pkIk6W27L9oyjg7eKlIs46YVrKF
xXU/lcdS10e8rPPaNuDT5NqHFBcIynC5nj2kYlDMw2gU6d/CRDwPvmXY6TtLtjmBfA1JOiSTG+xm
x5rYleX2vudI+1CquKfeyFRMxJRsZwK3dgelWikVhHAKRYjrtXJcTKFLiwgSKe/52I6F9Yu6GOZM
tqUEYMT2UtqtT+PsajS0uTlI+a7Hi9XFwCBxYTydmmapDIRwTpESYYX/ZRuCDQBJiDQ6sv2roTTk
mqk10tl18jDx40Y0z+mMj0TXlclOArsRTFFLIHlEyQVs9LqBPlqKPZozrPsBpss/oW7l1aE259G3
VaV5RJ2rOIparQJhDc0eXnpjRknSgROjZw8nc62sCFcowzsJwv2iYzpmN1Z/yZQFRqsmstP9q2Rz
KFisroSGmqgMXC+egy6m0ZSEFkkS/Tv2lXHS6wEf2k7sSUXLtVkda0B0Et4LvZRtuQqkkBvsl1Tl
OY1KpTqmBYoVplWrx7d/DxIjtA9oIkNvXu0Qrl5Px9KByreFNw/uxa343uD6NpJc1vmv/zIYDyWi
m1LNdPV6zV6nWkpCrGYnSwLlUnSPOdLmL1PVaV/uDyX/qpvZA4Qp5ZlB6K05gdOCR0CaU0/RvAR3
Hb3yzghBD6csE8hTgv6lIo2l8v1BN24SydKV0QclCBKn682RouyB7x+DAmkJn4fQU4PBEPppDrXJ
HzGJ3knTtj6SBE0i6f+XxVyPhzHV7DgJDzX5b4Oq5yA+4eFqXthOEJLUua0eEkWUb4+4iX5l0VBC
6+lJXo+6TGZnUXnjUiEePOXAyk6IY86n2EraQzTEb9aFQNaHhgm9J15u6oCrXZOBsawSWcSHmlce
wfmpl0oRf0FW2usjbMyn5KaDNAS4QbVw9WWyudB3jtLxzrlmgNmR/g2fKV0NKlXFogr8rpIcpl43
f97fNxt3J6GWFIRHJ4qG+mrfcJmGTSujuqk1psBNMXrH+6t6VxXm4k8g4/AhsmL6NkWzk61tZTOE
60iQvQJJ+PjrxWzxW/baYeh9u+2rTwMn5p06LOOlybToEuJw90CVVbzHfiI6dgVPlZOqxSkd+gok
att/RGgZ61fTVv6qZ7XFOTKt+refKi4ofiT8d/m4rGanNiZjwGqUWErVxFGxGv0hMozwUHr9/GBH
lnq+vxq30CySJfjEXLycYwQt9es5MVo3puRMXUBTqNX7nVIRLmV6kbgXzPCWT9pcduZpwM70kfIs
1rdCycbUN+u5/Xd0RyKJ+z9o483h93DGQXjLgGG1RlqDRJqu8nviCe+1HP9belyaicon4NT7Q23c
YBJPSKMcUgA4gNVcw/6ZKbSkVAvUso3PS0NqeZgdA1fA2iril9QzsIK8P+bWqeMtJdOQ2loIRKym
24nUQq/sjpzGEqRSS3c08PkJqrpaPnU6zOLBsPSdD90clHdV9mR4yr1VmugWeTO3EWqGWdSl3/Jw
tH2ldptHty5iP1IiXKEVrGXvf+nWQkIq4VtJlHkmVk+628cNrrColRUOXsGmQJveoORz1nsl3tnE
W0Nxy2MLwoUCRGt1lSmLk8dWgyhlWhm0RHGcfDfN3t+mh9HW/Y/a2jLEzdJ6R6MCswaFYiqYi1ab
O9iBdnyxOlE+4/zyXbG7KPB6koT7w21+mEQqAp0Eg7WGBMx9SJJDwuHPI3ooqlVWfloabaBr/Nl/
GIpWjBwNptVaarZw7AHuSEygrrE9Jrw2j6TGf1eDXf+HjSEBmKC8QFTx/FwfAd0NRwfvPR5ysjSg
U17yA8ta5q8bsz/uf9RWmQbgDSQCgEU8rOtmuZdgEZ27HLdkdEpuE0qDCfJ9mGtqSbBkYjjNvasE
jtnElE+K7hy1jrmTLGztGUnvhFlAexkE3/X39m7b0FfkSdfcMvObpSz+1GunPUCusoOmebuAPjc6
wvkcOqYXYtXqWhNqFtpqyUrGIQpLZoovgK1M5QH5nnLnRd3anxKdBhXQoP60Lp3DFhOai9exjxZz
eaQo9nftRs2nGtDHziRuRQ2yKwp/+1WCZnWbUFxshYGgpG9Lg9vE64ofoWirZyogBWWoZHnysjKS
MUW0s4dkUrAKrkleCXBpAbGX1k1Ze8oct+4p3cRjoX0rq6QG2uFOOzMpF+V2FHqhPMIIGqyxDv0I
6MmuqdroplAuQAGSH4lR1ufaFdPREDAvyJz0i1qMKn2KIdkJyjYXUkLv/je8viqdtpgJ2oXHRxZG
bdMIn6wPs6ehw2R2yeX+mdw8Dig+GRRxdPpJq5UsBq3VmojjnxQTdoNzquGAqIwmSlr0A7RpV3hx
c0A+jbDaJtZZZ7FKmgwLn43sKkqIwNRmrI5j1YJQRF0ba4094sDmVpWjgSqUt/bqiU8t/DHbUQqE
FnH+4sVFeJ7HMsOWtcin7Bh2pvIpXYb+06K51c6D8QpkWO8jIjk8l6jWA4aSC/1bE9/uoejrbkSh
kT7LjBeLgQrjUizZV/APqv5AQupo0jMInaN0iG1e5zzDsDWGndj0dWP7fdqoHnQHIJGHMPO66jDh
XYy0Y+Po+KDjvPsNf27RHpRwRDL3/ubY2oc21UiJXoSMvg4aRG65S9JyoYxaZR71aJlQOFPMuPa9
qFG7nbhha6V+H211U85VqpWpzk3ZKk50shvU3Mc0Lb63SZE8wqCLmChH81WlTHdkPbb2JKUBXCzJ
GBGtW72BAihcJzwqETjQLT4ZWnFRJwMRm3yuTl5Xxx/uz+vW9cLyatBayWa5Kq63RbQUaTErtG/B
TCtPhtliZGPa86we8ggqj9+YcyaCQRvirylr8Nc0m5jI3/8NWxeppApwJYOiRwX5+jfgZRUrdtaC
wZkX4wvOrd6XyC32QGO3qASeP1I8ienF7QC7y+thdJYyDTuKqVWFXBAKkXr6d9QKqKIKx8A4hHb4
uSgLqF5IZhZBouXxP07oNglto3ZQqB5GNFTENBXvlBKto0DrapxZhGIsw8Fti+VnPdR94eP5ioJy
2imhdUhtTMMPuqIV9Qt2rVriRzn6vIFw++bNMB32Bt1U6iCUlZAMWt2fTlNnbREyjRPCLO9HN+Rs
1Gp26nt1583dOIw87XSLsbOkOL0uqDZL4zRZTcUlayzzUDeVdSHMQvsJLemdvbF1b8n6ChEadWky
v9XmSApBRONSFYBmmpa+U9dz6C9RXv/EHF75SJs1dQ5RmhfeA/Tp1EDrzhw+V65RvaCsYrObrUjg
IG3Buz4sPCrvXEpl7SFV6wHb5q4VH7uZScXi1/TqndhZntbVpSvjA6TNZSvuRswT0m82dynl4Dwz
k2OtzPMl7+0/tTDxvqRhHCWca5jCO3flVuqOah0lP9nWl6CQ651eO7ndJDEZeGvk5ovSCSugCYKB
fEXtZPBbXNZwWRdj5rtZI47jrHgHu0VgjrOu/3v/cG/sFbJLKa9IdY5/5OH/7d0B+460FP7zPlxD
41cSj/pRa6SKajfOeC/fH2xjvl0AbmQrElfM9Xk9mKtQidDckRc2bMpnN+sNf+zG6ET6V0Ni04uf
hkWB/P6gG1/IoBTCuVgIB9e91tbBecNsFxpcosmDahj0B3NQVd/T+v/QD3IlffP1EafCv/q+Rh0X
vXPbDqGdsThiJ2sEI9bsx9CgLnL/q7amUh7vV2W1W+Dr4rqTVeS07UY9VU5AYXK/g9B0tmvgw7i5
xU+OGfc7we7WVMopJHUgl4bueL1+i3DtSJcmHO7QaL6Zpv3JlOo+PQpDl/vftzkUYR//8Czw7lwP
lQs1sfC5wu+j0OOz9B8/914tAnTG90B/W8kmXVe4K1BlICmsIehJolaAAShDlAknLUN0w6dJFB+R
tigCO5d6EDiqH9OkngLUqaODKrJuZ2q1rQ9GD1FKqoI0utFgNJ1arccQ1f9lLrrmVLGsnylaRF+W
tnb6gwODvzjUGa5OF7cb4T1Oal3Xh6Lvc9e3Fyd6crSJhiAVQPtBlK3lITQwzV/uL8tG/IMmDuHp
a4sfYeLrZRnjpsqpDbS+G08lTZ94ORqD8aVrtfwx9Kxop4q/MSkw6JD9ot5HcLAGnFbqDI7FphYF
YCd/XzdhBQMzjJ7relH3XjK5eVePgaTMIdeLwBBpziqoJOobQ2Oi5FA3U2gfjdkZAr01jdG3xqa8
TGVTCeQFQnHWjFk5Q3uPioOtWMrpzVMsbWcIFmBEoJaxOmS1HfdOMpFnqeMcB5qoQVnryXy0vKF9
qsom+np/vM05BkIn6TnoZ68RMbVK2jAtZOiGN9igzIjZKXz0jyP1gTcHJmQ4nsG9hWID98cqeq6m
WdN722jRGc29C/5oOXYlsXoqmn4P93j7VXIoBqG9BunBXm3UrqgnxM7s1h/UcjpZMIcP6hgOpzzc
5Yndngkq8IBEaE3ykoJeuz4TsUdnV9GV1lcL0z6qGKI/EDNjfwjH3dfncE9i7bUser1TmUAyAlpX
UgtrnRTEpelUtNH4Nmr8mK6OrlWdRqU1rcPIGXk/13OjHmw8mRDztnrzCR0DrzwizhJ1hzgS5BCG
iPLxEDplkR3rwjYe0yIc/07dQj+FYdJnQTtN2jNzJ7Kg1o34QxShVn+8v/M2Ll5pRSTlA0mpuOnl
Iv4WfISVMttqxsxlpin+oaxfPFROlz2UBXw0pJ77/oiAp3dGq0B98NxQ/WbVVruHTdnaKtDFXnnQ
bJU1szyuqr4r8gTTbT1OPrBLkpfUMvKDI+p074tlRXu1dLQsaBDijCQ1z+Ve+u2LvTY2DEVeaJk9
W+/KSVBeMPpUudR5fHDz9BTbpni27K46Rok3npDMO2lWuacJexs9SMlNEljw569Kqdc/w5yN0B16
XlcjMtG41p3hPOV4Woi2I3rP++SSmeletX/jnBBogs2mECiFIFarXZMcTXlntb7XupCBnGp+Do2k
exFehrgSioT5nkLMbZ0AsQnQljBrpbf6Ol4RjlpW4YQseZMrYAUadfZzobdHuoX42+EDHNiJUANn
1JvP97e2DJvX60zrBB12WigS6n89wZQFp1rUFOLmGEfUuqzSdy7eyDtB0gbSnQ+EaiUFF2UtdzWl
zdBlSzh5XD1mg9pEaM/Vg9vNs6wZEyJocz7rR0U6akcz5dc0UdLPoki0QPWy+GPvjnl1asM4Pi2x
4T7cn4KNY8UbBnQYZ1C5DKv3VOmSLNWTjIAmrfTPJnjXoxMBgAm0kHrfzuu9taHpvUqiCHYm9hpc
01A5p2LGYIqKEBs+JqYf967zvvey0G8UHm2LStnOoFsb+vdBVxm91VRLYasxnfghs+lPIIPoKcQL
ph3q70daQDvR0O125shKpiRAKbLWdV6vqiJFR2VsMd7z5gdwZ+2hCVvlWLXZchicSRwpYJrnSF32
FFxuvpR+BFQcikDURYnIV19aJ85s0/uHF6Pg9nMxzTYqoNm2LvZJ4TLXF9TEoj1bipsNRDZKGETq
Bm8SZNiqOxgucZrPEazhAb51cdYHo3u22hChO1sL927EzcGgw0i9D+qwr+H5bxfz3GU9yjsVECNw
709ZrlvBqGRO4DWl8/n+wXhNc68uB0R+qDbQSKNMo93IZM2YXxalOo9BggOm0A5TWHrDYV5K1Tkt
zagtR8EbXPHdxfyL7onVnaw8NbOD3vRqchSNCu2wV9MhPGVq2b3gEdrPZxw6tOgkgLb8vcTJ8HNQ
nRLYfjogIsStZy8fFS1SQiCV0ege7Tqa+kcOaPUOZZ4o9xOeip39erNr+E5Khszna8Kwbk6UELZy
xxpE4IVT/YdaicdIKPVzOuTOY25aezKwN0vIdSsBKrK6ZtEJlf//tyXMBtiUMWDCoC305S+rV+fH
CjWgHya6zztftjUU2ilIe5Ay0lJeDRVZdd4o5WAG+lDWH41CK556urwXLDeiP+/vlpubja+ii0z5
ApQuUPhVdDl0MdaJA0PVwzA9IfroBlq/xI9pjl0E5Xj9mRaluZONbqwcKBa0YZhJAC1rAqqx6K0T
VqERFKVdfkycBMXlEpXAVuDO2vd7BICtb/x9uNVJL8HXSVEEI1gKvFQuvRup00FdooZib4eW2ggw
cDp05tuBhUwuMDeqXLyewJON6y2TTK4emgOK42Ke1B8ZGsLfGzVqvuRZsexU8m8ub8IeJGgonfC6
4TG1+sZOc8I8kjicZl7UY5c06mkajH8XM05OxaToaLU4xb9Nh1z+mzcQAzsYCbKYZAyrDWRhWQwZ
utOCrHea4yJ05TMeXv9iZzy+TD0uf/aslcf7Y27sH/hYnAvpEcsdt/pY4dYOdV/GHENwSn7Z5f27
Aks6ZFh0sw1KzDJP90fcOJGvNWiqbtRO6DZfr2TX9LE3LDUwpz4yf2hq373MZur9KnGX2MliN3Yr
QgGvq8klDlz/eiglx5286FzixqpX6+LQt7QLPjp96SDK3+u6r7eu+0HUOFa//RvJHUDsk6eTQchZ
/+2CSxoUiQ1UDoNUM5blOKJR/I3ItnUOuVe0O7DNrQlls76SsvjWtZtw6+h9ltBcCCyxTF9Rv+g6
TOdd82S7ybzzIm7NKM1DWiMSK3MDaQQXDcd0trTA8cK2O+DQMT4N3tLiAgXm7Ij3AjVUkQ87zbyb
5hpHkmARPBctbcZdRTXcqkvatKaOMmatjA8zHaSLE0Y4GzdzhF0ZlDfzU0G0+rkYreHfskMw+f6K
bl0KwH+lmytNFH7I9YqSZTqW6BoDafRWEwd70bzhbFa59WeetSohnqiOMfSwoJujbk/fZuvzCelw
3aLoI+fgenBDn4apsoURWGFc5kcAdFFzSEO9+SPzsHQ0qzB7gg9tBwhajEBRzDcjzZh/GA00j2gc
yWf0+gdkWMC0OP0ZOAsaZTC6vXpIas+8KPXy5nIQQ0kJASkahEzLOjaItSyNHY+JLkQcBXnsDucC
uf2HAlz8zind2swMAWIP0Amih6s3RY9KLSqc1ACPi7QiDY6sDTDmNX9RS6nsg0649TQq/a7L6O2d
i8QOxwfla8jdsByuZzOyqjpEt3jhWhLjh4GS2BHEQuEd+NPpzxpF4Z305/ZDXdgaxMsOdDosn1YD
elHW2t3YLUGu6en3ptGfkI1RtEOmzhaBg0V2Ys3TzuV72zxzSQUMcPngPqVu3erITLqapyMibkFS
RTA1pnHSnoRphX8KM7f+yMM5fu6jrnb8uS7tC9A+AS/MHYFyeOrf90/v7RUJnpCoQXJ/WO41QXa0
59wVmYIyNWTuz6ozxb9KtTHf1WVTfrs/1O1ZJQiEfCxfVJKhdfSgG9FopG0KV7DKaEwUuneMvVKl
dtdZnxMX9gBj8g4kqfJU11W4s6c39hYxqNQkAc1k3tTGo9kpbeSaF17XNil9LOD16JBisZP5xmSF
Z8/Lqx1+38bukqAfIO6SNEOEdr2d3dS0R9gIc6B5eASPud3SaVC8Y5I7yy8tQSE/052P92f59jqG
iglXkm4weQvJ9vWYihED0WogH7ddknzJC/1DF7rVJ65D5aIhRHFoKW8FYAP2+LpbO0niArguyO0p
WV8PHBV5VnpxpgZ5q03nftKjJyXHaDbrs2jnXX+9f66zT4C9XE4uwgjspDX2D4ZcmwtrWgIDhj7u
jmgy0mdGgkBS21+6YhIH+tNOkOpienC0aP6UUML93BYielT6PHunN050uT/xW/sLqCWgR/CIBACr
Q91NRVohZbwEyYLz7SG2e6c6mCXhNIbeVvlQelaSvfntlVrkwMd5+DEVXwPo/4+6M1mOG8nW9KuU
5R7VmIe2W7VAICI4S6JGagOTKMkxOxxwjE/fHzKr6xaDYWTr7nojS4kZRABwP36GfyhkKcqNlZ30
bTvdRKtlfypHUdE/c+ofTbeU11hLBYlV0pD9H9wtpxEocipj6L9P37YlUQdBYsNM4N7ru7m35A7D
EOMzFFB91WUifSV4nFtdhA+2k4cnJFytp9erQS5OMHA4GUQ9HOaZIw8m/nCUcyhfORO2F3WyuAhT
PM1teAW7+SSlkrWTS2R356QuZ/0O7XyX16injy8/wDP7lEbNVk0hmUwmfLJdlJmXS9gXS5K19awQ
QHCCS9WYDmCStrgwrSzgreYaiVpa4MYr6+ZMYCJTowIgO6aoOu2FoTSuxh4h5WQVaxuvjVKXXjvZ
d4PK5DVK7kM8W7Pcv3zHZzYI6QTH+uaZxal38go9JNS8PG+WRNS9mzSum13ldu4dzNH7CK/QPr58
uXNBgjkoPQc6YjThzJOzfQKf1a4jRvfRYgY7JASCPRovGOpMnv8OnUL51XKRcl4M/m02lVD7rjP9
Y26n5YccBRCUyMMye+UUej4jx/yJMAE4k2YkosQnq4ssDk+NXiOxJAP7bRkZ62UwDuo95mvNd9E1
6d5E6/SmnLrsSwtb8bHYgKUxVGJ5sCcgPozJlxtNBLowS8QBX3lo20s4Xfz0uraYysKkp/B0ny3G
0qIaPM7QR2WvEqedpirJfW0/9KZjBIfAACJ55ZtCPE61UGKHk4Z50wu/fE0s+TljiidF3wiZJo6y
zcvq6VepCyTLGWwhjT/2WR/XZJ0HxFf76831hdIxb5yrxayWC79ZpmMto+axw5tW7p05rXYqMJpb
/BndYx609U0JFukzusSG98qqPpPVEABJnzblsS0zf/ot81EFRbOYc1Kkcm7hPrr5tb3I+poTMvoq
XRNFQFk0mkfZoNZj6iX99PI7O7OZgckhXb8JQmwIg6ffwFNBZYoWMxOREzquRJZWV2rMxo9+FWIp
MGrdj/s0WMPfPwJoAXNJaK2bHN/JEVBoZY+4x8xJi/tXdeg6EHs/s84x5KGxseK5yGVQ25e/fbOQ
CwD9w1YPaeOfbB9m4G7TbAOv2cy79qswluyiwItDHcOyknkswKCZV1Zt//bcn8cLzo1zgWMWQYiT
jYENnjuD7KId1JWtSpaiy1LUJ8wpjbMideRrceLMRtyE2CiEMI0hz7GfvtWyqGzYaKWVuBKBFUAb
U3nju0N7HY3LdweqwaEwh7e2EMGlm0p8G2tzeP/ys9422NNYQFMCDjGnO+xoJCyffgXXKVY0sKI+
we/M/kxzyMPL3ZPGu75Zx1e6tc/n6ICuaWJu+vNQXTkenl4sQzJlNFf2yWpPvbyuiU1N4lRZ8OAO
QChv63VZwkPkdgtofW9yo12f9oZ7PetavmbX8zwDAB8FEwkgLwkt86Kn3wUm/xqlvT8kQTEwiOyV
BUOPef4rG/f5gfj0MtvP/6MXpqcWZ+PQGcDGhKHAWCUcrvsWLTo1dz1KaqN7ePmFnrsge5V+EYo6
9C1O1pQu/MGb63JMTL+SF6G0gkujXrDwtuosTnF9unj5eueeI6at2+ukjQBH7ukNhs1o4ZDTj4kz
duJWrn3zwfbmVw/6LdCcrFMLeWzms3RFeF8nz5GuzIAFwzAmyu3qX0WL1XuEpcDbsY6QaVd1uFyv
2eDEZVCk71RpOLeyFXWihyl8+/INbzvi9Ju4CGx5xAjymVMyoEBB10arbExS5eODWLaF8bmo7eBK
WBbWOf3aFSR5dvqTfL18rRd2JrWgE0bDBpl25kfP2vPKcAxHILSJxkuOq5bso/Q6mPryujG1rxBS
MDpjt2jb+pLJrNqlbjt80mp4rDPtfOjztdqXbTbvpDUGN8xs9P3LD+f5Sbl9vc1kdhuI+qcsPwmK
oLJRiMH7ZGjpMKOIem/4MjsuRus4MWydAFDVOJVxXTiIXBIvXkkJz61HjmigeAQZipeTkzINGzft
Ir7B5IkhiLO0BvhZhP0rPdlz2wytAHxhgYMAhDwJH6UOl9FuxZgYhjl+VNIs7f2C1NpyjNZVHUZ4
wa+cimdvjE6W/6eBL4IBTzdakffuFJSgShujl4/OUMu7MFp+v3dPhr5R2AFpBGA2TrZzOxoNvAbi
VVNpc6+NNEgQlDMTJYE/vbxWzhw9m+g7z26Dnjwb1qec4lGYgV40xrA4ymmKEh+F0H0qovaVNObs
pbb3tLWQuejJohgQvqtycIMJCH2AaFD093ZmF6BDs9daJOcWBswo1gV6r3SETh+g1l3YesRfl931
Jvcr90LbgwkHXDrv8bj/7QnvJlnOqQo7D6zF6THGtKFpByPElQKH6V0q6+7YzUokVjemh5ff15nA
96diBIioDSlz2ofHMMtBpNYfE43KDwnJGm1qKgVmQ2N/YYuI9N1w5z3t4/SVPf0cP8QFt2Ma6OfW
D/JPspTMxg+LqcyQuEbWf2zKJcgT24GxYeU0Ty5UG1kPc9aafWx664oE60R7s1/IUOOscho8TbU5
fN1mgM6F2MxSkpcfzZn1xeiSnuPm4LAR75/uTbmEbc9sa0pwwvMh+lcPbeOsF6vwX4mvZ4LAkwud
hJ0+pa6eMtz3Vsb4c7KmMkMeT3v9K9235/UGxSE4JU51vMsYEzy9ocHUCmEqVrG9ruhEjWNHTWoZ
+841ujg0G/PO6DLvlYueO9xgmfh06ql08GM/OeRt2vSAZ9SYDIWfyd1qLPodkv+Kxt/U2N+NtjYb
rq6dpFjafIpz1AHeNU7b3rdqAWVE4BhKkpxUXBcUhEd2zPz55Td97sHAQdlGYcBa3VMQbdlape+2
QBALy/A/VB4oLmwDDPRkI/odBYzTmXMxfvmi55YX7O7Ny3eTFzltjJlDXxlFkI5JyGK+KDL5FfAn
DYJZvMbSP7fHN3yet/GxiMsn6yst+rUHWUR6EYnmwZfjl7Jr5RFZnObG0GN6SYcF+1zlvmZke2Ze
QrrKBsQhD9IGriBPVxw85FRb/nagIv7eJ3Xfybt8CUQUL3LxjrDqq11NKYZfsdVOF2itTMnUo6uB
7VH4mun1mSC+FUVMTEAtU4Vsq+A/svYctQoxVhZvue6ry7HoaUhk5mcddMuVP6vXeKJnsiYuR/n1
F3vglLloMEQYC4CliW1l473KYA7iBNR6e29SMw7C2Zxfi2bw7kLDlW+MEIui319gWyOG8TJzG3KT
p/drs+0gFUc6MQLrrjJK59Mippa53DQf/wdXYpDKJHtzRzkFy5V1mzE75kqkovMeeef1wvA7eSi9
YPj9RB36KxN/sGtkpKdthKJZl7LWrI08sKd834cecue0JGOsbvsLIG36J35VprHDx9P+/TDBsBgl
MMZCwAJPzWBtW8iyFlx7aAz/MBg6GnHXXabbkH9VO7cp9NXsq3D/8tM9s5AAzzB1JFpsFf3Je0Sk
BLsZu9OJFLnfXJQmvOrCNajp89SY7+fAmdRxtA3n/YLZaYk4hvtahXImgoDGoBXrb1MxeA1Pl5I/
eXhSG2mfsEzLQ7RU7wP4QvtptYeD2UbtZSjdLOk5rX9/ZYFO2DwQCeswHLZmy3/s2TQPumjSFWu4
yMOvnWm4R1DFLVOiZnjlFLbP3qQPcGjbMkCnT/KRxlzDdDU327M58L53UmdXjIbsYzdW4+WqhyzJ
hJ/tAitvPg268n10qABLrKa7YMWOQImI0b+aLsd5dhJciiuEkZcmAHZUOP0X1TrZEUCn/2ZCecJJ
MHkbv8LZiCae5zpdDVWusBTCKy2mSdTsysJXF9mCXcbLq+nsXW70R/pwcJtOcZFhmE0y6ieddJ4h
PxjzdFUFtb/sOpZYzHB7MXYTsPVb2p/qlWJnWyUnRTboIUodghLelqcL2W7yMOuCXifaTsMHAud7
5UhYITC7i8TL7I8v3+mZtIqOFGM22hjwdk+97QZVhBmJo058qPHVDjrjYMd1M39/+TLbGfbsrkjS
kYHdtDBOB/GB6tOxyQydmGqY0UAo61zEXtsvV21ovabjeC4WAGndDrEQ7pm9/fw/9oM2ZIFXxkol
Z7jLxy50u+bdqtPU3CEV6NwyOqmWeKSV4OwWqun9VHryleLkuVsHfhgMDxGTRpyTvPhknxiIKY+j
YymY/56ad9DjU7uIo7ZPb/y1ccQO1ajuk+1It74NMjgAbaVxylK2th5H7QU3sqinV1b1dnafvASS
WiYzZOpgDU8DFEovlaqcrkPZOphuNt0CNFc9fahFs+zzrkfdOBpRRHv51Z+5KlTiDUMUkVYxGnr6
NjK7RNy/NFQytr3/ebNcc+KsLJcPFraDkDyCNrous0E+/v5lEXzdxDwZVz9TbuzCbgQ3mnHZIjRh
82AnfVNKZim7yBQ1bIsSrAQn1Svb99zdAnphoENfG3LsSTLnmLmV+enaJmPjRZ89Zc9UDm5a4Bvb
ifZg6mY4+LN41R3mTNgA9kGGvE084dOclC1mY3VliKh40pbsrVvH6huFuG5UfV/oad8XUeeUceUM
1cWwuI2PpUIJ1xq7R2WDNM/WK+J6wSx9RZY0dvC17eJSj74br9IQP19+NWeCwZ/F4jaC5tWcZkKW
V2ZTG00tpXpjm2PsVlG+vIV1GK3wNdMBdZDfvyBhnInfhuCgkfR0CYIja2lyV21iBi1Ye7Lo6rqr
2vyq1p14rY90ZgWwuWhMbEuAJX+yAoY57MOM4z5J08L73Hf+R9mu9W2Y1yKZ1dgeciVeywDOvH2M
WMj0/uxGs+Cf3uDCzNAtcZJIFmmkQASrPtiVkVmJOPfV9FlF02tt6TMxdrOJg7tFnbDV/k+vWAvT
XbWuOxpX2VTCXyhWfZFheQBhNI+iLF4tI7sNIK/VV9OqXAOf3862v/32i0VbG0osI+ctpz551jnT
gLTulEqsGoDvEnRObIiAOJbZ8/hK9Dz3jANm21Tnf6Z4J4soqugAsJ1VkhXdeC+savlYmmONGH0Y
Hpu1zV7p3J1ZR8h+YUPnEbFhndtPn3Dg0tsACUJBWFnqnd+OswGjvMjmOPR18Ua1KRleOI6vSUCc
yQjgxAHbAEIBXet04IoWfeHZPaOqHAzMPvNzO7FC6uLffnMQZGlXM0twsCE76enmZpQHUdn2CVKh
cic7d7kq+qBAu71Uv/8gmUQxNCCn2q55kg6sctH16Aw6iRpPqViUIKtKKcJ7nsBPOD3BAYaB2L98
f2dWS+RuxFl/k7Z9BpjOCznKGlv7xPHz5haBkPlqdf1mVy+LfZgQ13ilpXxmtURwSUiw/jrfT55n
WJbYPCuu5w86+9WYNUhdDVqgNZ3lThVm+a6Rdvfl92+SOQOF3pZP0DN/ukSHqum6wZI6UbMb6D1H
bLFe8LSjazOfxCdd2/ZrDYPnIkSMHSCLelunbBMXPblRq/TyalxGOgZ21RrxFCzTcpjogNdFnKNt
VSSqN52PVh6s5aU10l49iEXpoxhNUk5XmakTR6707O+119TV21KxDS6jrLcsZPa6on63simn2Jud
9K3oG/Ej062O4sKI5M04ruHnSoY13LremYMDA+TqNUmFZ6+S7cAxDqgHyDeTpJPQSv02D2ggc4fg
UN4VnFPJ7HToSbXuelF44yOP4OPLL/L5JZFFpjfBhoev/kyPKFvBIZaN9BJV4Kt4jacdxmzeSL0a
0yjo1oNRkutcDUBrXksPn4UbJpoMXKhfOUaYnp2E8L4wQ4yehJf0hYQpKbpwTvKUd//Khtx+z5Pk
d7sO0ZSigOk3tsNP12ofAiOwVemhUDdNS7x0c7eTMw4vPoC47JWE49nu52LwTkAHciyR+Z5cDN+s
ZvPm8oBoNs67slfeTdc5uPVl6V7WA4fhy+/vzPW2fBMoLlUj+g0n578d1J1h59tDNFMbkvaaecvd
2q/TCoieNfw+choY3C9f9MyiYU5GskkGAMjutJzoVGtGi+i8ZJ3X9rNYrDlumT4wg1X2ru90ed1i
o/XKRc+8RnIc5sC0H2jOn6Zy0gmzoc8LP+kzZXwcBaCxi6IxPHyJWtEdXr7DM8GGsRjRhuqFlI6x
88misYfKbKvISYAFV23c68y9URVgwpi0o3hnhkoALbCFTX2u7K6lQC+MNxaOE/e5W9S/bFVHEf4X
S+0kUFXwEvDNfpyPdo4Z+g6Yi3HhjrluYzza5quhgLUU29oEtRikWhaxaSC0tuPVFV99WS4PL9/e
884zIw5z0/WlcbbBvE6KVDfzyNiirWgQuXkDWN+e4gjVog3Z2xVdPM3h4O2p7drrwes8tQsWryti
Y84DxEikE9QXL3+j5+2l7RtBnWbCQJuADsjTB46VXoafiCuTCKTZhExhW/YH/ARXYx9Zi82IY10p
SpoeKEI8dqr6iZF5ue60kEUOj91EHabzVdbFJij0BokNUUsWqOmahxwiQLnL+6J42yizwvfO8ZcH
+t1eixohfqsbTTv6sNhBbm96YxkFk+Xry3ydojxec8+CY5OV7ePL9/x8RQdogxMoUJyjb3jarVgq
BfFpadoE+h0CodKuLrpaA3BY8TV4+VLPwwREIAY41ELM7p+RRlUHMwMTazTXw254yEbXh0flWzsf
09ssNqkGX9mtZ1cYcy2KhC1DcOyTsrRDMLPewKiJrYtpz8Fe7tyqK/cY9kCqHBuINyo0wZit3n4F
sXHRYHKIhYzM/0Jg/a/H+X+Ln/LtX5G+/+d/8fdHiUJ6LjJ98td/vml/Nu919/Onvv3W/tf20X//
r/98+lc++a/fnHzT3578Zd/oXC/vhp/dcv+zR2f7z2vyHbb/8//1h3/7+edv+bC0P//xx6McGr39
NpHL5o9//ejyxz/+wMXzP97v9vv/9cO7bzWf+yi+NT8omP76Xf/+wM9vvf7HH473dzQaGWoAm9yk
UjcTienn9hM7+jsAHryttmnTRg/642+N7HT2jz/cvzM1ZNJG1k/aD0SMcNdL8sV//GFYfwfOvfXz
OT05rbeE9v/e+JOH/98v42/NUL+VEOR7vs0J/BXca0irgkEb3wPtN6DvTzf6VC1Fz+ziXim26WWX
oxUdm8uQoXUiZuOWc+W98qem3RmySru4bT371pNOZMRLJbMHYwq6Oa79ySzizvLz/AjUoEJ5FiVC
sTOCaKH7XViTiPsaW77YAO8rqdzW6YtZSQ/51rBYgngTxA9jjbfHB4Ck47y3VViEsWVm9bfFr8Uc
C+Gu6oapn8rSI5Mwje9aaa1j+g60C1CVahdMTW8dHDtr2hbRGASpjlg+tMR3WWm1vJ8WkVXXwkMH
SI1+DU3amxa+6tTmtb8LhiJ/37nC745mZxOfxmkci3jCRhgWUYlowxFFX5WhNVWbqDACZvvCfDpw
YjE2ON8L2zLCXWanxS86t+4X5efqrpzrxuFHUK3iMae7t9P9YMNsW1Hs3plSdupALkEjdulooMbw
bEQR26hXoMzRt+ZFtNTNeEz9onwsgrkzkq5dweozqKyswziZzlensNXHdujFLgsBhh3CNVXBXgrO
tXhy2+JYmS7PQ4U97b2C2Skjgiq08ocBAPqjlxYVRhSrWvvP+QT+5cE2jfahmKuyTApBuEyWbKwu
6wUQ+x4QpPe5yfX6LZhz1omRNQsRGpWUBVkV9ETR3K/aEtxTQUeLSJMAhEeeqKyd8qYLrLqKS0K7
FaO6uYpdaCsZ7RVOwG8AWnpd0rHqs6Q0yAbj2l3WmyDEnCNRUz2XF44zu3MyKktjFQH7iDOl750p
DkSYGrAXHJTWI6sJ1y2IWTjD1KX0dgbDrzRp/2yn0phaIybHoLnjZfZ6c+PsR2FcznKK9hZKqDVM
rT77adWNYcSdWJs2dixLVQwZRh+szmSsIo6EV6IVPE3hHY0UtDgnnFK7ZLYKnd02TlF+t9rGejtn
Q1Ufq9nIf4S9njgloybL92Pvjx9yiCb3kw5SKKVOWXd2u4eZYIabXGDqlArISKnSh6UUUfVL1GQ6
RmxP/jpcilywOmLShRJ0woCm106yw8tboyrDRxEOUxAPJpYux4zlpnehNS5vKodSai/WpfNumQO6
JgbBw/ilA3xxG8naao9kOpM4NFaTk2bUxohGfuB25mHKl/zKrsP5x+IXgYjVoD37kwjywjpGAYOK
C5hHlne5Lv1ydNpCf091FnzI1hwZxxWtqHcYJ45TbPgVkvQyNIAJ6sAY8v0yGPOF3drCjLshyot4
9ea7cM798lADaLxwofUCtw/F+mGaejeIl9aOfpmtKO+iVK3LbWCEqk86IBzvtZ1PD+aYdYQuFQ2Y
ftlZ9gmV+CAF9BrU7g71+/3QK9ntrKxgjN+aWXsjm0Kpe4jTEmUpH4HbfYF32IPnCVuCxh2dh6zx
i8+qBue3Q9jaQT8X30UZI6/lv518m3XnqS5Iqrn1RNJHXvlRwONJ74q2oHvbRV111ck8bI/rwvI9
VGHQubvKgJND7zOry6Ol9fKrlU4zI9gyBMPoHwKnlC6JaDPV92YW5Coe2nL6lg7wBoPKA64sgmwN
dihbLDkMu6G+LQaX9HfOekKe06jljUCQDs34wZzUwUMQ0t15sMVxK/bCwuRXg2mPGzcr+neb8huY
mtxdKFZguS1xgfUYo9Opr4sLMOP8nlqX3fh17rwt8x5Del+xm+bT9wjQgD74OpsfFXH+C4IjwXez
qa17v8nCg4MfYIVHJYKib6XXksnuenrvmP3ItCHVyaNHz5waL5F0CKYrIAUSaRcmkRtiqmim2EkB
/seV8tYLC/faaO+lLY9jngsa03wl398X5bB+xW2NLRFEYLR2g6hkkyDh0pNBM9ob9vPiGOJgk9CK
JK0GGk+TF6UrJhCGvl6H0rIQdDWnT7j7zSHgrT68Aiho9bHndUC+KTiQi/ozPfitHOg2f+w46n7p
pwnP08Tp/7tMiTHtS5nSXS5+dvmTVOnPT/yVKlnu3wFebb5QVM5ovm1+Yv9KlfjB5kUXUQXSDcWY
5N+5kuX8nXEpPFu67gR5JFj+nSuRRpHGAx2DyAeq1+RTv5Eq/TWp+u/OBUQ9jjugHD7Xo3OBCMPT
VCmoUORASSiuxk3f9Agbp6hix5ZmdLlW5hLetYFoMJQa8zK7HXSgaTrqqusvCzGH5a5r/QbbEdvv
PgRDk/dMiCYxvYmwghLkRbmy4ZUMygyvWo1oexTTZLArySdKiP9IdK8ZKHPTyA/QebviIkC1wyOS
FdK/dZt+MneLYG/BTUknn950v8zUalnY7WbDkhyXQGKQhqlkqWPU0Jxb18uMr6uRk3ioYeJQ9Lxg
uXX7SHzFpMspdk5tY/jX+HVrxXhXpVPsTiUHXhmKoL1wDY0Qs1tO9bpDC4Gyz5kYbyWLP2tOsAKp
JeRuM+UcnNGX/t4381buDIWe34XbuNWXKCjtOzfDrHKvRSXedKuOvmU0OL5IocMfbWoj19Yv3pDH
WYdzSrwMg+V/SW0u+VlYKGGCLJkQMV9skI9XqEAj1Eh3FcDwsJFZL92qWeR7Zy18+B4tei64jZFt
7II2CNc9B0aaxYU3hJ+k7B3rvSfx9L31im64ifyU9pejDdyZgKgM61WlUtW/6fvUrC7tYgh13Pp2
eY0ayKxj2U/zl0agFHhQAIqnPh7nJv0ks41cQXqQ1Rd9CmcpFr4qnL3Ke/UdrQqJb4EKg8fMb1IS
S3txP021px/MXEMgs6pSH4dQtWqXtU342Kfkiwm+I1N/7NYSbyXTqiU1eOjRZIba0V0XnmegvOoP
i3foCj9YkIvMsYk2F38MYuoEJ9jNFl/r6PX+vOn8Df2FlobxIxsN0IzzlOfXGO9k9wZCxb+Ap33U
OaV/TFfWJNPTCDWTzof5+2GSTc4DKtWhqqzZ2Rlrx/Hrr7bz2ZYzOV7pmsy1aVR49wPYMvKfYjAF
SLKKrgogXiqIFA6OHeu5nr/MDWCe3ayG5hH3pBzVXEdbdbz63vpOVb7Hd7OsvD4wqA9xuWlG2jGU
8d3PzK7Tx3SqmzfUWtb33FyL6tALCTd7CBRYdX9MvZI/8+krrSxbxeZg2t0xNdOhjfMlcmQ8zM36
DYxS+2Z0vIEsR3XzGpejBD1ldqkXxSFqviSWNuOEK1t3Th/npi3RwKeamLaCHZsBO1+t9UtVivSx
nhj9H9ta2s21Fw6iZenWbf++ETbIoyCN8pyJv12+3UY89+nSljeWATIiybrS/KHUaK8H4FMzXA6m
5l8KT/jvtK+jLzIIOB7H1kJnCnlhLS+zqarfqAr0f1xXSDSx5YICvXyUocCWLSbojm6r7OsK/NOu
V+FSx54jJ7FL57n6iMZHRk5sZ+vwsZCVeBiK7f1g3Ju78QL/00z8ZSLozbgMWNDdZ0hgmRMqwpMl
1C05QP3RtLka3L9i+bSiu5O9GcFOMtr2/aG872a3SxPHxBghScNVXOAxq6bjxs7SdJn9udp7xdQt
eCVJVySOUdVsKOXTaG9yl+5QlNbAbsoB6Z3YiAanTaC713XSjgWCuHkjsiEG67bdXZTTQwOgOCru
d8xve4NCO5Y4F5WxtYZtCnPfSf3DEhjjg2EG8qF2lT3EE2JrY8xUUUyJnuFlxdUQLmC2B6Fnaove
f0P3dvqO50J33c4C528ReY2Oy6Wd26RHLuueBTtb+yVlyB0LWMfTPl+UD6vVA1ietGw45vnOqicY
MQOQqcUP6cQEQdtmb1JIB5cdvNE1Xu1A3OeqHjVid+sAx1ERk5XLKwiXyiAbE6qvb9PVb+S1rqui
jtVSiGHvcvoMcbl6RX0I05p020/r5mseKhbFkAtEqLWKgvs+NdIVyI+PNRPmZRZNH3vGiic3MfLs
+sYME/rp+QcAsrqPVziHV2ltI0lZij/hi26b6phoapoxZ8bQbQ1XusvaqLVgk1YATCoMHvtYFnb9
Ke+ztEkCJN+o+viDQhE17k+I6UXGrhtKFt+YY+W0q5rae8h0VopdJdM86fxizfaKNLmN8YFxf+By
j9Y/p3zxEHqIWIL/n3pvmj6lfs2Gjv2ss35Mum7uhnVFAsG21uDS68ua+jm3y1/FbFd33ux7H20j
Xx+qwe4eM4NYSKtP+j+sfkDxb8EZ8tMsi2iJHeC/v1zhZcd5DeR1Za3r19yyh9sotZSE1UMTJG7B
rMpEqSqnoamkdb/o1frsewX5eB3IMqJ1uwZfUuVM9HIje70vc2P9VQJkvgKNm+c7Um99nJjaD7gv
BdEbF1VyknBgq0gUd7aiHQhbfox1NlqXlAismWEqfUIjmyYnx59Gh40y+h9KYZjlruzSYIQx6mp1
wBirhbAwd+ihj15p3maVyh57OqxhPAPxoyyoqiV8JxzIDbs+h1N/12vd0rgRDIPKeC6aOrI448fc
+QaOQWd8cNXWcD3Zop7frqjQzW1s+9MQ3ojIGiGPCmMsOFnmNW0+kOQjkEyLx2UNlMGcXkCN7hjq
RaI2rcvF8CrzXbeo0KJC67AqQT06apLSd9rbUKqwum40ytRxsBbWYxCKafphMaNSN/SiKiMhAtdE
pioa8mSB8+Fsn1xW3Fcy57sAsD7tHGjufUoocrE5UUOepjShtZle9gNNrs/+qg133xt9U3zQWBjJ
BKd3s7igvBE+mghEeWtXe1Rvd5GGbx1naz+mXwfX7Z09xQsSTHKQITXhGFWjGxK4KmCTh87zRvOn
KgljsUHfzTxSPxsoaIyg1TRDzbB2w5so1+nyS0ezWd71BIgOT+w67G7zkk7ObQrxPrpkDm/Rk63J
LeaNc9GY1QHUzhBco8kBfM1dhRQ39uhW4jtzuy5KMj3TS5sLD6Hy3E35ohjLptPFnCLfR69uFo77
Y5j1UF0hkbqUbwN4lSsY9ig0jg3ycOZVChJc7cyFtXuBfKPyD8pcy2oDl0hn56x+bn3qzdXOjwJe
ehWzkL35YzgWTRg3njdRpdGWUsEDbqLWlxngr00pP6S0xug5HBvgogtRolyAOKYm9aS9spgTPdaD
PoRqDPRFQ3d6ueSZY7+7mCOa035XKP2mIPBU11lhDz8NEujbcE6DrwHU+OBghUuZH6yu7+2jE47R
sp+avLF30Eao96SHt2iyrkEe8tBGedeGveHQh7DMdid9T4gbgxujj2g41hKHJNlzjKGA+k5MyIcD
FKOQpW6ZOcxgZxrDNzoY2OYWjAi5d0k7FNnaIBzOd1sNewSCzF/KMUty9yhvyL/LVTl7f7CVHcsm
K9ME1OtckYOMujqSIACEVt7MfsMegKjXcm5+dKM84j8dV32QLtn0YVgCZhLdNGFoUeND7O9bujH3
bbeANrBpFO6q0R9qxkfucq3btFZxT0oNHpuOjohl1w9bc8PHLBmOoh9eWZngEXeBmX02rDZod4Mv
SnOnHUbwuwa9XlIVVZrZWwc82HDZeDKfSW+XQV67U6WKeMn+D3vnsRtHksb5VxnMPbRpIt1xM8uw
aCV66ZKg1FJ67/ON9jn2xfaXlLqbVWSzoAEW2AUGmMMAajIYkWE+8zf+RC1qEHF+4gwFelJJHtNh
67suyS8gGZuL87yN6FXiFFPK4tUiXPed1Ue4WaqDWAkKzqprhWZirGUxI4OY8MvSlYJQCDQEvGcQ
1Csn/E6CoZms1RCHdI4VvGq/9WJOiaKbsPgelFFKOdHPq/grZUg51asqECQXU7Mousym2hSzVxVW
b3eoebdmnbhF33ZjRe3JKtV+Q9rhGOnKogBkUGTErcpfY6/eYlhfNb1zZ/KIIiSb6JFyjdacb3wy
aqmnrVcCqcRXDEy93twResZoogd1mbWz99/KAa6+9FhAzb9XOfhE06V+2WJ5/u9/1g0M7QOkHSq1
EmVUFU7HX3UDQ/mAbBF9EgDA0PaeSWS/eiya+YEqDs1WjXYynqCLR+evHosmPyx4KEQYFAjfqEzZ
v1M32MdVAPCldM3IQKBRF2EcShcvQdCWzMSglrARmrqUF6qVxae8Kp9eLMavvs7LPs6rQWgtGWAd
oD1Qt9APMWpdMSUCubt6NaTCODXqhZFYTf7u/VH225ZMZYEYoJzHYjIEuMr9qUBh5jgRa63aylfO
RjO6DZFI3kS9SDcFtjBHmtBUbl4gRX4NB4qCpaNFCjlof7hGRj7PFMfYL5Nq5U+J441Kn3oiJPeN
VSrTRtLZhEB6vn1/okt3+2Wl53miMGfozVLzoOCzP3LR+spU6gojp316HleBs6MGOq21Vu9Xc98X
1Gv0Eyw1p11sNMdkaPcb0T/nTd+dsj1IYol40v7o/aQmZBGMjgqjRW7SZ0C2gU6HdntM4uz1UGhJ
MgaIHApv7KH9oaKAsjLvWrcKKu7wAoEXChhN7RktcnLvr6n6TJHdX1ULNjwgDoOAB378wapmRe43
TWTnqxTHkYGbuMuQZrKCmwWqna8FfiNfbIUr3o0qHYO5yR66XWp02ReKL/q2N0LKvHEaGxfV1Pv3
OG+GxQr1seiHjSyyO4L1eRyrpFjJclQ2vmZ7sWaPblTrRBgo/eEEPZdN8zjNafAge7//ItQwuvUp
K+qekcyd6vk+HnMrLW2kj/BHqBnrUI5DsaG4MnuZKpXz0DYiHxchvz3PBp+cTnboQbhqLOZ7vJnU
b/5cd3LdOxF2fGqsjTyWgNN+jEVExmNWzQQwrmqC1qW5gHBCrCIa1Tv2hUM0R5W/du7bRvN/WAX0
P6+j/vTH0IGa3g1xg+wrHkbZ3VJDSVe2mhOi1t18F82GfTsZk7wL64KnJ/dNrBRaS6PhGqhSfI5t
dfpGLQ9H4MwYYvWk0LP4MjIHMaGCYKmU1towxd7WFEG3Muw+NPglBpUtqlujl88NPBijNcksJKX1
DoMYJXpqrBllNh/GfEUr1RRnnWMDRM7LdvpGrTP4rliiuuiTuOq2Sl2Fj4oRR7fKEDUWrCHDvJ1b
fehg2lrpH3ZE3YBf7igXQyyqSy2e5nVrwRCgnunk3jyH4VWNWMNpVmqyc6UQInVrQGpk1QTbiUd7
TNBf1tth008d0kxToRqz19cT1UBdnFRZal6q8O4IgZ3Y+cMBkPUpIrSj+6Whn0+MUlcX4HxCyrDp
TLARlnN8T5XIjNfMif4Dbdk6hCCVR08Ia0jTzarROEv0tvY36tTXVGDzcrzSmt5q1oiSZGugjtp8
EqKqtQroy65EMXXJSUtS+MeUxXnvjtPcNl4HiDl0p8Ecf/R2XdynQzw9NVndPwilngs3z2dDc7mZ
UXka1dJ8tCE0QBqpi77zYqtHNqfE1kwvkf/YwFM1d31Z29sgjPqvlCr161oB4RsVc/8DmaZ4FQwq
2mhVmCuftA6GwhGg74JPOLg/l4I7jzFiVZSIDtFDZUea0MoJSR+sP2NsAavJ3g7OHfUv1+nGddwm
bmOwHJ3pdvlNWX0b9LMG243KuTSc8zG7gg+xmvQL2yctW6ea2IxN+vOS/28X5t9oKb24m1/hVS6e
/ngKnppvBwHV8kO/AiqFAEjVaMZQZgBst4QTPxsxUidqopAKTHSxxSEi+KsRI1T1A/8t7Rk8XNDh
0SX3+5+oFc34ACBapasDXdGGCqb/5yEVbB5QMei28Beib2GiUrz/alHH62w1RFG1D9NxN9sFtZWg
zY88WEt48fdzZS9+E0wGPYYF4bjM+WCUhTAzcti93qjOuOPu+q5/QNlojQpQ6dby6Lu/H8QtAwK8
ZUTWm4ODXO7+gKOeTT6tospr4c5chVOJWqw1HBNlfDUKIB/6ZCZqkHzdV4D/OAmyYYonnH7wY1lN
CskyxQz5W8xn5rLo6NMxI/Q1iaaeVRNfUP9iSkwprCL4XhlPEb0Bt82CDd2I88hubsc4/taN6THi
7358ugwKyU9j52JtA6DpUBt1moOgHSjmeNJc9Ec6s91Y5STWhtCm80KxyiM7ZD96WsYDKkhHUId/
u8SnB9GThbmwb5s4ugrdesQFwloxXIG6ELTcFwf0489d98/x/fNIhPbGoh5NGkFusr81/KnG5TAe
gWUY4FOneXEvLLv0PxgFQSlq4nAJALYcnKs+GWIzwu3KC6uwSk7jqfIFm7FqxiMDvTpa2jPOFcwr
H8vQDnd6LJ0e9zyn9VIq7JBBkwSBD9A6th/pm1IU2g/KkMcwrW98LXQw0So2kG9BSvDgaymWb85F
t4jVazJfmxKzOxiBYpNX5THf2uVzvLw6IA5wwJDfXtQ3Xwubk3Ga3VARVeJChK4QHr47fwBd9P6m
ONjubD5uKPa6wg24SMgdQPeoOisBJeXEm6wyOUkWw3ktPc8eKAupP+sOe6DNl/vvjaEkBxqBGzIF
G8zO/v4zqDuW41jCS+4mdCgcg+/lYE2DEdCuSoAB/fbMyEmMhUjJsQIfuT9c1QwYJRMUefjCGc1a
sRFjJIyu0jPY7UL1Oplax7wCD74Zqwk/iI2xgMwlWfvB7asD9cGdkDq+RSi7K6Vzgyd089sT+5lq
ASJY0DCHnyykZUaht2CQcWh2ATaIO5Ct8Tr0K3U9DiTw7y/kW5NaLqYlhWGbHH43aS/XfSZij+Me
bTqrTNepA9j9/VFe7w5e4mWQRXaXTb+k0y8u+1xPo6lUcbgClJYCLxKYB4Oh9Io2azylTdT1++O9
MSteMLYi3wvFqcNZWVJ0M4c58WY/A6Vgy2SdquV4ZM+/HoVPRHjB/5Y44LDa4UxF2hsTnjpVGZnU
ppt6lXRNsXl/Lge3EtuOvUaogawOUHt0h/bXrjUdUuKZsqiNnLWr8X/XTTDHbqvrx6Tp3xoKGW9o
MFAp2OuHQ2lqYM2DlXrjnJpe2MnxplEdmjHaFIPZ+R8H4JmX98VbQ7Fyix8TaGW0BvZn1c09mevs
oP5nBreLeutZH9FnRX6k++29AIoe9ssiz8XeO4zSfEVtI8rwS6k6QBeI2rfwRiRh/4MJcaujd0+M
u0xrf0KhvjiHLRkKbZzmYhbKrF5qXeUHl0rulEfoAW/sPIInnnke+kU84eAqIs2sbMy4Mw/FWQxI
06i/UOBJ7t7/Rm+MYqNrAQ2Bi1YljN6fUiaUwZg4ot5Ql/Ua2aXPckqPmQ29OQjse+JndjpUuv1B
IALGoa8yiOgwTonyWgJOrH5Pgo4dhkIvzcm/Rjn4OqggJlGe1ZkH9Ck8sctUd+eWHkyqDdbN+6v2
emfDeQInAsdr8T449PsyBjFOQEMTzxh4el2ewmSVaEb8kNqdOPKF3hjLBJnPzlap6iK6vL94mH0m
2iBp6tJ4l2eJZeXn7RBET2QR8rcvu6XUyOO+lMMZ62AFBx/JAprfCZ2wOVkb9STcRFOPaXu9fihQ
1dK5txdTpoXnuD+hHExYaudW4oWQxPoLrSuKR9qAdnvW24EOal8TqX3kgn09JukHVUfCiaU9oB/I
XgykVdpQYNtXwpx0/YS6qkgMYwWaj1Bdr3+BO/8xVFKXr/Ii+GMzIvuA3QlKtPiTy0PNmoKvo4b0
gb2gQ97Xs/TSCbYmiiMBBIfJvhcDcJQtdO4FO9G3zbSe4lL5rDVl8wjgpjc9P+4CDStUzW/An4bd
leycTNDETsZ0K8uoEZtOCvNslnrw5Xe393MnwV6SXjgpysFq1XETBKrOczTMGdC3dO6bknRg9r8K
Wu7HJBpeb3DOEtk1IkZcdyzZ/n5o0H4Ya4pW3hBb7QTw29Dualm1tUc32jgmiv/GTgCwjKnu0pGB
XnPw/ml+FEddxvsndRqKowyXwl4PYIv8zSgQ2NbHYzf58isP9gINKZueFFEYe17fn6ASmHMoEhNw
hQNUqTOhuSuZRzd1FVXA6vByPnI9vTVHTi9tJgIWePYHA3aKbBpR8RxGAzIFdKMfnDG6AJ/ie0lq
REcykDe+H4tJjQjhSeRODsVO9LTXLcy0My8gS4lc0TblrZiqZBfLSD/icvPWWMtzCD+aOgnZ/f5S
2qVRY+qW5p5hNyNyCIU4y/ogPk2zZl6/fwje+GpwKZcceNFYfq6m7cWzYR6Yi+OLNztlSbU+se40
u1HWBUoza5LHeJ2CQjmiVPT6y9kLIZCSCYn+cvb251fYWjcDwuIswGu5aObMXwOPV3dwI1SILfKY
SvfrSUJuX4L2JSXG2eXgpAtNBFVoE6J1wzhs7b6Ag9FFYF/TcFBOYz8ZPwqtMlbvL+3rrwgaG4F7
5FhwkqEzuz/LRk6ysDpGrYc53c4VDxkomQxoKUi/94daqhX7Z4/7CwyoJMSh8XK4oHrsWGmfl3g5
a3nXu/Mks4+VU6Pfqedzfp8CaLmBEQ6qOgJYfExZ//XyUmhgvypMdqkPHUwUrV9dRmWSe1ZdtxdF
mhleJalZus48xJcAn+Jb38iMYzH+q3gL9wA6a3SauOiovh181QQjEnDF9AJKJ3N2ox2k544Oauv9
pX1rFO5QKKyoOi36yftfcUaof1KqiPw8M0qQXTVO5XCPNu+P8mqvUPLiICwrCOSft3R/lLYd6141
iB1VwC3rJSBzVfpUbhQO838yFNUUckVaTNrhQ5TOXQ23rcuY0GCeaGY7riTIsbUSi2Pyk2+sHQEW
zXPuMq6XQ1e2DL1geM1j5o2lsFzkZMN85dfpUTPTN8dBhmDZ/lS7DsOQQWu6GPYdiVEzlAEY5TD9
YtqiO9bXfbXRl69E6YQonFuZKGv/KwUCFwEjMDLPgcAAQQhpQeHZJdD9ZFTFbiyE1mzAcZXe+7vj
zflx7yGXhzUR8I/9cRM9NmIsWTKvNpzqtPZF/GQkuhb9R8NgAULShxbIoSwGfd+4tswh80hAOoMC
b9RDYqActn1/Os+ln73rinXEzYrDZCGPZb2aj5XgqQ2g0qObHNgTDPfgNqWf62ZGuisU/QR40zrN
IRLaFZ6MlpNrRw7BWyv64i+wDu4OJx0bqzNVEsJOmD1URDN/6ORsXL8/02PDHDx0ZhONU8Ph8np9
HPG6te/0rOiPlKTeHmS5PiyQ5ET/+7tDQyBGDP4Sa01BAisWZIMnMuEoRz7bW7uf4gNCGHioSOoq
++PkddQnXaVlnhFXpjvIUb1upDZQlSLiA3puVf65GubHkow3p4eSPJci0R615v1hJ/xRHFQi2Cxz
tHSq53h+SINO//T+p3rrBsZDl8SIIr2K5cT+MCZySVQsie98RKGBUEwS6HxLmUUOuj/99qOy+O0s
OC7mQ2J98KhoETSRwWBOooQ5NBdhCaMogj/52yeacQgiSeLRQXjm9r+M7gy65B26Qxk4VjtB77SX
wdYY6+hIPPd67cjczUULjnanQq9tf+2sYpSlhtEEOwFuZTw3mF9irIoBRZEdmdGymfevDkIqjd1H
75AqojxYuXQae2GSSiI6n/mbuBDVtqyn7Co01eIkybNj8hUHLjrc9IsugUQLjQhuKfEd3L2xURqT
JrrRi2Mtia/KNDWKp5TMuCa3cur2U2iUykNutU6B2YeVavdwQzprR8wgypvf3KOLlT3lGJTFFuW5
w1sL5cI4LIt+9BKrEpvIUjLwHKL4FOrWsYiSbXKw0ugW4otLNxgnLjrch0EzcmG536LzC0chF9yU
Uy565womnmweUYFXYlT37KEC1jBLAWHOI/Od56u6B7u1lTwdCPRRhr2tkjGJniCb1/kKPcKiwbSl
MC5TMq1rg56icZqMytiAPx7UcT3Vlv4o46Q1z0aEbAq3QjFl9LR6rII7wfv03B2Bck39cybcA/Hd
yh46hhwLTbeRZ8DxjxBt1LrhMioo91374IPb2AP96vv3mZI6J00G1ClxgziJ/K8SoxszW/NK2QNu
YgtoGgWqYtJjxL1Uq9S/+tqUwS8D1p7ln6YwERYGZIFQF9STXWdU4BzUc7MzvCPZBB3C6ouOTRro
+gWyQT48xdlswm5d6ZOwzrM+wU167Th1Bo0fGlu+6ANAioj/GA3hj6eATVLfi3N9Gr/paJlEVPig
EcEAzMc+Ut0ABl60QhU5ix/0UQ8lPOFo8s1rqy8cZ1f7dW58LLrBsTYorejNruUDa147FY6K7qac
4E8FMtfDFYLDcbWFD206l8mcTo43oBRUnvsJiMqrYa5TcSeCTGvO/L6t+1t7KnRjpUaqctoHYW6g
yjPP+fcK0YfvcdEJ7VzvoKdh9BGZ1mll6el8YcokrndanQNwC4LCr9fN4OTmI54DquFxDULrtwI/
+EMSVNlo3gSw6dy4knlwpg8jIgArioFh9CBk6GtuwKUMA0HKevqWTzrdfGQL/DD+wmkDZu5XRu7f
+D6aE6eqUWIo3yTaqH3ORjWK13qe1+bTWIfKM7MsykIg3a1WBeskb2zchcJ6VK5ReYGBhPUCVKg8
0aphnWGKwHzgQPyo8YH6XhcpnGsIHFlwoncKGsZOVVohor6WLzcB+NCrhoQ0cctmiMZb0OS+6gG0
M7IVyDSj/l5FvvJZ10PQYanJ3wYVqmx5CKoorzZ1kg/n0BgzaG7aoMwPteir1rXqqEOdyR/QQVIz
ghcX+dXoUas1fJDAexvSbQy/Q/2XImPnjSFkiXUqkeVbQzq39FWojPo3tc+y3DWcGR87h/ZY6ObO
iPxIbBTxVdPCPVG0JolWRY/48xYf4/HW8XO73hkKQsbrEBry6IWyKSTytrlhohRZVsYmLxXtexDr
6GCgb2L125lE3ACOP4/DBqO19rMVZ7q8CKbFQG+aTfS6gYCYcCgCMRXrOinU23KQWD0UsnCGU6tE
c8+rkT5KTm1/UqaNHHIcEgvSlLWWabDKctVsv0CXMdq7iGAYYH8gBjLexCQKogBc3TR5oaCekARa
61VDOIbUXiHeGm6Nx2ByWeLF3WxyIzEmN83sUFn1os/8i7D0baRM/NZuTgH0BZAgoli/nRMxhw8z
Uu98jDiOwRPCdRg3cavKOy7+8KF0Rv+au1tL1nljmvGdyMuc68aGUnIycGf+qFEZ+Gz0WT2eUTSI
Pzt9E2VnkzIsThrg6jEZiYnvoQMk2XdF89U7FJMs06WDtVBpAq0XW4rouEQOo1+YX/oCStmnEWGL
5iErJ+VaqUV7pcJxyr1BOHI+4x7Kr/rZ6FKcyUqnOEEeAfEqakHVTdnCI/aKTNg/+sl3it3Ujl21
deJOi86xDlA+i1Axgm05xanYggkKvuuwXEq3syEk7DKnMrpVm8doIoL7k/ZGjao4Pg/ywVFP5aAY
DwAmG5CKndQeY4WE3SbeD0XFYR/t6HQKFPsMllM2n5ddmGNobxSJWNtDgPuf6YcDlrToyZiDO8Ba
/pj5IlRXCZzA3lWSWdrrzB6G7qtPO7+6aLLCAsTZhb2+5i6x0Euzsmn0GhHPn9KZkhoy9Y0CM9YP
kjvATol6ljbClCeTDLnyq8DQG8/pVDgQKtytZMtd0mubDDkZfK0naIjqKhARJlCNPmbBI1zg5GvZ
V9oD3m+2v5GqyIBBIGbK3RDxBtTrsRv6inqMHlTXvkib7DZNkBx+CJIyCrZWynF1x4JUxM0KXbvW
NTTrPS32ZQw12dErl6woqz0FT0QEZiqjDle1nXT4etc4YF4FeV+mD2ae6to2cVIbFZkAwNgd6pHU
eIey5JVM0LTJ0MctLJuNGNet54T1ELptHwtlC7OjtT+LtAtNL2777lSKYBx2cubjrR07Upo1gJzE
R2AC3P1Jno1z8aOm2z+RM/XZ0xBa1vcKaer625gMKtCnHijBGm4qtOhyFug9J2VmGvdcG8iAu4BV
FecTtxWeENgCB+NpyRnVvWhqY5+iHHy10dWCtPYftMqsohvMlhSVzW7DooqU0a63S5+/v8Y8sgxv
MgiacqcWasmWhnUFDNXurTy7tZW5QBC4Ce2OXTLHUXFRh8OQnDZl7aQnKCw5QOpmW06+G5HP1A+5
aIFqQiae8biDW6qr/ZfWoav/ZOAcD0+1L7Pmmz7aI0co8kPjssJc4rss/J7HXnFa4zQCthG5OXD9
eQcLXURraOyGRNOoTZArHk2bFfbyYoyqeyIjiK9uKfLeOhnNVJW3MpkU9arOqCU+wCZugpuRle7w
qK+G9KpGE0rd0F4M+20cTHoIbbxLH5BmkdP11Ou5WDH9uPpKt7UNPCeZZLczIq1Sdoqw58Er8g6W
lzpZ+qnRRFPziAI3NTlNjbPaxSFoPouVebBPMEageD6qTl6BZ+1hpnNJKP1JjQUb/C4bQ5irZqph
VQ/lwDf3GtlyMN1QwX3jS5YlYtiqYRUMG6EwwrlEscbakFem6kWCRcPogbPOTLfqlVjbAEOJsRsP
Zm1E+VQk2n1v6uKyqrvCOoeibrbfSkfph0sZTAXVFiuRanMTauBHXMyZtHbTCqtUP1p5HNtbpZXO
k2gVpblHcGjIQceVjpa6YycQFeR5oiIqBK7iwkt8c1IKtx1CW3kqg2kQjxU+HjylUzbdPcft/4Xf
/hvAw4sU5hX89rZIvqdP3Usy0/NP/MTeCjL6hZlEB26xRzYoO/0JvuWftA9LLgkhhfcNpg855y86
k7A/UOMDP0qyjgg42FRSlz/Rt84HKsHE6nT5odOAVPwd8O2z8dbf2SZ6v8h+ImkHhpdW8QKz3E9s
6T1hAWKWyo2mftKrqxxZnU1MDqCdFdrZEOx05boMzqecZuvoZeZlma2beDOfShiH2A54c3ieOqdd
vi3K08DkLkXc7UeB3ZJn3NabATq16vXxR2u8xFsKjGMgr2BujOpZa37soV8P22Baj/o5vQNXkztz
Vl2gR8nEi+rGPhQI9DO8DMmzbTF6bW/fCrOEsRR5anxq5B+jCNrHZzO/GpULZz5pqqtUu8pxflaS
EtWUCzW5DyRsAGd2J57B4DwNbvrR5Sy71VVTnRoQs198/o8/l+4lWOYZPPJqRTUVpDG6N/SdDtLp
Af2EwsZQ+KaJjEejD9AZDqR1ps8wW0c4/a2zKshthwcxtsaFpWPTFEMKOfZn7BeVlg9LTRqCDkVV
9KtfwVlzwv1Sb+R8k4Tavdqp9rURKNFZoZ8ZUfw42MUTidJdpozCQ7dyqynYaxp6Ot0UsYAVpf68
IP6xkb7fv+HPASbA9qI9hd+qAhZwf5+BmtS40u3hptZQIuvKyNk0s3xs9WmbxeYpiDaxW/rw6//e
S78olu9eS/8zQ5rp21P+r5unrHh6eTst5Z8/LyfT/rDUAcGbktMRwvDRfjIDnu8tUFj0NSAOLNcW
xcI/LyeoAZRNnp1D6UpRpOHH/rycUH2iO47LH8U40h9Ib79zO+2XwpZNw1+nYHxlMgoX4lKvfQFF
hCFU9dLorRttVrUVWsjmovLYrpM0V3Z+3Da798/us6Lzy7OLsc3Sn0Kjk3vXwQNhf0CMrJwqm4v+
FqlL3V9FcLkhZSG7dIrSULeyB6mdGxWe8kol9ZPCodjYTBjMrVQ022izLjofHdGWC2Nd7vRIn75j
p/k5s40AbUOKfdc1sCwcyPVkG/iquMKGrxdrvcmi3RT38dMok0DxEHhSVqGJugisxPwUKaON6t9b
nT1arlLN2NpQOfr8/tx5bV6UHfnETH1h1y4S6Wj6H4JZVc3P/Amhkluo8tKLbC1cdZP+ONfqsa7x
fpV9GQmB6+dWvAElBUjc/iI7rZLWemtmt7kVtZdRGqg7qyLt8SlGI0YXlMVZNwTH+iEHZc6fw8Im
5sVdytG2dXAv62FYjHk4Zrc1fMQN2TRSfy0KV1KHrUUTP8HkbEg8FPDOc2v8NpnNePv+Ej+zg/e3
FybwAL3pYtNg4sztz1xRgqlGEiS7xQ5GuwyqOtqONir4tZFdFhZTDvRkWJfCDjahMn+C0tHtHIrz
KwXw2DppDG3dLsGniZzC50TiJjNJtINQlK9Ptf4HTtblZoKecZHWk3akB3O4P+DoAAvh7gbhutTB
D3ojwdzpOo4y4iYmdtcCrxCnGrrv76/Q4YFfBuHJZQD60SA2DrZGHzSViIJE3JhhBqjqO6aFW26B
7RjfPw/033j13yZ31l/g3lfh6qqgYsPD8PJFWH7i14tgqh9ooXDxE1yCe0OE768XgX+iVg79D7CV
jnzecmx/vQgqfDCsw7n08QpcWkt/Pwj809K14z5BuZ+mPjX4A+DxTznpfxA45he9vKQgxSNhBF/K
4rEiZD4EEaiopYZthP+X1mbKZsaDyhtTqSE+JtKROLHT29lFyXRqsD+acgfZ47RZGapvrqoks0p3
aBX7O4oWp5JuWOVhYfRRzdEz6Shm9a6TafkPrRBK5+KighaO0rUSCZCaol+F7PF5ZAKI8sI4kOc1
fObz2O6nh7LQCg1qcZ/dm52q3eVV1m07NKxOnSoaz/yxLCpq/3UdeRVZwHoM58tSBdG6+b+2p/vv
ddvV3/+FYnfzr02H4HWLSvaheOVymv7S8v5/Q7wbL433tvf1//5fiC0We3rfzz/yiwppfCAipx/P
VqXlBUfvz+1tsE/J1ehXPpMdrcUg8M94R1M+0ClCNZ+gBpodsP6/4x1N/UCcv5wVin8EPkQUv7O/
l/vt7wcCqgrNTA4J1togf4h4DrMxarcQV3xo11YSikuL6kPhwYpuxKof4V9t6K9g7CezLPbpLDjE
G7RuxHCm1lIi2JWbc7XWfSeet6Iv2MD+nDvNTh01MXiU2OP0FNdljBa0FlUET3eG+RqjltRaNbpi
lqjLhdrHvLZEvupCJ09dqU4kU2pm1X8EMsYRPKs6/dpv5jhZ6XI0kHRMncZcRQPagzIY9A4gQPnY
dGbxjUqi9RWh2OKP39/n/7+Jzi+NzH++lddNi8Di3qW8/MDPTavZbE0idDYmkBLoEWyaX0Kq6ge0
0ghT+ecF573cu782reF8ADdGDMvOZctTa/hrzxrWBzYxrBHotnzb5SL/jS2rLlvy7y1LAEewTAJB
8QDAOS8Ef/fLGJ22DhKKoBpXeadoZ9ZM1Y06wFagc3XezpNzGiHAfbacx62N6fpWp5eduCgfViX6
W5azAqzbneZ5EB/JODmxh38Yoh8wPBYpFYckZ/8Ps/wYybBUKtgolRXSY10GI6cZ+ENRVfMMYf+e
xdeyEksyBPcCLxyERuQSQb3IVqSC6lUzphqwIr/zlNquT2tdtPcvdsbHnyv7sr6w/wQCy6VWw1h4
D9ik+DBkD0bpEFC00QNYRfTlzlEV1FtUldH7Qy2Btwen4Dt0Z7WPsHOOQa6feb4vvzV3wELgg7pK
lMBMD2ZIz6jqC2sM1oiGJV/wAElPmwm5tKAfTdrbmIlvs9bEVZY+sisamzbSHHaohWEcdJkuwout
nttHEpcDl/dlRQCdwwDVESdY5E8OkjarlIGj+wGtUTSeNogYWCeVWjStm4t8cktnDq/jcbiKqq45
Kyd6ltgZhCe898pDkidsQNX5JLrMp/OA98oxGvNBPejXnweTDp4lVQz42vsfzJ4BDQR17lMGcuxN
m+B7o8SyfhqLbkT2N1EfEBUqFnm6Qtmq6M57To1OoT+axRk0g/anZcc/FmIOjwWrBfySO4OzCgHq
kMttzubIlV6H6HTaHMQ4zLp1WYf22ioV8RgaznQE6v3WrqHXtoAKEfWkSXawazSrQn+UvsHaqYp0
M4+dpS3OAcpNXeMbGuZRiI32MPyo+AQoDTft5VQa2MZoankq/FDcKShsuO+fov2H9vmjsJUXyQHq
/iBODv6msWmMSktN+heWaX2qWx9DUUXrVzLwxxMEGGF60KY4svSHVyWJ36KETc6+AHq5MPd3gtaV
OiQSuvSF5QdbW29oIhsIwb8/tTdGWcCohMqE6sgtLRvgxTWUm8gGRomf4HOB6I2Lq6HppZ2eXb8/
zKsVhOtt4QRLMoDMAejog2EirokkxjIKBej0otBCuUMCB5espGv97dxF5jYWmfnx/VEPMDt8OIbl
vWNqCCyAuj6YXStzx6hQ7SPRwRX8BPUo8UOqY5hviqkKN2j1Yp4x6amhrAZRT/XazwuK0fU8aINn
2wKBT8Hb2LsqyKYbDHTDcFvog+WB/ECAmxSbziFFmvIaII5VuZacx+sYzd5ztpJ+FaO386mijWqs
SwRtbBddruY8oJcGfKozptQtM4X+Or5o47ZjMtuGHlBxyTIaSID24bhugRZtKqFRhq5HDTuqgNIS
Dq2h2t6H5WheKiIb8g06Q8Up+yQmrLOcAe0FGeqVB6e5IHzrrPSmsaMUqWi1CrQV2JOy36Vab+af
xj4PTkoTlb6trk4GPgdzn35pDWP21w5soPvR0WCQ2InAfxJGHzpCvoJWpafj//JVaLR1VyJDZcns
ql1TOv7NEPnVfSpjy4syZCBW73/Tt3YS1xFuNpwOErzlxXuxYdMmnjWfxGhlaZlYFVHqbxejsrVZ
ddlKn9P+MoRntn5/0OWA7z1lyz6iRglKnN8FInh/0MH3AVgGpbHK9Npcz1qG2CBWMytNYOP7/lBv
zG/JWBkJLTdceQ62bNMECaGTw1CcCsAA1L/9Re+k1Et5yj6fNqYpUu/3B6UHQTmTu55G0eGiBkGP
lXpirtTCaS+SaUSW2EpXUiW5QDyho85VK7+/pibUFQJBIkFymINLtZB6KIJJMtEokhsIg6ZXohC2
0avAOnl/eq9eMWRBKA+RsKFzT1Hv4PZpYpkVaoe1YoOu9opXq94peRStY8WZL9CTHo+M97wJD/YL
8Fx4dIxHXH0o45ZaBgpnSWitMsqyGyeznR+0nNOvEe4ot0BZtEdp592wVYpanVe4587XImySB8MJ
uX+VBB4yemV2sTUHpMhXHDLlYxUgiIz+dTPtmlwgT/7+Gr2xxRePbodI0WSpDpNJv3HKQbTomORV
7px3XYQiU0nWZ5ZHJUDeGoqg1KZsTBcBkOz+aer7vkEoN8DpOgR7Ndgi2sUCB6WUq/nIl3jjNKFO
8H/YO4/lupG0Td/KxOzxB7zZAsfRiBJtSdogRBl4IBNI2KufJ0n1tEj1kNH72RSjqMMDIJHmM6/R
yxZYPQfAq7B+zW0wHhOm2gO9/UukA5C1JkSk24fkMfWdurygq/AeAv0/PCBOt7DjNAMJBV196P6x
R4E6LJbc2PAiCKp2X+UuWs8IssPJo3j09mv7e2qTRlBkpQAKNy58DcfNkemt12Hydy38ll2J1DGu
SmN/dMva3FmVqt+BNv8dL0AToMkMMpzCKyo/Lx8tzfEsivzG33U+MLfBWNVlxDH7zmT8T0+lmypc
SYsUPlkU/jGAEhMEEbmDtyt8QJiGVYxHp8nHK5rgAKEqGb5zPb6S+365YtlgQDWD2NYkoPDVnKyr
KCIZo5GiAKo4u7JYWhR3LKomYEyWqMVcwsnT3bDm4nxYsLCKx1n5GyA11N9wYBDlTZCGEWhOEO71
bvHpWHQFqsi71XBSJOpqrBu7YSGWoLLinKJNbXeE7ngF4QFQfy/Sbj3mhTP/orvTfcxGVdsHGYwc
37WTz+OhmzlgodggVrwPKllcLVvTf11K2jQ7I4Df1oHkyZBgHuovslwWP3bNDEOD0uzHn3nXFT3e
ARkNqtmx50eAOHYOmExDxGAQyAsyNfO726P0kvDqm/thHOV9xdv+VeVDepXaaLATkWxpFYe9QvWv
kEYLxUIGTc5isly8as2le/SQKk7Pod95ehDT9ZNHXUfjTuo6BXtaoCy+Nnl/BZwU/ePSGAMrVmBt
yQBxL7hwxqqDJ7dky09bSUqweeY39J6VbACPCfuOjGH6p67gYEJqna3scqydBWOudV0eQR75dTyI
0AUmDZcdHeK5Vf+grd6Kg9ockjlA0U19qAo5bNhBrVt1LJbAI35aHOVojCsb0oIa+XdcrYwbUUVl
Sf891bVgr2IIx3713UNaZ/yGuND73vRp/su3p5nnqopsPPTIh9/Ua52KBKis+Nj7hnggfgPOaqSF
t2GQvCGVPTTS3vB0MaCGgyp1cIlH5mlJMtfCTRzKgDLiSS2O9m5pzeCy3tDwPhuBTN3XXQNaNIei
M2lHs/ZcYXBbAtEKoxs8ZmV0lIs/X5hgHkESWW6+JiKKBoa1QIMzBl+UXvAGF7R0vBVt+nVrqhb3
JQOIIO+WDwIgKrSxizNejbhEjklk9MFdabaGQEmwCsMPc9h0Z4bX5j+oZkNpLzsnPcPgwF/3aD62
ZwXQYklxz8yuJ4xB7rgQ9NYFXf2HGceNG+Z10cVpLqafOHNF47Gi3dbGdsMhF3thKj/6fRHU+7c3
S920+2uRw1nWmrII8r7eLIvFs2pcqm3kD03vKFsfvdCwtT+MvoFlQ9g2sWPOMyLec099wj17++p/
p7ZEdNClQ2g7tDiIXl/una1tSehCnb0TLfZ51Ek3uetre9uFqyUS/EYF3H6Bm5hPRVUMffQRk+zg
I0ZAzS70xvlSWIh2vn1Tfx9VLGdNoiNUIRx7TUnEugFnu8ai4xGSYqBWU33CXA3Vxjyqr9++1F/F
P+JZYi/98LD+gZy8OhajqnNGN1DOjhrkDDtwWndr2bWXQJrcC6yDhm+5F7Q7PARcsNyFsScL6ZCC
DVKWMy45wbiyUYVue3j7xv6eFmAP0MYhB6YyDzfo5Xspan8erLINdmbfqUtw3QjjOL4wDl0o2B4r
gP1TAWK9kLWVYN8wvzMt/y76UMhnbhB5kYqD/HoVfm9oQBQo3AIeT6fsCrKfjXhdKs7aUVHpSf3x
sAH8iX2jCj7RBQ/OIK0OmLyZxfDVEFvz+e3xgDj0eqFQPwazgXqfQ5+D7vvLEbH6ZTGcycmIJTQG
Fs1Z71D5ZImxdDBiS8xlLTCTDMbxKstKshNbMJHoH5jOOQRG68e0UkJNoq0NzjAEQmW/qfOK5bXB
49nLnkgTQ7qqF2dk0Ox6bQTPIxNhNO56PBdFIjLHe6hG0zzZfjXbnMRyigA4Wv0Jzk+Gew9W4rj3
lLjD0dRgu0zm1fP/yb0Moy1zXfGx8yobHaVGjcVVbds0Jibbwu6vCSsElami+d9Fi6Iq6oRyXs4c
2uR+HACLvu9c6djxYAijSIQLrM3iPXx2hIPcuzPD2Nn1sgkxOPKKofkus86t98064t4FHavmhCsM
TOSWJMASpXMPThHYH6GeDfc+ZuDqYG1A50Z2YCdJlW9leHWs5rYrFr+/GwIqC/sRjrB1mkPb2HbK
Mz80Xe+3nyZ2FxAjC+CppIOy8QAU30nyhUbTUS0t9a9cDEO7kwbs7bjDsTRLFsDkXuKMUn1aOuX9
KLFQMo6ckHXzs5lWU90VG2WU+y3KPfuEEDS2XsAOShNuiAjGc47w4WybU3m1DMKfLrF8gLZfOelW
7dZ66dyzclayP665wn8h8KbeurYr6OBG7jpQL/rQ1P5BId1MDylj3BbqIf9YTECkY4Ed8Z2ZLTjI
+Dn9B95m5iP9OgLZ5/aFbtyaqWkfesccvudpOl9zZGffAyYRvJiq8B4Jf33YRhFepDEgVvEZaU2O
zBaU/RfSy5FaFvSBEs/LQqZn4ToXKvaHeaJ011QUDiKF8kFRDRiBzDJXdwNOPczSZa2P0IPCAReJ
Jrjr5Ix+JIoly0EUBTyuLnBGhJCHFJyFMpaR5nLLNMUtrBJOTG83+FiugGKSCkeeNe4xxpzj1lbD
A/HDYMZGCWUeP4aiWXebxr4c+rpo7pXTGc0enK5HoGdM4ue8Rl1+Eq4Y56RpLXtM8Misa7yJ+ro/
yjr3LssN/Dbw+iy0LyMcUwAOrcZwapE4GWOvW5EKhqDmHwGGF4Dct3kad0xCSE0Lfmb3udUyASmY
G48+QiwYhUXNEOz6bfCqU+dW+efMW+aTAVU32xcwx8wdfrsAfdrV/zKqEa0gyEE+IP2K3sIOUhsB
IjZKhanzV3rm6GSukinVLl9ng7rizlnq5fNmbLZMsoiZFtPi7I6yX3SMk4WfjQ5r8xiTOsxgzMiV
I2HrYN6PA6hzPE0ceb5sbvnTCwbjOhvMiZo9IlmPFh5AZoLCmfmlkpFxN+GPDpvMGI3rRjmzExdU
bW5Z6njBzP5Uf6nK0P882dF451ll9Wue/OlDnwnMyoxBrAhFu8N2b0cie6xVEKCnYo5oBEDEc5dE
Nz6xCgOL3+zXdu4gZ0sLWzgKcnJNSLFVD5x0WTpExdfAi2e8PiI0fCIbCZEMe107rRE5B69ufawJ
r+tE4iDUHKF1OV+nJq8gGVZyPQ+nWbAsvKy0zwxDTi1kurbSUnEFnnALMDEoVqpaLoI6cKfDRo75
KV3k/BnvYRzabb8N76sx884HKS0HbfNpKTnZt+yDNaWlE1uVJi7Ieg7rnZgH200scA/yfIBJ5p04
WPo8mbvZbs+yejGLM4GtmrGvpqa4atpezgloG59KIBrs1r73s63ZQUJKr4XougdUek0/LiK32Pa2
PQ0/HHS7iXWy0vg4sUtmVPgR50gUAzsmsi9LmlJLZT7MysCZF50eoz9GG/XOpMA67cFMbQdi2da3
UUKzej12hdnJHVavdLOysKuqj4GrWn8X4ua5QriKsl8OgjT+CXNR4x/edC9pEziNYAhmAm4vq6G6
461UwJ0MrejzSLYQCwkNEjfYkiJBDdg030fV6N9PSBsqZJ26+kdhIYlJ+TOo/lFmJq+lSd8Bydm2
vZRrsTmJSDfN9UJkTzuYuHmxg+Vk9PvZaaE49GG3PGa+jbGTTQT9GUup7bHPjXQ65V3LKaqQGGt3
vMzxcnGxSd4h7EfpFq++NdintB3moHeKOFQ6Thu70frc9Er0p7x1/Gxn2s2U7kpcjNzEqI2UgnBD
L+G5YPj/EVH/29aChf/v5vs9Htc/f/yvW/VN/Rz+xEU9/d2/gFH+/8ATppSgta0oVv8bGPUE49eK
j8C9AdA/gWh/N+HB/oN5RkoAiC3l5v/bgbfC/wFKQlsxoopJ/kD18r/owD+Vqv+dA+kroh2gqQL0
ZjXk/FWsWVtl31pz5f0MrVSN0d7meKGebIqp2B48DukKO8TegwcoMXZ2d8pe0B3GAj41HzM0/Foj
6eylCs6JGNZxV0VGK0+zVtT/UHuNIEHpqsUTj16lyoX2ie/XJeRBoAnWz2BBA/+mzpeg/haGnki/
O40j/Sv8tiQHJ/ooA7fiIvcEgd0y1Yzhce31gPO72WuaSytYJbeMrKm1XtiN05a/jGHq/styOEVQ
1LOQ+9CgXl4flicvw1/cygsIYHn4M8XqspQn1bi1e6rdaeiD00aXtZiTreDc+VWbGMyl7+Qjr/IB
rq/7ZHTNdRsYsc7XyM+tdMLBN/3iR2lVTlUkCpoxFgkooxuyPPTLnPVq1+cqc/PYcI1NtJ9m11kH
iHru5s/OufLzljy+6yQid1d0diX/9se0//Q8Y/5EFrzKZinMaZAezpyUjCGCMFgvBwlTp0Gtg989
tliUMytKxmObYx1Urt6Fk3rMpCEb++pbU3rowia9aIAHn0KjNDB0RagMjhZzac35q7agc3MBCV28
q5DwSpRP3ygULzJc1K7QLMB76+WNLs7ciqjdnMchtX0CLJDgoh4/yU0VAlaoXCU3ZwTNxL/RFmy6
dRdW22rcQhjELA4n7zJLmm0z14sml632oAcKmSrKJ6ZR3/hNxMGX2E60MMi2Ua5We24igMq3wqef
pXwnZX9ZHHUJxylk06chcUd0hA3h1fPkhWHnYEV+0LudTJDuW5AFeLGGrnIwzuyV73+tPDNV79Qv
XtbSn64LpBd5OQ8CQEgq//K6Yly7oDOc8Ee2str9eDJFPXzO3dRuqWGhr1d8xMtWUegCPI1s0DuP
/TJL15enyg1qCZ13kAjsXi8vn3lTYZhL7vwwiHbInbwZ7MI3tjBDnXUbxaKrAq9j64ND5DSi7mWa
yHsNeVEzKG9P/Zc1E+6EnpWLfJMGlTIar6VRFNaA5Vq1eM+S4Hr9sZMCNDwmNs0Qrcc1hDRv796+
5N8PH9JO0oJH9BQQnn/Vx8iDPK3JEvsfrj+zvx4gN2xWdSBbHQeX0lXq+l+hCNp43A54O/hfIXpP
fbSfgImI+Z2JoBfMH0cIC0rL+uKqZYFdYhq+WvnjnIY9xILlcekVuRm4VzJqd28iYu0ZlE+dybgV
diX1bMTZXf8oRDa+cxd/bUDozmBG9bRRP7GnXo1JFkF1j4QyHvOiDxrjtKhcb4jN0uVDl4xz6W5Q
E5phtUVME9thbLzCzEdYsn65Joh49O1t1OQ0qXfSQ7X6ppmKdnh8+829EndivQBlAXWHxiXsTOpM
r+Ytd9YSuU/ia+B13pNrNxJuMk7TEcmLBKdSg62dNOFpDdcww2U8Pk1qYQGhyjFmVo4vD+PsvD+t
ngAQf75KWslafppOHLg8pvOrV4kUyQCOphNfAfUUxMfOUIXuB9vKHbTeB+ptEg/eqd4empxSQhCP
cKVlnrDtzP5Nhjaoceobt9weegNQ9FVYoK2PCDPo5jo6VqOnN1Oo6pF28J4oD9yIvqy2B0SoKyrm
Jhak7JkFeyXbaddGOb901p5IJGyWhZ3W8cqVH8NmZircCW9whoMfjHqnrdDCIMCQT5cnPTVWytfd
UvIVHcEDd14YrY4NlPCa6ttCai/FIaJCMd26Trepyx4idx/XddNr5aEspQ+cYfmUfWnDNnUfJnOC
wb7He5Q4Y5JtR4jy9tx4vZEw+gGNSQifmtNJAfblloaOUptZkai/bhauyUTqCO6JAXI/dsxnFG1m
VtXbV3y9dG1ofk/tLaJSTpDXVxxg/CMU5MxfnG3Uk3GGI830twcsWuXBn6TnfyUzJDuPZ3tUQ/aB
rnrAPH37Np4QU3/OO9QuNcsQnIYNhYoo+eWTb840SoPc8aFxW/JzkpvRM352eE8QO+QoaZBPpkFX
fJqGMCM+ELmHekcWKhsDNmBGM3bvys7kRY1izu3i9DX1OOCa/nSjQgMSqPS2pbtgEpn4vJtuijyd
m/qWPpqp/U833UTJCWsGEnp9Tk/08D/anDoC99+qd5bpnT7t6ygEzEhocujx1DwtsIBXu1VFAbud
5RDcT2NrEsR6fW8TxKJVxrylPOy6p9yaF6btAuiPH5l6imxhsOop7YzlbKPkAs6P+7VlQXJ+KoTt
6IBGboNpHWRNpaQAJLZWrDp80XVMba1hw+pE3YJl9M5LfFklpuUMZoxtk12NN2gBs3r5EiXp7Ibs
gn0fKsBGtNhEpm9AGQ6grt/rmEIzLH4gLIte4uyVekvphSQsRLyCMN5aPP2rTlZD9a2OysA9FXOt
x0HSnPKvUhpV60WRO/oR16zxhwOCQz1eIWE/IVCxEt3xuO882qtYh0ejm+4CvwQlSp9bY6X/7OAr
itZBjbXivZNNeqdSvWRqbfVWdN8hhVQ2DTPVye0hsJGBQpgGd0ReyOI3dbbut8a3VAamxRjne2Il
EIPUgEqH2efQ/St/tYURMcUwUcVcjEoB2+apsHUJJlGcSFwQe2CT/yPHommEHoDLUCgV5BQhvHos
WRJ5ZJe6jP40PnorrL69PQivdifkMB1OVxCIdKroib8OuKx5c/3Vl9TSsLNmd3gOsuw8XLBcI7PM
s/a9bUEv+z+2BX1JZMzoEHEsQft9nXiZZUcgI5bgbhgR8/mmVqWYUETqjI9bCqTbKI8a3YI2du2s
DHhNXYYEg02PUZppKatPgY8OZXlIlRuyGbAgpxskNvnU0hgsfCrlHFS/X1uGhhFDuYAYY62wivTr
yCoMOuzEKAuLH9FaRtON2TUdd+JVFWdT5Sudp7492u4TXfTlw+tDgE0CZic5y+v4mthpMDI6K3d5
vvp1SmG1Qhc9nc20vPLtDYWnvcx7X4S4NthRCfCwp2x4jhG7s3ggCXNpXPRZY7gfsDsMHBR+uiX7
bgL7O834P4O9DFrKVyBDtv6m6fym/zYjjDN/dCfLXKjMlaAl4c6T7Q3jgSp0OF31uPAuXYzNemNd
4oppRTs0oyIrwZAIFae4W0KJY0XeTj110WypJhbDtCHXjMiEgXR9eYhsNPdu/VqtbkbjyBrn8Sii
ObdSsq00U2cqD8ijkmCr520jrWUqCrpGazrGchClf8BuBmtlr0Fd6272O7t4wAQGBLfjKttKVrKk
bo39TA3RLipsWJmZV2cnEGHYfnfmvF2kUWuClp6tHNIkSPPc3Iuqa9z7FcZ9ZdxHnbksd8hwOOqD
MajWuOHECMYfXu/7/f0WTFnbIYHYWflwHeGgUWErT3XjsKEK3XSwvxCroT1J1VyGj1ZThu2P3NbC
dMBd1Sp/RqOaZ1MDFugznhQ2xV6ILJXp1f4xbRAJv6JhauCENPnCHur8Zx62jmKUFyA/vfthczrq
tYfN6geRXwPjU765b1tXiOBMY4Tz+rL1lgrdrnLCBmu6nL00K4pD6jbz6N2kre3IM7908yw8MFd8
ByWuaTM51mtgodhBZ4brS7XLUyRP17MZ4ZG8OM5Fw2mTVNHsssFOohi9zx09FW84Y3LMRprMDmGL
dTUKoq4oVjD2Fx9JhSDgh3r+pVEUNf/2RDHpk60bXPm4jTKyp/PS70Vmn6zFMIIgWUscXYPjglxM
U8eeO+lz0QQ9wuPQDORQ+bakK9oXSenhvJB9XJFbEcEn9OQgbhyCyjFscVaNaxROH/3S8Qqa2NSA
2biCXnl59YCqWmpsF65bD4wU1Dy2bNB/THHvAoxOH9SX6DUVVv2pBLgbpng+shFk+66wEDZM2LL0
La043pr23szytZA7U6DmFu5aZepSrp3ZoIAPTVlH0f2YhVImPdkYI2uHY8EJktCm0F/C/ROyxFLS
ULF3bo4zqJcgMEUF94DBtR4xmo0VP7ohV8YtXSi95bsI+4VBEs2qYwJs0Dfo/KGbx+dAeOhHzZW3
MXySVg5jqqIh5Wp1bpGRtagP814s4eJt+o9VL3qcWzcqqSXRJul5FUZbhbn7U0oSGgmSBbniIJlD
NHIkHO/cw1+FKT/K8UGV7Vi0jBemmd0xHzegex/CMtC3XLhRL7Zbn5nFFRz+ST5iA68nmN8b+s17
8NLkYx3Ra1C7aQIlSAmecjY87tPUDlxWI1b08/S948hHCm45v/PgRvq3leciBZW4c0QZIkZmDo4N
NgpPsyfdQBaqXVAi0IgbkQLawmCMzJo++R3jRt4G/pNyDR2uD45Z9Mbt76E2nj/+r0F+/hyZol19
CGzRcAMWuI3psSp8UfTHAkFCHhoYz8JFMtvJCvOWclnWRbH3/KIw3aQJC5+LnmZ21loRvuE0XfJp
9T9GzdgxSpPd1HzEFlR6+oSqcUqfuzJXHfRmDaAF1miQmcgYPY9gJ1hB7GvPz5RDTIdiKrrWn63T
Ooa6lmY+v9rn6eGnVc34+G7BX+w9cFl84+KvOYObWb2+TI4bAr9cO0T98vvNKNxRnfOkjh7e54m0
jevIXfKQ+lusoh/4O+3JwuwaVK5v/XlADTrc/E9XO50b7A3Ta6vybIMbsIhjpusq5n4uAP9Ml1GZ
6TLBMPN+iymwJS08LZSGaB8RKw/fA0n2Pw7UsvUXglXnhztlYOwSBB30cmg2T99/i2t9Pt+PdVZn
xaHNQr43l46VOadqWANLoZv4NFeKcohUcPw95FEJXMzcL4VT8SWcAB0XLwXd4OI40ZPxzXsiNzi7
OyEN1QJ6GLKUi3tl3pEyqZqW6llNeY/6Bq8pH8/w7dXLeeR85XfVOvpleKgIFpf13IkG2uUn5XZm
g+R9RAMe4MKQUbxClGXk87mS0CpjgkavvoI4yX/XZqaU45mzRV1FUsuvr6ZKpRQF5r7k6haahtOD
36YLWUC6bnruzxFbeXlYHGmzw+AsVaP4VTccsSDojDaF4Ik7Wb8tX0x/Kdlvsrqjd3b6XU4uFRJr
5WHEErgT31d3QOH+JMqc4Tg6T2tGdmHNgA2oGKbbAwLz3azupTODXzmp50dfokyrmzoCTDlPVGUz
DAh/My12OdWjRIAExiL0rKG6rKf4cxUvHKqZEbBGWz+vKgqbHz0TnM/LgoKcERc1Uolf4blV0LUp
Wax+8wFR355P+HhnM6knbxyYV/g5kcNulod0GpRm2af2GTa8G9+BBKOuU6Wk5VSNpOdWVO1SqyL1
bRpypzZRNYUJ76KpfL2elDsXFOEzZCTZKh0fATjraljZacoDuZ4evLFAkabZ22NYUYsv6zbjz/sV
RTzxZSY8S43zOR3gdF9FDnTwPO5GNiyUGFPEya5dis5rul/gIK75wZ+FBw2d0gX0tTigCOR/dTPI
ITLmMETiNd4Md+OpgCroYwMjAT3dUMoBd7Z7HskSIHd95cDzc6bzefOaNLiutnE2boGaK6oKmwCB
8ZX9lvllzNh1rcfSNfUzpIDT2PxJL/UA1gXxKpF11HSz+OpHay6tR3ep/frK96VYUfmzIc8Zv+bC
Kpd0z4kGmyYeaqqwSMHXVtA/0D+gSw3SQ5ZZBuwHrbblhpa45cgf0QQWxP4ypCGliWNfoaEH3hc8
T/WwuaMNkHPkdFhI9i2rI6bUZO3RAsIQNWVkJxO/NHCmDmY6U8vu95M8v0spSgqEiefBguaxnrab
Gls3plu0Zno3IfrXixcQj/5E+1RDTktb/w5hAYNPrNmqPwgQ0uMTZO66wg7lRLCUM6LF9GpTYPf2
JQtVr8qo0f/ye8oSU7ITRVq4hkL0U1VWb6dGlvTLCnkwtuzeDD+NeZCBwpzNlhquu25pZJ/NstWr
PDM2XQ4c6BPxwyUsU2dyM5nfrkkV/Ioug75zkDD86e8LeX3EkYYwBi/7OWNri3IL4O6hLeNeV88b
VvVcaJRgFZkNRi11EXLo/d51d03WSG2JI/FTu0WfRvDMaqaLN2HZjlBgj97pwjWCCZ1FipVPCw6B
Q86ROPVGvcgFKnosyXZe9JwM0s2uitjLh7Zp9vhtsxoPzwNC10ZvehWcBL7XHSyjvMjp8wfhO4Wv
Vwk9tRz2B2YwPB5I0X81gXIFnYjukn0LFNrnroMsW1gNc8c2Kw1Xr6B6ovCSA/WT+t7fye5eJrb6
8r4u32vmMzjL13XWfsQLYR4CSlXPW2PJ9sRdkAewkt6+1KtWAavJhFzBtShZ8d/XtNs5BB6fEkr+
a46Y1dJ1CVwO1/2IvLWe3ZGf65c6FiVvGDkYl1f2e3N8+15elhA8OB5UhSy8a7UJJfPcfllGSSfH
pnxbZrfYi7KNFR42hPIwDGHg7LeO0Pm9cf77grDUKRz4oCgpLiIo9aJug2AxsGc4dTcSdQP/a1Zx
4p9Bm2Wb+72y337A1zpBPCG1W7xsUEKHd+++LmQudelmrar9m987xpxvumiPzvTqeYfFHcLpUAII
6a/H2VnLXTO2ej93erYGA00zDqJ37ujlTGfMYetDraFBF8EdpWH0cgjWyISYtzryBs1nvahm4jrW
+DKi8CgPRTgVvILcHVdWZuRwOBBagNbjRykcOW4oP5DZH7zG6TwzXtha1oStXvJx1kdqXRWrQz6J
deBT80c8b7NvP8Tr18iLQ3VJG/VSkgUp/fo1+rlU9mLA5RvAxnPiPQVCYvDa8XoFduW+41r/n67n
oW2AtiHCCWhbvRyzAH9bXrA5Xv0+9pYsl2hLd+ysXdwPRfZfldY82PCoPFJZZONmqf61HTgzNr3t
VJRXz8cSQbJ+G0FVsy7aQeoD4+0B1X2cf9eWqM+CemeialAKzUP+/+UDzuu2FP0Gpi9ojb7ykqBp
Auer37Ng3luCf1/qSTALtjQGxbQa9b//wd1pUhssbOZnp+dQZPKojjCPbNnw4+2n+g3F+OPBqBWG
iE4CkHlqD8PNfHk106QvExT5cOw3GwWsve0tuic+mq49dr8GAMihD+8mo7YKfjjdyBZj5WXKai44
rRGqQ5uqElR+Lm2X2oOJqDIMm+60Eht43VW6FJW1rAn8l4EwRcqGNKgvMQKT+6YeN4S0zc70BwD6
vUep7dJZrM7xP0XP/bzKJxlxPqZtY8nlQ5XlEwhnghy/sKiJlEA1TiQaQdHsaqMUvIrfAUpg8Gd5
XD2HFUToIYeF/7SNPaca1Wyydc95Y7N1kxrqMGCebGxOTp0dkie09sgHCLH8MbhyhloHc8ZzbCOA
MrDaTRFaWxFXg2qsLW6hG7TFzsexoRxB3z6XPCTHZh7/DmSeIig6azPju8lQH+KBnKgskVtUPjJz
ITi726Yiq5jOTboVRZbUSwPn5Eg9vy7re4ewN3Ku/FVFrjgrfRNeDOK7U0+ddX3Ow6J5HQAO59WI
7PANFRjwvA26AyrsUoxEEV0zm1hChPPsT5GMRDDvMwkDU0Ixiaatu6PfoDtaxIC4+151aqCJcFcI
qs1aOB9PkOiQ9xLlhKSxCDp/raSeQ3ju+ctsf7W8ZVXhFWWzVFy3UVRW9r5ET8ckE2bjwIS9VznI
l32L+rMf7ubF3vo1Ng0qE1NCaAbGP1kRUZ4vq2hQwwaNpJwLsuko7LU5LcDko2vWan70zaZa813q
EnBD00Gkuf/cUnlByTR8brn93osgGkeZfxk27Nvloc1rHxzw7ziLwreOEwHb60PneWrUT9FgG9QV
KVsfgcsQ8dSbfmOxk2VdwG3YmItq1tEU3bGJd+EtquxGfWgKzJxgXGXzrbeiS7hbizk9Fu7knArT
2c6afplOVDK6m6DHQGHBpvEKOkJtUjOe+ruUSY2qj4ejBasvfyx7UX9GRbTbLZGVkovWjjqS7FJS
slvvIhTmV1Sx/bidhX/pzwVuYrik8XZNoz+UweLuy64YP25lrcw9Ubnah6vp1MxYv/meixERWldc
9Ch04wY4qL03UIIGDpGdpm6Mdnk0h9eoe2kWvCh+FINMd3WOHdbqoqzupThHhWCCD2va0gVuhYfy
axWucNWgghxmvvIsJB977JHeOIJSSn/IqKqPOFvVyMNGpXfIS7O7FRBKtrimRDOgqdJl98hPhN9q
A9JI5IzNHSj+Ym/ayjx3zSgv4s4wnEuXMt0BqlX7cyiD9JriIcD0XDnRD4tWD/mMJaybCaZDcRD4
jOytoVE3w+RScGArgIW4jOfO0EM18Jo5TNIgSvPwcwGceT0DgTB+B8tbWvtuFPhpZkWTr/HkeOHP
UHlBszNSoz9vIuAIO9dS5fUC4JQ8qekuvEFZMknDvPtmlgMYcbwdLwbf0jM09XQPNZvm84Vw9oMZ
VNMZ1W/jvKic3N6F7H4/rBmMa7xtoQXWHFzhl1nI+ac0DBxLgM1+G4ays0EUCOCD2zYwc/Na1DG4
nX7ciW2ulnN/zGQWm5YorlYrYCMmpUqm2amdcyTjanGO80l/sMVoX3h1s8RUeh+8ef1ujml65Vos
n2kY1Y7SooYFL80U7LA6RgI/UO2VyN3+yyoWYjKT9nY2xGMFBgJP9iLzBCrCjvuNznQXO3aNSDGF
gtg2G3W9WG11PeQrguiVUtm9zFf5uV9EY8dywQsntXpRxgjM4X0CtzStWHgItyXuEs6fInvAEaPd
EOwsG7HFNHmahxZGQizEZF1HNBHOhN2Hydib6blbtO63AfQ40H6rRxGdgisXTdHuGjWeHk7nJV5u
SMDUVhV96w2Cml1IfAYBsxzkJ3/2qwMbve8nEdyOk7K6/BOoOrAdc97f2x32ZdO4WMdSTP633knv
Z/Lk+w0l0/AohbviNdJkP1cG5JirYBz3hIHrreojL0XqQtKxrTIVm/k0nWFmK46SOBQTlmCI7iEg
RI84qTp3sC66xwmzwJ8jE3w3BZ39wQVYcDQ5KXZykeqW+NKIvbmdLnEWqb5uZtce8QpIQeZQTr7K
V9PlLFvYkcyyCKkHeUC5AxoziRja8lh5Y38Ptsfh/if73DJb51D6zvCFupz8FLV5f7LWOrptmn67
yIZS7hf8gXQaDHq9dU11/n+oO7PeuJUtS/+VRr3zgPPwcOuBZE6SUrPSsl8IS7I5k8HgzF/fH+1z
uyXZ18Lpp2qgcFGAfcxMJiO4Y++1viV7c7yu4KfdSwyDz0aOP9bXm3m4NOeSxUNP60ozuv58ks54
IFTVqOnbuBX8+tIMOR6jsKTt4R0WRUYXUZTIm0V3kweX1snnZnGBo8ZJvGexOcdFUzoUh3a6LbzI
umDCrRlBV3pFSOo7uGwVLdJ2iZX6OqcFfx1PtWgClCHqVo5Z81l0PcC2yFqWC+mZ/TmyQjJrlLK+
j43FK9mzy2mDv9Xda8z8gkEs5pU7xAadeam8KJGOYOtitkgM84KZfBXdDZ2elrZ7AWpgcLoNIIK8
AA3liehiVER8TZeluFTMuToVnfzKfxPT6E21U1tSwWS9k11OXoYI0BJaeubVQv/SKxE2lTVB9IjU
p39I9WFodoleGCYRC5pzbka1dLeeWlbeWZm4ImSOay4+focRzf5SOtheO+xcpRFVl7XCvP8c6qLD
vbbVsZNAvwcGPdoktfFQmU15ZUymcuNUXioCmxCbepN4Qt5mcTqUG0a+c3JepnmdhgoBQOjyIhC6
O2do2+V2divZJ7u19FBDr5nwkhF/IOoxzs9yzuSyIL2JyiWwyj4ajnRLsha7BulNo7MQ11irhX2B
ti3SQkKa0hw+OWT+kwXfwZXsI1J0lk3hFFfIivZDR/qPpU9qld1j5Iv0wZ+nRvX6M53NTj24xLzM
2HnmSobJ0Fr9nafExJONBD94OFER8Rd5oJARcpcaqGZ88DnFTT1ryrIbOWhmgeo0unoxetlUBbqk
j390CrbTEDnrEtZ0ts4yvUsDyG/5WafMU5tdFbNie4vB7a9UoBj0acp8VWkJ3Sqvus7MIEyQ8GQX
Og32tmY9uIw3g16b9XJjan2RXOQJ01m/rGjzBliKsLIb5czgx+kzojFA/tSbmEHhMU9pk4bZlE57
A3+zG0IgSRxaYpnUDnksSUMWveXMvj4y/bY7vSMk1ZucAG6h2QLVISMEI1FsnzShyJfBozQxpJj1
XV1HmrGJod/08MhtoAt1wGweKRo+qMS+nRUMtBRmvTuTnsNO2vEXalVJp/SZTaiBG5OIAsdx3GiT
t8H8ohFbJPSptqyjpgx2/8Awt4z2WeOaX+Nh+LIsCci0RHyJPQG5mWNCeTei7dhEbiR3Ki8PlU3C
loy/nOW8mPXiErNGD6BHeoFoxCJ8B1G18MvSKu9kVdihlDZoCDc12V+Hrnzu4mjZOjU+ryaeoiMT
RsCl2tSOTQgOazKvvTYx7nAqSglzml4PzwMPjI8ebnzRapHfiAae+6Z1nPiirav6rm9wT236CcrL
ga5x7PhKOXmHss6w2FUNhvgmsu6qXNU2XpfU53lkKUc9n8xzXTC0rPFZMQbmWBTqejR8JTij3y2T
TpAEFlLSVFRvaNqN0Oz6Ev3g2B2EHIlIaUeykeBfZ9j/20H4nkZizRqvU/WH1ubLbWaa3HdLJNOX
iLl3AwOKwCPJohz9Zc7lJW95Xv6r6S0kwLt4WQOzbnnrpNse6GvQVyI5ZWmsfaHzNm0R7Xi7WvVK
3LNOdq2APggGvPKPalU+FBlKsJiD29bRo+wzriZysyyjrj8baiTPeryikx9Jsp+ClOboWSR0vnSs
0uFOJxIxTR2eE8eSs2HU0mfICM4Xcsu0x1wzxouByW1oiaY+GLSMTzTfAUSzp8HUNDK1OdpRZFC3
sjmuD6H5bObrYXiuyvWtPentUz1AQdmAGGMQSjO5tg+VBbo0aGU6dcyaFqCwRPhkWmDgxAIKoKSZ
dSxEqz8lCd5LH2+XVvlZ4SRuQOxfE9D+4plIgKMdSrvXnbBLEHJKaq08PitF3X0SnNqSIBeGoX5Z
Q3qk7ynuOOyVDhBQJzJlnzaW/rDqBvCsknVJWLIirixryp76wRW8Hjh5bus+Qg1VR5ZxwehOAs1D
VOJjpdMlHsNePOU6hkBSUSSFbToU03PXzawVFiXntF7QxXwZmFoB1M2GYVNlg3FGkzpGMpVOC8U8
stFvJhLSaFs6SXduzpzffIVypAuLqFGsjdKUKPTVZbBOXVsUnx2xRgK2RhsWqtKol/3oaHdM11wP
VRA1nA+UJyl2I0XVGbtfNW4mwF444yaP0hMVh1JfwtzQlKCPViXeXKqW2EgBKWtVpPAQBWZCVpqZ
D9t4sBmllDnOQIo0uVmPsUMQzU2qU1MbVbQ8Vm1f5Vd6rY1tyKkiIoCeh7deRCC1Pi7mnaLqWWVe
2b0RuX6uNanxtUA2SjDYoLhTFm0ZmJEJeMyT2q69gNM2+ZJ+vyRl2wcOL1xrDhPmVzAqe7wX5hxW
xFeV+fns4plTg7bnACauSWw3cMtOmDI8OBW9aNLHOAYMHocjS4UxCm4co4ITMjW13W1jarXq0Ce9
Un5vm3YarE2C/qmsNlbDrO0Oay6zl51AKNVVoZxNRc2us17k/A6mglyqJ8CoZwYwoAnn638jg9VR
uY9kTc2hJ5KJxAumTMndz2atItaBQ1d4a2tU16JJnMOSW0f36AXWOQjrcHEgy0bqZO/QVS+st0Zr
vfRzL8ZkjW5zaXQpnGyjDDO9IdmOu1Of0FBwLzoKyulSzTx1NoM+bvsm3y1Mt/i1eOVldfZkuH01
lKFVdP1cQSLh60HrqFFZtAGiF6OM7ozOEimsMYSqqXGGcRHHNDqktKPG4ewQN1sh3Iz9GJJSmKNC
OuqIuSjdBYgL8KYpRZRr7rDwl/Ms6MIOdFLTAElVX4zmJsa2S9KvGFHckEEiq9q9WCj93A3Eajti
CjZEnuh9zSQAZePMi2HumPuVJ+H2xYOCuqYjqRHzmW/2rJ0NapPyRa1yqiy8KokEk2i3XhIOEp3K
5C96w/Bxsfv5hyfmzEvj4dpCHbunD5xekAZnBMDI+mO2ZpJthFEi1hrI0TWEUtxl3jQ6h4YSziFV
XcwmQOExr3bQYVAxTq4gew4Jdf4iFhVTcCTNMvJt3qNEpBnLfNumyjhRICjFhgqUE2KUCcvaSdvs
yjAq3elJWaJpFr4Wj412SzBSboUjCXPPEpCh9Nts4GhQLQpYY1VmWrKhnJDtvk+sfHghm3rtuFBR
61Ww5Em8xac1RMq27DUXcY7eeBXRtmZdb8xZbfdEcDmfiwEEFTDHSI9rIIA6UAZ/dub2sgTq04e6
avXdI9IHZBO+FKjsAjQdzUCBpOnoimhukVujm6VvghSdjhMDtwneTu5A7LGLMyVua6TsvYUVCm2d
KJFu6HPfhm5FjrXvKF2yw2XEDwM1VfENtHX7RhRNFvQ0zJ4WBAs8G5F30ytqzfdcxNbWxHQ982OH
pgd+aJOhrfimIF6ieZgRxaOwDbdfOFyOyQ2Jg3KtusgG3FPB2GfShGDwxBZJrIoxmNltTXrAEZlk
/BJLjTvvjsuEXC3q6YwsSzr5IlXHB3ey+utRFglfARsb02GnrNlNVxLQlFverUb70Am9rB4PGk2L
NMRtm34aDRMfoZW35r4yswx5orTumiiut/Br1EdbtprvOegQE1ksKPTbBeu6a82XeCr1NNT7dmXo
FBUCeS8FZn2IbYk6ra0W5KBxNE58XK9YpRGchgNRObO+ZULEnBXIRdqG8WAMbL0KfofU7wRUO98g
QYCioJrbo9GL/iLWtcENSfgTDimGhbgfJ6dDddxVfEvUAM4XE/YpCAkK8KtGWSveFsxM5VNTz5A6
8shDjgKcKSEv0s1QXtEuuSZATQc7Zgth451GYBcaaplulgaIhh9byOmQjZQiBIX9fWyTaqNHwCPG
zpo/O+wWw/nUVVKERTO4t60lu57LWdCkFDQ9Z0ap10ejiPRzNylyB5kQuRy+JC3vXFES/Wku0vxs
UkR7jVYvC9CA6V/xsPUVcwZiS4LUajMZOKOZzmE/zlnrF9Ltok2fpG7B/iuN4jzT9Nnaguq1Tjid
xXRJ5yo3aAbUwA0KUWqfUw/Fg18ixLisUZioG2e0Zg4Fno6roSFButyUsCPvc8KWx4D3JlUd9XmY
GLKB/sBk6mo0RtrQhl5Hl25RGo8NKovYH/riM3kn9aPs6tpP0oreI4pKhFIxDAevkJ9jZVRjaiuS
iRQqj6PsMeO19F2+VHGvHGTGog5lmjtXXd/VZ53V4PWQTn5BX8DZK5HqnugYpw6PQWw/CX0xNpOp
trcDoRiHvK1JP8wGd1yrNbVEOkO4oO+0LeGBRoLZfPEUCqcy9aZdZelDcYtbNoWfsAAJ4VE3g8aw
+g3li3ZeQddAGzhqj0k0T49e1BEJ2PYqBj4AtiUht9+RFauhaZndg0u5v9PMSHuqUaA/qvwna7ws
Nw7J/yOeG/c4MeTfiaFj1bn9VwTK3bXoVQL83K5WNdbBcu3FCrgAqZnljveBrDhmtOB3HMQp/NcX
Y6PLTxnNjtCdOKg0dVot/pRo9QnetXmXJQb53yZd/YMQlcYoDKVlbhjPc0/3XxLvTD9IPvGCyssh
ZAaOi+mRE21dilu5RqJaV12WNOzyLeA6tEmywf+MSGCas7Jh1sDAsb4yZ6Q0827U8WrooVGrU5cc
1D4ps+WAkHvuHqJ0Gq1nqzLrfA/ApOzMIDKl2imhO1jmKNm8ctQszLTQR2Seltokl3aNtlA2uuoM
fC+3pTod+nmii+nb+mRtScoZ3S92VXVsKo3IC2hko2MlqhVS56FTCJXZBrXWNCYaK+TIlPGoqma8
0CwaZOw4/OchEfU3tcGX34YMNBHqbVoxznnCxJJgEtRCgtwehhs8gw1jEPCsi9rcDIa70lJSY7Kl
PNXuGA0ZUA6wV8sWy1A6ZZdZVrd9HbakAdvaRhVG3zZPPWhWbSamORbpzFzXpCTzF5GwM+wj/MyZ
F9CxXr+JaceqV+ySeBqc5lOvECdogcxxc/4MLbxjT+dK13JgPieHOirsYFI91xm2H4zn3hpEGP5h
oCYEhhqTqTQg6Xdj3ErlzJFNwnuGaou66ufUG6CPxfhJGmWM2nN0BzByamlK3fEdWWBE8gvmKG0A
/HtyHrIfg64/f663014+1oovxMEJBpzhIbOitzPDlABzx4pT5yWvxeptIoF6FX6URIbyICo147IP
BpVvZ/LrFbFxczdWBysj3xUx8HomStPQ7VT8Et/Kn1ccfqpqDKuSjOZbJzF7RHAD8WpYPtKMYeXP
n+If8Rp23+rLr+W39n1wx+vcjv++r+ESln/8K8f0WdZt/b17/7f+ByaA6Gvy0H+mOdzX1Tq6/1Z1
aTcfXv5FfiN//2+Kg+YYfzmrQQ8NhcXz8n8pDgSekavoEYqwjtUJqFofoX8HgBBis/5tBCga+AC4
3TwMzJG75F//pejmX5ptWIbnYubFPU9S4z9gObwDqkGXYLu0MCdZqwmLqfv62L0atTtkhfK2mayH
ya09hkp1e/AyqMhVZse3VsG0Ts/V6t5MDSiDdU7YsVnp02GWigwadZBh3y28ZBNNLptXt/E3dIB1
Zb8ayzNUB19OLhqjeVB3yJ7efrJyEmocpwp7N8eOMOoGvBx2o12jgc+3UjGLD7aad6KDn9dbQzNX
zDc35p2Ag1DocVjmeHiI26rfFKOgjZxRUP75W71X+/y4DPQO7GHshyrq97dfK4lErkVVMjwIB/QT
U92aMihxlV3EtPHW7ReXuB+3uyjZxsPOaYdAIbn1+s+f4q3Aiy8HWhgUvY2E1aM346zb26tfPc0z
s408l5e0pcz7VteVx7mZmSQQ+PsJXnRHq7bsr3W8LzeS+XD458v/ehPY0MGboMoBJgLk9t31FdNq
F4z204lpzxhENXpm2nTutaF22mVtOUOItVQ/N2gZXGaT+djnUJ7+/Bl++bnBp6uahqDPYQcH2vf2
FlTkmi1tEXcnSUMyIIipDTtJLPifr/L2PbHeaK7C+nVwwbHCfphYX93oCVdLoyVTd2psQx70FMIX
9nGOqLQpP7iUZvCJ3ywYAoPQVED6x3a4EmDefqNF0FasKYVOswb2tiV6+RLkinFQc9c7G3SLkqLG
IPLodcqjPUp7V8Aj2uNwTj8RZoF/OTUK++zP3//tW2v9/sQeGTxtSBtslJPrZ371/U2H9mTZy/Fk
G8qX3iNPTkbVPpusm6kg4TwVxgceuF9vOBEzTAuRLq4oxDW75vUFyVw2aacVNFCnrNv0FBdhrI+O
n1Cff/AU/3IpoptQlhEbh1RkZUq8vVTXWHNLmsJwKnqAUGVqOpTyQ0LtT7n259u4lhNvflouBeF8
tciiSqEQenupitGsSKKxP/UQc7eT4ylnEROCIJKWdVtjadpoDgdzhfzvzZ+v/LsvuUrMACgjUHTW
6M3X9zPr+kSYuZxOJVKJvdb1Smi3pGqY1px8cKlfNny+pEWmlAW6njP1e44ogrkq9QitPiFouXDa
/FEbYiyATgoPrzWe/vy9fnkwuRjvTzoVpBaRXKS//V6O0J1iGKL+lFNcIix2IAznmdPuBWqBiyVV
ynNklvUHj8xvrqpZqOhAEfIOh+vw9qqc6fK5chL1tORl9JSP1bORynRnpLqyZ+RE8huo5+9//qbr
Y/ju2UE+y311ATatUtO31+RTmMPgNeppANGP8QuS9MI/sP/HV8HbTkGCp5ta9X0qU0X7HWYdbg67
TbxNggrEdzEtbP98lR/l/rsvw32zVLZVxqE/qaOv9pMIGcYgrME+ZcI9lnSHBemlakdnOu0v6G1p
xufOQTaT7RNiJ1TcjOq8n7rV20n5MJ3+/HF+szjWSsFiUVLKUcO9vbWNkdDFBKV8cqXht8xdlnoK
9eUjuOxvvzVaT16VawSBpr7b2RHtjcswd/YpSUI9PYxY4s7To3tHv9e44Sboh+aZVlf8AmQ88j7Y
e373JV9f/N1KqXGxe6Vs7VPlHc3+wnEu4+SDnJpfL4HNUOM1YQA34eX17hIDpGcV9WL3CT5JscMA
VG7LnGFCViA3/fNP9utq4CFl4VNXas76/739yZQRvRsjOO/UjPa4IXp2oqFc/822+4+ZR2vJ/27R
EReB8X99MqjgzXfvPc3JJBZE1Tu57gCNPCnq7ls8FlVEi9rJ6jCq9Vb6THCasxF6yE50XfK9qQq1
82NtIvekbkzzs4qCsfAJk0zIilXM6qW0KpFCxNEW0L1mstJZaWp3u8QqIBwvDfbgwDW6+dwUzXAt
4XvPUCS7MCUGtg7HXqnVfZw2PCstjHXVN0BYfHfrtPxoo/vNbeZYTJEJgQw+w49jx6t1amk4iRdS
bk5VW9Qb2EYGDev2I+rxL2Us8a3s3ZwTYGKvvIW3P2ZlqLrU3dY7kYljhHmEIBrHZu3oZ7qXjoek
MckW6Ed1weKb5w0auKL8wCqx7thvNyRzPaGtQY0QOci0f/sRFsV12ilVYgRkuneYJlrxOuG5ewXs
G7EN+T8+pXg2myu1OwJwhgU/aDyvbmxtorLSZJefVBnnobOYxGuU4ED/vEp+vbFchX8ev4nqkMr6
bkHqE6OzTMdBlfCmjv3YENY2m5ton4+DdV3FgzyPqyo6GM2kg32PxQcbwm+vvx5LsSBwBH7f9ZFM
IIvFqfITIK/0UnTDZ4UA4/O0psixmQGimp2cxEf+9UiQc/zBjveOt8SOvt5kC0UJbf01+PXd15+g
mSpJYmenIjFxVSk7Xq/yfPXQbiZjFvfgo2nVz1F20RvUDXazFHvmmeYHz9aviwgViw4cCxIGouL3
yXt6JExLKPwK5MQsuyntWh9Ferv782/926tglNCocdivvHdP8AgetWkcnqi66coNFtPpTNBs+8Ae
8dursN8iHTXgVv44Eb56bosRebLl5vnJ7hQay2Miwqx02g9+Of13l7HYeMlvB0rFOnm7HFFaddEw
qNlpVnJXkvrWHhVLan4bt1ZAIM31kogR+ehsep9qMFTHovTKB7sc1WfVa9OgjghmY+T+3XGm4buD
Qh6Yzuh4CLLgFX/XckXfmZOxoJrtgGkwGbG+MI7Xggi/r/D//Mv8ZhVQmFq6t36b9bj+9ssgXFwb
4n12gvJf7HqEtMEU0WxpFU3z+xkNgYJEsqz0GzHA0fzzxd8RJH8sApdwdgpGwLVUW+9eYYSYFang
3H2qCmltuHcZQyOhHbBHddtcaNluNiZnPzawqxtrtC4BTMy3E0T5bZxHyf/DWrBsjFm8TnXLfH8v
cIpq3lhW2clD13BokYRvx8SsPlgLv+7mvE6oDX5chxbbu1oZSsgku2FJT4sLAyTKp2SbenF5SMty
OSy1NX1wvd/cZGd9b9BtoqXLGn/XdMLzJnlcZXvyxuGzQJAFeIw++6jZ82GZDPtR64bHwWzjcKjH
7KD1Kj4YdWjPDVnnH5y/funK0IdRqcAoMzHP4WN49+2TtMS5gRHgFIM1anzwj+0ZB6VyA0A52fHU
t5+4cdXWjk2iTUUSn5IUrdoHz937Jbx+ih9hCi7dGc677556mF5jmRtOt7YMEDQXTfeJ8jQ+jGrd
b2jlM0atYmVnyrLazlZeMDwy5vtI0b8BHr+u5+52xsD6QcPMWZ/2V+953gVrL2MlutJgod54txq0
ekTE50bDo8Pb/iLuRfZot203oqg1LN2XjosZv2UADdVpnK1j7BbNo93MZudr2YKQcy4MxmNVH31J
tE5tOXEW1tF2EoNQgXFoTb+0CwKRl3jQ7ksTD4mPc6C+IiCIkAJKcBU0iNcz2Adpe994tQYD3rCK
63ZstRvabWVG/yY17/VWGBNgBSwQgazj5kucFslzzRv1vkCtZ/jNgvYZCU/i4ToRS4bew4qa22FU
qi84SLTT7HrAgKy+ZshtGlHCyNfOkq+62i1Z4Ca5d15PdnWUtYyfBwisvJUsvX4ylrm+h29jvHTw
CA0/I6PsyRjcFLCDPZlPmhc3SEVUwOaismIV6bpKMbvwLF2gfkmehcf4DSsHxTkDz2VY2SvyXmnr
FaWeEasaWMmiJAQXiOwzerzo59HgHw04/uNg4s2E4/+3MGgom4i9eFlYdAhpe/Cmf7Uow6/d17/n
F+tw51//FbCxCwLb6+p/Hdria/Xyerzx23/r3+MO1fsLyLRN9209FVtr4fQzOVphyfylYyYGzvUj
CH2dhPw97tDUvyizOAzRN8CFTs31f6Yd/NFqzjN5/2F/pnHi/qNhx494nFer+P1teL+/Y5wGMdub
2aEvzxPyphwUZQNaG45JP+J05svcCfUxRB4wLw9NvFWrjSfDzNq4SWBFZyzFpPZNsDjmhkmy85yv
GVkHz75tsE1g5fdISfDNYu8sn9z+InNe0qEOqlkDxvbcmDeaeRHF90hokziMgcHkgWZ9TZM7l1Zt
f+mIs0bHK3ONZsvMrtnlc/73XInOl/SqnXauWwVFdK5prKj0UirsC6tCort0zF1MP1nNn5xqH0W3
o4eO/KpWvuXrvN68lOuBDxl4NWxFcSyzaxPjhbYdonP01XZ1z3LPjUBvQiXb6/KQjF/1AcRenXD2
bIkZvS3nu8S4X9SDkn/Sli9DfnCSY9TuUXPZ83k87iT/zri1xT4rdpZ3YWucRosTEZRIGLuJwdEV
PH2sC8zzE+9CGzdZcd6K/ZScGSNa/+tZhQYSJsnZQqlfb4u28tVha2TXxCZExt4Z9nJ5DK14r0xn
6//V28X8lEw3fX4vEFZg+S/LY2VdSvOuae+i4pgle8VCUbkhaDglzqNBfhR21CxolpS9I3yQPELD
BLRrkp95uP9oH/n9DPR/4HQTPOGftoKD/Nq8Xv0//vrP1W66f9k6lTzt9h9jSINa++diN9y/HI9j
y9+DzXW69PdSN5y/kEvQb/33H1Ly/j3Y1L2/VDLGcd1jObfZCox/stRBmb95YTsgB2065ew3VK9r
p+XdGc7poN9Egwr2JVFIIpN0sPZxZdVGsFTdIYnSYh/VRFayDhuTJBlURcneWogieiD9liArQNEW
ijetKfN7FUZBFxJ8I8VO467oATo8gXaQEkBclp3qZVun4iC8U8d2AtuIfss+SyqrdM7sBZmPjbxI
Gs2XHtbsfBvVQvSBRYZLcZZVuWKezLlokQxUbtyZfofR0t0lMLc+46ugX1sTY7RsO6mQhhHZYxEd
+xjn0UZ6Oor+mFQZA/tDQW3Y52127UpKd1+mDe95rwMivomF7OeHpOQvIZ1ZFhuaWon/S84Fqn4s
/NH3zLaNZkP53de7QaXZaAaA+ERztDh45DcNMDbzQY/MNa+kabrOpnuV1gphLro5jmdWHOEQLIXt
mEGGN3PV7c6DSc8JKvGObD3tnvGSEvlD4mASxj7aX3KkwgMd9XnPUZ6QcJfPnMxXbTE/FLlV277M
q+yri9fuSssyor4qcIaVnwMNoM3lKPWLCcrxvGhxmgTZQrZUoBmDZYWRpSL3w9aNFheuxIBM2kq1
ZNs2tHK4Gcgj0ITCIYMolZiLQgSKaB5QXGLLhA7rHYeCeeAhXwXZeJKVPv4O/qjX7zuhuu3W6FyB
R7cvOCs2LjZBPxp4sUA9cJB3O5E3HMfYMGFrdybW3ilGrObHcV+yCYF3wQJZxUayAQ2lNsEUAyg8
WF0VP0h4IksAxsug5Db0ZfFFNMAMU5Q2uk0cUk6ChvnysHG9wn2JcgeInJGJKgvb2ugSokP06jbJ
ugUSIiFb3yaXYSBYIEmgZ690yz7zPN5sEvdWGZo5+uqNaSFE5E/dz7GqKnujkGq5i+BLyDNPcSZn
Z8c2j5jeD3iG5gEN0xbAGxcgxXjcpthllhAdcKwd3AmdfEi01zKFvQad2VfJ25LbsSrc23m0nSOu
PtGEXo25PyAJGdRLT3ZbT8XXYuPUy6QgyWbGDrRETfO5l8yiQw3Fm+7DV5I4uK2y6XbIKd2FjMNY
7aH1RrpznHVVAxENUbw8iHIQVKqOlQXQu7rvLgryOCQ4fCI/bGmjT8AU6ZS6kyEeFmh0LTZogUq/
GLoRxZT0Il9oRQ7IZjajo6nFrnWTEkiUBErSUecjzUYdNzexS9aEPmemD4rN/eppcY8R26BV4NdD
TS5s3trtHUxKmW1GdMteiGE7F9tB75Y5yAx2j+PYj+1AiyJK87AUCnLMzK7NB/i1ersx8ALFeDe8
hsRIhOPGVraKm68Cy+k5glMQI3K1xpahhtldV2nfPeVa6b0Is3HmQFWH8djwKHTc3dxOfaHEGl6V
YdE/5Zkd6RBK8SMHrSPmzyRnMDKJldTmoU5s+7rAmUm32I4csj8XctV8zAtt6+cY0XtCGoxeO9AU
yPDMIZpeDcRJgysRFaW5zUCsAvw2RekhA+yWy7THUxakfYVvgF4WDW7Diyfc0yjcVyO1Lct9CfXM
9Gv28meT8x6xwVpPrkKK2yQLMFSMcQi0Du33HHsV7lx2j8sCWxa/m6HDEEiVtNzGia0/NVZZk4lJ
lMWjU1Oo+u6Cy3ceLQY0S9W0t0A5FWIx2XRmzK4zjW+DDlAdCCBVePIjV7st9NQO08LFLq22qCVj
I0UgmE05tg9G/djQa1Nb9j2dfM+fVaRzAXp5VwusBUtbWCBSf7SQfxPywF3D/psbWhLACycovuhM
njkD4/yBUTWA1XQZNpi0r/CQhKlOKru2aouNNHkQ+EAOePAIV9UzQFzOcMHPFW/mTr3JrXi8Spws
jHO8z6KI89uJAMQiowzN3eq2MNv0ai5JYnaV81omd6TErW8E/bybxXU0NrgSWsUMYEtcQ5nZVGpz
hqYOpe0YCxUxHWTifZkYQgSqjUFRNM1NZNVnSCYpXZc09IiYjX2jPfGOw3pXRLdO5WYP+TyeRDzh
VudD2CrWINn3L7E67bRSP6mWdYA0ioA8wfYao9jVomiXe9bTuIz3CPjtQA4zv0ikiz2ZnyxZLT8u
DfaVvFV26ZI91Xb+0DplD8eho1huzW9CI8qAzeTYOa5yNhltt4S9WmaPZoza3MYWiSqujQ/2mNzD
mX3ScKbFWMPcBJBYtsIAUOUmzA1wYuzJxLjMRx3MgWEHpWqe89pjlyNvc0BqeKXPA/TTtLQjoNik
T5mDFYcRwpUbr7L1PdNdTvBaAh7BUr86zpIHswOiyG9rSIlpcU4WzFk3IHYxBo7W7XxFZNsNkM4L
hekephNp5S+9tI65UmbnC4ZcrKm8UexmotVf59ejghyGA8x9OdQErcMc25tz9jDKtDrysxMi7NT2
Be4gJIDsRTu3imNfadzqKlfNmwSb626w7NnaebncQZ1GvGzmD01ZFGHk8OalU5CGedaf62Z0D9He
2zdmfoy8yLxrceK6qCi0G9h6bjBaxs0kCY8i+7P6Yum4zN2yca9pwyQbQH84sBFfskXKyw7cInh0
DwVZaCGWvSORrPpuOXN9Ybq1tsuHZN7OvWofcXDUVzTDXvQsNg6EA2M+rdh36OXCkbT01iOqsPmG
k/Sq1TM921SmWe4BXdZ3tmAoisGpIOAR0sDs9el1Fk9DzKIqhkvMNk4oEjxWwgMx7sMVvc6Fl4dG
ktzLKfmkik65wcBB4KSty02aik9RPwx+McbPRdF9UY2Gkmad9N3hva/vbcUytlGTGy/Q9R4ytVwe
Cii8Pqge6pdF94t5HHwk8cNGK0fUxd7/5u68ciPH0ja9ld4Ae+jNLclgGEXIhfwNoXT03vNqtjHb
m5XMQ1V1lxTKUqB/4AdmBkigUFCmDnl4zGdeUzkV6PpNUCovKaGEPXbqj05IHN0Q7YpAdkWhEUG0
OOXW66F0apMJSyf295AIky0tbJ7fIGaNin1SUW1NZ0CvsjIeGqB3doQjfbxGwVbZtqpFmqZDceDu
KvJ83kK5K1xgsQsdOPUA66TX6F3KPzQlvfWH+WmSw19RJ/Q3gjBMd7KWxC8B2GfMgkMN4D4A/wqV
F13PS3ldFWqTb+NCpD604kBdCoUQDvxvvjiV4jVy6H1ykKWuNwMHiPKo/cLcEnlTTkGc91xsIFu+
Uac2zW3dAlDbyVk99GixomuT/oKLJ6eGjafC0K4MQoW5dMdCjPP8sqrNEFpmOhg9KK0koS70vTfr
toxWBQJ68I+JCZQ8udRmNBh8GwpFlu2KcoKzaqdyJmmVbZqUFm/ApLfVEYy0MD5jCRWg/4KfAdfa
Tp9mFJXWEPMKSb2rM0GSy2sT5eox2Qd4xeX59aKgaTbXwH3lJH71qzqoMreBFvQLaQ4jyuzCKHik
ptQHJBfjEZOipp4dedTxojR7VR/XnVLqtzEqNXYmQpknazYHLnK9B0RKVh8Lyn2cm+UTLewSjWYZ
vZzHMgpVIf+j4PsfJar/fxa8DBH06NIb/Xvc7uE1fZ1e/3HR1VH6v//n/8IZgP9b19Prj9d//I9/
bF6/Fdlr9Gf9q3mfAv/7d/+RBkuq/k8VHCWpMOAF46169UcaLKnaP0l06SAu2awKounfebCq/FN/
wwWS7ALneCuU/ZkH8yP6jvxGvKboQQIU/U/y4I8tpAVIhe0DPT0a8RSuJfGkvzBx0C+W9PW97ldr
asIXGSLuZaO7xUJGs3QvyUqct6c/SiB/i3/Azudj+v02MMVGYGMqPSR2BT9/1+9bPNFIEpX2vgyn
VU2vFhfD+8hKEIpskEWTspUwNPBi5/5QBfDfop6buGgWIoyiOdTh10OeuI3a7NRR9+Qwe4nnaQVg
cJPL/W1ciytEptxALBG6LK+HAs10bT1lNGMD7SZLk7ui/BaSq+lVtleLedVk+l089QdUqUmKtXmF
pCFEdljK87hWYv3ZaOGe0Q+7E1sRNmIl1rY/xN9CckSxSS8tnKAmNXpVAq3b9rV5F2Sk1XX5TD3z
XlUNWuFwiaPoB2chOUFwo9fjba93CUW3EsHx2rwcUuMuqqfb5Vc2bb3tBx6lEYZtUptXA+Rk/F39
EDVUHXkd1R1bJitpvE7X3LETkF9YnPR0FRXcZJ+L/vep7OttPuSbXIh/hGEXe0kyqGtjKCEG+XAt
5xfaCCipwmv14AV48hJr6so9lMXrEfkxm+6TQClTv+yqHtZZnbiST6QB08hGatw10mZXlrqbq/jm
mQKcVag8EV1P/Vyz0WIrvGuvvK1TsjKR9Bv4mA6o4ONyqZoq60ZJqO/Jr11xxMAF+0Crwq4g0m6Q
8Y9tRR+u5Di66/XgAmPxlVoD2EuNywgn3jYsj2VreNU0UneMmqcgHREdYb6Kch0K2kaG6B3P/iqU
eleL1I2RyTdzW66xo91OlZLZWYHemV5dFz5Ixwbl0pDPHut7RaufuAhdKiR2F4wXVZ47woBxwvJ1
sNxZFUWM2oCFMb3U3eKSxDczlRVeuojrhL2Tpto6gaWG//WLYcKoTLV91Qw9tOzsZegzJ8PgyJaM
zu2m8hmjQgqgCdYS2qZTghtLz64z2djH6XgVKOMVYfjRwrUgTYWLKlHvw6jYAAi+7+vAk9rUgbF9
bbBNxlC9TOTaM9Tx0AffQe25epZdY02LNwI1ZAIfrnfUFlpPSbOtmePSXJv7cPbPwH8l8TfngAwo
mcNPAQr0qYvcJzV9ukFv7mHc3pW6dReL6YorlIivfqrFvHRQP7mCgLDCy/nQDqVd1sWt368LFXKt
NuKCXK3rKt5HUFPFIvDKuLDlUj6gcGzj20LVXbhT6X5HqbEv52rboRMipjToBWm8qKtqq43aWjX6
Qzbm20nDLJb7vinbR2xCuLgzImV1jVeTGxt4xCxUbr1Y+2m9AwED/zv+5mONMPS6CnA7pqY0PNRm
7JadwhONCPtnK71BkK9tPWsq1krAYYV8zoTndI8z7ZLMCuMy9eV13+ebSesOpdU7I3pluZissLPc
Fi1y0WVzCJT+KlOQxqEqkBnjhQylQggbL5aGA/zPNUoVs9NKZMe1TLoSu0VhXYbVg6r3V/5Qbork
B5VQe9ZyWH5QVs3vtcwryMKOj7DrKLc3WnGN9DgkcNQhSoWT3xfONErf1Er/arH8sZPBm+I+AnkF
jNKy098d/LGhZzoyX81ijHHoWo4UVKCCSXMaNd9U1XRlDRg4+sENiLXr0rBWqBauW6FzMcF2ExZH
mRfPapytcP0l900LTIR1zOtrD2HhzeIT3QzJJewEAsPusTHzLRyS+8qPvi+7RGbfBhz7NZoj/mRt
9cK8rC3rTI/6pLa8XG4Q0rjUTZr2CiqVH99RTeXK0JO5vQ9jbA1AgUI97NypRlEJBe5zQIzfnY24
Y2rI34JqB53wcbReqBWhHLhK1aLdUd/wYLm5Sls6RnABCP3eN4aLqdfwIiuckXQR1GBv484cUor8
M2T824tdP93P+MsuL0xRHUoOwKQTtJCiJYGhDP1wj4uKPcfVFjcGO10u1SrX9z1KmbR1L7IUVQFD
3fRluYGF7MDK9zL2k5h0ro4NUdwql6jEo2Hk78LO2Bdh9TQSXcd5cFFxosp9vi2s7kAx9hp8zHWk
1Y/qHFz0lebkkXyfCf2t3vKa+dQ9AgO+VITxoU6VfV2hRh8HP7KsWveB5ppTdxBTzcUC9WfDrU0n
+qqJGYQQKDPzYzKRuVbBVEPSrxrH9KcHib8D4bh8DjLlRuUv2ELKOS8Ld42o70clvCjTbDjzkZcV
837XoFIr44Al0v4E9WCcAt7w6VOjMGRadUHZ1Nzi8LFXb+Htf0O0/7c5wf+F/SuNwPLvg3wH34Hf
xfDLv/pXz1qjJ4UbwIKwQt4bPtK/2liI4xPAg9VHZwlcu/TG3vsXRQ9HZT4VqrHA8khTQcv8u5Ml
yNI/LY0fWyo4mUW4Wv6vh/DgsESeQ1IWDD9ME9KMj9vf4P6C6uErt40gj3aE2BXJcmGsiex8lBlF
ytkTygXSPB/fTdX1H6vvvT3vxzX5NrBhsBjp2INyB4nzceBsAkjQBLV6Cx6ucAsjtFCVmMPt16Ms
v+Wvlc8o2H9K1FZRweY8gdj4cRQt7+Mu66hpzoJyEIzqJxJroRPR5E0GhFrifGdI4h9b4e9PsTNj
Lm/+7o4qmrTGWkgU0WP07SykQYU65uRBOLw2y/rMYAtq6vQF4SHRjAGuC1D0ZBoL1CL6Fqwi9bcB
pbikU1dVmkxu1NvzMROH0Pt6Qj+jV4HrAYGUSElJPMxT7HVPu6D2W0O+ASF8S8eu2dd+tc2TZIvQ
wV2tTsI2krtdxW3aXWotic2ZB1hW5MkbG2jUg0qFyrPgZ0+mVymn2moL+YahlH2nypcR8n7rClHx
zYCgqF3qlPLEnrIqJtPtMaEt0uXggfL4MYryrbBtEeo4fP1UH+9s1pkMbFBjVuBRyODLTjLhABKX
hL20cT2rXUD1e5rsNkXQGZ2veWOipXfms0ufZoEBcTckVqf4D13l5LvXvd7oOJvp1yizEBCa0bGW
hAspK1H4iafBEVp5vkvzccQmQXC0IXaMYYgcoZzKLQ3U2hWz4hh02Cd9PREfSwJ/TIQBsJBiBXwu
mMkfv44oj8mQWbNxXQBn7lNtCxPgJYu7agVhVVqHurjv8PDaYD1Sn4F1/3ZOMI8BAQCejtLAyWav
08BoOhSYro2g2WNI9cuaeuVeCkaPpx0fDau7CmlZrWetVlcqakhbSyIVMJDNVPpp2lujf84W+Xfr
AioqRz9HHYzck0cSUPtGuk/mM5V1ci0iMuG0QfeTpvwzCnjymVV4OvnY6rEaFkKdimsp0/9x8ofI
99WBU/DWtLpXq5K3dSl4vVDdjaP8EhJRjhHpbE6q+vVH/8TzxssA9iDXmAWFCEr1yVcfohAncqja
t6p1jIwCmeLAVTPFDnaBdtkL+6rFm6SllYcgmmrHUeQq/fOZZ1jGeH8uvD0DWaD8xppk6X18+SKo
FXWmu3LbI1B9wF4wVL6pMgWOS612WAu/DN0bo42O5lKOIZUTbv3ZpsV65jFON+bpY5wcT2kdTWnA
JX4b/NJVr/4udRspJInHwH2nk3R2yNc66ateu4a0U4Uzkd4bA/WrWThZAm0RZNTKGX5AkVDaLAoW
kUt9PTeuBmET3KuSHdZIR92ndASfchCeoR3+PDMHy2n31UOcLIcuznIKd6J02+mZo1XPtFQRdll0
277n4k3JAqlR9qEJfubwecMQfxp4yQ4V2IjwsE6uXrDOUYCQpnyrYjpDV1R05qWygvrqup9vfSSA
NGXD1WAnwyFuRrseXuYCsd3dNHhDemcECZjUTa8cw46m+S5StzR1Av0gy5uvp+gtrvr0pEvxkpub
a2ypJr8PElJN6MBYK9JtUnujtQaPeqWPqNw4BepjrW2gSV66PhT+Y9841ff+F65Y+UpYA6bzU6/M
USe8rCQU1UlS7MEVPe2hKdwudDrDViXH6jbyfGZpL9itT5+VgjKHDNHiIk7y8ZnL0MQLUunlW0TU
hmQzvdbyPuhtIX821FUKwxt4yibCEqpYVfGKzu4c3MzD/Sis+twdD+GZ0+7Nkfh0Dt8/z8nXxsgg
xISq43kAPWTOFDjGpdkfAmpnESbcK1ozcXKgO0tvMBy9rLqPFTSXE9vsroKXjIMovcnEC03coMQt
aF4iPkYDwMSVXO0MY9XXdGjVdRmtdXwPnhLzJvU3em2Lt9l8Ztv+7ux6/yYnZ5cltlCfW2Y2ml9a
a2MZHqw933ztpgdFOVND+RTBWVC9oZWJ8B0USuinWi+qQDfPylXp1mod/Ubxsg0lqY11sF6MXXWm
VP9Gq/7wjU4GO3mzoShVIzRY593glgp/7JYGqE5rF825goKDbeW7JFyryUXfO8pioYBQ7HwbDZti
2inxVd9dtovAkJ3sq3CFmal2I+7nZDUOdkOnGEVJOIzH6EhtDVn05kn1CslOdCCa4FIQ8FaGu0bZ
0AgI41WMd9S0VwKXfxx91ws3FG7l/FxV8tMN8PbKFh0YyAaEIyfbhGhThU05SbfT2irAKTmZ5knf
ladBdxrZ86N1kyEu5kZAqhIHpdCvTxbt0+G7DM8lzH/e6mUnh68wpFhmlsy4FawB5MetY83ucgJT
ufO5dLCivMy1dQFK1hs1mMzO+AOI4mC6rWTnxWHAfMf3hgjib/wglI4AqM+3/ewmR9CMvZbu5+bB
BKd8lDcRPsvJqv5Zla6cPVnFbSA4UuGFYNbMu1m6EMsNGlgFPlvnTvpPZ9HbWxIy0v3RqQSenJ9N
2VjGHDDJabhuZieBGf2KmG/xoCMXUzqdROOHWukOTmx52VGT1DH6dEbqnRRwmzU4yK+n3fj9tP/1
QCcXLwoyUtaMIzqQyG+hfSc/xOp+SNzwSoidPj1U7VUfXfX6rosvJH2XgyMRbPkIJyecbYmec4x3
Aa5fVI1xMCZ1cUc+Sm4HV4DDw8LpvjUPxvfSpcNzo72CETGOrC5/3no6iHK6W+Abb03Pf9JlW3kA
NxUAHv/F1WJC+HnILokBrCvrOga/lHm0CGQBpV6bJKncCT++nos30v+nTW8uwgeUNtDJkD9eFOAN
gLQKg3SLu9yV9j3+gR2q9i0DH6RuMUnXBa/juN7XO+0n6IKA6t4V7569EohbT+jcFq+C5GaX7a2y
Kh+yO6rsv+pLlhzOKvlTZwK5sYXv0W2+9y/QgxNumn2zLc5lE6eh+9sxiXySTFxLSfKUe4uCQ9GO
Fi/B5FLGA0WAC0d2KZToYa9B50rJhs9m/AS3hcxivqbj9fU0yp/Cedb4kuSpVDDIud+W3LtCwtBY
AuLQoXwb/gBr29wD/YnW1Dgtde0PNlWZdECt3+PQBJAIg8c2L5q7/JYP2m2Ra8xVO1XJbA7t/RAC
VXMNYf31E34imC1zBHnPoIBEwkUW9fFDW5lRl7rJHNWeCN8HPY077n/tZhWjp3zd3ltn7smzA54c
bnWadYK+rCyU6HEg13/mpVsifVi7QGHnA6jPnKjunO372WGXL/XuS+QJ0L1sWQv+/fy9xZrmsvtp
3kk38Wv/aj2kZ+Ln3373v2ZVX46ad6MJevbnaMEDaoCC4pivwGlCp59BOv6XFtm7wZaD9t1gAdb1
YaORukH2QIJQ6ZxguiqwyMknyKnFU2hk9ojzDPEUwiyR6KmCU5pexA3s33UGDhjX1rwp/UtUSW2t
flDzg8py68m8tCu/OhZjcuaRfxvAvFt1pwTqMBbA4EQctRWditCd7vNiU9RI79rKxL0OlArQ8pmV
/rtL/f2YJ5d6PmChF4SM6fMdJHuaVoLl5c2RGFPwV8q9ABoSZwebV9eu/fLcRvvddacZugjIgrov
7OOPX0kIhlxFN1S+BQn0Gkw7/9mSVvm38kJSbaG9irIzsfXnjH7Z2X8NqJysQTnA5toqKhkx+xVm
HCNa4ZaXTXc57w7WCQw/pKM1rHmDOCsR6UsWZ6Z8OTtOL5H3T3CyMPvaakC98Mr9HTwj0qIQ1k5k
T8nd15/2U+y9hA8UZ1DqWiqab/HUuw0QBjWmDr4vHpEBxW3OTrvdhEsveOAylO3Iev56uLfC9of3
Ohnv9L2SLjfqiPESsA7mBsZD26/TCi8LZxYdzApQl5YrGphuQvJ839/AVgK/l5z5wude++SOHlC8
8IeexzClnYlD0+BkzU4KnqPcARp/Zst+vspOXvpk+yBfPiP5zGiCCTzSqUa3aDxwsSLQ8BRA96rX
r7KDiVqbuQrGrfico0ITHPQFuof0Bpg9OxC9CasUdK91ENyUNCnjO6Xsff153oqEX30e9eNO0xJI
EWXBk6YdeGonKPchVqD9OqZSiNvjNiguymAN0QHvNKVe52yIsYdEMH2v1Eu1JMb2IzLgzFVwDVHr
w2Du5uoyqSmAuRPqmWPKOQoYorOzYN0BYta4uNA3FVKUHjqnm3Da2xRSAUqawMI4Zv2Pr9/wBDzF
Sn+Ll6E70mCmVHgq96UJIShfmTfs86uXEoU8NXJGfVvjQ6U8K8nWIrWfr9PRafUzUftnDvjJ0Kfx
ghlZYigydKiuDGsdY5EeOJhhWZAF2Aqyg1jembf9dHKeDHkSMeR5NPz5PVME47eIHPS73vJE/YcR
suEOirUyzole6L8bdBGVfRMAE7Ht/LiIQkFE4jeepCNVuLbaquK6muxQoTjjodhudUvSOj0InJwW
kku7OPGMcI0lWTh4smr3LbfmNkvXQIOoAoEHigUs1EDyu+pga7fDs3UQza2vfhdepueAtRjwq1s3
BPtKXibb/W2teKq/BmtvHcAKUWZEapKcgEAVumJo7heR/lZ9NKt1G+xMPFiBlppnttJJN/+PhQaA
gf4enDVUEE9OutSKOzloBfEYwTXq7Lpxgn3/S8dpzDP8K0t1YCWwCqCChd/ghQH8Z/vUj+NudCgQ
mHfCbVLYqckEHAjw1BDc/0YBsmZuoufgLjlk7EsbbE9kumm/DqeLrvFG1LpLO+jAct9bwqpTfwFu
wwBQKZyh8+bYjkxbXlMqmpnMx1CnHP/Tz7cmORpV4XMykJ8iORbf+xk4OWRbq7GaLma9N/JNW5JG
rCNho29fq8y0JWH79VJ/A7+cHl3vRzs5ZEPBnIRcZ74psmzr7waf2sR1EzHy1yLgJINebws/F9se
2W7ztUzQvCPHJK/6Xr/Eic1Fg2zcuQrQ6TW+TMFy1BgIVoHtO5kCnInFKJlj6Vgr7qJGEDjkJV+/
+OdgZRljEffj1zPQacUlR5lKyupROoIEBb0kWDapcfsj/RbIduw77eDOSF+Udh5sgsevx35TD/s0
6e/GPrkvlFGxQhXO2zFqbPXBeBR/muWyBLXH/nGIkRaw0YdDMzp4ptrTSE7w6FNT2STMNWCaMzom
v7vU30/ESbUtsMQCT5pBOgIMQ2W+uMk0R0ToPXDOtZo+p0Qnc35SgMmtGUvXepaOzZRvTLBmBbvR
hURoSvs3wheJiydgtdadOVbOjnxyiSTZFCIiz0vWlbsoTsB+BGM/QDcDR2OrpQuVRGtdpJO+/tRn
l9nJVZKhawudiYH1l+6hfmaN6a+ziWGfLTwIP0NcRis3HW0ikzMDLxv3qzV2Ev1rTRabRsJca8qt
Irlq7wbVWrwkgFSuplf1ZzeuS3DN4nxmOb3hqD8PvLTbITUuyNyP95iVGq3SD6JEPwSQsasoWBh4
tQ8JH++1F/hddgfDpXjKjdlW4+9RcJzuZxwwlWcMbO1MukbnZvbpxdIKxGAqkx1dnuCf1Y6CIm5W
rr6eqN8v/78e9+SsQf1YWmT1pSOkwlp1Su6ZZutLD7Qfu+pcmfe3d/xS3EIHDvXUhaD+PnFemM9D
qZbSMYcACxdwKEdHUukVADXYI91o+3ijhruzpc830exPH+XdwCeroRIKEze6grckbE9t7kDaRlXi
pvIKgJyo2l2PjZM7P9IISWSvFRwQ1Yi45Q2VYFtUVp3kNt0qzDEx3k4gQWmGt2s19hRcbo2bXj0G
kRf3IMh34EkBsPvNmQP7t9fiX2/w1th5l3KZeSQJTVaxrFSnpTJdsz6ohk7xcztuZpSE43OSc59L
kstxhcoOnIflPjoFaKTSrBYDTJ5jCJh+1uw63jdSR/6Ru2q6BV/ZBB6mcZXo1OpmapDBJQfEAlOH
FFR7af6gZYc0PVB0k1tA3lfjfDBlcNYgYHHa2VbDwSBrMorHWnyOukPTr+b0KVW3NQhSc5Oai0LE
voRohl0OFmLUyzGn06Xb0N9HzfHrbfBmlv5hhdAAUICi6JTHYaoYJ2cz1sgIBIwEAlZ5KAjtVFhf
KKnb8P6zh9raGu1NXF6xW7PsAv0pI/bmlLbsjdbYJRoAibMAp6Fh/mwtR/klwYzI3ATPcmI1gjCC
h0tBWEHnxAqm1y/adZk6lZeCDK+9xtgOT/KFiJMdbTZAMHgH3Xz9em9d3K9e7+QCELR5gnTJ66nj
yurIEB18H4tX0xF21hb59gBzuXCF2ylVZENm4lcB5p4aBSlPrT1KaiXvpjqm5kryyg9Qrf0VC24t
rzqmSVkXuoONHZTQEjmGaQWhckSW/liLSK84Q7NpDchvjhi62mWGykqMBZVbm8iHwAH39OQ161at
fKDE3kRuJ7t0bKGXdwq8bgzC7ITpexmx1n0hfa1lDxtMW/cd1fRq7bG0zgjjfb6zlqWgI+8niiZ1
o1Ml4lqKJJA2AaGRusJvSIQbO8PoDkq7BRKkAoR3mu46qHbzEnvjbtyeKWYuH+PTx3r3AMvd9m6v
1708tAB4paMZb8zqvkRPRncM+WLw3a+Xxee89uRVTyMxjPrARBFsi/6qJbWcpidJv5GxAMOLrthZ
6EsisxgBbEfRYHNm8E9H2sngJ5GXmCnV6C9rspoc2tF66loshnGHvOOQ75t+q4WeNq58fxfVaym+
DOo1CttWbiOucVYf9XOeffI0JwfAXKu55MehdMzyi9bYYAmM6YB6LH6A28NNs/zTveNvIY9n5/5k
S4LoUbEj4/UBOObTj6rfZibUYuVRzG7x0quamy57YtYJXfyx2X49+Z8TH0A3MKEQoEICEqG70zXW
yOmYz2pyzLSyJ/jG8EptcbBqrfnZx6jUndNZJbnsXoLKCi+SJf1qNGVwG4NsKNdwdZtq/3KATOIg
cf/LlIvJliQBFavFFGbCfSybvmPR1s+DceDGupubuj4TbC3L88NG4SUU0je8OlD1xSni40ZZWvWG
EmFbWKOAagvQslcj19b667n6XDxf9DF1KqfgN2jPvf383X5sjVER4sAIj5WpP49FNq9wBwTgW7S0
mBC5XQFV3lucasDT6Jy+eY33597187H09hTARzWNApR4aocx1mYRBP4UHvWRVmaCAqFZ6THG2o2+
VWu0cIBNIf0/rMjQs2IjCPsmlo9GJd13QzSfySiW3fBu5k30vxYBTAARoIYs8TSSq0bcvkPfD47Y
DuP9HaXHcGyguLTBr6GuhTPBj3wSzS/DwfRDkZqOngZY9CRwhEqvibNV8O69stexnfck9FUg88j3
fgqbuFSjTSsrWOnl2SvutGAYxEK4aMT5qei5xcse2SoVV89VkGbfaYAGXadtql4h2xxVBfOnGuGv
IdmGupaeiXpPMUDLwy9dCMTeAC4tuq4fV+k0FQZAFjz0cMNC6KCifFhLuepZfrL12/SgCQbyHcGI
Z5WQha4ZZIIX1PSQyiqBEqgXD1NRJXYkylu5NIO1Yl7o4STAjxpjR8PMvdeUc99X/vyB32BWmOnR
z0Xg/SRiHqD4IeUSiEd40pdhJtpDpWJoZUbNxRz7d0KUCDdyNgd03dEcTcNyMZ+TxXVsDpdaXLYX
ix6wA7x0P0XZBAlMckpfO0TgupHoEMNrn/d0OtxVXHpI/WUodsNlhNsoXsLx7Hy9g09POz6BDgAL
khAePbrBn4+foNWxcYw0sTn2sYUjccjsB0ITEVzkxkqrI4BY8RN+T52HgkXoYGA47YwsAQWHpiLN
0Q6FMwEqXE1nOU8a/zKOKMEF8KCgyTpF3VY3rWwUBEFT5rV9adoF/vEuntPyma1w2gsBKg1YFMFp
9h8a26CZP76KOIxWj2aRdRvDy7sQouEeLq6b6cYlDlzIlOtlg5xgh3IWtVJl1IZLXG1bxHfMZJdK
yaobhHinpLFNolq4wJ0g9yj/Usr9b+C2/L8m3QiJ7t3i+yTVeOx+vObv2elvf/8PagsybODdaRyr
HOBU3nR+0x/MdAgqnOvgn2B2sD7fMOB/Eltk+Z8yydcCToZsYkAe/zevxfonetyIoC4XOMn0f0hr
0d5ExP861LHDWTjxugZCgQFRhT4pwatmlbT0tp/QR+j0u7BCPst0giqOxXqP2Gpg/AzEoY7DBQ/d
lPWL2g6CPK0CP8+mzcRFTCY4F76ni6OVUFPKMhOdHbBVITKMeMqmkePjTN3Kl8pYTfkC7DJRGosR
tSBNyGBkNZskq7rZKaIhziFdt3oTH7pCDRZm6KjIeA9hHF6CA4qQUbKnQiyMxKuQZwvXwdiY+jdU
z+Ip8cxFqKT1Bg7lxNgYSa30RFSpYUKNQ/xtJRDVqE4+zhEZhlVSBFybGDEPDkLbYxSQ9wBJrp05
GIcE5ipGJLsE7+0uXbX+tFSBgwrzPzddvuVOqKDT/YiR0xYPhVZrnTdhHSqVto8gcuQZcpOBfZlN
0qGqG1FpKvJaku0izgm9YD+gdmQUtYSzICuE/plZtoeqCGb0MbRhogGBy2dS/sLXfFFHmlF3ov6s
IJP3LcYwurrE0xA3aZuYDDL0PNWJRoUv7Tv0JSExJTY6MGRMcI9NEyJHbCa/Jsi8Mo2NRcH2Qmyy
Dpb0EBbIP8lpQnFEkYpHX2pHMDC10CPOl8+tPQYi3ud1mlbX0NNN3R4ttTvyubQOCSAUYy8q1GuQ
cYrzTjmMtESRfEsQebJlAv2LGINm2pAdHkdeEswDjyenc48+F9d0jfdRDmKjNWBul2Zdp6uEBYxD
ahci/tUix5PvMrEJCijj/EVKY7nhVH6hmI4xxVGBRasSdDtNH8RHU+wXu+RY5l9GmlS2ihfNmXFT
hD5khnqwqCnkCBdhAS+2JpOJn/WU2xbKAwhswlkvbaPPZ+tRSjM8hISmNcqVmSg4M6bzwk9w80AK
u8Lx8Rg37Sz1A5zcCzXtK4B0cmde6WUSATCSTUEZ6UkX0Y/Bx318bei5oojbXtJG5TUYkkp5Essi
KAy7r4QyQFsLtyR5mxfNrMTrPhn8AdmBmlukS+cBNilqNRQVgki5yq2x8lf1TFRIQh3wUHNUUFXA
oTO3bDmCMe1MmVVO68QUEEobwzi87iSt+aF20D6gippIGiNo7kNTV0rE24ZJjxBHDvrgmh07PrBq
mcZBbKCwRlOsaQ5W8u1VjYcCeqchvAo77v3aWhX91FiehYzKM8qFVbMqOtlfD0KfqW4Q1y0qxrp4
NPxZfZlFLCjKqs4WZLuS79M6KKSNaaTBsO+QTECKqpTpNzXEwIMbdugUs0NiFltapksnD0tJ3bYy
3KbdCsB1tEOFj3adCft1q2L+NNqtOPa3QI/qp1QrQ8ozUzgQfBgTT537CUvFCPX+uVI5YmxDnNJh
U4oq4kf1LFD9HLTUfBlDsS1SGzSFP17hfW22jlwG4TTY8pBhL5yOZpPvkPDSO4+jalLcuJA1epCS
KaeHPGhJhpJhLjKLHlKuCb0t67Ead4jLYRbbONC1EaRtE0sIb4XWakdoRtUAwZ0NOM0jjb9RrVQI
6GxTtPKRVKsWES5sxfu51IK1jP63IbFKE1EEYkq5ud6OTEfmDn2hRKsokyr9QggEtd0mhVY19BSw
tLtg34bGDify3KzcwarGGo5FIepgL8UaFb8W505cM1O9L4LvxLJh/zJafg2CePC70gHeIgmPudnH
aNW5aVlHvW7LwjihlhOqRil9W6gec7LNYyGQMx2filqMN9aAd+H9LDYaBTSca+w2MNT7QeyNdB80
gaqsZb1fEIJpN4p69iRXuLU6Vi/kyoQcgDTTvTjqAfeEqV7IXeQDXu2S9jFuUB3a951cdrd5hG32
NgwbH2shNkx4zMJeWWgbaZ65I9inCncKVKj4+m1neSl6juFKhgeo3AZZIxqOiXnvjSk1Gt6y3WKP
LWdCPKKUWfq+W8VDdun3FbienJrRqymmYe1lfjfmNtp/2WUDrJnOK1IgMZtqWZJipBWyYxlNBfBh
0HMC/WqIBfgzuo6WeKWAVUlQoLrsFWnmMm20Fqgafg3yVduk/gQ9D1rzuplC/9ovIoiRsVUM07ZA
8w2og94ivKXr5ZOez/PkWagUHvpqKg8Bd9OyNERxlwXZIsoQidgvzYlPRy8cGkSDIx3KPsL2WPq5
vsSh4hn/h70zWc4bSbb0q5T1PsowD2Ztd/GPHCWRFKnM2sBISYkZgSGAAPD0/YXI2yX+UpGdbda7
zo1MQxJThIf78ePnCBmkh2ysgipFUHBasoNBDB8xMGu/pTGmNteid5jlLka8zzZJEQfD1rE8WhZT
gHnEpkoHuhUMN1oXepE0PnLJAcDUCOIdCFK5oqGV3sk42qi4Rvou1ZGf41qc2pe522GaHYe+/hca
1sx6z32cVYeE+a94w/GtiKpTha1UFrWwpxcnKS+8MMWGfVkxX9n4LNezksaxZtK89f81I4QvyG/L
kHovCm0G82fS8fUM2Ri13gbdQIWMC6N7nEak5C5YUCgddPEcGFVaHdxFVodiVDFb2bcgqTpA0lEt
F06FDOeuxd9GHty2pcAfm6S/SN3ktupWENC41sjSxFOExY9YGkDNof2sBQDbfp6Q+yk3VK6Ne935
KWssTxt7uV8CtGDQ/8kTcZYMjvMRbvA8bAbQvwLxzXKV54VaiPwkH9kNkQS6iRzL/Mzz/Pw7vowE
YVUXrvPHpBxvvG/A8sejCArZbHsRZ84FEleTdWzCqevOGhVCokHylLAYep1v71VQd624mf3WVd/y
BkBFbwMVOsVWW/F6naBQ+JR1c3rXuYj2oMltW1+TOUOlI6/GkdNGdmC3C+/61pkMfSfRfWgOvqz/
HGjb+tZ7I1TynpFevqvlrl+RxrUJs+h8oV0/VI7aoD8bPpYzrHXaXxmUDnTT3UtLoRG6WWiVguyQ
xei9Q3l97uNkn22CxkPZiyKMGYXUHjK+W2vd9/gwaRoKMUlFittiuxNra+eUrumS7hskYQnHquLm
C3vtnuo+DdUGM1OFXChKDkHvZl/EhB25nQWLsw+XkpK3auV0nWOBaSGJFEZ8RH+dhn2uFPpCDSfs
+YDa3F+o3GbIQSr8vufJ+mMk9WuPzFL6x6CyRoYW8lV3EEbS3jlXYrK+63GiAzb7XfJg5Xr4iwkT
mXzp+sJFC8Zqa3D6qcycP2ek0qbPMghKurNpBhPu6OS9be1ERa3wnlvj67LflABoaNgBM8KoGjkM
R76uLmP0HHLBQzEC60gGTaK2gnxlW8NNHpaqZmFOvf1Odf7LNWEQUnVAeMHOwfJOoUiHimmKBtza
Q7usLz23jY5rKeb9gjDyvqx42T8VZJ+eC5qfx+gNdPGqzOF6occEv2MuCK73+hl9MRccChDR5YIq
FOctBDNn3OMKEe9TAfNBzagSMQAd711yxHfIHa8xS94wbnyU7wCvZuoU77jXV1/LblGZjUz9LHGJ
jAOltrPTfHv7EQ10/voRmaDFHZIWhhFRiE4gp0K1TTYTzDcCgbttuwSdRwxGnRjlY/n4f3OtwIb5
6jmYyJrP+xM6mtgFmgQ54tAjSddOpaL+0unYzCwX43td0BPjPfP2fmibexE1L8on1knPQNidXiu0
eqhpiD7BEqI+q2trPeuRwN7WqtL7lqx7180FA2m1Gz3hBxbsMxfV3qlNiQuwOL8Y9PKxrZrlYhUt
LPi3X8ivX5h7xB2cYQ4+ATvq9QvB1dGVpebl42sv9+OEsLknkEz9cZX/j7D8D7blTy/8F4Tl89iX
wz8wwfjH9jH/KoffyYn8+BEveiKh/U8UYtC3x9PCoGcGv3lGXUTogKCYPgjr1mEQ3/Bm/ht2QTKE
QT+wbdIxRjcNADo8O34D1kCZApEh70dLAabe31ETMdD1v7cqNTmJDWoUrEIz/QPe9nq1LGIRVKUr
k1e6VA9LzVSPrem3BZUHvUzlf0190T5QkP+tbftyXaAjNq1pNRos6udtu7J1dCus9MCbQ00XiYpb
xnu7LaKaHNg/faDfRNzXO+L5WvBhMFAngQDKP4HveZVIt05LeqiitNxGKBUfhsB5byLU3PHpm8Sy
hL4tcDteUSeRdRgwNw5sroJ8DAzxodZwJhk5Ggq/udDZXF/hvrx3EEIadH3+9hOaPX1y7QCzXA9X
FCwQ6RG9fpu+HtM1qrj2jGzUPsy8q16s12g65genz+1933rynWPzdYz/8VIZSEUygqOT7sIpCd/1
k0JJq0oPSLgCrDWWy+sFOvc7/8VA4z/2Kn/zZgO0w8gJjL8jQ5Kvny6Os7bXAgKDGNr8k5PMyKas
TX6e+GF5KYblX35pXUbrVJ1VKnjP7vS08WV2CDuQDYehMfH09LwOECnn2r7Yt5PEix15kKOFRuCm
nrLorNY2JCtnDTcR0lOHvFipQhQkEzvSjC+Wf1BP8T9RjL1zjv/u9XN8UwSzriEJnGRKq+1ng5Su
2HseA2XGcZBxDzC/NB+751D/H1//794AcjVInPmoHhn5o9fv36b6zCv0qA5TGstLbN38p0xG1b8a
0rX7bgICiAO9xSSwOR/Rru5qyLuooe/zDkrOSgPsBot7+93h9teJ248VSCsCeSxU19DLOqW6+bXV
pmrwzNCoS2HdV/SsZmtheDXHM0FuOmQFP1dMnH5wpxXXylajcF8nyfIhlq6+0I4WX0B4+L8WG532
waMAw8Wy7a6c0TksjRsmTHYw3tlH3lWeiqeaKmGbZRQMCOpxrBaB9u+SWSGP+fZ2PtWEYM1B9OcM
ZzdTCbLuX7/xMpRZAHYKZScDYEamf7wM46KmMpPWbG0TmVl/zQlJD/zhed65SLbMW7RTAOrmpg3B
b7IFgUPhq22L3OiXuh4CevppmmV7213k/u37dX/doRxeiF6xP4mxKOK+vl+gQH+Rs5/swd/lTpF6
Qe9pqLlrv68vkRi0bwfsSyTBt4GgVnjRp8IZUcTGPQGVbLtLaipCV0Eqmx3FTFY5qK2nK/5AObHA
FcOhaNlEXnrXylV/wmYuu+lxqUcFQM7hZZ6V/qd8jqvbvPK3adUgr27h0JKMysPQZ3AusJrxb/Mg
gXhnD/OykfYSb/TarPd4y3kodrvxV+Wp8WCTOL4TKn89fxgrp3FMBx9GD1H69dsBuEUX3vWSfeLm
033VLhTEUefv3v4Iv78KbRij5MNk58k3aNcM9cYYJk2M4OFOO8t3yaTnO49ifsjrg4ZHMU1wijuw
IP80AZYYFGDumOxtjY2wX6zhH72DXmqaNqiXTBhEjK0G+e0b550j7jdXRlWYZACtEMO4OMnzi0HF
S+4MsWk3w3zPlnKb6XJlkBQSfBre67TPHkQELP/2az1t3rIXTYxheZNB+NjPnpytfRbkzN8wdOJK
y+gOzVHy4E798OjQFvE2ce+LXc3w9KHMURNnCIhyQM51i79o4bTDZo5C2KWltXwrhuSq0zWOwLiK
qk2JZ8bnxCnEJagobloibfF7aBow2bKpvwaV8D66bVx8mscyOb79VL9u2OfAGbqYMpnF+XpJzi2g
F8KMOLOjPnrwdBTftX53O5SKAB/O4wHvww+Ys2XHWDBJ+PbFf/9K2XCGRuLC8Dz5luXqobdgGei+
bMej6k3PWzTg46INj0XZTR8rwVxMu0A5EwWDoqjhlTAeLRf52wQR4CZ6KMNE0lVI1p3nrDNIOlZn
rfSCPUAcAg69Zk7ear+nrg+XrO4f8bhLPijHfY8cckrPMeuD3UCshrbJKMMP8shPBWiKgsCUTaiP
dKkT3q6EE6y44/wyq5WtkOLrmZHC1Pg8V4jKVn6HK3Tdy09JP6QPb7/X394K+AnyNAEuXNAIT75q
U7luXkr2SF/2HMhj/ziNq2F1jcN5tNriY5itdAG9tN50Q4/ZzBJe2W6vbt+5ERPRTsKESYGNbScy
U78sr5ivWWkcJfdT1181o3O+rr51DvU1vyJDU0y5BwxOuunVguvImdsOMQw7WF9t7vjvLLbfrHR6
WkQqCmLyJSPn+HOhkbkOEjgkdvsOU6T7NCuj64CdeokzJ9x/D60/QODHOMckXQCWv6NJ8Jug7PJF
iJbUcLgdngQP2SG8V3RcnT5GgkNejF9I7fXP+cL/i2J8ggE39t//cf3YDv84jM23R5XL5n+aS33F
/AC1pUz91+vfDs+/T79LUwy/+s2+UbyYm/F7v9x+H8aK//U5rTT/8v/0L1+8Jj8vLV6TX+XYKPPT
Um7rZyKDyTneEPZ8bBDqP/33LyW47/yT3ckXsA3sZSb8/ncJbnt8kZeaO3L/iaYn4g3/7UjJqn6p
uT37n/AizDoylTyGw3+n5D6ZNSRKMHvAOYJcJpwgG1Tp9ZKs+Qpt40XpFztIGx1v2nWYAOOgYESA
rGVDnkaGOVJYPYnZX2dvm2cOyoC4LLdj/jDlgaYlq/08AgNWtQ0BArK4kzRyn3Yz/cDzSagUf8fe
dOu9TaRGPFe2ZZS4qIthDz8M+dELnC405PZau+02TenDzbRRxq5L90WmK+4rJQ/gvlCJdDIYFGnh
0mOKuzpxpot6TtpS0t8gLbxxdZ3iS1Yu9hR+QyTLlqiWJebuGmGZH0hLzOLSc5ZONL+XQFX8c9+v
U+WcUV8l4Z1wy3AYdiEbxrIvV3dtxvBYJoJ+Mg4lsd/W12nTFu23HqBl1IdVaRK/XeGNCYqIXRJN
/Pyuy8U0XUVz1fAS0OBO+J1XSGZxtp3vNTx219oWtwBeN3viWM3MNXRMW1jm/vNxzHnsrHD87umn
1fjpOfT9Z9DXfHIEb0APEVHDDNU9pU31pfID3LL6B4Sr55SBBt9LVn1hFSiJ+1gSykDRDkxXDJPO
5SjXdr0TqtSqOLPrxA/Ks7dv53UyBQ5CJW2OX3B2ajpMaF6vwLJzvDroOlTyB+12T44/yLI8K8fQ
6YqDSjAHYAqxcmJen+v2voZzAwmPN/y3boOTP/SBDigsjSbJLwTa3M/I7uc5uR9gLLFC0WBN52xn
B5pJtX0bzOaLTRqfwuwGI5g2mK5mnMPS/J0z4qTe4vMYFVCcMQJjSAtMZ97XT2c47t55MbZDeI+r
kvTrD6R36NAe+77MA+8mZl0kdJNHtoVxBCzXTqIC3U02KzxfIk8vh2TFgHE5THqJeVv12PrK/hhi
UuiKjzVsmOgJS74xLa9nmbjldVSXdnDz9tt8XQ/zEIEVQ1AlqljEKnKR1w+BM6fXKb9d7me+YuZv
AqpeXqM3ahkvx8wdOne6iEUzyFk+H0D/GSL4MbD57xOfi5PCRC49G6N9g2z1yYrCJ9obM6rse+Te
xwWdkakuw+6gBvqd+TFxK3PxMJ/MVvRkXxfO1hIDNkjXzeoPjfuhJYtjY2Y51KZ0P012tmqc7qRt
1gVutr3Cq8AOi/ijHGvHobE10m1kDnoCiwi3Qd8tTI449hrCIJDTOsV/Jsz/ze1t2zDWHDII09OL
x+tjFB4SPNhssdfxWkyC7rA40jfxA89NbnOZl5CfHLvtSPhbpn7kjuoBk6h4I/LchMZEzAEfH19w
j3/ZY4Sohm2Oo0MfbtsOvzHEEJxw4e+i558ydYH50ZYq6MQhzzKY+EaruOYPI0y9zOPNjXnmIo8J
P7McOi7uSXKL7CvupKNeLgd3Rth/IwP82Z6I5Q1vuBmgOKV76A0ZfKWkclDxs9vcyqAU9TG92XKj
gNTa/HxJNbU7c0R5yScBJkin5KZF3CIQjxh3mtdehWnHx6M/QZfjzwkPCf7QhSvn+F+sMlKFfVUV
jokVReLIYu43q2A3EOeBefinmlkp7jryINqx1op0EnfepExwrZ/vs4MyKu4wwmOt7mhrptiJO1Da
avsAFcZi6D0fg8pHJNFKxsHaPweooMAMrju8/KjUJCXBRyQqzGqaVSrn2xp2liYFL4cpPfp5NSvn
80j6xf+V+4FdVF/UpCP6p2WocdFCwK4xD6whYwT4m1nLQIxpEgda2+HtbfmDq/x6awTAZh4nISc+
m+Nka2RBYg3rGqkHOXo5HnDJusZds32JeaLrZ15ZMJUri0Y3hc0vsunoGu9f/omb57A4dm5RY0qG
JrjJGVzp9HxFpcNe3019YlFWjlVPCD/Sdjfvpe0DOzj6dZEOyAKVhHHvrrBnP08hh8RDK/07JX38
J2+tmR7arZ4Lfw6uunBdLMA632m7cLx0n89xxx38EkA5RID4+Pwb6kqzvuXzarenxe7tD0VUmJjt
e5OAreTn9cQ66NGfGcSn1paVRe+sGSapsi8vh649OwtPTPFbjPG2A8GgfEP0GHeLG07pgmftwzxN
ICZ6Baakh6bIRjxQUuRJh6+WLzQb11a+Y84qex1bQWtaoed/4ZdemsRMg9lrMx9r325c/I1wb+F1
+63ARfGdKPgahTenKiikEaUxFsjg8ScfGrKzGFunc+7spe/Q1cuneU1R5SvJAjlXm6TwO/fcERpb
k2O/WPR/Pr+91n4911lqtpGHt6hEOd5fHwFr3zNGsHb6LpVNGfpftDXP/nIQMUp3CJGFbjmhahH0
CkdANAkrbBpC2pTL/A4geDLORLVjGqQQIix4LOCBp4qVbe25RGe/vAsDxjgtqErTUuZbp2GbOtvC
D81iSTyvRnYMzTZzI5HN+JN/6S6u5nxaZWdBcn/79Zye87TNaLkDXMXoMTm/Zt5r3jp+vuT9va8c
zTJYJ2l+qYaO0uxatZPf3nIMRfgzKmUNs/4aVzGeqMfZiXQmvi6Wsor6OrZnbGWOjpYT9JwmqXDv
2eMno4y/W58UXngtoiJgljQt5JC/U1OenPNUMRbOp45H6w+V6l/UQItyVIBS7sAyGyBIoZNgx8Id
6eiPjRP9FSiA4vKy8OYwTP+WBBErnAuTYhgGOQ1D73Q2cV1kX8pybe/w0A7a5hO7NCSOTwkYLXDg
8653m7Ff5Lmb0XN7SBIbWuQ7eSOpMwv5p5hq2OrGooHBYDYdK/Vkq+kqkkMJvfROZuPMUoLVbT5k
VjRsCtpAijh6jErZ84cv2UNdL42erjKZFNoCfPPhuB7sMjOxshQWSVk+wgV7wtfXRGKv9X880/MP
dsngkBLS1ZLg2ko3z+9xv4S7pNDPE0KOxUeV1EqKvRWWOK+dR17mlcGl00zmhNeYC3VPvoEnu0OP
1aVADM/BkbS/hQJr9mZr9WOxXFAhVXiBtiIh2zsUmeVwK/lzOabivjYZCIQ3c0Q8x91iImd/gjJv
soshxkJsuJqg9+YYqdqWida2k6cupFX2LIJgzjSs8h7meU9wtxnB655ejh5p9QtM440PDZ+/A53E
yfrgSZ9S63JdTZl4sOxEJPYX4fsQB3GBUPZ8nVQ4svRbVaQ848F3GeScrvq2XvscIQ1kuvJDEiXJ
BNzule3U7byomQtY3tUYLApVl0C097wXyRG3wpeOvAP1ZMktrJCauAX5nCww6+f4YpOvKsyWLfEl
5+9WR7HBjlp65qBop9XiVvJx9bixKvJXysAgookyXvoYivNPINCabESwu/iXL/+DTTHEQmk47Cgm
SZbMC07cJeVHk3bnJGd1ZpPLTMrr3WpnFZM312ecsCb1wq/aXBULiZhfYH2bFTU0gclw1BxUHGRV
y9Fq7W0/4WDYcxKbQ9KeheBy3pw5fX9Yc95VBjqEbTwWuk3twT36Yw6dckkvx1Hmatw6VREm3T4f
JYmApbCtKw/D1Cj9V5eEP9JmWy28IzBTWehNVJSJ5dLTmhRVjEgb1njg5kU0bMPnrcG4xcrxqUAt
W2UxMFBPkbhirqpnzmGTDktHcy8XRZT9VZOIOxCJzeTGcONBZZzDC6yUTMJUNN4apmcY6FRyUJt4
yokdD0C869RdiIIoaG+qxirIbvsZItB4SIY6XS8DmZZ5+6FOljle7tgxq1y7XZ14SZwdrSrIeZG1
4+E2yjAGNWR9bj/vJytUivdZg5j7066YDDS/JT9CYny35G7JhcK0Nxn6S1nx8r1t+I7kJc1zHoO5
kvkpL4eAGIWpd+NwgTx89py7vn38/HI6M7FIG4HJFk5G2uYnQaurOlt7jcxun5NaEANyKpcnmm98
PU8cjF6gM+7dE2VGASfDib399j38cnhEoTk2aJxiAxm4p3Boh9Z/MTFUcWM5YzXfZBaDCNdLQxb/
AN+ZIuPQwH4lwX/7sifK35waXI20gD46Gsc+Q5SvMxMmQCwhQ53e0b6CMPw0ZFmTeRA/aCKr+zrC
0wYtXdCrUmwqOdocLkWaxXzBqkh5X4cJjJeSRjlTUQzM7deD9s69VKShdWQVu8UjFZ2JBWuuVSs/
xpPX8x1dq7VjAnfPQER97aYJw5zbaA1F5UC+W6P8zlpss1P9UiygLkmDF+0h6UfHZLOampcJoed0
JZ2ymRzm5bYGhg5I6rzCNhGhEiLu+zvasY5TbueOIdwKs3q4mQvze+gi2qgHkUoX4b5YQeLRgMwb
q0/eOZ9PWvVkBchNgsmhgYuKdcRqe/2a49mqx9xzs5s5iUZyq6jMfHOXfTBEGA4GRYp8WVEn/X1h
9BiQXUiXufhK1jRyZL/kiUmrY8y2s1xVjEG5bstwwK5vQ7Of3l4WPz77q3OcNUi/gqEvpGpgPJ3c
bxHU2s9j1d9mWC8yXIplfR4XIGFOiwi99madDdc2HdzY2tp21qFZRIguF/8yLrGvWO/jTPRjeqbb
lSCwrztmrNqDnWoKibPB8V1uOUPLiu/GYZegoCBsDNpvMaDrWXBdgYmfPjqt15c2jvFhO1KOUnrb
1THnREP/vHIZnbHeqQk901/7+blhbzGDx2bg1KW/fJq/2EGndRpU423crIHdPxaz15Nt5v0wEgZc
aXPRDRySkQXd5AtmydtCeitkk5wwHH1Wc+rxZ6BqBjmAIMv+bamB+QeynTVO8AgudaoEkxgNCFQ8
/2CU5Iuiv1CjPXt6H4uezbEJSouwC8HADpjAz1QKGHgeJPHCwqmnoeNlq0aYJMV2Ba7N37tQBFhy
2mvOneBkOGf9bsiBvPTFDMmirPaWKHsPwTRNcoKcd+bYM73NLrGYgLih+QieewbiwozFAR7YxDRa
N8SjjQCBTxoyIrU1L4v5yq1K1h/PrhjvYywZdKn5m1UbBTmj5B4hCiMgJJNMqvkT9gfrLI+TZYxv
XA/v0PYPEJZyvlkzNyUEm1SWQz0rJrONZsczEeDtPXAakQHIaYICPRrpVP47iYyy4wheyjq6IThU
6wMjZOYIWNwqZAk4WTVxRcoIjoq/fV1k/rAsM5w15plOnttvdZBrb/VuLE9wXa8dDLyvHWm2+TC7
hMGwYiDiXazQPV37pvtheLR4aRjY9aRIxVO+mXu9rjeTzdLnGVVXu/n2pYrh3MoceSFraG5iv4CO
tP6nDtPiGopPkS31AOTgFWF/LrO5s5eNM5Ae/wHkE2k9vlPHvm4emnBKEW3GYhEUZ3r7tN4ZOquI
5qb2P/nLMrMxg5xOPWavKEzwu/bH+ZzrLi52vjM69XI0diZ8vdJxE2Dgv/nBHKaXYGniDcZ/4WkP
wWRjStLSuGmCMWdtWiP9V3S5/CHkWkO0kkcMDWILD29f1zBUXwcrSOM4lbkhxHULp6KTFRqncwqy
4LFzw06o86afDLzcNNB+yq2jfAOPrlKOE+N6XpnJ8uYltU0H1wRgZmMSsi4dLaZ+8e185bZfEEfs
r4IF+x97NkCvA0tzzD/YKdZHqJ/PtSGpIwNV+vlfbz/Uic0Fnxb6OwcP35ahOAMHvN72sbdkqz8V
080L4hy3Mg4+jsxfRtk+D9cAq8oJsHZtdk0ZIOpwljfOwDBPYFUmLUmhGfA0qsdLUGwmysNKcs4C
x92uOGgkYgvqHLiCGc+BvsrG9WYs4g9dMFuV2IR15pcjsk5eULpHTwlqjPvJtS1L7J9zMkcj10kt
42WmM9IDWv34hU7N8Ge2wgsGew2xrpz34WK1lXsMRO75yyZpAmtq9hXDG1F8wcSdEnerVJWnnl4+
x7pMBnFbx8V8uGFopEuV6NkSvckgrWzUs6Zn3B0EsWY1v2DlFWwLHnykF4d1QStaYvRV5Upzf10c
+Is+Uk5HNbO6bRl5jThPoehJm2JjpujYhpOdo9b89nc8xdwc2rGIQANcw4H8dW0GfpauHrMhN0wO
mh26SpDlpypLYpO4tbl5h6FdJep8yEv/3WD26+XNprAhRRlEAkjk9Soid8kL2hjtzQtU6zm4+ObM
B0bMeW/yH51Ezy9d7qJKCz76O49/4p/EMkaYxA0Y6qfDGNu/7M1MeYWZJpo+pUFqiteiIh8CA2Ya
uRiRXE7WOd5xOyslcAeywwd0Vo81ghp6J6ndXkpg4WiDi44kjPxh0grTpsDwzPQ8XqqmRcaspWTw
eytEjTSdcOEW/o+rvqys2qtMD6dPR1X7ZwtTzPW0iS01YuGh7CUUzKRHCVEDM+y8yer3vLR+CVQB
CB88HNrStOmZsHn9NeYqKJ2hbcdPLyGKqs+MRb4k7i6oQPdULhkxLAgal9XC/Fsz3+i6f7fOOk3w
vMAwIbF2C9BN8JzTjiJjjZWfLtX8uW6USP0NsYxr6HI0TFOmntX52/vgF8SVkQ+eBjK/6QLG4L+v
n10LP0hlMqafMy/JkX1EH5K6eGMvgISkYDKLp0cNRT3ZqEElSHBWxDoko0um30MmM9Fa4pe3b+qX
qo++IK/A5Ff0Pn49soa5UguyAdnnNE5NJFnc0iWPKukRkk4+JzyaJth804qRd1LPmJ8C/v44ZzjW
vPLaZ+zZnLxAQbzGYGUW73rIhfl6z4GyTt16fQiLwcE4eg35FrfMMtPl3w5VbdrJzwldRy7KLoQH
S3b30rfL3cEsc7zQWRIVDtZFvcmGaYHlwJAoU/VtaCXhVRc3ylq2qQhbf4cKldnaXZiPlJfNmNcU
y5PufsBJfWzyQ9urbW4vGoWp6Q0hl1339ps9TRrZ9DTN4T0YJiSyDCc51Khspmrpg9y9FPB1H6rp
IHNrSg4gAEtRbPyW7f3edWkmsI7+Xbng2k6YI2O1keVhXM4PTiKepWXFascsQvnZKqJNWKSNR1ML
FmVHn0lRSnQg0nmMptGqMWhM95ByMvnReW70BC61Cz5EYW+LJ3sE0AHATiPAtZe+1UtLdpLUEsb4
XNV9tqO7ybaFfL3K/prBSb1Y2zrMMg8bFWWZTnOjqxGVpQpUrPpQ6VFhT9tQhCy1IXtQyUNucU3r
1pvaiUAUZ2WPBsVoGrlPL/ihrNoG702NVC42ky3Q25CT+w8+oow2DJX6iLv14DzCAKik3C9+7YYP
5Zr4HMahJ8ah3CfTCvJw2TnJmlnHdaS2+KAtWlwpkmZ4LhrxMkQAimO1xE1ybZsTgnTbj4Xukc2H
rL18gNJK15i0KV9ZP6DGa4rA+wQjYTlHLWO2YHzrJBeIhaIBxgL2hyGaxZdlAWaUW2ZpoE4wX11J
8dnTzI3QV5Rxv1SHEpzMCY95xNCytddLpFYSslWhNrLPp2EQd0gsEKew/zRHVmKJOPwKLJcVx7RK
dBdusrJhE+/6Tuk52qzPnfI8ALHlIv4sCjJCsZDC7iYUubp0q9wlw74RyAES7XkNvDn2n1NqnMK9
sLqYIvJmlUWRd6CqMrQQJ/DHtnwcs1lbT3EnnOh8bHvbTnGMSpDj2DJgZw66l/a6+hEk8gg9DLnv
y2RcSlzHWwOzPqPbL5wDaKymrhF8UiKP6hKQ/mmVJhFiUtcAhtPIQYVeg9D+WG/A7/rp23OnMy0a
lmcWBppDlKE/qKs77cqJJl4RieK9dJvy6/Ue4ySHyIEhKHQ1KjMKj9exnK3dQGZs/fNJZrk7bao2
TmXx2Q4TdGCyusmSM8zo4V4y+C6bKu5b6mUnwU23gquwm+05Ly+lIgruWmDUKw0iBmQ+2unnqhqB
z2KvTvW1E9bDsM1mL7iweAcjm5l0Iy0vom6WlSy3VawGazf2/F12rJ1SyI9FCfx2IVrQ8eMIQJLv
MplPj8lQLsjR+lCg95Vj97eUSzmmgqDKFSIIEYlpK5nuPg9aa64O0k1iFHqSNFRbtOyYpt/Zqpzt
S2zu2g8iJHVA6DVlvY11pnc6Sv110zCAvwMXlTEepdMQgb014RXFBZOyGhiC6XgiwV3VYCU29t6k
t7R4nH8xbpxfVLM/BFALwuJDX8fjrgdPeJhrBNFK1T9i2dQ9CNspP1SemG30Nr1cDRsntZJ6oi2Q
wRy46jiu0F+YfW9lkLtwe2QbrsC0xLd4St0j3d16tyTZum9bFmvoY4/As2KEJyhaUZlZ5ecAMGMz
IFsDoB+vV2pNGLdDsnm5typvPajOY0xrsqsB47Gu/ZS4bY83YroeykX5tyoS7jFBK2gvjUTCJkNw
55JkqjlaXrbs7LWtDKQTXoNQpmctjIPPFspAfy6Mw98ng+pvFlTBrlLaFOfV0OOCNXaDt5M59nsE
yHUfzIXH0bcW2Hm4aryURT5/lM5g71d0l/aIaUNlLplj3cB2W761kS7R3/H0p9qzFAplYfZBh1aN
YFFfdNhL9usl+ibxHeh8hVFJ4n+KnHXBxBG6xaZMq+jSGgvvvvLH/j6m/XWElyK2k98nZ34/ovMw
N7iR2gL+7gYKo4cWZdDctUo3KBalPX2iZRKPqZPLK/yk821gO+qO2WZnp9vePepQOteOm4qdXqf1
e9kn8ikNkHCg0yJ2cir7zbAm9pNNp+UslEt55ub+8hFRTHUdpANSsnQwzzNdqI2brMtl1eaYDuS9
9D5BJYpmdGZqbDVDO9kL8IHLtvUQH4qiPjxEVZn8FZXzQxzI8cnmeDvWSxHjcgj/fFA+8TAvrc8e
AXgPvz766KdheOYioUMbg9nEXVoH/ueIupMUWweM2zPL2zyOdeGjqtYV8oqliRpL3Gr2idNsO/BO
tkxU2lcpwM7jnHvionN69KapH899wsmNlKhNcWY2D2A760auU/GYNWWORK7TzJ8Y68Dstk1skh9a
RhutJ5eZZl01TwRUrIEdfik2HDwlYqmQ+jaLI7o/FhGOB39ti/NybFEaqLK1vKGVqW40hw3qOUNz
/KFJGSG4cxfovHOwJpR2WW5FPmWoMm3mdp4OFTIof9qhaj5ktGHRg6pxXEwmvAg2aanTPfDGgy7o
G86j/JLR9zuH+fqVwdGHoKoRlB/L+SDGEPXy2OkOZRC24txWXRlfxV5Sn/FgFVJ5hW4/kFFkKLBQ
GyHK1TkcyZkoFFpTSUt4bTy4tY5dWI+9EPNWxz7TvF4r/hdjZ7Zct42t4SdiFTiTt3vSZEmWnSiJ
b1i24+Y8TyCf/nwgkK6Ouyp9rlJ2LG1ukgDW+qf1h4VYNTsROuOp3J68+jPYG/++yCzvqd23/ktc
t9ZjWUwLi8uTz+TKrGR7jAVDDALGKNMB93+snB1P9uYHv0Jn9W910gvv0mTldAu2NXh3iCccLkli
DeQK+SGqXorAH1ZWZxtIZDeBAzgQDtfMH/PnHtcb4HwyMk+t9PGkxWGcZNHvXr1GZ2ccGEbTcIcf
UeI5F6YMTA/ZHoyfSCZjyIbDsM3bwjjMT2mJdObURHXCF2rZS5CQfKJst95suKIfrbux/cS5+wGV
Q5GfuPHicYU3uUbuXP8CcO6fpNyjr4nbpr+WqejHEy4MRtlyF7rPdlz4t0LayCbzZKju0jbKv3hU
//ehtWXfvNEdHzw08iAnK5Nwg52MbZkQbHIaq7VmIkrcP+bEllwAt4HrvTK5FHmX/xl1GTOZSRR7
G+w2hkbyUiK7d3kmr2G6gnumT/W+dE99vr1w4d+LMai/97vdgHDAJjLHl727d6crsUM5P+V38WPp
TfFLHkpil3N/uLn9ik3CX3PmufiW/8HrJMMDO/EFDM57kqUMz2HlTndrbJPpbrF2L/nQVb/vnpMh
zvMZyFaXjIbtvIUwErgUGIyyzF+IRXKwBo0tE/Hkch/E1v4g2M3u1m1L7j0+u7iEi2d9yqKFyK+2
ia3qJosyb+7KNMqKHxYl+P7ej0kAsL/nER0lkwYUtoA3SwFtQRnQOHU7hRpBL0gAqSKdOM3T+bXH
/6DAwqMD7fqFhtjAE6YXGtdm6txPczQqzqRkQ4E20y1aNJUZvU5W2wgprhMsYRWTXZGue/4eVrzL
06VAK84/8TWWTHGlWqXwwLV3cKWZeWDdXJPRZk9Qve8yn9L+t8SPa7mcNCmKsXeJMNeGUV88xI3f
eN9ZmwpvlNaEZOA81qhfLtu8LAwPrIN0uB8SyyJ1Evhq606suqB5Kep5Yqh4GvtTcZ0h/TK8w4M7
XCyCgGA6k2aLfgikGckjmlK7JlG/pMQjmkOstz70uubNW/uk+H3y05YxMBawW/4J0j+xyfLqysoR
TwC00g/uwKTSPmeqQtEg9VpRuG7XaUmsCGisZxoODWLaZbdkLTi4TjTp/gi8JoHzK93sFnHVZJfZ
ptK5oMbjf8cHA9Hve4dHkRaknn4g5y4Zxz5lYvT//Iv8IY61fF59v0sfNxGwxKKw7e6SMnHr6jx5
5R58pSAL8+tcrLN11/d22Xw0stl6x41Djl+XNvu77pDjbu8jepCM2xhmiz3+i65J8Z9iI04CHY1f
K1Ct7HLSAl90aZwLS+G2RlJWl6uXsJGqXeDNUDdGHRUnXhUEOCA5/IYXaile4ZVGi57eriqFpruz
sxPKs0fWuKV3MJUdn5kvZKC8WTvU3UN1yHPKFJDpTWMD+J2U2nrr0W8UN95z1c3D2IAHqIAO/oDq
Wf0dxLaSvBl1drs6SjSYCZWKxwxMjo433Ud0slHKcyWnkX8hin3egAg80AV1QfggNCwbZrV6J2Fw
He6ivprSjXh4jYb+R1o6frluz6fFVr92YNI7Nkk2n0jaD1mIL9R6qLwFVyibN7emJVkN7aDzmizt
0P5rioNwKJ7oi/sFiHmFqege9xSNPMNgBYd/fZ0RirJOtai8QUs5ouDJJNHMqHDbsGMxAhqqS00A
/3hSW2ITK8bMnaV1bIR4pY02vPZ8dXvaPuJtwy+7pvNDmiPheZ9HTxFfgYi4IaUm5CenzoBVUofu
YLpGOdTpDxSWKaObw4SoZJJ0sqDY35HWAqv0cTpl0QPNOpKEU4ukf8QFse4ANHd2O8wbSlh9r3rP
kVJch9BaHOgo0HaemNaBL46zZ94Pqy0zNTDUpSYS16KfCDd+iNf0eH2aQUFHDabX44kQTsRgR/2Y
DKeW4nNE4FAn7Y7pYsli9UATCpbK/4CVs6umU53DrBPR59bcgiLoFX5EZ6E4uEBmtizu6hWxF7VP
Ug4b1SB0LJeCQ7/iHttNtPHT62ih4MaQol69fgOd+LZp5nDew4mcXsIFs7RWwFTv/QoFp/jaCTKH
2XJ5QefwLAlUZBZDn2TqO81E9vC17QIPPhBYvyz0KJJcU9GdSLDy5buEPxi/tZvAL/TUxjnbfxXU
yloyEheRcxUrPO54Tvxd4VRxvsUbh8C8yS8F24L4hUQDwTgBMKWivs34eJYvdG3510apkVYmycR2
+Ulk1Yw0SboDzfM49IX3nu1pUX3AV80xP9CPBW96L5mCQfG27XHCTERK518tbOx8i2USQK64uYEZ
9KLrl1zd87nH0Mj/r5CoOeea3Bq+rFNNbBSGDC0ndPZUvUfzjpOLV7LpiG1kXEMcg8CdQGgCwLso
953yeWDV+l/WEGLpe5tRSn8r/Uk1+mQ4KmrXLNpD+adRoDERSiQS9FWmMILOc6ZP9dYm9dfOgcqY
T9U2y43ZtR7Cq/ys9yMDWRbH5oTUSV1OZYGq3211FG9MgWu8jn7wwH+Z3Qc7oW/RUJZd3Z/8JNoS
3gXaR/k7A8C4tfbYptwpD8k2u9t+0LMao9QndkmmC3eqkZ467Z0IWW9+dgFU+Ms1EYqAXJuUTU3v
0eaY38ICmDUuN/fH6LfeWp8FbgT5FtOv8/ONxqkXL+W2OluodK4VighHXtKhrfxf9FaGgKlgTRgU
tIoEdOOoARRFozLZdN0GtdHURL3yD+d+BbBNVArkN5IS1UIC91KXaMtNrdRugYWaXxOIBi5/qCE7
GJItKQKyE8CPUg3r1wTYTP2LtmdqRHbSkiWEuOr42VfadfavhsRrEusWp5ZYEvRGHAhrYx3sBMTw
LzGXjwp9XJKci4vjTT0u/b5MHtaY/K7I15Ut0cWkt78Hy4bm9YF4VpxA57SMgXap59uyYLhu5dcb
2wlZT/icHpagUjsB0KCqedJKsPdtJPvybRpOn7bnnGtzdvo6CNQLrvnav/QNW6I40YWgHHZbYs4P
/9OxeMJMqJfePGwSJ7isVinRCbgYUrXdBGuijue8HpVwIGxDVeEp4al8w/hxSLogAy1kqztCXYrf
mW3/eTjOOG8vCeq9T/JmdBkwhKmjqh6BP6OemRcjrrjmYxMHUsJsBzUv/x0ofykQj4egOctjScol
Ko0FSh+V4+whhyVisXSrPCjuEXMpccpOcgdX6XqDWuV4G9XbGojWZeh71VTd9H2sbCJbP7uDV3v5
xRfLFq43294UVSCgkLkzbo2c8lu7xEo+jgVFMd6wOS7/CSrKx7fgOHKsajzO7wPkT2lAubiaGHm2
Ky1fMgQErKW6gbJvVAXQBeS2vCfl4vM4DauuDy/+PiA5xAXBpbo15N7S7g1j6yzI2ra7B+SHdHps
UdRwaXuV8Hy8SeyW65/quvKqy2LRUl7Wtcck9YIjgNb0krqZDMuL0U9D2Sm5mZLOWc6vxRTtZLow
6VUtE/Ma6wXdZMvkJs9pbsmd+QPQg23/ZbTl2l9b3BoLGR84kvgWptJx9fPPayt0p28I8Y/X6yBc
CG1uebXLePEpTYJwzLlXwhvUrsssrITCTAbewlLoAnCgt1xX4YKoD266uYHlUCjNq79W6mRq50Gt
0CIhM5lmREKi+yRWHmqBMYoUaz5YBXpDGOuxYBZ4OWS8Ltkhbpm9eE3CtyFt1LdGHKgOqoGjlN9Y
V7SqqAMaT/0OUl8lv9gQQ9aIPiG7GE0Evb5aBJ3AfQoe6Qlal7ey7PvRfWkp+jDREg6rfqfNEczP
pczTIJ++LKoZiF6iXeZXLyJJkVNPNT1U+9AEWzpg35iojmB1pIPg+7yXVWCBODf7WuMDO8poQ9I3
A8K06GGx3DwcL38xX7jVeC629n8xhIGm4K09ymB9Ii7xog5vsiZHroAkXLVo/LFW7PqGWadD0r95
pTN8LUtfifVMuQsIM/AA4bay+aEdtpEXybwzQ+coopfIOpe/nJIBle0dObNwDHc5fGL5nC1uQzlG
VaaWjXQS1kFUCbXIzH1FcqdWSowtgwuRyaRWr1jZTvxTPIbBLC5yQC9dn/XZBpSuhGkbYOR6DV2x
N+2lCEjsoD/Xi850HoiCjwZkhC1+MNt+rmlzX8tf0Z8Lrsq0SRtyxNG+NFU+wH/ojjRtkctxUhfZ
xD3Th7xZ0xg29XenJy5uvSbmNjvEfHNasKcxdKoVObfMbNiMhlNaYL58jnzd2Pvqrsh4D+YCjGG7
C7WWMtpctesays/bcJtAK+qjTVPMDfnLXI/Zsom4UXv7LIiT9tEqr0ftUBQtf9L8M+G6pHXO6+6u
9kN3VN9R4e18iNW5WJuestxm57vOPXKa4qZvtH7lYipD7pH+K2cpVX0Tcgs4AEStzs6/nubsqMMt
HUb18IUnwZtOKPY56/fRUrupO1PeU0k1HNUbKN5sBQTcxlEJwkhkfUO0FMwWMD6Qk2AohRak6Ofg
TpF66MIfOeWHKFWXHh6kqim5zUFOcI3q1+JSqrPY/An4QD0iIzmgIVQHNDnIWYQ0m8QfH6mCXhT9
SGwJk8+MNC+b1NlPRKZ6XRtiOLiEzB7U9jGgYlQVM1gLn4cpDkfszVzy1EkggKFp1SnsZkO2v2cJ
MjmlpILko4Q6SiDU0OpV1+dAoAENMMrDdLfv+Cxuo9urey82WfZKrewpCwatnXpphW5JleKV+506
rerEjMt0sUOFo8Tb2rHl7gO+cGQYwBtIjZZZqoexaWNoC4LNBxkRYB2FSuFimt7dJ0uEi9Aa13nu
1PqcMSTwO1W7pq7lqGFMtbjEK8rCixL/tP5pSlYETASJH3w7/RfVOMYTtflPR8WmQZvUZeIKU15A
B4n2CTlueDY0owc2pN/k2uK1pUk6+PtVOoqP1MWuObrx8FNleoM8uqEM9xxlmFa2auUho3xUlRQc
0IhzSFmhCVSRp6uokah0Gnpd6adep5R1hd4pymJeOrBRypvEerS1u8ypR/qfOcWSqDZvrZUjQIzH
Yt51c++szJV8sIZbzIrTtabMDw/Bpt80Y8x1pw0uAtRflU9Jgu/1W1P2tPwhG5l6vBruEnl3wGT6
DDX6W9GVCwE3Szla+4gwIZvLl3CuxL6eeyFjm6pHtTMkVyuVgy614RRGXh5f3zl3j7rthj5ZkIeO
0EOdhOHK7Fj88gwy4MUw+BzxSMe6IHsQTfBxsRzkm9J/pXi33t2YdHSgC21dxguo9nfdCkR6lze3
GrnVAWGAYvHUw2BUWppQJpkjnyPgxMA7B9pibjvU8v4FzE5yxnm6E98d0fIumg0IibGqSzT+pRsg
SyIceMYLw8gpgr3dlXg9vZHVo5P3JdzW0f7+TeTs5PWx6ATcEH6vZFK3aHRLL6wYKDFX8daQAMRf
O2eDaJqWnl5M1frmT6S1KHjBPNlSe5pZpnSJ+nUwECZ+620Y3pHnIoetB/zkbwZyYVwCQdU36Uhx
ywJL3VJYuEOqcrzIWnSGv3Di5jV6rwKvpIqlTvQR9rnWON7plTLIaB2fa7bv9o22vd5eqx4FKEMk
pMtbhvhSWdGQpYcsCnM6at+IESaPeFzZDPKeNsW+Btm4D8ujTYqzk9+QPA8LzhkrJa/+3ux74dqq
80BGtTr1ek+osmcIOlXhdEeNlrJe2f8MntLS1KmycljUUjWtkhusqmxotWHEbFZhk6j0iCEhQ57q
VVdurR8pFXpWg/e0Dw6SSP6Ef8+NmC+94h7sqDKPtIfS6VXOBKF/2STRtyckwV3N1Y54A2gwmZOp
7LQwy+oLpcEmBeH9Vh/Z2wWMTunvKjtk7HiIMo4/BKr55/axSNRLeoDjYGM8ane3bL4Vi1hp3dcD
ONSwgBHVMl2NFRMWQP80pb2nyoxBBKo4Vj4MtQTrBnrnMq1Wx3/6nq2Mg3pcVZGMuUnpgMBLd76u
vw/qVTCFCZHTahPddSVlhNZUjsfvFEiHQCF1WdPUodpTLaz9IYzYVKBtOruwNgAJewDKdL/6zIj7
t1behRbmUnR9YB8t/jzbtZNes972pvIz6LIqzNFmqVeAcEX1SO0NYgQwFJd/lKDywE6GHOAALbLK
Cnr+4XRoGj1kpnxv3TO3nncgZCVu1faUo7BhczdKK7MowrSGZIjBdFl9Hskj3Bg0qqr2G71etbZD
k20hK7N0R/ByA0DoA8D4oWI5pvO1jqYhH+GdjlLUQM5Cg8cBGk0eYaarvkiGDSQGxgLVDDR7rvpQ
yUQAdbrPbuqJc7s247a8WxmyUTrKqLFt+UiqJs63cxTU1bw/d7hIpP8yxWk8xgor3ZOuyn7IQVBD
3cKycYpPU4m6JrjLnGDxI5xrdjpjRwqRXlG7D/vMEOZg2vof+FnaRV4svKXlC622XV2CjgyQ+bcR
R4IXXfAlZgVo0L674bVLAIfu9iXsgotCo+znsQib/mnpEUURycagiu3jli2z+9BsTVu9N7xG//It
aN33KphJdAuKcYfXLOqNjMgU6dRju/bz76Lrh/YltN2kvksWrg8VlTtuRXtXElu9+ddxJ6AWzC+b
P8qBd+um8tbEXdeKdX9y9mK5lG3hoAxqHXL2/ZTtF7mJFzNwZCIMbL6IVaL/csdsfRz8JWhBaujv
7A/N3jTrpUPcFdwmaL35FDuMlHmK8moXw80b42kCA4zwSeY3r2JuwcOat9b8bKEerjbqWGcj8C2H
ApTWyW+StXTxQwpSOmFrGR8Be7gP64YKKSrGBfMiwjJPMsoJh01xyvGfBbSa7A/BRbAM3Euvsho/
MHPTdSi0s3IJ40d7yPMpOLmLLeR+WeCs1teqDYiPa/0GVUu8ZP76ZNvh3N42b3MaHKuVuM+LgkEh
STAsrx3uUoYLg3h6z3E1MgXQb5e5+x6xKXffOxEEBRgng1G2L/WO3qm8YmBevOU0zngwQYbJBf0W
MKf6ZCFU/C3jSaTJXzh256aQRLwiitrwObiZJ8Ti3JkxMIdu+8XfKa8A0WZJHW7MKho4DO00tUhi
A93+iEiGO3MavHhrXXTsJeUMkmB6hnyrfe8+hXpptlM9C1DUVm/LFiIWlmqnDwpTKOsS3zm2orwl
gum3CKSd5kCXSG2aKCStOBBWR1uatH6T1FMwYEn6afkME0gJpX9JoflLdj9Vm+vfYttHogteJugI
w2Vg9FwjVhjrINku8nAvmgNHQ56aIk1cpz/2Zhe12RkJtVr4cwuUnZ/DurAwvDkE0/2aLP0golfp
7Y0VXcuJKP73PA9Vi7TbKP1+jLizmGgxHYXov3s2VRxJu2d3G6O2bX+ZuihpvuVTGSR/riRJzQ9S
LKJ+m6rJa/+l6U39bTeDO40qfGm1YjrgfGNOysxXEpMDGTRW77iFGBffgi7O0Q1bbirdi5sl6qAu
Ne+VH1VJypd00HAQHpM3H/y5YIDBJiekmYlwcOa+9vacVtsdgTwTrr7Zp50YyQ+x15GSYm7K18Bt
kv33mcID72KAkHI5l2UJXnB1p5Lgsa9O5RS2ddeOVZ62y6dw5NeH/T1SHztenjLQq2Cxzhz4WctA
m0uep5jbz323MLpJ1sLvrvPQD/0J0ZRjnXuq8Palk3GP+Glb04ISwI/KG9l/w82f1qy6i6cNeRIi
7zC+EWXjfC6F1YuXEaLwghNLQhlV1R/llPvvU9SV960Tzd85fKbuEu5iuyaxn0wXlId8aMXEnSdA
RJSxw9KtP5YcDO6evq79lIFivtTIpB+jYlmu8xqzECfwZe/PjniR5jJiYB/uGP8ivw8ekrJTtDtr
zkjpufvWp50zfNjQAF1CwJTPgx8NT6sovA8YVtzmtK+4lW6OXzMhzZfFN6Zo9q/sbhVPufCyW17X
7q9ZN1j3YcI+73vtttw7lb0O+BZcV3zBQ8WuxgCQiWFoZfo48vCr4ZS0sxteUrSeDw7o959g0PLR
JdoX1ccQC8JQs4ybV3aj8w0KovSfmbXLX3fhypDsDEK7Pw1DDkJuB0twl4ZUeqccWit48P09ZzAP
C6VADOaM3/amRoGUOgRknzz4O3QUVbYyAyf3Tk4h+mck1rDFTVg55aWgQYK369uHsM4ZSWW764ci
Se3fI9GGX+bVzr+T0zs/onx0X1dp85bFQXKLO0egX6q8R2cdy+g8gdszs10w3IY8x/YPzjZOhmUf
yz8s22tuWcq6o9X7da6D7PeEfoi4mLX42IiY4ZeMVLpjgq28ua4UX5zayd6T3A/Oflzmt9Xak09Z
gXYnXJ0KJnZ25Nlqgv6l8Vy2VIJemXYci7q/c+sw/5O5PfbnMRozeS0XMXxH+0rmHMpGAEAvs5bu
1JVMTfOTzpbnfliTEx6tDabaKruXaJLDeBWzU9eXJW5chKYiX+7CIFy/FjG9GGPcRnF2vGRBGCK9
pyLxrWefM/5pT2d0g9nmfyaksrrNRUKyUy3jB1+NQTzN07omD2g35/TKvtR+juYt/dD22DWuHRXc
25rm659ONzGqJlsiGHm36MbhwhdxP7sqHeGjkNiXYKKLSJy7VCbPfCwDx9Jkv+EYqr9Xlrv5vxTR
QiQPP3GLFD/wr5wz8yuRfk1yL6wlmH+NN8RM/nO0yjDMrrTfexz84kc8IUJj1T/J07vKyxD0EqgB
gWq1DDPKnBkUo01s98oYAITcbjHV8nUv03J6dlZk+A/IczqG0k5ECX7btilm0mwUr5H/ni4oOuZT
aLPa2FscIGMqO1Jd6lchnLrk4GdBCllfys0KYtLY+VDmF77m5V6iJJoU0bXnj8iVOd+rYVsvdZPM
4bMUhYCJbnHefVi3FGq3WUjYuXO2fP/YTsPKdOHSHz/mRey11ZkQtIyARdkgSTsVAoL9fsOr1p67
Cq7ogidi2u7Yd3vxwGtQuR+LufL3/2kj/rtOmDApgs9d4IUQkQqBPz9p8fug32wfJde9S1g49Ihu
ECdOuP8VG/CTIlnFV3k+OkNcLQhakLb8XZHsdFuO6rqVHzdLxLL7AYU39tU7oU91SSznv4M7P2or
wX9GJRJn8/ev5aB4JuefCTL4RjAb/GwQ9eTOkCusdB+zFpapP5UEy7ABZX7XsSf7mbfI9r52Jgfj
XekLpCFp2tmFD709q/90VcJAyouhFF0xSMwFRxbZYrtMEjwnxx/8hKxM/wwxiHcfdweTOL4Ezuzy
dwXuIjow0l4UP0SIOMq6Jw+TPKL1aWVnYQoi1Aj/EkvczmVE4CjWZ5sFpNCtYp6Xd/a7YpfXpUAb
iY7S8gY3OeX6Qi2wYL5YKB31w0kqwuolq7DAOw/1Ovj8+m7fhfp6NDBSoLBzx5jP1IFmDTFFQ3Lz
hzSOq18bfSNW6gW5/cYuEYXe2bGnWbivJNIt+fZYI39jVCDryPf6p0COhLG9paTJ8AUaD3LEuwZD
mXHP8rFWLX0WUyQ05LIvqOPuN0H8NeAVuQJBfe/LsfOyqw8tRBQOo6VFlaO4A4Z1LpmT9IwASPu1
54HtBA7k4iHD/rcnH8n8ze3i1i5exQQ9OC4VjJNVK5krbwmVUPAlqSJ1Kbnb+KQxlaRQ4Oswz4Dl
O6pf2XnUTp8MeBWLMiBzpinXMeuuoOO7674g44860vDpeAl+cEt7pwi1hlRdHxnbbA4nO0ZcmDyo
dptHzgBBvjKpKCsN2CjIkHEv2VgqKDjCd8g3b/2W0Dr9Clk4JHkwTmPHs3VNJtqA+tISdTVkV/Kn
e26iZ3cjbyh5uW5t3ZcJ9FFzMamadI+2SB5zIdxQ3hNQSAzYJZ2JHk6fxeKQBHgi1x557V255csc
vnSilzL7BWq2hqlxgtLn0ztScLgbXThDWT6Qjsab+ZB3kH84AiK6G3Fa3I0Rs1PeTfaHUcdrkmSI
VfJZTkXv31tFLNNr6nhjkL8W6AK5xjlnEJv4HyYwHvjP6znEqsSqdj1cDQHpR3/fPPh04jdl1X5c
cAAyK35HPGy5cP0o/JtT37QSy6g7BYDqZ51+CGqh0OJI57Ju2Wz7NVEwraOCHJ2gwxnwbhEHGaW/
M6NUYQmo2SxGdppAmhKqKLjrUZ/XyRntSjO2F5zNVhMSPZ1Rgj3IbhTcXeamBXBjZGOqzzO5t+hw
ICkZZwA8ieZAhebuOqnX51fw7zLcB4F3shER2P0181AKMy7dWYgeTFeL+e9gaOQnrEi9OxfTTpRs
qmOrrUWl5VTTqGKDTGJeXzQV6XYnNHUx73IBk56EV7LQ1m56qmzbZRqa+UGm4/YWiu6JN7amZFrC
rb9g4fH4DzXrFNX0K+Ha/Ga4lNTtlrq7SdevF/xAFm89yZXa2pk5aggudZRKgDJJlxhrVJolQFUy
vO5dSUgtouiyIxGyYXA5YCsKmyPdqB0zBiw+URHLNjtvwaZMo8Y7Ou5pYuXT2apnBbuwd9Zt+hoE
+Lh4O4mbn8hmMr5Rk8JY+Ixn7j/Cefl2f49FR4VTOf2mUE/MzS6zzBmhAF93R3TJxo+bMMnEOUyr
fYMkiTHxOrjL+MecDpskxByEddjB8ySE8lKB9UHxx8jAWgbGO6NPc/fQlBgX0fKmR15QzCu3uUQy
WwQFPv7zyfZ3szBZC8Ile5rPIRwvtB1XWev+I2liUI7QMo33lxT3GNBld+QHaP2hoR9M3oQRffzz
x//dHcvHO0BJvK7AO0yd+a8zfIFfbmsvki+GRzeCK2OS1Sx/mtcKDcR/pBaVgR7/P6ECx4Ca//AR
OixIsgp9m6HfagDWzw5GIk1CRTgWPDZv3tAaTbyk1KQ5u4GwznM9usV6XTpGPKbXeFWutCyHVCYA
TaslzNtKwlYSFh8zygkmvmb8HMs1hp1h3WnoAbegcqfNUET515kZiPXyqSwbdaSZZLWcAziorykb
N9X7P991gkR+3v6AsdkUmf5BwQiA85Mz14Ocxmg7pa9N2hIZd6UciZr2RinCa38diZ5gXQB2qJMG
3WmAfVFv4XGbdXWEApgTrH5wmI/uF0gb5nn+MNErNLck8At+luUiiRVyl6w5aULT8AGa/ZkrFBP+
xeiytLY19IhZJXU0rtWnGtWEnRQKaabhhGQ5jxaW4e0KeKXuVDQP6pcEc0ciwakcMxsiw5nAZGqv
LhWHwOEBtNtokrIg5IAIJ6KbbdYwMiTFpTJ/VpGb1iqUPsRIOxEHgT8Vgi3+le3R8cdTQyjC9oEp
B0oQEVnWwAFeLdURJCxTd0METsvCtFq4X/zUN6Mr0/SzWDOSHd5cBFDlZxykyLC051fWcAtwJCoG
VL3apTvstxlNblsz6/IIiyqnQ2C4zda4UnTxGLonbVI2wBcGR0U9RPUQ5O3jsnLetRfYFdCs1iqj
bJUnsRNeMT+le60EHGMRK+WKVuR7glGIEJ0V2l2EGFpOYLSNQw/7w7Awu0oRpRrl6SQdRSZrQr9g
wnd838Rw1dtjoXluc8Fhbyu5yzREKnN93CK1jdMIKm6scsYk9E51U1WDIqLaLfHOPn24pUbAgxvM
r75oCGa/iwAvKufm9JkHb7eWnqJs8EOkXNembx5DKRfKtTIvZTqfUX9suXVzcmAZYoraUMlxJ9TU
rMAiBU1J3/Jl7dLhwUHtkD1kxNBT2HXA4nyAkfEIyyv4aU78nnpwi+Eavi0da5lmKhepBftmeClT
xUTu0kAObmHScGF2y6Hq3Jub6Vgk2gzXiPywfbqxpUds8GqwNjfC/Lgj5hEG1eV/evkZL0Lavibh
QI5jrIWQbhgoKsdQY5NUAT2EDKPa+rTltQQ/1qIHQ3RxSPKKmT8YjolsA/XUJ08inDICeJNCVdoW
8vh7BlXsk0TZa3eYAxA7RuJzR3JKSQ3tO0NHEFngqLjK1qKvd5/81IZDPBsFtlmMImeubnjq+tS2
uotR/6b6gUH5qpdMMzhxR6gW3N9cgUZsaoqqetdm9LgP61aMdYT/QVFJG4hAelQjpkqoNMevUcul
EmxIN1LHcp+Z0th5k8/YLu1VPPZOA9NwhQNbV3ANHDe8Ov46dM2EX0uSMf3Sto2iKHH+lxPYbjDP
zbfq2EZWliX7AWd/J7Gh5XsIM47aOd2TCNMdVYu8C7OUbLVTLuqsfOwcy+u7S9WKdIlfJppQ3skJ
ZIBtiFntPcqqVaeBWBtiBZa3z7tIBoPmpzU4LKYdq2B2NkFXyyIOUZWOejP6Aw4uxcfZbChkdDVx
r3bqbZ0Vj2gUduUwK02rVRJuBxPPd+QizN3bJ2vkK6ddL+aHvRujj8Ru+ik2BO170Hru9agz66RT
P4kUZ2aIMCPGekcw+bZCqkQKerKgQqytIWek1sgUwKL7jGd25wdK6gwo73Ke03B+RDKgJCIqCobr
TqB0WJFlMiihiUl2MqS621T2BgYZyPirhxO+fPacEvnpaQq2PmUw1zjiNn6zZbYES3E2y2y11kQJ
G/N12PHPnWTBdMHqI/BXRv4AeptjLS8R8s+aqcWleoPdYFT62FybEggpF0SLDw6tm/gr4DrcCUx0
StDvTGlouyVWIqy2EJxEtzAn2yCNT1qu1fszak6slUpBVOL8YCtI+bZsIZrpGHKMEeVTQB2OKieJ
0byGb73doa9GVh+r/2fKcU+Leixw9qU+t4tTVNH7FoYRTjkt3jDXY4Q3WpoiE8vr3E/mec1arW7j
Y6UvBgaw1IadEeemZmQUDAWYbjB7hIA8m3kKcKS92ib1kIWly9QLujaQiu6nNsbH6UPjExH+I1Wi
029JrpK/0Okh52ZukKqCtMYcPanaY0at92R7Pm4yWz+EdlQA068f6hpKrLjvJH2uuC5hgF/j7I/o
jda7QDsjOq29Z0gebUAFHoBVId7bSDnaDpuZ+YJGj+hqURmcgCLWtWzIbDFa2mXEJea4TLSozmcQ
Mnff7Nj1vCopjjjyJzETqQKk1xYLlJVCqQwCYrybj4uWmi+at4WaUw1LpakPY9SZ9QFpRA1YrFX9
YiRR+YDHn5wmchhYEgYx6MtOATt+syh1QupPh6InQLfGMkeBz7cy1jeYLEUel3oH3I+gmOHQFRtV
0O5hn+atC8ONHPx+hmSKbo4VKY2Ar/1GppovnFQZCsB4ESo765H0WWu9mvGwVERDcOyHQaXk1MaO
o7XeuUzGxH9gMpcj5KNDpCshpeZ7m5fI3Iy/5DKojdXD0YJnQ4Wbr2824ThkGTJaj0IsKC7pSmgT
ZYxNNHx4zhxSgx+cBZ1lclt18dfM/s7BvflOUbdPcuqssPrgD9i9oHEZIb7+IHqHzfJSJShvPDqr
Pgy+ePwltazG0Polcd3xWg7wSuGpmZgZZZ1SKn9+ClRbQWlRZCv8gvci4seSWT0aJ40AhkY3gso7
7fWA6uG0ROHKh/BWD4AVXps0U/yMr7hQ+BWqPX7j4FfqP7GXk1hM4I2XyK/uAt3wZSUdnS9mZHqg
yFwisWRc7uTONNgolKk0nVNQOGX3KxYPhdO5Q6RwunGX6s3VsBEFxMgfDFCUahiwGzq1KOccLstC
JpMoL8A/9xM/dxPoSgheIVyIpolu7ug2/qOJzKphwKrRui9rzjHTsiBCWcB1HSysp9+70Vn3FnFJ
sRRu8aTfu3++iv/qJYlLZCKqE4B/8VR+ToEJRWYFnjU6z9HhlDJLp8x4GxCoHn1tIRdVgRi5Yq3d
GJmujP75Yn6KpHFswvnIGEJZwyBjDoqf4jKKpJ360U+W58yXyhgmF6osdphDjmq8IagPSBe4++cP
/q9n4cPX2y5VPrC4Dcb194bemSJmwsTe/OzrAzfEnk30uolum72enFVTCyz5HONgS3Xd/s+X8fP3
B1hQu3tocxNopH9OKYRZW8YUo/4z4z40apkpnT8QtlLR0fYrQ4jp5f/5k3+eOOcAKhBaCQ1BhCko
yc+9LdatlCzvxPqQafdJFSb0Pdeo6LsBu+rh1DIyKPl/1J3ZcttYmq1fpSPvkQczNjq6KuKABEnN
g63BvkFYmTLmecbTnw8Essqi3VJn352Iiq52WRYIcGMP/7/WtxZfUCvKeT5e1Tg6ulLvs1IgoPgI
PnU6RFXF4lkYFCpsBVjSacvCRMoCus2TL9cT9qqba46uxGWILqaKv3SCiy/HWPw2HzyneST8WO1Q
QcQB0Z3DK/EZ8ZnejpTKxMhv6PSL6VDpE0zuRRqGcq6T70e/KfUWC3Bjyd+S2JzL0aTyZcq3siXH
wd/YJXkLlKF9gv+ig9ElaFY+IF2eRCMY1KSQW6iEB5lonekRnHxC2ZPZtJeTftmnQkzBk2ZUTRGf
wRfRoQIxnzOhWdCW02eVJ0RNZugim01O4w8oGK4HC+5A72YUV6z2L+JSn2D7guA8U8K+slfD7L+6
gWhteVKze/8pn76O8D10Yw5Uh8NikBR6WmixrY6wAdu6WmWd6yG5gHrCNLyYLcTRG0jAFnpOZUoN
HvX7H8J4izflQaokvaPSYTqCjvoT3pSVrZsr0uNVhG2OpaYr61xUV3ZnJ94jaZES1J5GGhFy3U2L
BjdegtnChaIUQy/TrxvLGIt4jyVbRjviNX78LZAUIlA0x6yVDkykaNlxhnt9pIHNUcGfEVq9ovpU
yCjP0o1CEjsvRutmtEyprhHmI1szJHut+Ob+0KFWYz1GWf9im2RhW3+xJtdqG0Mi51e2PfFOqBAF
Jiky1AV0oRwJVakiB4jlGfjAmBaCTdU64ZmYJaVPvrCNEGaT1llV51In12qRIfWLAkrDXTwizd/L
XSkVPncQtG26jxeXiC/qWQOUqOQty65lsDUrtjI+gKY5r8oAcq3LoT6QH9//9pSfxhDhLcwbsoFa
DTff6VpiCWZpdPnh1VrpLpbbZyfD+e6cMiHOIsKj+sSmE7kos40FI7+WFMslxwpl+lw2k6d4Th2Y
aAfzp0WctN52Smstf5AHKEM9wlFheh81Uk/7LiZNVBBxc99lDnw7fR804vIoYsvVJWebwsj+mPOf
tWy3qJDX4KaVjYby6YhIO3rllmk76FDHyB+9HSfzoAWh0lRZrW1TsSgAn3SsO2TilUWr7dKaJJrq
1Da9VPO30nD0e/6vdgcWgcV0yekmW3M+2hFo98OGiZ4JAqjISC/XhuK6mSuXrRr5gSH7RlrpoN0+
KP2e1vuZAjD524LmO6X3n7ZqcVfOwMa+uAyDyGKiSTmHmV//un5iAVy+tex67rx5Cry7j2JSfrq+
RhkJLd5cZNfniPS3i06WjEEzCiW4WCMReiaE+Xj1Jq0lVYzZJ1Eupuj336afPgBfM6JgE8Yu23+m
57cfwKSSaBJlWJ9D0D3OHvrxvLUufj5q2HleNjjEh3sDba/19P715xv8cdUleBW2OsoFJmX75wUh
Hnqd7Cd/vIiYXKbPQrRQw4La9Djv86Erqd6ZKulcHwxylQzRk+vS0LBsCKTsDBlzJ/cdG1qnTWle
XZAoEpTttaUX+fhop1U0na3N9CxWcu2pUaq5q023Zj75rPqNkEzouRRaRi1nmNoC0DttiMig+rOr
1HQufKzdevob8wxPbzJlDOFAms1GncbSgoYMMXD+QFd1VkS8/1hPd1ZgsRnYOosBJ/d5rXv7tXro
nQboEdFFY3egRhxE3WFsOeTwVXEJkiLuDPxcS+aLMVIxf2lFUHegHZDIteYHX7Jx+rB51nzNYv5U
tLZOjyKExNs+yrPoYpGjhkdT27KzWypC79/8z5dj5qKRg/jOkjW2dG9vPgrhrdjdZJz7M9fz5S8v
ctKxgW0WQfsHF/xpa8aiy+GGSYysTJkgjZNL1rU3zBSN8nw1My2sgcHHngqgo5/bLnNwXZdcBCOS
SAVFvQl86VptEXwmO7K4PLm6gKgRU1VbC1drkIrhy7OdZnGPDkfz8mI+AnuAeJeoRhJdbo2pbRL8
uvxW+hfGTLQgEccb525GsVh0WeUthvBKnQg8yviErxwFrouVbLWaGW03OwasMJ0b6U3gV5RLRLsI
frN+LgZFkIKp0uUeXK+7cDkwYbSCF1R36RzfknYYnh4tJZy3dQyo+Y0Iqi6cyJT2Sro9G+JTUAWF
Sw+my6TZ3TdZ2Xw4IiFi9upUZOJwkfVQkPuZQYWqK9r5lnh/uPLyHOrInEvHqDPnosrKz0DrPBuu
VsnxcqJI5iPgywi4rd6JStL9xukrqRrNfZ2SbGGfReVErtlyTpflHpoLxtge0+fO8Mm0u10e1npY
WafjaHEurjWUtW6cA1KbHtceMiWuo93/ePxfyoTUWeaS4ZE9LWeGPEZ7j1SgUdksqNz1JChUe36Y
VtnNhpu1LQYXYg7VDI/1xuUJLP9o3VLrmR7qdwmu0A7OCcUunV0NFa3iO7tLETlQP6Lh2yKUpsef
hI1DRItBQEcKBTSiTBYeh2umzPYraXGlog+osl3Ba2Wb56la9PYFpMa6/RwRykgEEKVmY7K3y7bE
ntHN2Q4yY53SGiOFztfgk+g6NSP4iek3hE+htWmovZul28nF7PpaYTYLRwVXmeQD0QfI3DmmAm5U
c/MkJtrC4X+imNXEkWzsVyd6RknBRhqpEHnxPC0FbqzfjXbjx2afjNu1Hrs28LFQzzXItSLpteCI
X6AAYLJ3SLqI9etKhtiDd39q4+lhsRxpJTak1xRTH/mUQTQFxuNixabN2rZ/UMxQ9Ef6o117Qx5t
Wqg7gFfS+GjpE67RG+BGsz3ZwHhNVyc2+qkGYxxNSp1s66UluBaLCbGb/dJQcWe7/oqZsChdMlg5
K5sKJ7ciyinsW7Sgpt3aF2Y2nIX8UwrTt7uzRNxItCGWYutqiqyWWWDdwNmjqYdPqNOV6G4Z1q05
8MrGxxe3g2FVgsPthFrnLu73eRgufWtPovR9KCQVqMKmW5Q9y1E9JgyKgbk4ByNVjQxy7C2CJKdt
AZKAcvHKYlrhWGYENLBy8eEaLdW8BCMFOtPK666tWPN7hF4rxzkbAhbb9U6XISZGE9fX6ixaLHgr
QGp51WNhC+kJTmWnufYyda1toNV7tbw4zRFNKx/r3Otj+suJHAHTxZe8WIaXAjpVv5mWtFgeF67K
aqTSoYYz95Af68uPQ8PuAuMjekNeIFwdZfOpSFXUt7lmdCnV3KXevTQrTDHMoxFrOcbI/QramQby
FWhU82Rsf7s0VFazpr4UvVd4lk0tm+lwlgmSEb34MFajW4XOiQke6CxeiYVaIwfKXG8vlcAIroww
Nyc8d8tEGWaeYBJNh9xg3MV5IMfoa22JhEfHlnQc2OWCfeiX33eEnFTaOIoHssH5dh0PFz22ZaLS
FPTe6xFz+Wr+GtvHWa/mKTDJr86/ZaZUj+JYRVSzHIlFdl4FVqbc0sn9y/d49Mqu7lUfAu702LXm
/NPrKrG2XRcWyTo9LEXGlRCw2ttWg2KFooVxmUHqSxIfbFwYTo92KUHMRvTGAbjdZFI1swGUxbi/
mGAA4+ns0kk4nI9fwXIO/ivD6GiW+ddgw6sYbPsRaTwIcoz7/Ly2HPrXDk22KIIXH/X6BcmLdVYF
Rz2F9xHuL2Qj6zKnWw17ml5Mc3dkrZvE+ZExXS94pnExH+HSoxdwpbHNoG+x+mebZV4pcE1Rfmzn
ZqTkokk05JyGdzO3vdin09t5Lhb/Mo7Gcd4mLH9SFrzHsFx92bshLZkPDqssKSYQknEUM6HOi3Gb
MfjIdpq1JdaSysGJM1WuIkmM8mWJ5YquS4Ev52tFqkrw5NNnBPlNiUF6TSL8YEvCWrKYVNf+VIEM
jQVxLWkvMICFppNF0EoJJFc7Rqy2xK7YNGsk4l8ItKFQ5/l2Fms7yUQDmGMROPqBa/0IFtKLfm5g
UTPWE7EhgsPzs61JAbCt3VaWSb91mwVYvwxbWzvmD647gXW5J6GYGeAsLNUWJSD58FNmb/wSE0Cw
wRqtSdMuwRLAQFh8lOuEvG4c14G+OI6UeJz1MGurDsAR3ub1hLiSjVZRhS0RZgjjbCGyrXvcdtlU
rXIflbQVvkioJrOBmOyeedZZ+FhGphpstLIFpYHUv2XATLUZDJ8aWpEN1MwlrKNaRKqeymkudyIF
JB2xmEfH2ypDWBne+vob2R8yc0NGm2uj6eKwXmVCC/IKz+Bs9ZJZCvhUNe1K3uVlPVocaNKRQhYs
s9OyeaqW7SFG9nm2WJuA/tJyXeiMSxNwHZ6LtXRBJpjLhnQp8tTLzhbdsUlcfRdgwEVtiTiFJ8kk
T83oLAJrw4seSmIOn11G80otiJZ3LpoFzjMirNPQdlY1MiLrTDRZmYfYojxTf0mXLzs/EoyaiDRE
EgwD5GZ3minPXV+t8/26++z5XWbkZBHMQX+JsGZlEEeAufe8iDuk6OhVNpbuJBWaNEFTBmFDhfSm
s5verO3YsTYAwe5Cj9wXPJcLH5D+9rypjhb9lML2gu+/rCFU5LdyH2rk3a3Ge3OheC0PaX3HkM1P
VbsVIpwS82wtVkh+38TKxsf5FphOGXXHYjOrZIwRr2MywoYk09OjYbvo27TEmGVlXAd4g2ONfgLP
b/3Qf/n8B2keiwpLMiNnfchr9BArdF7qm1l5FAzX9aImgVoP9sflEDLkxVbH4FxHX94/3p3WKGyh
WiQy0LUyBDm2p0W6yTCHPPSz5DxNCsTZK6B1pdKMSydrZc38rQtrSBGxdNA5o/NA8+q0FJfEWlOK
fArOoyQoxcvIScFC5F+QvEoCZSkNaeZmUBaY5t+/8LHs80NZhvI4B1qh0zej60GIxEmdXpKEVvHb
g0PWj4XQzyhKNqZ/bpMti4SbbndriT1G5EpBUjG1QZ1kGz0cNVJsTdbUSr2Mj7S9Rk4F9kWgBW1f
3L7/IU/1qYhSIVIpHB9gn8g/Rx2PCB8sq+i0/aobW5Rpw5rPXkVzuVQWQ5FIOwxVRWBFUOuEJT4N
TVcUxT5PBnRtjgryQPpU5aGU+xv0U2iNnZRhoKWu3jWYhTdlkCYJ9qgwkTJUqkYF1tgJ2KlqgZsC
rKZov7wtxrGifrzN//PH8J/+a766bep//hd//iMv4L34QXPyx3/uX/Prb+lr/V/zv/rXT739N//8
nKf8590fuQr/qPIaLOnpT735vVx9/XTbb823N39wsyZsxrv2tRrvX3FHNMfPwH3MP/k//cv/eD3+
ls9j8fqP3/4g8rqZf5sf5tlv61+d/fmP36hU/suTNP/29a/m5/CP3/5vlb5mIdX25VetP//6rW7+
8Ztu/m5qaAg4u8hsJnhzfvsPAODz32i/U2ukb0Ch1RS8WzSGsrxqAv5K+Z0a1VyMxXtjUJSkglPn
RJD84zdN/I7PnGRUOAvUaDXD/u2vu37z7f3723zjnaL3+qYcNnedTIVS5ywRYOj+lEhVmTXsbquN
XPyr4c7nBL3VTaVziykga1g3/Y1Rao3vhFbzQGqH2KspUg1Nh6tN0UCKzc1gPcJEO8Nh+gTpCtup
fwEdfxtXygHFxSEvygPcGd0ZtUHfwaAk7ylLH2OpDi7iqDiLa9+h5OFttKoyt4odJl+11G6uZX8O
FJzuPLPwwBNq6vkQK1fy4H9jkVZdA1GmpAwtNi/qBIM1vPheXji65OMZLFUgfEH6qRQdZnthu1Nb
P0pjiP+o6Puz0ohUmPxK7STTdN80xt7v/OgKUru4Z/5q7wAIERRTNgldy1o5DFXZkKNduTVwops2
/1R7dGLgumu6JN/hjGicjOqr47VwqQcmJQcI8xllgXwXeVh7M7aTD7Vc3PheYezsNL4uWq0hosUv
dtOgJS8UO3coB6IzmqGTE6RtTfwoYXlwUM/6aPxSqqqxUbSk3kzpcNmpCiYzpd6xlwVMT34tYBYv
clp8oBdVTK61Jx7YRbq9lTZor6MH0j6qA7sf5U6tW9Ml7ct2OmzR6ijd196XvBs7kpbD1JmR7dTH
rK3cjGfNZD0VUv2qqW3H0cNWQXAZ+rYssm1v9Qjsmr3Ra8+EdvkO5IyvGCf8DZMTNnecdwTXtJ9A
sVMyymqfKllePdB7yTgdJTbo6UZ+lkytcZRafrDFjSyC67HptmZcP2eFfV+Z5jmk9P5A7uolSrRi
o9d65fg+rPcoizbNyMFOR8bjTDDaHrtE2Nd1LVPpmYqvqdL04AvV+pBJyUNXWfdSYwfTxoim2zQa
iWIQJGuwcuMMHsAbp5J6qdbDuMWMwXO0oFpNBDklSCgdT+1y18+kW+Tur5mdYLTCrFqk5rmWp0j4
omZy4Ohc0xCntJUN2yhuXyL5Ma+ix0oQTYoJqXsJsr5xiEJA31r1Jutl792ovpdsUjmVdrHUQ7hH
O/nYjaN2zho4uiVDcgfX477oBSZ4kfi3WgbOIeosAwhUbEDv6r1XzEkzK394IABec8Oo0q41jZwu
y7RL7AGSuRXZpB78fvabAYC9Rw9SOr6cDjs/iTNl45k+5mwRAo4uh/KPWGVX0SmqS2yJ5rRoOTvv
zCpH+yrB+cVLmjxM9M42zF8bQAV7Yraau2ngkJYNAjK+LicPVhfjJM4VBqcSRZsxEQwUI91k7M63
htTed5UorwyfA81olemdoY4vth73V0LP03OCgDKYG1GIPrgpi40B07fZVSabPWdse+LUSX+/QlMM
c8JT6wcCjIMNrMbg3LKM7InKpn1by8BrNvj5zV3POoc81Wj/kLBdHcZgKLJNFRnJ1ZB30x0zZrQN
lSZsN7o1RQ8KgfU3cUataJuOngriecL1zYAxh3vMTMNNk5n9RdJb2b2lU9Nn5yhK3YntkmjSECf1
pvVM+ilD1E77blINty+t/sHOAuYqNLL6V2kIwnPiSqoCtWDGi9RCykPUVqUqb2alfQt94T9VFiGN
O2XUc7fGs+UqI8yQMYqDg0rlsXQw5qQ4FQZiPLJctl32PsFjSlDDdhKW4nSyLF3SU4fnonk8+pBG
xBWREv3toHbTHzVuwk2YDOiMjbB5iTghOHEG5W03otk/U3Je4lYq4xe9tRSAutV0TUZnGzgmzbgK
u5PpXVVaGuwmikKjIwF0eMwU3tSavly7QYodQzmYLIesNX2nFLnCxyTDdavhvLqo2hqPO/d7JpcB
Rw90cvdDOfccwKW8lpQNNZgWfeCOVWE6pBuND1ZIPkc/qkO6sbB5Z7x3LXshKftzrAPQElbbXCLv
83ap0pOLLgl7R3ZxeZEpkrVNmYqvUdiJZ98LElfKmn4f0vLxnaKnmO5IyBSBw6Tet7L0R5UNV9J9
jXpT3Kiq3xzKWKnv/ETtdwFamr3HFLdRaY5v/FYpgHkFyQMiPFIyJqU9MzkSnWOG83Y4yq19ZehD
thkgZIfOmDbGa2pHymVLLNZXcGDR5KRKGG5TTj4PErnfG0qewsGCIfPLbYfwldGRi8y8bMRQX3l4
bBIntUdSXcyMpKsxxWtg5xN5fGpb742gmWa2UA4pITQ2g447yylzHawyGfVunk/1JUj0ySm6wLyA
stA+iSDE2msAAQg9/1tDOXHnj4AKlERUQBLzbDegVd7WhaS4hLVZz2Uc1C+jFEaffU2M51D41Quo
xfx2EhBiZxz6Yge4sjgLsLPz7odxfihBeuxqwsxuJR84CUky/bVR9g8GMRcHogqwYFO1c6gCp3ds
iaxtEyE5RiJERTBltkuKrmQPD6zHixVrG/STdZCziVimVEgHAXR658e59nWccsaeP5U7CcTkTpO8
p1L443dqPOklVobC1Sr7jpNK92Ag43bqusbt2LtK3nzxsIM6BCgEfBk7r8uGM4C6Z5XWffKJl4Et
TCZDJNMAEC+c8RCTJEQfWNtYyV7ywTof0ih2Qui9OnVWR5+TtArI7Sjs6q3uh2hYSqJKpEoVO3Bv
IELMZ5/Oq5ObHXzeON8Io32ux3zr6UO7tal/H0ShJq9dPcX3GWXOx2YAVU45vn72TIsHJmU3eCgk
aKaKdhWPvbxLcGk9iaGz78eogdiHj9bNzd7mMBTA/0Eff84e4l63403cs98KDVJgh8yFctqBsrVu
UjAjKRlAEy/jNu5DHD+BuaN7cQ/SCPV+qd8Hkv4FbHzzbPjRl5Twq0sjKcNDyEaraA+ap24FeB69
QROcCG9baGLaZORB7BqMJOjEirOu9L9LZUoyFwtymVmxI7e+BpMRAktaE7iiRwe96dJdDRuIbJiy
3JilQX5MWn6WZbkgCYbwGiP23JgsgD4thFNCzBK8t01f3g/pp9bqD0I3v9hh5gY4vOUugX9v+q41
QfMvjX1rg+oY76sqTl1CeU2KynxhnRyzkPfXxIZdE0j0pQ0FSnu5u61ZSeOoS3Z+BggnGfZNiWQR
YIhrtqq1DXVhXYRJuotlkonV2n4gf0LZUKv8Ltd540L6TpySMJCtmvgDO9QIaLVufSGrdS86083Y
RZ8bnb9VwvR76aNv1vtPRZfUiWOpRXmNIXJXGMN3GKwPrWxMW53aOnujYoZj74maqS8JDPLgHBcF
FIq6PSDDrRyzVEGbhGQQsfZJzzIRkHvd71luan8/ZeYe2uIWTZTmEOE2HSR5Mu5FaF0UnI43KKDv
cpWasoM3HEJZb4xOq3d3XqjkN74hsnOj5nFlsOqccCS/sGpgFgRM6CLYYErZqghJclcpk8+TBNSr
8fLx06ji+cDJw+Yt8C/Rs2x6KZr2thx+b4bYICGiM88aeMvOmMB2xJmMv2RQSHXMzOnJtwexsTWr
vSoofraou9HGmOLCliJxoKdvXdDPyDInFlL+RCuVTuKQ9mcGnq5zPvp06Im2h3hcVXsk0dKGses9
yJ5CghoawBtyAZpNJOL8vFJHmLMq2DARkqNRlIQyE46pE2kIWKbMgxtLzuWDmTTqrWJL3RVOzu61
atvy3suM4FlnedupIL0vKM9OPiYPkeLLklnTsmH87IkEU6fa+TMCubRJO66mDVXxbjNoHibxYAiv
9b4T5/UY6xuwFkQPKGMC3oiA1tc+E+0+arMBvOB0W05lLG/xLirXhO0K1yqK6LwXnnJBYh4prmXW
blDtq09kpcSXamKCvWGPhe+oaa6LAtBSI0VwAQgAvbPyCDSalkjPTAHiaws2+mIY2dHbFgF0ouHx
9KrWbsYxJryJLbCZStlBt0rpAL8BM07zJzlgB3Rp7aYtlEdRZHtYI66l7scpfMpD81xM3wmF3GhC
/a7CTXaaolQc3Jiu1aaXVeMd1Mi/8lQmYqQ4myj39pDNnVgSnynjvLLbrs9yJVDIzuy/VMTW7qqo
uQni21GZDorJfqrLx31aBvNrOsbRtvKibl/1HTllAsK2Z4NDqivW1a6PuxuTBB1HmchGacrbpIGU
7mK2TlyTZtXBKAb/OacfDfpl8qFy5AKytHEL8I12kU4kkSwHbMYDMjM7L5np5ML0/5TDGHhVTZcx
Nruc2DkzLjjBpJarUay8C9vAvAml7rMBhQ+igTRXOitVK7+0KrJJJ22GYuOhQHtpNcr8dkYqbR7W
5XMt2XAoNLwLe1gR4T6p28ptlLR/VVOJ8zMQAMYB7YNLXeKzxYXhXUlFNOwAaeeP1OiSS7XMH2I5
aj6pcTnQdpNiycn8ob5kTWSxIGnrHHEI5z8F/LbpTB7JB0RX4FZxwNL4xKHq8rewbmWFuZocKzxS
EAyFnO/MshffB6FLO0H/Wua2zPAQExa5BwJqu5RQoz3ah+oyC6FDD0bR7oO0z0gzD/JHifMt5r3c
+jQgW6VN3HWHuGu6fQOdC7yB5x3KLLFepLHxL6BxVPcqlRKnV3XlAudFUJ13RprsTeaNM6WONHAA
RXlW9uaz1qnQKkMem6zV1hbofOHUUiVoMUX9c5eb+X1j5pPbInhJONjUdb/plRaISt1N3yYUpdW2
ii3tGiwi+3PNGpmZ4+6JaNlmJ0HGZpsCJMzzMFyjMcm6XWg2rSM1bCbn7L/LnP0XJ/a+IFI8SJ5a
0+7mN1T5Ign2saTYmiGYzpCcFXwAGocyr48eUpa481FP2nNcNvKfltemikPSqH2uskSTUmbUseNV
vnTdyV7uepWnj24Vmd55OiRXJlKYV7VMXvWiihzcg9oO5r650RIruwpLszuvqyxyB01F9TIlVbcN
jXzcZWolfbb1JPoOr8jayJY/EVApjC9JnrIYSE1yl+EFvaBLHJKPJbcPkap3JtVHM+OkF3W85mlt
cMKN5Xpvl10fkgvZml9mziwzYJ9Fd4RZDqVj26pL5ahjk42egG1bn5zHRARc5ENjHNDB9V8L2Wd6
I4uByD8eVPMV89FrLLfqbdlr/l4H6n9FEkfsDj57EHzsJFllhR4yEIL+yhTGuLXH8ZvqT186w7v1
w4HJUsovmqTejmlrOX+/JPrfljLfVEhvitfsU1O9vjZX34r/H4qe71Y9d2GWfMv+fFP15B8sZU9N
+R0rFAJaZG9wSFSBJnApe6ry7wa8FnYNs9/CPvYR1rKnJf8uUzy3KWcrGv9a4R+tZU/D/h3HAD4D
ip9AMWTKqH+j7PlWk4frBOWfZpn6LN3WNVyqbzV5mhaFgc1SDbQubCtspKI/p6MQPNi59hHP4a1A
fL6WxZBD96gTta4KZZb//yAnjhA1xU0Thq5sCf2lhTdhOglc522fkl5JWjPhpNNkweQ0siT+oHXy
y4ubpknbRGfa1k7k00TNNVHmK4ELeT68oJlHBLFdalu98zDwpVy6EV56bvbUwH6ogK+V5jeV5dO6
8vG+haVC52OvbRoMjR/vW6txh0g5PYlCC8dNJCkhp/lR2kd50V9zSCSx1xz07KL2y4DoI0oLfmyp
Z2pORblN+7H86AO9FdmuX4QtAz5TeRx8srcfSFIqOSZZNXCjzOsuEz0PzqfIaA4MyWnnTWX+PbXV
SjgCwz8ht3EMizG271BaKpcfPJu3dLTjR7GAlKuYzxh+6qnEnBDZCphrHrqU3qOrCCK0DVqktM9M
Qh9m8kiQ3uZeMxgbu+G34OuWVFh+fqyTVufbbEDksbo0A6xD28iOcUh88AHfOgGWD0hLArCtSWC8
ftpxG2xNqaH0RG4p+vAeiOvgTuk0oiMWBhkmQc0GZKwutAQdXl1K4bYkWuP6gw/xiy8MMTQOKBAp
Yp4t3n5h9HGNwPNENAOThpsyLPStRvrBddjW0pmVlNZ2NHwOb+Cy4kuiJtuQQ17WfcMVK7bvf5af
JwwLRbWh6iY0O3oys8L5h5fYtuXWpogdu1kdqX9WyElI2LSafeNX3v79S73t7y6P/odLGSd3XXiB
53PcjV1VLuvOGS2pPS8lz/tKetR420Iq371/wV/c2/x0mavxf9jW0eHyw701la01akzupdoozUbk
Sbv3zTpHlIpl5f1Lze/8vxu5x3vjdVE1C3cD/jHjRAieGakqyY3MsOrp6TQzwBie7ujoVC4cWxjf
LLj8H1xT+eX9ARFDes1EpBzpgT/cXyRRrBpwHbpQusmqg+BxG9VMiWkiNV/1sg127PWzHW+BvaHP
o6kOZm/N6cE83cYgxPZk8Jg+NmPbeJioTecfvGw/fz6mAYCMmA8BLf1EL2S2ooDS5olLrUDdZyW7
6oGezl4raZW9//x/Hlt0Dcn6AifJf+FFfTuMc6a7vsr1yNUoZEJBDUPH44N99suk206W5d+8f71f
3Rp2Cl2jY8Q9GvPf//Do0e9NtWHaRIHrTbDLgCvv8RcNZ2ZBwfrvX8owNMQJnPl5kCdDq40r5tLc
T1zR2ZarE6y71aKAINx+sD6wMxyn57fDGL8XegRok7NNSJwsbbFeW0CGS17RGELihoCJ8Rx+wkDC
UeKJTdQX1IEERa1rAivHS6LDlF1e2bBE03yEbEF0FdiSsX9Oas6+OSFopqunrfa38GHz28bLJiuG
CUUKQdWpzdfqZ5MpuSPgRZR8R1yR5cxk5x3zm7aVzUbeNZnaf/BwfvWVm3S7ASQbFBitk5lyimHa
5xmb87DO58ZupHZE9Y5EvceaJr38/S/9h4uJk7myJB4ekFYLE91u9AtqkHdJkJgHaUIR8b+4EiF5
DCzs63i03o5kAchB8fg/rj/E+TbRfd+Vuo7skrIsPrjULyaseZL897VOHmFvFGGF+jR2Y69MzoNS
4mSo+eFB8WWFsmPUNpvSotA9YoN44qBv0P8bhhTKrR5jOQzikhJ35m1zaAyXRj9at+8/i1/NIqau
siCaAimQPK/bP7zVnRWKsYM95HZsbQ9aCxayIOvhE9Z2Cm9Icg/vX0/5ebvEAyG1BW0NigjQDW8v
mMtFQ3a6EruTUVovDci017GzCnXTcWY0N31t988NMLPbrDfEHR6DdqD7EOqjk9jxRL4tnq1vfQf+
xjFD3ag/WGF+9TxAtpGbOU8JC8/th+fRUzQaRNBBCWmb/tM49RKBA3kpPTLJImQ0kbG+/0B+XkZn
moM1U28BYWIqevs8YDZoVo8K3I18FHEbmt3qPqRt+9RY/H8NoE5MMV1m371/2XncnUx7iiJr4BMU
bhNf0dvLxoGi9LSwCGJh0Dmwgjy3HNR8J1civzGUUDiTqiTIFChyYz1XPhgGv5hZuDwnieOUBkHh
7eXBO5ZYOICvqYLoAfS51TYtiniTaOPw9ycxrOGMOU1hk8KK8vZSRs6mOGl6lmQrl7Y1yV8XUVMj
xCpI5/ngdf/Vl6mBdwTFoOoCm9zba1l0i/PWjBPXJm/PIVdE7OJEnyvzqkJHwBv2bdt/5Mj7xbM0
OPciLjJkRH2nF+20evK6IiTipWoDFCAW3YN+Gi/amGyN90fN/LWcjBo8MbOzFc/djHB8e3+xAEXW
q8yXHjDkM7I/cHwnaguWeQ6jqAUpEkOTnk1B/P3vXxhl1XG/g5sZodSbaYrh2nvM59JWNf3hOVEC
dCWBGuxJvaWi3rbUoYSIH5Kijj46P/1iRmCHIJOqyxKsI9d6e+lEh/2fh3jUJUKXyWbyv091aO6g
rmdOlNNwfP9Of3U5rkZJg9mAffzJI+aQzQHFU6Stn9jBlY8d7imepuKRQnhyr3ie+sGT/eX1bHgJ
szLNYp1/e3ulKZUa5DxpWwxNfUl6l3BqnV2l302BK6fNBwfBn0cQnnReD4DlswX89LQcWYbfBW0X
uJMHc56jb3PexHXiTonc7qWguo0D+ROcmPKDx6r+POFxYctQrBl0oZJE8fY+wzTOhhYfgAsAVkWZ
lKQYqobCBC8XDfZdrg1ZRhGSt9oRQgrputeEsFwUljmcWRFbv01tyAFFU+CHRAzK1Z9J7lX5ttci
m5Aozb4J8hSiselhAnTyXJlGJygzGd8KmPLbsbfrYaMrSSZtQ5+AB9UzJawtUlvtCjTQsqMUNtqd
9wfTL7YfkAzQCjHR4iPW7Pnb/2E5q/TWUPFahm5JYhaF7KGgQayDzxuGaBsLxdt0U9O5GRzvbTdG
Gv8bNGMJ2uQO77wC2i4dL2BPgPcjavSDmfkEIDNvavlsjHTwtALahXXy6dSQDkVv01ZCn6huIPiq
97lCLFGMa+cgK0i/IdBETpMAs1b7vt0TwS1t8JPbH5TWfp5CQRLoZKxbOL9t9fRYmWpIc4LQ8F1T
6a0NrUZk5vnkn+Hh0T9Y+X71lXBqpiLKLcOHPN1xkXWUNEqn+C4RVFJN9pZG10MraD3H2HdJRmqi
B6MGceegX+nQOdGfcfqhF1vTnMQ51tpyk0yp/P84O48luXFmCz8RI2hAt61iuVbLzIzMSBuGpF9D
7z2f/n7QLG6TxShGz0abjlAWQCCR5uQ5Z6Bj9jmGwjTaOTX3rxhFXiqq8HULKA/t1VXpmRsOS/Qj
TmnMZykq5D0Qea6faTE6J8RfoYBFzXhnXzaNyl0hWLappK2MBo3Tq2Lwg1M3ckMpm5XhNVFdJEnq
OU/+pr9AaTWz97689N7LF00WtP/f7Mq7Q9k3jOg/4eriIQblYNRU5fLp/Pgebi3OgAAdKnTeTVK1
5TUMhA55JjC2U1QYKK3MCTRhTNGekOcwga/l5mkc1d3cQ7ru9doMF6IwoHKU/taXX5/DGXFt6Pr7
zC3+0KegvPqxkR1g85lRs4rIHmWAn+QCXwADxYF6hr3zWX+XxO9/BCV6w6ZNYKirO55GZVHrLaVj
cDvVNyHG4FpkeX1rM4ZR+LT9F7uGXIUpO0C2UZDdkJsvnockV54sQ9ff2mkW/fP4a2w8Bbw8UsmC
zAzQ9eqJ1SxyzdqmakQ0Xp6asc7fKCDUzrBUQqgal+0zwzTZpY0G59RRmPUem1+NQPzr9hiAkLR7
vISUr5enodPGoAejwlNkVc25J8M+Z65rPqPiPBxnRR/fFBPCD8dAS2PkpSzjbT43NtT5fiioMJTG
zpu85f1AphNsGBrwcXu9H25b9VUNpLQNoumq9d1wHgPnM1Obe55lc+dhwPpdm6RTuzoMpHmZMakj
9wBAwnVicPsrFCXlmTesaSBGSvyj2g3GVcu18J3fj/rXx1svd3Z9GJEqcjQYQWCZ+s3d8eI51Iyo
lEN3eDZB6W+q/F9GnncfQfF2V7sM45vOLNVxqOvg+2PDW27G1FXaJwy/aOQ9y0+ezeFoDzNbnKrl
cMlBHr9B+EnsnCy5fevl0Y5jrEc26uDEWFqxCjpWjtaEJxg01VOk5sMxBMPpuYUdfIRTLHvzeFVb
bs2UN4lSuqbxlC/toWarRX2GvTnSpydzroHF5H6lQlReuconP3bSs5rFADUe2906sBa7yBibKaeY
VrvpdsjykfAw5mC3phcqk/reGqJ/BMpnO1dj68DwOMDCTo0QeyvHHSo2w8vE+wCo58FjONUiQJ3s
zgO2b31xQ8B7uqI5fzSwU+5dls1VymiZQqjhwGO03F3kW/LERrkKQr0887oMvb6iqMMrCCWxs8yt
g2O9MLV6BfM8BUbZZYC0nQydM6s2jz2TXMeW2b5zo9nWzkHdOjhIo9NRpvREZ3n1AamwKBE6RdEJ
sI1zrGfHeVv6unHsxqo9RonqH7IpHS6vPzWYoitCxMnRWbndCo4uek95dIJqZ/IAvBrnprAbYPF9
enpsauu6407xpZDEQNyy2s+kixOXaImeIPW1sx7QlAR8Fe9YWfGV/fuQQAZKUdjGqVEEWJ6QpE0q
aEbTGLxGVD8xFuKfaVrTOoP7sbymTvDcq3H9FeLM8k/I6rWzW5XtPy30Exe9qaorsd/gGT0UGImi
0ZnS/cgTRjYA8zLLHde79cnpANKkt+GNZBB/+VvtOUNVMK1iZN1VKLOr3PRKEC2nWo0YiC6L+QI1
mfHX4++gbYRAoALgN7Sgg+IerbJbFNvgUETw7pShOvms690Xo2UQf/KV+QgpinvUuiq91loIOmVu
b72lDzv94Y1106UGL8AYlQoX1upxVZo2Ddqc+Ifpme4kVKRFBWxOV9dQhKcJG/b7uRh3Nnsrs6JC
o1Nek4xrmi5/1YuHroFHL2AmimjaLNsvqh+QS/U2Q2DUXtFMS/vkPGsiQ4Cz7d8pGrOYh7mKmOyl
SWu83lvzWxiNo6SKL1snPKDIsjELRHDKrUA9C62Y3tt9gJ6lMfU7PSp54FcPII0pQX0Z2k+yy9UV
79LMbRSjAOJHU6c6ZX4bfoWxIdNO8KtrlzwIk1+g7uOnMswjhUBYR0/i8ZHb+t4UAPlyxHZM9a1d
myiDduyK8ETDSbzJu8K4DcjQ39JA+wd+b+PQh313fmxzw31LYD0PFMmMfgfPYHBuVGJ055lVjpKL
gcDZTYk658bAYHrtyiT8/Njexqvo8uyrcnpZtvPXd5m5vzI3c+wBXTgFBdxkFuRux9BrfnalGJ+T
Wd1rN8t9W31aHgtuEEUxC6DF6kS7psJsF0QFJ17j6ViJwbxA8xydjdFM/ni8vLvtJFFRefHpa5u2
Tvq0vDwVHbaZ7D05xYroZGbWXNQCd5kLRfEUX612XsP728pZ5WWCRJjqrYHJpUFNTfWsgoTIC0XX
3KhBmKcACsrkEDP5jnqhxvgelHMnJuJyRjDr8EsYu6DdsyzduUAbS6d9rcOlSVOIVuPKWzWDWfVq
S42qUJGLFWqTn9CgHGhVFXV2frzNd4+kXLVuoowjm0GMwC9XHVe4rUDFVqb6PfUviwmI41SW8DT8
F0MAPaQhRk7kol84Q1TuazMdOsVz8Ds3X+tdpOm1aefia3c3n4SGA8rRhPzPpsS4NFOoWgujue97
oqtLKA2d0jMnoT+HfeB/qxo6tgzYdjcGoILPIMXa9yIcxddMZYoUlgb9bOcuAwV+WJwMN2scqHKU
4lff193O8b67vfJ3EgPR9qbzA2vu8ne6wZi6fhkpaCSO+ZMOx82PJgn8L46vuvGxNOv6azHlJTPE
mbKzR3eXWJpmfhopaFcjH1oddDMDTAprCO1MeOGu9ehan8ZWE7dOSZqPr/7oYAsJwnQE5ujnrT76
OLswdAlFdk6n4KlL4/FIVT36/HordK9+9+6gAV+DYGZ/KERuxBwtXy9u7lx1b7qy3OvDb9wUmko0
XJAN48q4qzhvRsppVuzJ95Susq4T+Q9AezO9vXotELtTnyJBR7BqXZaI3MDh2wy+B92gc80rBa2j
Pq93Uo2NI0A2RSoMIzZN5zXHrtIpTORarexRMVYNY4Fx7k0H6v2y03bu/Z0pCt+gFWVXwwS94Kyi
Aau0nYzyD7Mo8GeeRmFEX5iXk/OiWfDz8d7d3SmLchL3CbpZWCi19TkYRKk2aTBgqo61p1oT/qlO
zJAYnOnaJmzC95NvfsyGVt95OzbWaJoOOQ2ZPZdarN4qeKRAewGC9IbEid6nSLN6ouwcFMGYKHy8
xg1TFjGVSaLPzSKUX/qNMlAZZW000PMqwzvQvcCKYpIMv+nQF5pOj41tbCj9PBp94PQgvlzDBHrL
qgIQ4K7njJA8HKvYGd/UPlidg9I09vcub8ovZgCTWCfSIH2tm4JHQXLGMmUNquYOIJIw5l9mWuJ7
det8i2Bre8qCbOKOA0p5/TItkzuHq9IkpcRyT2cjFgMOCuTnqFuMFDMXCGtCG/4pmP93jtkYiieR
ufkXyAb2yGe2vidJOKAP6n7kJyvbkdkjA9pbrsesrHHIapu5lp56CrS1e7i9OwfGhgIag57RJbQA
dLNcJkQ60Lykvus1g6vdRnXunzrFar4+3kzp0hchomwmgTE1KCpIxuOVFQdquyED3OG5bpY/MS8d
MKtr5O9AZjEzPzbW648JFL+ScwNiVoipVk+MCYKgprjN4ExUAuMNm/hEd1y5ukVp7rwzW0sDXw8a
jq7wPSJOjm+GqtI5nkJZ+akt4uwa05xNDwX8NbonhraPro93875yz3a6xAd8NqnRukZ/dVIGUoIB
PbulAnSAKDqbD+mUaqdiCvo/kXoYYH1Kp9mbKsOBWyFTnCfFZVoSUjZxcq3COFmNGn16/Ls2ji0/
ywWqRBpAW3PlhnqlNhrW7/Cwh/k3GGz93guCfrpMzjh/eLUtev5y35kvQHBlFdKZBRwLYx649OYg
IIRfkPHzPPMPoZHp58emNhzeb4QfkxGgR5ERWF6ROrT9IGt9x6shuj2HMXSc+HAGGh01T46hUfef
nW7+o0FQ9ddjyxsbimVeLfizfvvapeUOYd3SmVjkDOUXs61+dS0B9zKV21d7Z0pu2OqKwnYjO//Y
Iw5YrRLJeWHqgcUVzQBTVqLRbrXIhksCWffNcqrsPBm9f6mEHL614+kcuCJ//TvmkChLzANeCZWQ
5XrjWQtpb2qON6FrfujnQTyluaZB2tCLvx9v7dZHBS4jObZkCWqdTgUD2qVTVDmeLmzlPWrczrGj
z3z2RRx4ahybZLN6fhBxkrwaiUyB05TaMJLHCmDQyjnRcwNY5taO52flr2y2h0vAjPiZnsq8U+Ha
Oj/E8hRWAQZJYrHlflaMcE1B1zoEHnDlzpCqX/uk+AG9sbvz5e69IP1+CMSIdWhzWM4qfRgA4o30
xBwvhgeXWUobGYahRqeYfsBzO/V7EfH9yrAnYLjF1RDwrFFqnVUwf1jDOdEOza+aWd9r30XvmZwf
L4/PyZYhSimWYBcp4vwGr7zIUFF5tM22NGFMAvlyRYR49nIwGV5l7z0km5bIvX5fdpXmwvJj5ZNr
jEOqWQBgNP3AWTQZ+M3GIyJ0yn9YFG8WSb6UHnbXbdYYYZ9JS6GBCvt0utFeSIAzQr4fte5e0W1r
VQSk8kHgPaZss1wVI1iyFFpanuHHUOs2cMiMitIAW9Ct06s/FcMDZGNoH5HFrLOkUqmoNMNe4yF2
VSuHrvO1a6nnMElN5vDjsa2N8y7LbPTu5bKAoC2X1ak+86FObnllb/8NVHZEJFfrvFnpc3rXhrnj
ne+jNNCgYPtYl+xSriUjmCpFkl0bLM+1G/8EP4Z7iu00em2JCcfPp/oXicXNWi0KzlRjoupsUX6g
P5k1kMv0Yd3cfOhAr4w70L54vIt3dZmVwdWRFyJv+I6SjiyZmBGHTuZEkaNitncW76LBiE6Nm5c7
e+nyaZYPHW6X54VRHN5WBiGXn24efX+sXfayyzOLCVfIcFsxpVcHvqBzSvkUEvDRvjFyJG4ZnBqf
H6956+RIojqd0gdltjWqmDSwq+JIWIirzD6D0El6LESbnTO+6hWMr/ZaABV7bCBOQIuDagjZ03K5
Q9Fz8yCM8wy1Nr/GqNRbB6UazCcnc2CMeLw4eULu9tZl7BPhLK7gunBYkaAmBmoE3pintHGGYLyl
kNRdgU3Gr+1wsy7uhE3bDFo/xlmX68qhw8zCuUL2V41apowYKCJgaDwVRp0/ecDjD2lV/IdnTo7Z
yIeHd4cC6dJoGyCI4MTckGpqkivtIch1x6Dhn1o79m2svjqPYZGYMekhUpZZR7nCwTfrzJN7ZZuV
596yEfiFkPzmQlm5k+/el7rlhsoBKUq+VGfWPiY3qnSoIw4KCoLueOy1LhXHup/9J0FH/50NA8Wn
EUKvkwpC4zpqdXuqI0tcJjKMnWVvuTsODz9H0qASVCy3mXxVymkaLLucYpq05kBZMjR2oqMt72Ny
JyTCkbRlrd+hVE0IMKI3EUILHI+MKjkkodEfRD71Z8s3e69ByXnn6b2POyWakYYwzRmCzzVsQVRO
DawfkQmjHLOLiHUQ6cNoneeYLk07lYMXJH1/c0NkDx7fzS3HIzMJG0wd+MN1m3eCIyCtKwMVVCfM
3idxDp1aP0XUbWgs9+0BQQ10Dh7b3PqQpKj0ecnVYFZcBaAFKmhZY0CAA7goOE96oRzttFV3JrC2
vM5LK6t3yweJHdXRTIkvV7vTpDT9oe3d+RgF/R6OZ8sU5XmwAwQaUmhzeTIHo1KdOdJMiBsNYF+q
Px/DAIB/XkKd9Hjv7jvk7Bfzy2Sd+DdGUeT5fRF6ziP09E6rml5thZ3qjSNiwmjj+s7fiRFBwzHF
Iv1Hb838zwl4X3ToE3v46sgRx8c/ZOsj0vliuF6yAhAhLH8H2q1doWlUUE2DCYm+be23YebMXx5b
2XqWZYRItxQ8NJHp0krIS41gXWB5/cBY4QHfbr5lom4IDwPiBuFRVGH3Y8wrSIfj2W+eekUke5gi
aWP9fBEWyAl+5unvGZAruEuSObG81FVyL2/H+Qxh0FB7QKzKS6Nr0T8wcYDTfLz0rZsJMohklFQG
4PFqg43YLKAcpho+jmjl1PSVjlroVhSuemM8l0gy7tEGbFkEhAaAWOX5BPSx3Oy80MfIijrLg9PQ
+tCoinoYkIk6BuiunVpJiryzxK0zJPHDDI3BoU72uzSoKL3f1VHL1x112OpEULwb3NH/9ngjt24n
zNUWCTZAZb7h0koFd44NhZzlAV804MgMnFOfZhnT1on78bGprR2kYOmCTmdCiLh5acrQC3heB/y4
FfoM3powB1ilEh+cEqh+PWa7PUyd/3B9Nl8alH9/4Q0KPdQmhs1M9HaS/o3mVK5ndALBtM5Jj1UF
w5VwhwR12cZ5W5XJN2eorZPl+sHRars9hd17oCydFCAUcgJVUIy0VrfVQkIpdy1yrbnKq28ReNj6
qNSlMhwjxcx+FYMBw1MIiyUTVokG9WqJDMIzHBUKdYhcKcfrNLfNq/Es8leZkutBhqDIRK72qDE6
zUEYyJuYZIRHkVJoW1vP01jYr/eJC0urC1TFgimRGkuIAH0p6yS/jLNi7WQqG8cZI0QoshvMglaP
jTb5swoPHvkYXfKrqCeiTRRqvCaI9iKuTVPADHXmiUmi9dXNmSHK6rtO5XvmMVzGNFmeyqT6OCNa
txN1bVwcHDydFVtm6mQJy280xG7BgDwFAbsW7TkddPusAnS7Ok4uToYZxzv2Nnw6+Bs6HPg5Outi
9aU6REdKA6ABXMpM1yBmaBwnLVevISyt4TEtkuQTstlA7F/tH3B0sqLKi8bjvTKrDW5rjznRtFnM
zjN4lukD1Qlyy2T234nanC+P7W08n3Qb6dzLgg4aYasPGFdTnYtgJvPS4oESC4RbZt3BusONyI9O
joRrHUwOguyiOYYu7BOP7W9u8wv78oC9cE9x37UlfKNssxDzVUe269SkuvPUwk12NkCNHyG/a3Y2
eSOYpqvL+ATRCV2HdczgqMGYI2dve3HRlNcQfcBjUqjACSo3vDZ+k94MLSmPsNHv6TJvLZeYiDAe
V8MDIP/+YrlTXKJIglvxmAUPL7xE/sFA/OAYTUX9bk666toxcuY93uOtS0p4Qr2M9icfe+XewG8k
PNJc0tihLkiukHltmsfPONJXs5XgSamQSFAOpQqy+eX6sqlGimOi7DlbAQPHyG4cJ8h6zj2E+afH
q9pyCC9Nrbzc1Ftab6a25SF6EV6cKtauqeZrh6kUxsEkEDo/tnc/5iVRAGyWkM8pRdCVB7KDUEHt
2CK79H3lFxR24slNavdkI6qdHv05zMqjWjd2d4ynvofiUWHAK4HV3uvjoT4hKFh/SQLYdA3AH38Z
g2L//fgXyru6euo5ViqaV7JeY68xyo4xVSmUC7YXZH73XGf+zyGoqttjIxuHiWeFJ/x3EYqS/fIL
C7XqSnvobM8fGOTzUUu6oOUMiURk780m3zMLUCd9aWtVNommdnQ7HyYhC7F52Hrr2dY8xcqnn3ro
Nr+iCqjReyXS7OwEqj75ag2NQJkrqBIFzUhLcQ423QX7lI2dA5slEgGvfmkl5xC9IMrUPIBrR2Kj
edb5gGI8K1agolRqGNbrSDuFQ+XsJKv3H5fsgheJ4SaKOsT8y31XujlRnTg1vV4x9XdDbM230p3b
V3tGisxEDTLZl4HKKjxVLOa6ZiUmTyVIO6OHUtyIxijrJOk4Md9Y5h+bYTCgytWs18KISJ/I4Ai/
6MzSSVxdL8SUDY1Gnun5LS9Bo+kQOCbVeJ7aNHm1Q8QUvTLcP1kbycVyL/3KT404rUzPdvP0LbTx
6nWGyPFIBvP5tbcFS2QUcjgJyuF18UQisEeoVvhqrtICl+4kr1JDWDtqxvGxqfunhf+f+IiYgYjl
bnRALQqA46kvPNvP4yvKZl/xZ+3ZHuOYiD9BwKtK9uYV7n3wwqZYfbNqQisiabA5mHBUq47UxrL0
6hihuXqGTTTbWePWJXixxvXxnEe3HWjlYA/yutNs69UZDXR351ZvropXWhbayTvXVHRzbc9G7iOl
oUFEexzcypEU59ahSObxqlhOcHn85TbtUaphio24llm65XEchtTqYV8SXqjGMAJMqFo7OnRFiF1S
1jObvbqBdNHLd4KvRleSmgwxJvDrpb2uzZDY6tGIsRMnO6smukZ+OI3vGSZHdk7vnKOiWOlFr414
5/HYWqkc1CTmogF2l5lYdRMPTewKz0za4FrHyAWgvZqDG1XrmzYpXx9v7EYpjCFVOuY82XgUkqHl
Squ6h2zVoBSmh4p/A21TPPkmgiDIPUFAZabdyYfg8MDbrfxwjPxvjVLSjq/ZWjKYVTkiY0mSs5Xf
5iWdas0eyb/RAzshbWMj1uMo5q2Bb+I2IRaxc3rvH2jWrIH/smmokyCs1tyV7hDS0Da9ruHmzw7D
3a1VQkLrF98fb+/m0jBGNUiyDa1TpCqNrK4qqWXAH1ae1B4a/d6Gz6tDHfZNoenBzunZaDVgjTwd
KS9cN/QWy89p6PU4FLCm4LclMitAlifLrJhSKqKwuhuVt1QJrKM2DeI9vGbNJXND9WhYibvzUaWh
9Q3ipaJhzPQT+Czpp16E8TrY0JZmI5LPQJ9JQQP+aVU46iuJ76kY374yr6O0O2a3z7Os7ToApghG
V4cpTbo0CfSOb1u3LnXkutH/HEwjvbWUSX4anaL8z0Sl85jakfigQ058GQcF+Z/H333zhAFukMNw
UCusZ26tqDHGOSipO7pJd82QrPjqp91fQTpr5/9gSZYXYEpzGF9YfXBmUakG+IQjWesYf/pT5z53
QmluMwWOnb3dWhRBvbyhlBtpli8/aaVawaSomNInMV0jeAOOyG7V5ylK917qTVPS+4IRJVBfD9AH
pSKaIcIrxWRhx5AZ6r/nBD503+qjn483UB7E9UGV+BNiD3Av8PouV4VmolPPpia8AM3073oX8b6g
sLmzdxuOABYdwK6gQSVEabV39ay1WkdL3ouHsD5ZXY16wlj3z4ql/9l2wbSzqI39g/1JAnkZQaNi
uzKnp6haaooQXjqVjIAlls0ciO98V4oOYuvHG7hpi/kP8LyYvON/ErCOiyyPOBaMgKBEottPrSl+
GO6cfHpsaeNV5j0mfSNBl8DE1adqc9qHNgJEXoqCuUBv1wj+sDS0H1BenWsDQmInArXoKk9M8w47
X3DLswjQ2bIqy2ekl7s8KEjM62UzERMMqh2fh1jUb5uoFZ7iKO3HNEkhT7DjJj4E+KWnPO7LEyPo
yZfHW7C12fJScIqgSaK9uvwRY+FPDtKcvJWKaNVjpUflU+wwYwIIoWx2fMvWoZW8qv9W96iTLo3R
l9YHZOdJdRJkKoOY3sJhMAekrBgfTjxzrpTpPxymlyblEXjxbIzh1DstiqueK/r21mjZiEhA6Lz3
NSTuH2/l5mlipA8aV2Q5CX+WpoyxUMO0Il1EI6iMjqRb1WVkROlkJo6NgkdrJZ/80a4/K9ag7YRd
W7bhLHBkg0g+2Ktl0uEY0F7FHRSotz67LrQoga5lRxfhqBO1zQGO+gwZrTLd+aRb54fDw9NEm5Xq
mrtc9Di3c099Vnh5basXO0KNqU8NcSnGaT493t8tU8yTMxX2ewjZWu1vjkx0MluUo62i/R8qOeaH
zEqReHJSc2dRW+dUaBTXCdVd+GFXOZZCbRvCu8LyMpyr1ze9+NCPNWOLkyqpdewfjxe2FWQBkKHP
z2Q3rdt1gWcEORynEiDjIGz8PcXt3cIqRmzE1/MfLsXajxNjeZ6CBqoXKYP5RzYFI2wzUbMDK9so
/zBuizuUJX+5+JU7iNxe76ya+NIhW0CcSZmeywL0+lxrX8tyLinNW9GbStTBLffBdLpqpnLIrJIa
ZwIhWJDSEDXRRHm8Q9IxrN5UXCTDCMwgga1bz6EhXG92/sDznSjwqoARQY5RRSKpCYgZ+pHZNBgn
9+i2Nx7yhdGVtypTWA59arxyVKc/FrbeXHyA5zvPwNZZkyAeQwPdAnxI/ooXDirzXT9CDNTyolL/
3NmReZlbNz2aavys+Wr+x+ONlNdxvZHUK2QlHIOUd5bWJkUfmJDTLA+lDO2gRoF+qDNreBdpfXYN
1HI8BTEaU0ZI7W/ws+jDY/NbV9g0OQBAhhj1WGOBTTfuURTEfBXBWOkj3XXoah1B1SjML//FFDAI
EOPELet8YYbSqxESo1sW4XiFOD0/kfFX72NN7AXnm5+QoRIqTu7vsczlppp+UmZQjNLLHiIaOnmg
v6+6QfPg5Us9qyz2oDqbu/jC3upgwtaIBDts9J5bKul5ZvjkSAo3n1zF2WvbbC6NzrkkWKLjuM5+
HGeKxoaCnhc0g/+GOkU6HuKqTBG/yav+rSmiVzONwm5AMY1BPNwQEzNy8S/ug5VRsAtbSv4Mc9vH
rIv0Q+Vb88GN/VfPTq9MycW/MFU1btSxJJAOMwKkkdZ1XlPl/U4VeevKUWCi+04VmarI6oI3Ta/V
MRfKMxS3gWfcdbpD4mvuU6oHKgKFBIBp6fpvimguv+vu2Mw7IdDmD5BYSFnnhXh09Zo1Uo4nhGbd
gzrEGQ5xAuDC6Hv3V1agiBvn3HfL6JWzogSph/L8HhPA1nFFb4NmGE8pLDyrN6UQ0CAT4FkeeYky
HAB9ddC6ho7x1zhHsb/zVGyuVg4asdsSorP6qEyOprnpY01vtPFg+0P3foZJ0wtb6KmsKMrgZFSC
Z7vUrLezOe71arYCMToFlLrpW1EQWpmnHajlnYk719wwiw/qkH/t1Fj5SzP99qwPfNykL9tjjXLX
jsPbzCckqz+VL5In4OfL4zzaKFHVI0ghV+vmn6jrtWcK8cXVKXr3WsGX9mwrRX2QpY4jhFYCRV94
TXYO29ajKbUM+NJ8c2s9F2QoDXPxE81laljvq9SHCBMRp13tki2/RMsTilfJYsF06XKtaQw5SKwC
RzfV5h+RNto5ROjtMKYCIcpZ3Ru531zV74cEdCS9mvURzlMn8lvAkQgux4hB0nmy5mmv9LJ1dGUE
QK2NuW6CweWilKBxk7Ej8UWsezSOSltPb+sUQsvzBO1ZdGgaPShPXHToVUmRtcDr7HT8D2BGnmfg
7jRpIP2Bw2P5M+AARuJEo9Lma3Pwt8pLgzrckD8phZ16RTDaiIp05Vl1CoQSs7S4GmXn70Dht77v
y9+wdppqXEVJA3gzmug0K3NYP2tNpl+TTkMdEzz89XG0sPWB8VA2E22MKd0NK1vdKCw7oGQsimK4
FmarX130CP56bGXLE1JqgLqXKRvsrG7oEFK1pOFoesNcRj/9thLZwclShHDd3u/3cC1brsgRshbP
kA08Rqs91Dq7nfKZ+FUx4pohU9PVn8poSMOjExpoLiF/yVRBbrVxcGjhi96r2G6ulrgBHlKcAWyF
y3Mk6qFPlaamtGAOzrnMmuk6g1limmEcdvIWuXHrsJZjKaeJoMUAUbY0lQyTlc/0brzZVDOk15MW
FUllyr0WLOcpgoLVSya0DR9/zk2rvzvDOv2Vu0NT5bAUZbJzm1hpcSus5GPB0NlFhZPhjTJAFJgH
3NTHNrc2lSIchWCJ+sD/LVdaCJLR38WxsBi7t3Wgzp8QUm6vDJzuOtmtSyEDWsruhkYdbv0Bdabc
AhuOsbSOi3NRqsnbQSuCnau3dUxlxgYWSrLIrlfUp7XoYA6GgrDQjX/MvMkHr4Zr/jJFufAYK4ye
WtjWgAulw85gyuZmQvpOdMxDQhF6uZmiQyLdZO7NG7uwvzVhqh98duMpQO9yJyzZNsUEAxEQrFpr
8S9Xq8DtQSDmwR6XnSa7/d6Mfn+CF6F9vSXySSSioOrnJV47mXoY0Y9KwHvayMAfoYrxn/rBMdOD
sDrj8urTCM063W8GgSkerl1ME2j9aBQxod0URF4rNAU6Vmd6GyZkl49NbbwImALjxBGhz7YexUUD
2W+NmBpJUHTKrxhxh4Oh6+G3rq5QPa+yPYDqxmNMu0v6T9htCavksX2RHNjakESqhUvRCidX3g+Z
on4s0UtFQmNoyuEpjsrUOY9OLRhanG2UrMdh+vvxmjcu4G8FJCrhoEPIwJa/wUkDoyyR+/Y6YcWf
erebTw1Tmr8eW9k4miaFfaY7KazQUli99/VM9grrIcGN5iOJ1w7Rz6pTCuR09WAnF9oyxZgQdQdy
ZXzYalPTwm1QGhyF57hhfTWcyvqQB0Q2lrpL57ZpihfBgSeXLta6kjWpVJdH5sM8uy9nZGz98JZ0
THJ3dhDtBCsbn0n2KVy44bkIoKeWn8my6o5pUiSEeiMaz2GU2pfIpqrx+DNtHEiCMVw/HSxJ+rNK
40TnACmRrw0pcnsaSuR3pwEpWntM0B7ph+ynqzQ/hJ+Yt870X48yBOKCvAEVDkYfCCeWa6wdO/UL
Kq3wnDTle1SSIOB1u+Gka8Ne3LK1nRCQyM4WSlnaGpXEW9Sa2kyvKap17epUfXeqEPrb2c5tK4I5
XZcQhfR0uSC/StqSjq4gMCjyKxGK/uwwR3d9/NE2TqEEt0vCPRCMZIVLK4nborFW0V4J0FY7K1E/
k+z36tvejr+/3hJzMPh8XmtI8VfrQQa4aOGgoRDfCPFOzSf9Ok5hdEwsGp6PTW2dRAj9YCmAEZ0Y
ZGUKSXFaOw2BZa4hI28EpXHQfCW8KqH9t6GkoTigpqJe6w5Z5t5sCG8f29/aVNgFGbfENctO9XJT
CbkYw8oJ1pkKVi8MdH4qREElMzTm6fNjU1unBBvIrzI3RDFxVS9V/TzJMggEPFHViBLH+QTRROXq
6c6Strb0pR19uaSk1IeKsTgu99R0X+3WiG7z5FTMO8bpubLn9tJnpXkKlcI/jEOzJ+yxuaMy9QGw
TBl67VvauLSGtuEJmIccXWz0K/6yVbQ3TF/7+HhDtyyhnimjSkZR7sjrxnmmiRLp9OOQU78ig+v+
GTYk7bDmWjt7uhGesx5IQwgtJRJQftsXL/jojkg3NrT+4J9I/+d2Qn0yWzX5HoBveILrLHtnjkb/
Hy48PQrauS79Ct7VpdEG1EQaQ6fpTXFiHMKWHkmf++3VBXjgPd5K6XJXSY98bmShBeJHjujS1Gho
ZT0bzE1W7Uhuk/hde4mKIn0TGrZ/rluz/ABVvPKPqyZ7VZ6NYMzisaNPBMaKQeSV6VrXy14JQ1qd
ia5fMojEj7k9JwfeCOMEwWa9E2duLZWoj9KGnElj1ni5VAUZ8ckiVgfDr5u3Hp6fgz76tZcbQSNb
jfqhaPP6FIVtd3q8yVsOgFlHmiKStQ0C3qXlnvGEaubqedirju44htlBdfNqx3tvmSG0laU76m93
3F5VJuIoK2UbPsnE9wJhhUsJu+ZOoLJ1I4ggJCcrzQpWtFxMHTJXEviwk82i+lBkiXkpm0y52KWS
A942y2OMKvjOhdhcGc8R5xTqnjthrbY0Gl1ErIwmYeoNOrPo/ez+7/FX2loYjxHsb5C8U55bf6VC
CV0aS3DM6CodmGJoD1B2NkfC9eYQpVl56Iqo2/EvGyuTj58E/zKGf0fgC/O1iiS7wjSE2XX9wY7V
8k09RuMOSHvbjEQXkwEAMFytLQoDpVJSyveO1ii/yslMP2mlvddc37RCExkYOO4ECMPyaISZQY8i
YY7fLi3lagXKFB+qrhM7J1D+2JXPgshbavVRZANdtlqMyPpCjTu6cqYdi3e5pvzw4fKFt954SgFo
vW/r/ps6Iuyg985euWbj6YHhkdaS5K2HmHC1RK0EI5H5gaRiC9w3eVPBLSsSazzU2ijsncOxaQw6
XjnmxRu0brRWsFXXIpJdn2xyP6h+a590M6N7rHZlMZ4eH/9NY+wmX4/BXSLA5cfrmyCYgFzaXlGV
v3CO1V+ojqJ2MEd7acDWMdGYFUB4BZZA+M6WlkSj5BAl+LQ3sqo+w1AyzIdpLqe9FucGbx6IWmpO
cm4Xx7GevUgHlVJexcdSa/gry0kPn/syb07RZPfXtGCcz0uH2fAqK0JhcewD/UMPQ/85olQfHOsh
rZiNtGDx9h5v9eYBBlpMXQWNFyoMyw3QoPxX5o6BH52n9VtSh90TGXPZHaqx88/sh+NCVAMz3aEy
1CQ6WklWVjvx99bnpuII6EYWdpl+X/6GIq6Yfk9q0BckAm+Z9O+e49oaz/Wg78baG54VWD4sKsA0
KZOtY20tMv3OoL5BETd0bkVbKJfJ7OqjxZH7AnfgeNSDqPkP55mUXWLSiOTvmDfU2GpsJQNjmDTW
9FkfEK91tbT7lpHQ/Id7SnmagpyDZhvIqeVe1mCeU3ikcQr6/3F2XjtyG90WfiICzOGWoXuSRjNK
tnxDWJbNnDOf/nw1Bz8wzSaakARDvjDg3VWs2rXDWmujzu2Gamj9l6l5UZ6HppX10+3Ts3d9kOuF
3yom54BNuLQ26tGSRhGnJwarnb3kdo1utd5Yy2+wNkg4kWYAT8QB2XqEATEYiQwKythaf7Raxf6n
Qeznv9urEb9268yRQhB057dy9GY1UW86bRji42RKw49I2SsvIexAL07UoXSnOTnKkvYOvk6ZUdQf
KN1sVa+Y3Bw5YAjRQnBa86QVoOrSrB9OQxlmv3HHaCLz1ZHXEfWByy9VD+WoMEoDTIdZq/dlsZb+
GEXhqbLjI3DTnkt5b2pznbVWt6q2cZB406Ar9CZtC3Puv/fM0kTfeXbcaVXWINbb3i1Sqz5onewd
SbB7KKMBD8ThbpLpqk8N1aD75eudbrxmEFBOxVT0B1Hg3pcjFyNUopLJJxRu5n0ulpNDTylQi2yJ
2rslXBi2DmLxCXHx6XT7VO5h2IDSUaaixSZS2s2nS6MKCH0TmX4no7Hqqc0UfnRo3s539IaG/6Se
Nrk3NhE+eo6oKD+ba8T4FOZrVI1rLqbyHZD/fFbLZvo59bpUHfzAvR2H5g4+AKoTWdTme3fwmnJF
E60Avai/LhWwD3C/v4GjYYoHZTTQTyJH1C53PIrr0M4UyPRDq4SBpXd/V3Ij3UXK+jsuVLAkCR4B
JVExv7REVD4bkwpaEkVixlmYRYvmQS4rjCbNUIg+EAnYPUmU6xQFqS0ys43DVsdyrpVMCNEZTfyX
Q6nwLs1l9UsW5uZBtXrv7RMKKFQP0CRAbPVyYTJUi7gvBHAGcmmgkvX6TJ7pXufWfpmsaX6QzFj6
evv0iv/n1qfyFsElJqEQ2LVLm8pSxjrUGq5j28dPs1FbLt61Lt3G6WS/7sYjnNyuQQIScqc30Mhm
P0OmLdhFNSNyxzR1JEEU50djQfUZO40JGZV21DLa3dQ3KWQOhrB7uUAkcyRnkem5RXnfP+dab3xV
pGI4jauWo4LSJLLXo4J3FFDuXrp3ZjdOwYDr2jO3CSc7yarXJnlNa6w+ovntbybPEwAY2hzbTkCh
mZIaC2mHklyDpNNQFopoiE57kF2S0SM9RBD99onZuxBCPlt5S9twKJcbmrVZN4L7oYkZ6+ZztxRa
EE269SGz7eTgUdzbRNChEAWIlejWbkxFMjNGZhpSvjEkWewWMsguF/WEw1Rt75BQ2mLwEiEs9KCN
oYX+U6kUMN67sWLkR2X26ylUpqYOZrWk25E7duAMTf/n7a3ce4ktULEWcAXmj2y5TwMonygjvfJj
yC3n1O77v9c2BZ0RJ9qjoUnmyQRJ4SEy38KE1Z0Df7Ob9FiEUkKqlJLJNglH1M0syc1BuKvTYJDV
KNWLEa9iFODUK61vaoP5BfSQtLr6MAHFnADLT2492HrpmaORtC7DUgaA27JaHLzge5+EZxXPJEI+
ps5dHjNUtPnOuYi9qlx7AuwdnUigM9/p5TJ1V6tRfCSDqoMt2bUKsIM/OEMQqJdWoeCP09ATYqaa
LOqLlfZvms3pI+KO63OVUIyDe3kkO7qHx8f9KkIGTxasx42Poi/FjCn09vwYONgJBbfO68o2fkEa
xvJigMXfHQB8TyXPHjMiZJOoIUz+sDu0uW4fyL0LJ7hJHArwWPo2VFCt2BxlZED9cozDM5kD8nWy
dpRP7luBl4++MMXVLQ1KmnNwvQNJvTmt6b2mTvmTmRrSgZ8SHnb7sgm1G84Q3XQAH5efck4lTWtF
tuBMeUcNxjTP6ZzN5ylV1/t+sCq3CpHFN9NaPt/exR0JLNE/h2FFpgJ+b5vEWoOCSm2d2VjNhhfV
lmQvzIvlG1rx0xBIUMGHc5Zpau2Ohj09MeA0Q+BNfPBiNl70RkmPMLl755rEiaSaCIaq3ia0qMIG
zYfOsohiwuWHNstqAhLMZnqLWiN7+1CZq8XkaFX9jftEQkiNlHI2Pf/NLWZUsKJFqxiBEBZD+izV
Xe6nUSc9Z13a/YPIymC9yHGk/856RY6hytRzxPTIy49PlJUY3cR6pzB0jA+5XljnMVXN7pOOKtuL
OXfMkTQa7SC52XmPQf/jsEDkCvauOPnv0g5Qk1ZdR6XtK0NTPYZl2PnKWhQ/u1b6A+6yemBu5/1g
0gHJKbMzFKEafGluyaqsoRzFORs08yVf2tCfYZ3+ZYaltnjL6OiPyNkoX5xSTIpfpSPt6b3lUqh5
YyFwzLcankveRpKa67ZozIa1K41oGrgZ5dS/1nZwRHRlrz8P7pYISDfXmlwccIDQPjOu7lZbLKix
tL3lz10df+uaUT1bUxa9QM0xfybZULiL2deVmxjSD23Reh/ZfvXATe64Fn4DSB2EfoF+b3vfnZky
eWFeqH9a5XomY0d4ALLaXbhaDOo24eVBVbeKU9YW6YFX24m+SOTo8AthB1i9m4M9FIYJihrTS5Es
n5q+tr9Ba7XvldWx/zvYanFar7YaYDX9DdG92aJnCo0CSIzyiT86dfpMROD8a6kFDAwnVpk4G6aK
WhEYZO2zNUVS7S5yKaunJOL3uaWcdlXAHHEDtcWuiHF1rVoffYj9X8hJoJDAw7ntI5vSEBdDliDR
G1pLzjicvniilqwdxCJ7ZiieCXwI/zDH4PKeNUZVyFXCmVPCOK78JamA0jX5mn++veN794ndBv4F
1oCEcxN9GEOV9o6GaBlYsCzylCFtvsidGro9eQuiL9Gn2/Z21wXvBXkHplvjLy/XpWhZudg28XVi
L+WfYA/kn5Y5HCFfdlclUFEgkVnTVhm7q0tdXiwknop1nZ71KqUDgjy330hW/4qWxdEV2XnrEC7Q
uZcUPABRbK5IZdMBTNPZ8mvGB+aenlM2Phm5mcZevA5FdK4UkO2BLifxH7f3c9cyVWtSW0v8tXnt
zNo2FqcjjbClLP2y6GH0hbeCg6nWJu9+oVA/rKTFv211zxvR9RG6MnQFr0qHzVzleoL7g/plNvM5
suclOVEp4O1JNak5JYkW/xu3iRN7ZYjewYEz3PNIlL+ocYEkB/e22W5zVUr0vyme653S0HWSy+i7
U2bO4upzc8S22TtL1LLAAoGgZbbC5oZ0jjEQvxFZ9XmcnRi8mbmhuTRPZRT+WEnrD7Z274Oi+kXF
maiJNtTmgbW1aVLp7tpwX7WnNdTau3KQPxpL2ZydBTB7OzRHONB9k2S8yASQCmwJLWEumQVVQkYK
ITsG0GlqYMn39oJ64+r8VZlp8cjgJOMAmbxnVagFga1gW7mml55AzW2mwcUybSaNIkUhxVIgGVF/
H62p88NkyInHuKhDsZe9r/nO6jZONpEaRuSM9oS0dPKLgzLYqbVHG4FaToBH1DOp7jCoVDPMxHyW
1EE/Neg5+ko/rSaCTaAfzVjWvrKN3ecorZZnZgv0L7ev156TRHNLDEBiSiDP/eXWaNISdRXgeD+e
o/VcOWX4DKGsPt+2sneLkPMW99jmldnmRO0SyplBM8hnMALI5qLUPTkzZZ/wrT/9uilYGpQZ6bNR
IBdf5V2QqsgMb3J6ZnEpzshYaSnV3ZQ62BlRquTg/uztHVgFAXlE6PRqoEZhEp+VmQ3UN82zE1Oq
pFOuWuPB4d3bO0HMekNwAiUQv+LdguY0YzS2JmptxfIvyLzoTm3XvygIH2FL9gyRSRJQqWLW8Hb4
Xi0rQ503wNaklg5amGmTp5foPGURefovfyRmF8FSoHdH2rRtqJVrluajwDxWkEUfEcrPAhU8ugeF
8TccOOEdkQ1bSNKy1TnQ1UyH2w6ofk2SELn6ITtV1Nd/rMjK//pbQXnNBhxHJ4JeweZLRSNqAhME
XwIcqz5T3Y8DK0HtoEuVo7rvXnGL1E/wcwSIBYGcy1NBChQrWVpbfp7K1VlRG8lLmDoZLGM0uCWV
Zm/OrCbo7HFxwyWCZlcozTle59KN5WG570ojP4DW7Pg7Ol8MNxXS4HSBN8/JYpd5q5YsXx6Sxu+p
oPlTpRAaq2biGdNwJEW7aw9tELg7JqTpbdzKk83ctAacRjxJUukKnacgQ0Hj26KF2l0Yt+pBALtz
QaDVUGZgrDns7e3cjKHTkEMcCYCkqZ7+TdMqup+IBIKpcJoDZM9bm2eTnVA/0kVpWBFJ8GYzsykP
Qe/xZElKNZpe1bO1z5LSdqhz0WR/TTPJ/C9Ru3bwJdxp6K4E1ajAoGXVwCNM59FdDHJFnzEqUJKn
zqo/EQYrVhCvbSG7neGsL/UE2NGrV3X8msKOKN01ymG+w+OJWzcnjI+9QpfK5zQXSiSyPPSqG0VM
D/lZKbNsuFGOvsUpJp6PIOI2I+W8pmlf87Ue/lXnNpfcvjaRN1uWUm48ue2rxdPiJnud1mqoz0js
aXKQ1p0q+WZbtJ/TVDX+WZvK/BQXkfOpjcN29TtkyI46C+J2XO6uaOQppKkAI/hbBAzvfKo+IEpi
KCM4BVut/+yahUE6idGfG8Moz46FXmftENj2aajwHMpfbnu/64MrrPM6EQIJAZbNEzUwCSmsM3F3
uzD6MDt137lkosYH0xg73Zti1f75GxaBGDEbDFVjXuDL9WYL50axIDPbOORnEziIt5ha9aJYcR10
dW8feMLrgIsSKzmKzu18g/Rd2qscI1aXkV5fz9g3tE3i/qSpdu9VzAwgeVaWUwqf6mBbr68nRukT
oTwO7Re8xqVRJ0ujQsPr+WZn5t/6NVEpQ47GcwiE+OBNFp58e37EgG1qjtSRgYBemorSQZqWkNQy
5jJ6RSKFH6NUNg7Ki3vn5L0V8SvendJk0eakNCmc14zafsibcnhC0in3mOuMcrGGLtLvfDY6UeD6
IODwbF4aDG0llyY8PMlr3weVuuYeCPP5nKctwE/Yr/cpAyp/ORbgswk0pkDBiU7RpVFYnZoB1Yfu
VB93n0w9Cd0hHIuXqTlkqeydECTCIFsgVUohYpPMVc3Qd5LBtR/0EhUTfWw8NCZNF9WYI7XjvRvA
AGUhmILCEk/15arILIQgBkivqGeUcjkajkfsEH5Fur3+YK6T4Zp2cUR53zswb2xzCqY0BrZhVbI2
WruqbGUCinA6z0rSvo65rQZoCDS912glOgW3PcvuOoW6CK8iSl32xpPK6Hz0nQ2ysGkS9Z7BsKMP
h7F5KhbYPxqDOc7oFVTn3zFKSi6Iu5RJN9dP7+0EbSTwL10uV5D6+78Gh7g7lqTek5Zs8rJSOVro
dm9hQwuGDKEdDHDc9ubsID4DczHL1oAibOl3WcRU87CMvbqoZ18tnPWgKrd9ot7sEbTCCaAeTOx6
eYDCrHPkZUzWYMr69lW0m85pNg1/ZeHSPAAitM91GsmvTlOFnqo0aP/c3uO99bJkXkehxHPlTa16
iEvVnFmvFf9lpe38mkA3d019ui+0ePr3trW91VLfYUwm/htU8WZ3a1LTNaavFEShqjPRuYkf0rqU
y1PdLc1nWar7QFGW9ns4zPlTP9vqX7ft766WTjG8WzhyRPCXu81EQGlsu3ENKFDYSFIYma/Hff7B
HBTFlZbhiLp5JS8iPi9CgeiUUcOjOS9+0DvfPjF9cQx1uJRZXyp367RaP0VSdu6GXgn0pZh8qZbU
YFga+VFXsvhzDHjtICrYukN+A3fHAhaA/C141M2DOdPQ6PjIa6DnzuJPgCm81EhzL4WsFNze311T
nCTyA2BalOwvl7tOUaFW9EsCNFOGZz3O5VNfyvXXcS6PCI87prguXFLyS5rNW1jj2ieG3XWMAQHf
aH4ytQKO2ZSlj0UmHezf1vexf1RMUKriLQFdtJ0mO0apBIgjkgM1N2Nfkld0AedF+hER1j+nSFBq
bqkX3UFUsLc+kySd0JQ/PJuXW6nVkIRKxpAFVidbXog6jRvSAL1v0sNxhHunFFwR9wIMBeTE7QrD
niUairQGoyNoH7M1LxQGUvOuoOfxfdGy/J/VXixEeg31pKy1LSOSg1LjgS/a2WihkyrouiBlrkgb
TAQZ7LaX5KDPpm9SpEsPRslMm3Qql1O8jvRmYJ8eNVl39pn4VRSREEiEmCL++7sbuhZGrsp5pASk
J8pZiSLpFBtz8mkm8z14z3a8H8kULQTQAtR+t9y6oqTorpiZEoRKYwc2f51tBTHqpFCXoNHq4cmx
kU5kQEfpV8OcHSTu1ysVghvQBxl0LvzA5nJqUjXLklEqQcvME38uovjPyMlbf4nW9f62H7j2s4L2
TNIlpk1Qt9i4vaRo05bZIkpQAEryrCIfHgZZXR/q2qldre36r7ftXe+sIjO4QKXAyUHeUVxroRUi
oB7MEMLcVp7Gu87q/9GGOnsxlKp+lDpHeZD50u5al7l/2/rOxgrZS6JNOPqUuzevmhrmYVTp4xSg
GF8+Skn8X2E00YvVZfLptqWddRKdoFKlk1CJFsLlYV3MYbEXG1c0t+ocVIwU/IQo/3IfGSUF76Xv
HquIgZeSmla+nk7OQbnijajxPiGi94WvRbSFkwpwdQtHGRqa8l05LoGZqbF21swwk10yPhUxczOK
P3QUIxyP8V3qP3atdNNJdANTL5H79DUndSo+tgzpTN1YjZza642EOT+CdrI89sTq9eNgFj01LESs
kvu8S8PWbRqbSldmDeE5L6ayPvh01y6H5gTNYTpYrI1uxeWG0hhvlKivuP2hXZ311p4DpZbF5lE3
yaM6wRuGlfnv7c+4b5UbqAqZxatBR0Wbo3UtYzUpBvUM3W4698swPztL2f/XzqTtxVjGf982unNK
ARzbQgsUhW0KE5dLNSepdBamLARGHvYugza0e8so52DubPPgmO6asmil2cgRylQuL02B8tNas7fk
IOlq/VwDg/bwwZKHvmRx8AG3fUNxIomeyUmwAzZnYwoB5qKs4kwOCtPOPC1Jl7MZ2okrS7b50Qkd
KTCT9pH6fRv8+nYSzxHdAbG7poVOTFdbaiB/QYneqcdEp/ysxBbD3hQjOrh2O+8zt40HWjxR9G+2
sxlqPDq4mZQIBHbNPci678vqtKeipNeRyXNz17d9+zBrQOPdsk0bD9Rlf7DeHZfOjSd7BxhPXrSF
WSZWZMKnbDk+MqOv06EYHpIxjf9pQYM9VQ2iLwfRwI5Boa4iBH7BBoGUvzxEmh1FqtY0SzDoc/Ul
qlIq3FFU3idMiAskUtADe9eXUlAcaSgRudAr3c7gyEzqcTTd5cA2k+hRKu0BJJsWossQm92pyufx
y9JZ6pfbx+j6/BLsiCF6FnEPnUvh8d+FH/rQa3Zcsa0DWCNPFLYYTC+V3+KyLR9hl/woKwE8M6SD
huD1FcUX0GVic/mcpJ+XdrWMoG5peTFVo3Nesz6jQZsl+UOS5fHBFd3Z2AtTmysazYOeZhXewLHT
Aiwb6pV5ZNgf5VabTmtY156irf1BBLK7PhBGMrRtITS2QYVAYtGauOZrKpWe/gn+uvhpGbwnU1w4
Bzfj2hT5JE5O6MVBat5Gz1NtRkbfLW0wEPd5C4WiD6saf9JrS/plvwo0guMCvptrCGb58qOhpJGY
Xbu2vFZt7hUodp6qztZdK5GkT7fP5XWkIVAY+BruvNC32LwWdYJUIgQ2TFnqcF9PY+9KVluclBkE
Ss15dJeSoXko6MCCX359ACsaRLKOli2VHxAw0PIulzoNxVohetoF8po09305m9/i0dJcikXKc6X2
pUeQ1N2VeT288oiupx5GpT8CN8i9aKbjceAd9j4yCHdFxLUC0b3xRjaCz22IcnpQ1OuEckshf6U5
QtdLsY+GtV3fF1vh3SSlxSlQMt0cXXM0w0JbwzKIDK30ELj8OZm185COfRdUo7Z+ipf+SGnt2g0J
m0SWIn4V8eXldsu5FTY5wV2QSWEkxkOrrimNy4clywc/ERMCm2VRT04XH02avXbzCGIgv8/XhuNG
A/fS8gq8MSpKtQqqPDaIXBXlvk7t+SwNzEhcCZRebx/svd0lvcTXEzIIiOulvTwtw6pX9CowiskO
EtnKPCTCksBeO/0ubbM/qGYetdz31khREZa5kMrE8V7azAjaCfnkKgirWfVSq4nBGcVcJnlOvaiy
zV92ftycd/Y2fmIyrM6pEqUKZr1OXLWprQ/V0pdn2a7Ng9hkd2kUuZjdwMNJbnC5tErKujrspirQ
G310EQOliFDW0scM1QzXqZ1fr+CxNNIfxHoJRCANXdpbqi6PyVHYyjmL7uys+nfMKqYTt0hWtoPh
HOzk3r14QxUwIoK4eetxO9VstcweygABNONbRMffc6wk8Stmgvldo1gfjK7NvCzVioNXRSzkMtWi
SYd2P4tB+I3WwuVCdQjPeQ5xJ4jDuPsISX15MosxO6gyXQEM8LPvzIAIuTQT1bW2KItRBrT1E1Se
+8jX9LZ7ssPoNWRk8UNsFXEQg4/22gh2Vpyy2/o0TE/Ml+sJ62f9gKu4d6LoDxH6wSVCcn/zhVu7
JtfuLZTn12UKmrRvgrVjyLncrNPJjvujmuWuPYcQAYa0KJVuTnA3mIw4hY8TtKqd/Szk0fqzVtVJ
9salKzI3Tqrxn9suaN8iSQsvuCgsblyQmXY9aTqfdm463W2p7QVDEjYnRV8iUOj2Ea995+1CbcgQ
ZTX0Q0hzL79xv+hAf029DJTCVn2GI9uevTrlfV03/cF52vOuokzKY0KzCCXkS1P2UM0okth8PDt2
PujTMvlNWVmfw66YntABw+ctA+C32xu6YxUBLtpSKK4KVafNho4UI6151KoA9dzuvppH6a4Y+8ir
CPi9oTIVL6VbdWBUXMDNBRWCFugXvnWotgqQKcDcdHXyJugVa6SioYcfslL/aYza4DNeZXqIDTV6
G2Dz2E1KfnBLdpaMohMFJ14TMvqtymWHLNE6aWiaKVM4eGUDZWByIoTS1TH7Ypmt4iW6ejQA8orj
xSuNHBEptya0ba82uiyprJlabftghGszoJMCxb9vRuMHsbF+H/VauAQFI+U+FjOQ4ccl7cM/nSpK
an82Jeng7dnugfg1wjuiMwUEEODP5WFbdNqdRabaYvbkcp92wxCsbZMGRt929NNQNw2r4oiRtfXL
GCX2ZlIqlRsgAVsdEVRiJSPO8tC34rj8xm6XfyztIT18e7jerABAArFLCfUKpKeEDjWwsQhRwim0
J1WS9O+F43R+qEXDPSPL8lOn1YbbJ0n1WI72gYPaOgxhnYqmqBHrQoBAbPy7pFQbBoOR8brjR0O9
PsWl9qBF8vhQTxSrb9/cPUtERNRtACIILsylpbmttAl1CtuvyXom1ygpSbm23TTf5XItD+Acu8bA
4ggK9Ru/aWOscYxpXVWQ7caadZ4emq030RlNPU1dly+3V7Z3TgQJ93/GNu9356zDIg0gytu+roE8
2+3ZAiZz/g0rIhukOUJYtG0plOaiKeEoELeQak5q0hl3sd1bn25b2d04ACF0qHknOP+XG2dNNXNX
wc376B0Wr+EUfQUPN5wWJvUerOeq1CWOnlDJBNtDAnrVikLywlLTWoO7CkqVgqiW/9XopePxiAyP
dRsrXhOipo08bXfW2tF+IVD6VfT62294w3OAbaJmuokIpropErsDn49wZPIwq5niykpj3iN4vfhK
JK0PUq9PBy/nNijAKNEXXA8A7Lj0LY26N1M9lpMUZ2bWg1/IbTd5aYknDUO1PUuktAcfdc8gIbRo
LlI4Rarh8qPCaAmTDPknOtAhVKcGVinbrfr2akoPSno4i3TnEGENGBWKoIRaW5GGMcrrdNAdxIR7
pbqz6mJ8iPXFPFlE7Qd7uWuKF4rqD66FiZyXSyvDMXfKybb9UJ1KX9Fq2W0oR58aHYLfL18N6qFC
yFtQzIBqXprqZpMsIB9ZVdpM93Ed/aghA7wqHYnQbUs7TwKcZtR1kJViRMo2yOlTaVSYCYOOQJub
r8uotn/QD07gsRnlF9JY87EM18iToymk5j1FB+Z3/BmTprmVtEtQo9uCqtQxSpJSAenULGH6RcuW
7nGys6NIbs8KPXZqH7yu1Fs3niZmXpE1z/gzp4DW3OiS813NnPrgIdg7+sDQuG/QeQWy6PKj1WZp
Gi2aLH7fTsXnvi3i+yRKR0/vBvtOoW3n/fqnAwEqOhTQqdHvuLQ3MHTUWg2arnk3DufCNuufjVGr
L6jAq7EL6Dk7maNdfgjNofmjtLroaBTLVZonvIsQyRQ0Vy7fVZk5mRyTIq/jw7yXo9NktKEXNkP+
A1i5/LWN6/KUKtHU+X1t6jNDbro+YACi85lWboFctpNY3xInGg8O1d5FtUirGSYgcqErfYSQ5l5f
rg7Cr6t2gjuzuLYWGvcN3cCDi7oTLHJ1wMQyNY4+3xY2qkeynaJL4fhrg+QAXq52Xpd4sBXXiIzh
uU47LRgaY/5x+9Pv7jxQJzDOou0PmuPy2+NjNbuDa+3nVZx8TRs1vkO5qv4ITT16aDs5W1xtVsX8
9FqO3Eg2yq9JzwR3EP/jSmlXHqofslGER/iZnf3golHQBBvEy7OtbOSRng9D2Di+3SqV27Nvd2uH
wXihyFkrfZW4LZNeT7e3Y+eD45eZOiKKm6KCc7kbRt1kUUYn34dMuZIpaIiyG8bIcOF59W+b2vGX
FE5AdpjMjuH8i5/yLoidDJDqSsH7NiVSGzB6G8yD2dVwqrPe60kR7s28/Ko3RR4UK4KWt63vODKO
GexJ/BhJ6bZ7VUVdn5pO7PiAFbW7lrnu5IlTfOBY9raTwZ5ofAh9GXKCyzXqo7lqYcabCmP+79Io
o68RZ/CR0alHJKgdlwnYSkAEhRAuQdqlpSZporks2MMR1JpXNWjYVEisetbaifneTXp3e//27MGP
5/EmzYSFunlX5aQpWlnrHHAqfQFFPfvSdVFzlpqq9Oo8P2ojv3X33mfzHBBGwIruH1r9FJ026+vG
KOMjtY4/lBBtkzgZ0WW2Oq9R1fph6aT1Lm7s0W0ZMemK0b9ugnLuh1zj2DpTZ94NhvkTlT3Vm00K
6Mzjmw42ZO9T4z4s7g5fgJ7M5QdQB3CpjpM7UCoTjeMcma9toecuoMUwuL33R6Y2e5HzanZFiakp
l4v7VLEKGnZa8mKosMdvm9q5JsT5hLtQBun1br1QHMVDOiH44Td6Fp31taTdu0rVwTXZOUzkR8hH
ojqAXtdWSCMC7tvXDA1F6lXiu5arHblW1ClBrU9wlnrb/O/2srZlY+FuwD68FdtkYBCb5I+u6xqa
JqpVIdN3vyo2tSgrzD9IdbL8uVD6e0ZjoXfLNckPVrrz6YjQKPG9oXOgFG1OSWUWqjMZrFSMMbCR
OHAdGunPetQUBxWo3TUKxSUMiqGBYtPf+dd4WSibqlHoj2jt/Av5Ar21WJLLBinpJv1zMSL12Wql
8L5t+vZ0e393l8mQYUGLA2GyJbqIgTeahTQIAX6qfmsWMEaLbYS561TjEYlozxZ+TwAvEEAGx3u5
ziq1tMWcTTyDXagu01HthzTLHuwVatOvr4qii8gC6ScTql1aYjrDTJ5ZhwihJY0UUOoBljiMRTV4
cTYmy8ETtZdrA3gQw0IQ+hHCTZf2ZCNhOLEdh/40VpQqncLov5tqOjAFzJZdac2g84Tmt7Vvcga0
FLpXll19cGB3HAC/QcAtoKeLIvzlb4jDSIcEVrJm5uj8gfxz87Xp2qPu7U6wQ2Wf1jCFuzde36UV
Hk6pMiuLot1YyGlgF3EFq84Qat2Kr6MpZJwkpVN+dVYqboCCCWeUcgYR51Z2UVarLEt0OfRXpTW+
G/Jkfkmn6Msvn5oLI5uv6KRxudYKRmatC6GbcNnUKo5ORTNN/902daUJ9f8LEvxa5NuRPty4l6wr
wszSBuHXouKfwerzr6qarX8rkpk8LNKcnZtJS79Fajp7AOvq+KGz26pwexkI/Dgu1dHxEYvbPNuE
CNRMKP+CBN+2NqQp1gZ9VUJ/iJX0TOF2PjEyT4xhChs3b440VPbOkZAUIzsV/fltvmIvymgwYQBz
ahSHmdtCNBpcimPreE+fzH6ZR2pUzwAnuqMIZccNAdsjZOemUK+56iGX+uzAz5B8O9SBI6F8/zlp
8oYRWtmi/3qs8dYdR0FcoE229T5JsvJp0npmt+dK5XVZI1METppgUork/vaR2vuAohH/P1Ob+69A
qberbpL8uCw0P5+d4YQy6XhypKH3StKzA3t728gMQIEuQRID1OGlJ1CcJpwaY5F8RR5mv0HjA7LL
ujwXymB+u720vdRPVLtoEoi5clfQ8tGKo15R+WSLUy1/rxrioK4mt38PDdLEs2qqn0XGjqZvHrvo
ZVj3SJ3obiMDiu0oIFF+1Bv/9m/a226Bc6UEp8FO3c4S18Jeyi1JlvzOcmBuQTgcPzYMa3NLZB3u
YesOvzqqXbgMS0B5SDRJ9bf4jiWvG0leKok6eNYTRFuM2xrGOmAa1vPqGMVveEMKHegOUbulkLT5
vskQ0kdQUvbcLou7tBiYJ2NDe0nEOOzbe7l3lCzIPVxKwMNXvU6i8SybUpwhXPHwa55Wf4JbcU6K
Ff3OoQV6CSeC5huh1sbtKk66Fok5S/46q9afyxi/tno7+UmiHnGWxf9p608BVYChBwwE5FSs+V1Q
t1hxVi8O5yOb1c6vM71zQ2k+2rm9U0gFGEYSG2df6ceTXa4UeLiEurm0Z7ubpj9ABYaulPfZKcrg
Sd/+UrurohQM8wKssLVNxiXZGpZJiDMOWSX7s5U2r8OSgkO/beb6QJDDACIAyQSH66qkIq/oE5ZS
GgVGbFZ/5C24Ya8ul+o1i9e6OwicdowRMMF/4jXiX9szMffqzBTOKgpWpVg9rXecs8wEO2+01Okg
0hdx5+WhQJSM6QtgMoS0+xYjUqMyAPFC505NmvUD0lp0LutJ7lzGSA73MfDdO6UxBsNdDd2Z3VBb
poNbff0B+QWCMwN15Y3MdnksGXmixlPj4LXnKX+c+0J5SEtE829/v+tjKawIZq2gtNPsurSijf3S
pW0eAbmJCk+RkuI7QqJ5GsRNLX2RlDJR/dsWdz8iISnaxwIKsq1RhUvNWKasj6hAtc59uiYhEhCN
HsS0Nn75TWdx70xtFjcs0VQ5ehsFbZXlfm+U/VMdkjGpkRl+ur2q3a9lIlnPoVEJJDb1A0YMqHYa
D1HQzTZzqJWu+yxHzpG27t7e0VASvl7UQ7Z0pqHRndKMEXetktY5x0b9T1RE4ymxmA99ez27lvAc
gO8JMq+wFm2orZo2hxE0zSS6N5VQ/lTWSVG5clJNv2ELgL9g4vJq8oZdnkHFTlJ57iXJb0x58GOw
dHfd0s2BCaDvl7tkCKqIfJNvhArAVgBSL7Q6XqQ+FlWQ4m6NtOiuVRrGTRnzEVZm70TwIIPlfatN
bAfAyOYUKdWgxgFM1D7ou1kR+nXN6fZ32rVCRVuU+MFJb9mnld0nthW3cRA6Zs8Yuan5kLX2emBF
XJSNNxTAUQrLVJYFN/TyC42zE0/09JOABn/01DNQ56RJkxU0RZGfwSGZL7+8Kqgf1K9o+8G+2EJz
03AszTA2Y45AZt6pZTp8jofy/zi7sh05eXX7REgMZrqFooaeKklnvkHppGODDcZ4YHj6s/iPjpSu
bqWUoy3tfZHsuAD78zes4Vokel3ZbGwkuFmAPLdBty7ai8TzqIrGvKlkUEelHSNXJoAJg2Lfeu/C
ljZVg9T5ysXyxqt8sehFoKC8U9SxtKmSUUrACXr3rtfannQTKVpkw2yuUCDf2CFQUwbVAlcZJtCX
vh12CjXGLojondZRiU+ZnyDleM3u6I3Gyia0t9l2QIgOW/5ii7RyU5qA4nblQZwJsmEcOvPpWFcS
kaRMWi88ub6nB8hVNbdjTkBsCflU/X3bvBG0wPdG3ZFCZXXzNn25TfP/tcajHAhKOZVQ+0v2mfHq
A3Sb86//vhRKa8Rh3M1AMFx8RqExdQMloK1qvxtPw+w1xRoMa6nHLLtyRW/NtovDt9l1ocUJYikG
htuf/5GfgscXdpIJGGa4bLlJcW2+hwEJPxjcpGflb30HJ0WD191BMOHvj/nGbsXawAPhPzA9uvyq
kMpNAxp3vPKol1TROssCevJBGSlc4OEwXZMAfesL/rnedmT/eFZF626JCdYDR1iXWTvJMqNkvA1t
JK5UxW+cfjR1NuQJ0IxI5cKXS2VTZ3wR5W0Vrsz/MXeY689EtO9VQ9K+EGgAfkdl1x3+/kLffEAU
h5gGIuq84s1aHPq4hdpGpWLAJfH3xBEYkeAmV5ZdecC3lkL83GSKMGhGCfXyAX29FSIqx7ebmmlX
07b5HHqjOowQW76y1FvvEnkPiNboiQOatcWgPz6bHDsxagwZKzg8QK4sU3JPfVihsMWR8zpxeUjA
T7iScr21N/9cdHv+PxZNTRx5sALBuUj94SYxNCiHRsgbaW1zkznzr7o3OOkbhGerpcCZB1v/5XqE
QcWH10xU4Obdd92E+9yyA1Kv5FCDllzKPLuWQ7z1XnE/YYq+3Rmo5F4u6cLFT1Q+NTDwbuCdAThk
CBPXuN6Beh2zQiIEHZox+/cRK2SZQfsBfmLz6rk89Qn3qZeHS1OZXtvKjbBw8PLU3Bkb//r34wDc
5UYH3BSaLx2ivVYCilj7TQWmfHxsIVtdNnNky0F6+v9x8iBoD+wXECGvYZehrUeXKt1UYmzoOaa9
OAE+vhwXF12b+L++clE7AkmKfGyDLSUXn822GUbha9pWwKD174B2lXfEqGu2vq/3P95ahJYe8HNk
g1m83ByQlHC13ThTEfxuwf+3+ySzYKJL/0ktTbT7+5fakvCXtxDmxNBNR/mBvjNUu1+upoO1hxA+
wNdpz7qDWkW2H6h3ji1XRcrcdNS5EZDNM/UhIvO1uc3rgwAQGHrvEAbceJWXTXhmp84GM8hgvK5j
6Pe55QbOE/KR5NZASFhpgCXz8f3fH/l1AIUMZYh2FyDJELu6nI9nvE1Jn+W6QvnjSs61PsAi2Svh
JPev9u8Ys4H/gQII6wHSf6mpNdc5c17uugo8SFjEtpZCPJzqPpdFmKTtFRD564wCq/1H/9hEABCv
L75ljkCWjBySmnWkbiagzXYr5BzKMAVWqMv6D10dRSfgU45/f6FvrQu88+YBAN4bfLlertuPoG+a
EOCTqO3Se+eL9jwlMEGik/fIutAc+hbC9OGCrfz3hd/4kgBcbXQX6GphhnOxcOOPq8OLFRUdx+kU
OL6ewtTaFrBr4V/zYnnzKTM0VcCdhDr7peqbiWaVWD2LSoMqgVGFDXSR6s7fc7ucuZrUxz7vlpK7
5Brk7a3HxJjkf31TcFFdfFcyuxCtd49XQ+wjH+xcdFD1Op/60e+ubKE3lwIXA1wQxC8ckZefEmaA
iKKN3t5oFmEMBrpY7I30TNTQXzmGb71PYIrA/QU6EvCCy8ij2ly0nhQVz0CPBHNQHwbPSRCCw+Cz
i4bwsISx3YEFcs2jHeXm68CDS3/jwKJLhlzqUqJYu0lTXs8wKoCTkIsK1B4BLaYBLnKFZkEHfbba
r1lZR/OCIITdoHaWKkl23tyGOwoTrLmIzDonhWo99RhgFlFDtjlSspimiZw6AOYV9N2VGIoU5J3f
o4f7t+oXQp+WFLSiMs3nvCu0zJUCSxWOJMVAUgMLUrhZTuXSLLhZwo41WKdh83QEf6EfkF+a6LsT
XHWn2dXZtAuNjUxpB/xNLMQhK8s6gJOLaRz40Y95p8tuoOHXBsXTuDOGLQ+QkaDtwVLrfY+XOD/2
CeW6COamyQ4UT12FtgFJzsjZhiU6UUxXZIstuxxum7vBazX4kHoMgBTCKzz5WtKugLgJdBCnHDIp
hYZQ2L1uGPndQmh1LHvIQT+n09LyE++kOdeETmRHyBJ9TLu29U8eoDOAdzhUesUi0a481EsmHh0N
IHg4p35zu2ZNQPYk9PRPwKn41vsz4sa2JiW3g8oaVkxh4qayJp478SFSwUO2JP4dT/wpumXzSj+j
AAjfu7WZfvRdI75BmHr8AdDMABhNI0aYtATxPWwh4xC9fBl+k9rr7mBWTd71PdO/Ag8ogtJvRH+7
iBoXhz+ivtCBv5xxzYzDwVrF3rWKe7SIdJc/DQBj+jtimkSULnSd2jkFcerChwoCK9Zu9H4qDy2Q
wtV6XG5zSBgMpWf98J2JgCM6rmstptIIG6XVHKU9Wv5w0IRjAZkB8dPQCMoKKOaYzwHT9UOwcNPs
xoGYry3z5g3nylNaZrMT9wrFyXPYIvUrmgFsgKMDlPPJtxPjpZJzFN2HlrZw16ICAp1xxnu7CxrZ
fXFjXstyyVcHeCc1ww7aA/Lkoj4hsBirQcgdVtt/Eo5CQEurejZlbRS+BRUKvmQASZBngowM+CBw
hscisXT+ktSK1zcdFvsJvkzUlbCAAKgIBTJSAKBslqcJMk63vFfJL8ho4erieb0OVddBTbDiUEfi
VZRa+U7nkZcW2s9Hv6CJYXuNvnZatHVsf4doc/5ifj7dTHHNxcH31vCjSTsalp7sE413UvtIR2Gc
tsfOhYpMS2izlOkgcgqNe6/Re8rcPO6mrgua/eK7XkJaOORdCSkzubxfm3ZNKjHRpIOsl0zuRjHZ
rED3yf9BJ7/HRB1Q2tMUhRx338D5T6dgyFksXefdssjRJyi6LI+xCdFIIe28BKVAL/9Oawz9SzB1
G/LTT5s8fbdwqPwNaLq7HUmVAWWfDLMq13qN2n43czmw/QL0NcPXQJ1d9tQB7mJtAnNogGLyb2Tw
AvK+DucITh/aABFYmHSaxMmFwQCdPk8rZgqwUuIfnTUQfhnSRMjfgAcBxjtC0MKvBiT0Zxu01u9h
4MFqUuJH1PKGQuCZF01q2PRAebC6AgiY6S4duUcgpSwBJ5y8cWy/xh4BpGIO+n4qx9RLT9DPGV1h
A1/rMsWB0h/dTKLlIEdqeTF5a/wMc096D+W9hEUQcQ6Wd5Qj7ynVpHHGsmGaKXJU0fEfOchjYwHd
aNueDQwvsrGQKmXBB56h/i/XpG0+DTbw8iIljePw8wscsA5QEIJu0eBNAEPq2cgdoyKKimxhS3PI
I2e/xDGtkyLlNAuP8+ohbcNFn7J9tzRzsF9XqGjsF+jah3cL9Hq6Z7cGtH6MRtbrD7KW5HEFFB0G
Djkx8iEGTrq5Nxk0MX8Jrw76WwgZ5Owh9WcRfoVwXZjdZ27gwQ5tNe/DMLBBICBQkgDEqSNRRskc
RiVZeNscNJD2z7lI7V088ckcVYAYs08HaMUe81Qq5PKNZQqSVEquZZ+0CT5i42k4WCSTOUSsntp9
zAcoTXR1ap9Z0PjR/ZR03e+5kfEKKk1iVMnr3ob3bbeKT4M3m/omoeA074akyT6k1g+6CsOzbtzD
dVD+TmzaJwBbseUTTHadKC0ywOaOmWZO9jl+T7RbbQ6LObIEA73xk9plxSyU1xyFRyCrbzMo80Ba
SevbiDQx/bEYJ9vd2MfruiNCDEPhG83DD1o1PXuHDah4mZhIeKrsfGy3hxTpF8TlmxSUErGIMD8k
A09U0Y4kMuAn0zT9ACCD56sy0baDn7NpvHnnoPgKsTHNx0XvBR5G3Q+aAv3qN5abroRexRQVzWiT
W/RIXXfM3Zrm+8bvFoRNb7ZondUw0SNVRlVjfjXRSr+ZKG51SXuVpZW0cfRJpP403rU0zBrA++DR
9Ag4d9LuepLAEgZyxTYCVyELmV1nyBLlekVKkjFcofcuHToPtAKYbOcUontszn8HkWD+WYjAd18C
oJhY1YoV3OsZ88U42icwrc72o04msQFRk7GCBCvEMLShQFPspy5Y1FefQsjTKxjAR3zvac9Buqsn
8Jc/mLblQ0GArW+fkSlC4xSX8zo9KXjmqQOmz5P5mHj+uJR6UAxREdKgwW5KewlEPFs5LrposTmO
fCCjfZvZVAGWN45DIYG9mop0TQf/e95krSw2XaoIKuLzkKM5CDp5iejVTwXNonkoZ/ge6HKGpVRa
+iFHBDA+bLe2volZ7kB5gRTP4mp2ti7plorZemH34TzI29ETot01oxJ3Qc697thBw9svg0nQJ9fi
G0LOLeMCOHpAoMq2USF6I8LYvADYM152zHb5fGMIglyxhnRay1nM+usC6ZKz65cc6OgxnevS9o31
ixp8pdNMt9RG88YguLnQfLGO5Ra2IQmNinY2y7l3JvZQcfohLReE1M/5NMKCCf454gx1c4TcDogo
tgsQCngRWxI27xrfoJ4JCO+6glPT5DvQIWysEMNMSMqRhGu3N/C75jvjTX24X2qBCppDK0zsomhZ
znrux6gM0ENrCsmSmUDU3AhXotGchNiMq6MPFLQY9kt3rZlFKV3NgU9HK64vY5EhCw5aaGgWOBBZ
uxdyjpe7IYs1OWnCovAo+rmZj7EOzHCgXm3w24El6RZYZIxdnnxUw5IojrzH6joHIF2ltCBt3Of3
ikhh7oeWEYvfNoDGWoTpupCsWEjqqa/IUdXwJVWDrM91l1PEQB/J+wSb05jb4dZN4Yr+dTgbcwzq
pHugwGrQXao4MydSZ5qOO/yX1zyPjHYx2t29djsH6ci+Sjw+4ru0GVIyBIeOFHQMMDGH+IduiiWH
YXgxO5vJI7oxg7eDxn40fYBhMvkU4F9bDyvAGLSYvXAcqw7nYNiH/pL9gH/jUBeBAVLzqDSFFwHq
x0ZXUY7U8XYiuf6YruhtViSdUjBmegqHgzbWZjwPRnh+MSfpf8h8A8+ZFAGCFa2INSKRB3Xu+7lh
HqQHcbW4XTDWzc94TrMF56WNv4dTHatySnP6XiMnCXeAXZCjl/hQHVtELqISNQ0zcBcJ6hBOZkTf
Yf/VHmY47RAVOaYSZx3lcj70Gn/WZ4zwHQc++jc8UGBTOWA4+qEh0/zNTF37oESE3nDDwZG/44Mg
yD9UTWM0MSerjszXFMQRCQZqWLPa7ZKAR6yC+hgRVT644FPMWToWhiwKmgdO9GdYcoAv6gky5iXI
CuE7NYPNUIBVlZsD6i71a11Nd5vbLBuOcyemr1ADzO/bJYdxjnXAqyN7CPD/SFy+6GPD073mkXfu
SW8RglmUnSwsR39xmLb277PJhmdszGhE6UC9RwAcUvhydYLfAONQfyKd1+mCo574UPOaIqFvRvkR
j0XYbcp6imWazD/P3pIHZe8F5j5PZj9EwqvX+jaRM/mifWSxeJR6Mcd2SWS001EMUQ6UbOsXOGPg
xEe5XcgBZcBYn1SmRFrMHb7PLpP1eG4XNaYFty2FOoJ0eNs+7rpbfwr9nz2hHPcsdBef4L0V/vIk
hfjjYvL2fjYKN1tmnd8UwiH8VDgK5GsrlOkrBRI8LO9NHIuyySXE3ZemtQccOrMWAW2CUzaGW+to
yiiEzSKhy3z2XVhGxNi04pEL7mSDPQp57bjuilaLtSvRia37Yz4R0kNTAArZVRy23g3qCY/uEzkm
P5n1AOxZ3dg1KKJXwXHDDLhD1qjP9QMyMdsXtNdxsNe4AcClx+Th2Sxyhpmgg+DRgce8fjKrbVEr
2DaKK2Dzk6SQIbBJEYpbClYPC8ciX7xkeYx0FiDfhKjG7RBq/NuAufkCGsd9n5R8XcRhtfU0F33T
Re0H6wL/J3wXE1tSlfJ+38Uzzv+I+rnF+W0SjXshCX7yNBd0J+MAST6vkz5AFR8DPiHRrJxLk4gQ
pqoky3kRgCg3FWzuHSmFBLIYHSOHzmoyTQCjez0B5Ubp5IdjdpwrXNtU42IWKiiC3FfkINs45FU/
q9ZVNk6hc9JIk5de7+oFHxi9lSNrE9kWwTjarEwIZePDXIvhoYMOlimgiZNn9zXK3aMTXfQFKKza
FnLSUsM5JY8eWwY8M1o8zbpjYrsbIhvCqtT3R6T1YYtmWDnb1H5IiAa90yaMtDe9wlSxAMmbfITx
ol6OemjzLyvyx7t2pMF3mD304m5toDKGO3VVQzn1Inof9nBHf9f2yfCjJZ7o9yuy2ud5xWVcCvzE
3xLkGUSSZU3vpw5jpgJZommOSyitQGW7dqYcRgCvUarFMRKIeFzvY5qu2KUNQdrSr8n3oZ8dvRG6
h11jMmXElSDWxRiTkbhLIeI0a+xV+HzjHku0yB9sPy0pGjlotJyh1cptAW6Bfh/Srl73kz/L547P
iyuzeM6RUs11jG5QQNjTVpbghkPYnvaoed0v3AZBA3XDvoGenLB4K0k2N/tYzTARn5dp3XVUevkt
MSw8A/McPPZD7rPSd4s9YZbJUDqlafu+J/HiiiGEZlmRQCSaFFks9KegJs1TGI3k2cwmx1S6HuRh
NhAcK1G3oR4nKIFjnMNc3fBsdbowfQb5zEYOokZQD5ZnXACZLPlop++R9D2BD2Apxr2GZ+duE5IE
gIp1PyWZzHQgXa7VDu8U9icJTcIP9SrDoJjnNeoKT0Lk/RAJJAQF3vH4Y/Db3hatS+xcAJEhP6aZ
NHcxGAKy6LEdzqNsxZcGumvPDYvrI9JZb4IcbdciAdHJiU+r+jo5MEOKQeXoFPSR6tAph+MpZrap
8TpkjTy4MY1omkPUhRRdtRHN7QImjjM0s3KKWNdO49ScEriUDyUmQopV0vgoB/xOhg+mSxe4+zDr
Rjw4CY54GT2FV09Ehgr/hnuEdR2Gb20XKb6jyySx9XM2zsgFzPCErkvqIyGh84cWGXwPDyFIERXt
lPi/Ygy1acGGVmSgKAn91IEClhTDOKJwncc5exjHUUI4tmuDx8jzg++5YFNQzmYMfxqRy/ctdv1a
xip0N9lCh7T0DNKQU2IhP4yuZCxvYEiXZ6XXGrJnC4pbmLv66VTwIJuTKh3qyUOWNnULItTQfIVc
j/ii8oB/1a2P/oP2FxrvTT1MT9ox+SFvJTqXOk90uIuHOPlWs1ngpaHjtGKkHPlPDeHR3QTw21T6
zIMn1po6+iubJJJCiwIKwSCM/W9JxAY0s6ijyJ8mpe8SaLV5qNb5eheCF8tKl69AY4W5TD4GuiWn
kDv+tY+hwFUxHSfPyLkWnEZPJY86hQzhjvkL/4LmbfsUiHixoH9J9yMArTVEb2FFIpTAd56Bh2GB
7YJjuXxaAuCyC2Py+TNgmwgTEGJJsEthGhRWdJABUqi6QwE36NkduhqeuZDoi8lRpQ31C8HlgsZI
Zj224/W4hW145p6VCGaKhlmc/ZyZ0s8OVDBd9FkGk5fIoE1eppAl+gDWairKRSv109cIvRW2Vfy8
IDZ/Bjhcfm5iHaIF0cRII2pPIooKoYaxTBvuTdUaBbCKkmmLX81H7WfoRGBOB/HA3Hm7OU/Udh9m
w2lwE0LBZKPmnHsUwpVJaqYdd5CJLB1pcBNNqIqeA4NMCjTOPj51toO/L2od8tm0gOw8xBzVYYlb
26Q4HqaDXLphYoZSK+QoT37TzOG7nqTYQ6uDu2TJpik+Y+AJ4anIsiY7jujzosSTCWE3ETqNojKs
FTdDNDu373zP5EXQ+fFc2sQNQZnBBAMzi5kkrgh1kv4A7GJEL2R2AfJO/CZIxqO5fMjbYIpKiokG
VHM447cCbmjefdSi1N+5KPeGIjMRmjc5jQlwDjwKkJq7TKIbrlv1ODmfNzsryWwK0+WWndG1p99N
CGluEGe4eWe6ODDgRvTJuesHQU8CV/0HKZkDR4GhAqjAZZe20KCtadDXZ+SsfSDJWMIrIDgYbVtR
qcV1j6NJUa/aOUVGXyP1GIHRSfJ7CblriIcaMz2AwYdmUQ6C8VqENsHlFosY0CnuRSsvOj2poQjQ
cnwM+8ljx1y37TckRSgGvXpIoR6eozMDSmenHxOvbshxZLH83A6tPNE+kt+ajNSf7DJPydZJhh68
wWwiK6cWBU65ah3fpD0fXNlRhcFYDqFsWczI17rD3MXZfJJo3H2DPRJ5T72UN6XC5Z8XFFFA7Pwp
CCwcpGt7T6M5hegVejFBAakRNNz6LPa+zag2zmyNzUflFv5O8gG5Vp/J7CMOGD7XkNX8Vk41in3c
1Fn4wc89rznxkEbA55qh38qMxOHveO5WU8xclkBApUEbghKRoKZoHZK6JUaRuaszB9gefIGHtsSs
KD4Q6kJ4O/WcSFyWiXyPONK/k72YW9wPYFDtxjoOqihWfYS2lgvukc05HCowquLsbhzQMr0bUcJB
ChBKXsd4mt37eAqW77a3prnJjUZApFaHR90lLC2nzfGklHWcPXsqDs4UQQeHeaCGVyKd80/Q1wnQ
lm369NtSKyANp9xk2Gq1TR+5HvsW5hMJyHl9Nw5p0eSQqSkyGKmxQzOFNtj7GdoDuOcUBeqyF12N
9l5MeRGNqdVbVpsdhEQ3bze3KvhoCRGfYmrJA1xoFxhqjVDMLiWdlwOwCQSzqKhvB4iAejkEtXLG
vo7G1voIPCyFGU4ufi4NSBGFWoEtRQc/9bt9NtbCr5I+j8+9sTgmbG4xyEkomdHnROrp71zChvcp
RmO/SahcC+FhpESI8Wi7FhntAE4QK42fBDHtE/zrgHdcoY9zpLBu5Heytyg8Q1wGqGSSdL5BJw4C
2yNNdfO+jzaGW9yP8grS9DWIAmDgDUSB2SIArpfO3bWvRgUlb4ykLUESljN/P/g6gKckiz+2VM+f
/j6JfgMniQUJfBuyTV0TkmMvB6daGOgNwH0D/pn98hDVei65RhClGmZadcDRXUONceqEnnbMc/ne
du01TeX/yGwXYA64KoFBCMD6prd2AVDBZjeg9rMO6O56vMV4Mkq2ZlL0oFk7uR301JFUMgp17MKt
DFeRNrgIdii7wjPUVNCx/ftbeQ2YwZQVqCr4l6FDCG7uy5diwkB2TMHjE9zq/g4lvfyooq65Ar19
Y2YN7jYUKDcSCfSkL1/9QjTmJGtX+RQSchhdTogASXxL+5Ud/vWBAP8Bw58AoYOE+HJbMUxIlaB5
X+XC5YVlw3SLqYd/ZQj/ejgNf9k8gzYBEDmwXNw29x8IONnhw2VzhwfSI4JAl4pnuarxY1wn4KKu
8LMbPTU//v3R3nqLGHjEAZC+mwfB9ud/LIr+9ATwVNZVK1NTKbM5OpJc1nvNZH8FVvjmYQHmbiOh
A77xioXgwQhtBYS+rwijnwcr3SFyTpeY7PV3MOCojyGEEvcQu9SfZbSOpRChvKYk+npvYlP+8Rsu
9iYNPRpNJsfzzhAOQmYl+jvmifDfUQ6bBztUmoE2gIDKJVozhRXygt5IhbWSAgWBpUVco0duVkee
MJ1BatByx74BWXNNO/mtIIg3vEn3wfEZCrQvPylokSsiUttXvSD2rkkVkJQLG4EtgIyf8TBR/vsW
enM9aPAkQE9DWyXcEB9/bKFmADHfEyPkZ32xVGjdA6zt8WTvYkzn7KbH+/f13mCl4hvGAF8ArpIi
+G7f+I8FwdGk/hKLvqo7MbATX7BSKcO4vlumpH0Y58h80Brzuh6mNjBsnjBGjri3JkVIXFZR2cU3
neXhl7//rje3FmTNoOcJFfLkP/DJHz/L9nHU1BCYrOCszL97FqxyDxrPxd9XefNtw10bGG7AZ1Cf
v3x4ZmeDajAEtmxFP6DJPXnmwYRRNSq+e9i2X0OPvhGVYPGCSAuFJ3SML6HxLFEqdigPKrih5qfQ
WrPHnDNGGw3IL7828fs1HaX716fcDA8g6wexHggoh5capaviAUHe2le6H+rnNG75Z9CilochmNfT
QkDJvXJnvQ5O/60IWjVskAAPvOSNsm7Ox2Zhskpj00KBNyYficjRS8vWtGyA9C57ge29LAZ9vCAF
pqIDKubv3/YVNmr7DZBKTYChBTryEnhtRkfadvGwsf00gY7Vmt1wsnHdHBrwvaDhPvOHrGyVsP+q
J4eVwczBK4fIA37Axa7CXC0ydashSg677aM1ilZApuhiWCaYQjlyTRv81S7e1gNlC370iFOv8iZc
oQtd1k7C9CZsf2QsGcQuRUn1tEJoVZXhOl6z03i1j7HiRj7evFGA6rrUWZi7HFNBYL1BrXIwoksT
fXYMaJUG/ju3wDqkDwBUpFdCwqvbdVsUYPgUokxA214acTfW9RmU4GRlh6wv8nwFOxKjTKAFxbUc
5a3n2+5vrLIBGF6rrXshwdikr5rUF6qIvU51R2iGBVkRrb45oHTg33u83MPf9+x/B+NF9olnhJYw
gPQ4qNAMutg60gFZAnzQUHlgjn0wKGnRH8thBS7aKYJCGoRqP6Pv11ZqoNkXoJJ7tAFcTe8Y4FmY
UVDUQAwAj0fGgjorRIgJ6P8jmoAwtSWJmEu8ov8i+YwcS2pZZYPsjx4aaxXQx8Mhy9EHYuvizn9/
J2/tbvRWgbhHPrddwy9jNM2V6Qgq/mqY1ALmkmD72WPkFoJ1HMJX7TVm7GtVE3wD3IYb7w20BvzP
ywWHpMNotDNDVU8ELWi/Xt8huaDzbQ3nqnO6JKupxoVF34wXpg+t33fvktCNddGNK3k/aEDf//2V
Q2IT4Rs3FdgHl5ehM4Nyuq+HCva3XZVrORzRg2EVVLmCfQr4w5X4/cZJC6DAkUMQAyb00aVqAvoV
UU/9Ca+8jZqjHc1TvCS0yiCXs//7x311zSOfAzMehRZU3UAIuEjtVlIzQkOMT1pky7pI/CZ6hkze
NXXD13fBtn8gwYVPSray4OUnpRMMW2D6pSreD/4ekB+oSkeRd5OtYiqiGIANVafRCSXDNWmq1/Xk
RhYBRBeRBCQxaH6+XBrW57lMp0hVEUaTKKA5QBppynYGYlauGixJTkZOtgoZ8hxi8uHMlNVfUSJd
c9t9/VXhihgB1h7EAU7Spbg2n1BH+gBoQCIgq4/ePM2/c/B23k0mVvbKjn1zLeSVKOPR/Ie848un
RjWcAQWNtTLlm0LMEdR2g3Yt5mXh1d+30FtLgVqJcg86tJso4culehsPcs1iVfmLJjtsMXEK6+4T
D1R7JTq/3qzbKYTuAUSEoVZ5GYkwNokAfc3xKWe+6gIdYmBEmaYDvfL2XhFKsGcgJh/g9cEGDPfB
y0cCZ0xNxLawkBqXz9okHz1wIHara3UVJzCeXiM0oNINjKA8xa8cybfeJx4RzY9NhgcX7svFtfSj
ha14yskT+X7EtOYEdFJz5OM6XFnq9TX7nx0gLMtx/pFLXDwnuAfBALjMWKVtbPZi8JN3CzKnyk/r
AUAb1Egxxm75eKXZ8eaZTDFD+791L8gAYaKYz+GtCkgZYsKkHD11XRbsw37Q+x42lDuoHI6nrs1z
3DBmfFzJmP3oYVZ9LbK/saVQ6GHWipwQ3ZBLHs1KKNSGeT/C+8MmJXDp/k3XDumV9/zmKsgMU2g1
J/iqF++5gyECQ20+Vgtmqzt0msytRG/7+z8fxE16YWOOYiH0XF5uHGiPBrga1VjBp6s/DG5hFdzq
wmLug/nKBZXgn3qZJoFdjGIGhRsoZIiuL5eSUMyjmQpxQJQYq0zAl5PqqH+ecZ6KbIY8zpUT+eaC
sH328QwhGMfbTv6jHGXZHAAbko4YNkHGcQKdeid4/AvIAtAPYv4/7J3ZctxWtm1/xeF36KBvbhzX
A4DsyGRPkZJeECRFoscGNnp8/R2Q5LLIUlml+3RuxKlwOUKmkshEAhtrrzXnmMVPvrAf3IPruglT
DHYMEuc3j0USmBNyX0QLICE2grSyVBoehRrMnNSf3Aw/ujYsoluxGvJggP37+pMhnXamwiMhQ3K2
r7SR1K/Qs8EM/OQr+9FxKKjZMoBssd23bhEy4eokz2PQu53rbryoO8cJ8rOstB+dty/JmNxRDg7D
9U189zX17GWVOBrlZkw8MLFMCrax0y+hVXGL//3V/oO1i/iuNaeCqoIP9mYNaTWrG+RUkwBnGmvU
L4i9KG3RuwzpdAZv3g76dPhlJCSXPcYieotr99V5m1ZGvFZSD9nYbrSSTbsnR7lfzRX13Go/edb9
4EyyDqjuGp9M6fSWF6BhK6xGr2o3bkbUx5gTa5fhGw5Gl9nb35/JH1wZnEawQM4KJ8BR+PpLa1fP
N6VTuykIcLlkBOX4ZmcNP7nOf3AH80TTqEnomHrW2zxPu4L4NS0m13mRz5ssEcm+YvBGvgIzP9rI
/w8VEI5QWsHQZFkM31pQ9ag1tGLuu41IsHz36uT4TUUFmJXJ9LXf8F9P0/+Jn8Xl14Wv/cd/8+cn
Uc+MxZPuzR//cVE/VzedfH7uzh7q/15f+s+/+vqF/zhLn6RoxUv39m+9ehG//9vxw4fu4dUfNlWX
dvNV/yzn6+eWnuOXA/BO17/5n/7wt+cvv+V2rp//+P1J9FW3/jaGC9Xv3350+PzH7yxI311L6+//
9sPzh5LXnT3Mouue/+UVzw9t98fvpvWOYHMeRqyiYNLMtbs3Pn/7Ccb/dS+w7gjojLHoVUJ2yR+/
K5r+DqwPtDMaZQBlecr8/lsr+j9/5uH55jqCncRPIXj++dlffUt/fWu/VX15KdKqa//4/fUVuR4Y
Hh3RM5C6WeN5n6+ve2W1Gxj55PoCqfIu41I6Ig7LcRQYT1Hn/gyQ9Po2Ww9HGc5ejixJyn/qy9eH
M6cUG09fe36HO5CQTrtm+p7Knyzzb1p/3w7DRpg7DUMuHYLXh0kKZWkAtyFjaDxUNZjBTvJInQJV
SdOTAjfDPqI8wCpHVA2OK4xO6Dt/hq/5cpS/CoSv7wJLNiWijkGR/eXrdyEZufb0zj2/rKV4BCEZ
Xy35bsmi7EXg5Prc9sgWME62J/TMKvgkybDNlAoBciXz+rIiyeo+a+wyiJacF1aalr/kjl5fN0Np
XXdDTiy56PJj2iqMalVRaKcaoiQ7IOXdJ+sscrc9IYSHeBgmg1GTQKSVqFG+IfS8QjNaqJ8ZGudm
aGOzqPxxjRSO9f5Tgrfn0yLnSxAq0TmNPCQgRSK2nluOt46Cql9TZBaWgwvlTXNG+a1D/Utryb9d
IV6tKn+74vxPXEvW5NT/+vN+/cFa0su0S/v21WqyvubramIb7+hlE00BDIn6lofIn6uJZb+DQKND
9TW+LjPfrybqO9Z+B66Wx0vZq3CT/7ma6Oo7S4cGyooCi5wu4y+tJm82NeznebJR3mosZxyIEJrX
l/xCI7vKc2cKqtzRTpTGmd7bTSaTsOqnMlg6nONt29hh1nTIpTqxZA+jOjovDcnlP6mNXrdbvrwV
egzrp4J5QgvpzRqAXqZVyByYA53ggz11/BI6StqT8lPgpyzNpLvKMQw+NZP5ayxJl24VvYC1Pcl6
T6P4LdDVbmJlbI1FhJ6S3LkdQvaomp6zCRdP3PwsGertksrBaBDyxZkrAgjE0+tTzqPaZjjn1iHW
qzkkPuTBqJWfZWD9+CDuSqRhW2683QvAfJNxYSl1iOROO7CS0Alglb/57mL/9nD6/mH0uuXAeXP4
/XxT1EZIhIHivPko7dCJSus75HDiylLoJeMMvMXT8hxry8d8qQ/uUF4W8mdp2V/2F9+v1ByYKf2X
MAnWRx66rw/MmEIqcWf3YWEh7SXMwVSOZHU4ZeiOafwecJbZbSN9mVR0uOqDES3L2aQI7zYxo9zw
m0FEJWlLZRayMi5TOM+KZ+AL8KZ72jX14uN3VpNV46osfok61GR7s3SB207Gbde6/CKJmXPsB0TQ
MofSf2iqeTmf2UvqjOiWQkd50wJfEJJ+rz/0sesdsG47C9ohs18lqalyV2XGneSUxXtD9qiaNST+
2sbKLPxnRg2twp9tq/u1WJH1WzOYjxIrsvZRICa92YQIWl9KPsQEhFVtfoaduN9I7K7+318bbwsV
jvKlDw6Vie0H1ezrrwjrYVtqndaFo9o1oYfi1l/UaAqAKqjbgTFJ8PfHe721+vKp4M/TqrTWDQhI
odfHs5WytvpEdqHmIDKHn2DwgGxMzA4ZyV25sEJsd+6vf0hQDfRg1rELs5c3FYPnJTB47KgLnby/
bFfjfwfVyB8N77KafxrM8C839foYsQCyfSX5vR08q/W8CJKee0T1hhpE2EI2iMWs7d+fyDejDM4k
TDQgOJA91jb+vygnOq3W05GFK0ydbL6zV27wBiVs7vmNSN1bnLJHWQ2Ox+g78rRQkNcwgDrRnVsb
HcBF2qIY+vrl/m+B8bvBY+7f1xeIM+IHmT58X16sr/haXejuOyga5ipVoklPL5RH6te9iq6/YxIJ
G5kHOw9Ua2XcfdurmOY7hrBQjBHNgRPnyv1ncWFq74hQIaqa6QqiLpJsfmWnQv3MLffXKk1IAh0H
YDi8R5ptYLferNIgHqKxj2BDjHGcXQxGjuZdscwlgOev7kgwn4YA8AfxSiXol+e8wHUV5EaP1jlV
2+we2pqtbYbays+lmUZtgD8Y4326lBoGF71bPmimkhqBxdY19bV8QO/t8p+dIJ8sXQSdPkHExYbR
IBbHqhZ6aWx2qFtrHQ8fzbKrXrEcBQCHbsd+JMXc+5VexHNgeLH2mUy++CHDinSXJXN07CIyAoIh
nvLIl3XtqAfHKlAh5NGzriHs6/O1p+/kTbKVY3U/lOVWdawL3SgvEqv7oCyRP43uGcmvxxzbqVe2
ZGbk22joA4ukDj2eNgjkN0k97SNU5Xqr7fl7aUgu+LApJkvFoBYvgeJYRnc5earxaOl30hPW4KsJ
VnFXhhClgjqit+nYjCDrBwILzyNlDDGknGLveK/m09Xs2sLHzsBAh1f2WBmUuEbkUXAa3EAlBApT
VTOv/8Ks5kjpJy6Jvb4x8xJsU1Gi4AbC0N8bH2IH4mZVHjrXq7WtQpOnc5f9lEKjxAQW6I2mPM/L
HAfaVN6RjrftcnmV2uIxblTHt5EpxWOBt8rFFF6Uh1ob0ejemkuzTXt8PmGZXLWLuu0K0GL1cGWi
mub0fpD2XZaqZEd9xKe8RTNxoi56iD8UIbh9pkSSkzT5C7RbXzHG+IPbRHJrUccimlVvEuc6xSg/
6CP2pWQXE1CGt5ZyTCQZrr1+i/sXm2/Vb0W+atfzTWrVJyp5kIXf6Kdizg7lbF6akYcdHJyiiaeh
74MCJQMS/2tbLU4dPCZZygMIJRhnjsRbzIwQP1yW1PFotCf47BiTWtslu1OLYqvZw2YqHT61/r6P
61NE2bsYw+h1p3zCyHom6jzZ5c2TdMcLSmgfyb6f8q2lTnuJyXYzSes6m6qXfhXOT+2d6RS+2bZF
6M4DRXSxQXp+UdWYbkTOjVP6U2YfMBo5m1k3DsV0nuqFT7V1vZoQFaqTIbpejS15W8XH0SkuPZT+
75ORTBUcrJjGir2dD3urXDQmSvVGV5UTO0qbj7I569XZ8PFjQPLO5R2Fxl5XnMSfo/4C6iY+7vmI
iPa2KAc1JE7vIk6HnY4wbFZieAOzuocTXkOGaVpzU44UQppdhW1B6HeanlpNFOBubTfRWn4Nogrt
wjlYSbXX0uFMj+oQW44LU9k9H82GmzU9yyNtr9bFSeJSSI2dfenU04EcgVCoc4lenEmjOnu+CvLM
G/NzLOwHnezvybZepqwN2UJvB64QXSkP6lh1QSHPdXtsLjDmepcAPH3R9sehPJk0TA/gyEK67Te5
vTjoluqrdB5PyToZCwxL6l7BvRPL4tmWTZDNUaAP2GkKbCMzQshYyT/OqiTMHY5WZs5YGW218ts+
D1AV7xPGWkshAw2qhZDpdszrXYW1vepHKEbmxSj1AIdbqAu+pEJipSl7v29txcePfZNp9k3Zcf1F
OsbfCnG83BXAV1Q3PnE0Qg6sdrUClRB0tPTUQNw/lTHl7HJmiORIW2QzKVgzGj1AgwKuvQ5a08Rc
1PiQz4gNN4azksTJuse0kBQvE2Ii7Ae+7eIM7zQ/X/pAK6/oHFW+bNgnmCL5MBfjqRnNF3rbnNiV
DDxQAFJTTzFi4fEsMYtmB7AUfD0wiyW+mTRYKzi3m8MK5TzWit431KbzXWE9LtItWKn4SChQfNuW
Zyo1OIr6E0fRzohEOjGkh2Uvf6Zcr+9rQ9qs3PFWb9vQa41jpGafTHUKyzQ5lJYVNOZyo8bdGUoD
HD8rvyWesDedzIPgciKgiiJ+W5h2MM3yCu7py+KKrTVbZchTbdrPtnHRtrjJW3eDhfHeAQzjlWII
2gRIS28fDJXKOFnaQIxOwDeQBq3n7iLFOemc/orQjuO6HE1RElp5ox8m81mJvGCw0OcYzucJi6Ba
paFDoJo6Ddt5wb+JSUpi/6jJJFAW5WWKzrpyOjEXZ9+72TFjQMsdIw+9xdduTOejmmwHvcwvpmj+
pK/2zCVhLtWmlyPdp9jsx41YrtP6Q9nU05OTTHtT3LjS2o5eehrl6lmDOzBsozJiqq2Vs3viTGJi
QZzEnAfpCCnExyo1eEEEkeVzN9ndh2Ts6nsdi0W1H2GC4HimVL7CzzhqNBdaHi2QgeVn6RnybsI2
ca9iyqflOFgWsTiNiXmWAe0nkZTtvZxL63GuODQaOTmnYZW11dEyMjZueI+4G0u1WaOPs9kKaq3y
noxynHm6Jbr3HsDAoAUlCm/2+kXSPrbxgo8XGzNw0CySOia5JvbSbWFnyRCktTcezbzLxg35Wvlz
Cz2gDfR6ksd2NAEaFS2muGBQZ9aUoua+PorCLJ8dTR+fHNwiyTlfsZCPeZZz7yQjs85GHbNlkztK
3e8S1ywaRDkicvdOE2tmWIGVMkP+j59gamfjQ2d3fEbqIvZRDaABf54QhOGmzaspdMahFMei7DMs
PyqYpYPonNw906rSAqK25NpV0Us26lGetth2bcUlpdNpcWDPXT4re0OB83NcMje1dyPZCLRaWWLn
IOk8NTpf2k7YIDdUxdxMeODIboI51oUEpxHYZsbLalHWBs0LRrTYOQwFURP8ruBqCcqEhq9fTWOc
nGM7cmTIqcJGObatsc+Mpi1OTK1WPw6mwMTRuGWanTiz7rDqpenQQK7vkpuG1E0tSPQaZhEpXGoc
5hZexKDEyVSjXVPretPhOvYOJYa7iwZ7HDw3lUJkX8zlPKHwUGyxIbtANfYu9lsRamM3NacTPMon
bUH3yduCC+CbIBwJYATUyv1ZaCsPhra+CKyxcPSj0tukONZ91GkYo6os2QoSlT54AmHhPhlgEYVy
dKN22zTFoB0gIi2qD38B/obiVdbK+EIWeGLMMBVO2HlDbAJ0URUb0FnVLu5bt7+citY4n8XcMrmt
JaSKokljsbdHGm/+xLhe2ZKGl00bV4tqfaMPRqTtDEfgF6s8xAYBZoUko5M8OvWRN5Y8L42NkFTJ
23q+wLxV2kdn0LVks7h1dlAHruhAG0rHCp24ds2NMXi2tbWqyQM9I/OxO4yTVT14shiOUTOi3dS9
oj8p48KGWqEa0B944aBt5wHHsb9M3XBa18LEgkX9zpKi0gwIwMU01kHx1B62Ur44pl/a0xz7nZKb
n/BrmfEmiwcVL5w6E6EJ1aQMDYzNp7TkFWwC6NmPY2uBlQGUh5eenYU5+IrW5zkilwkrG6bAhTKm
V5ouIJYu4YFO8ct/KY2qDpvJ6aat4Y467rJE0n8zF2PAoesZ7ae5x2SLSz0aR+qMzKHTAzvXARCU
aeYmMmcKncFOiWKdjAT3sc05LqD+NQz342IRn8u2GR57Y0IG36wIHZ6jkXVMvb5+bpvYqHi1580M
5UHMhgQphq2m3+ATNhnKJja4oyxRb3LL6Gc/IZl03xe0OkJpUC0tMdE2plnGLj4+ZDyYeQU8+FF/
pJGjlhSDK466HrX0ZMjj9rQYqPzwlUVVsStFiW2beCnlatYBW2yHWMQfLecuxu8ZJKXZfy4nfHnn
7mBO7/NBGkaIg5nayrVj78mMnNSkBAaeQ4cMHBMDXv0uY4mO/CJzeEYrDGfQMAKmu3Fq03gyBKG/
wCusrg8rxIBPbuW2chM1UhgYgC24E6OKydR3YJwdkmZql6AknvXDjGcVlTf2AeymnWYzqHSNFysa
jc+mEzt4pZrJALEC2mnTmQ5NEDHbjGPMPIGhkaLkLsMCUflLPNajSfcM1jPUJlQWmO4E3L7a6+Ay
IPmqSipT4VyL1pw030Mc+zS1VQ9tbOz5+rrGHoDSCZUvicQ4Hkyqx27JAN+cBO4ac+wUxbUhmwbs
RlFEK/HMEw3pwwv5yq3j8fjFipr3gV6OogixtjY8mBfNPBlqQFCY7kRsByDpxu1cO24a2APxSOFo
iOYqiVIFwXufJZ+4Z73PpCmPbmgtNsFG1uzKMciA40nfsMch29Z6Ml0XqllddamhPTDFFtyQS8Uj
bEG+DTQAtN+Mz2ZoTkQhob5NVaIpgShrNGiRIKfGd8phln5rtIu5WVTRmAAmF/3RTd38sePfHf5g
R3GCopRM3Zicpub/9naYdH8ZRK8q4H/f3DlPnx7kQ9y/6u4wYf6zvaO4+jtatfQyGfPQPUFZ+2d/
h0HIu7Wzz3gagjOiW+OvBo9mvVORqaE/15FF0AvlVd+mR5r6jgB5IFYk3dD9Weesf462/oNR9DqQ
+au9g/oMRQ7FNM1djs9Y+k3H1SnAA1O2tFtZLSuF0rJuHHNZ8z5xn353Yn4waHjd3P1yKBxyq9qI
Lhdt1rcta9uorSz15HZ0xKEpu6uszima9FtTRviwlf2vHo5Tvs7EmNozg3s7js5r1QUQb8mt3Ru3
gKw2sI2AlRE06FdzcbZkRfyTpuu/nkuOyDdMJxmQNEqn193rQbaWnHuOmJiAgUaw4Ny0m6hgBPD3
H01fW9KvvzU8JjSAKMTwC6CGfH0knhkyq9xZbsmGaJk75PQ3NHAm/lDH84nQwABYTtvdWnNWb6tq
OCTzeMNv+jSYbAVme1cJ4BUslt7CdEJeqJjUN7YeHSqrya+tvmx+Yox5Iw5YLzPbRvAA1IFrjDP0
ZsqU6bhKgIMWzNq7M1s0x7lsL53Ym48lbZ4hUWGKoVGDU6RVm2Vsf5aC8ibX+9sbYMi0Cji4Cd8K
B6c46XVRuPk202SWB9UksNGbkb71po6Ozkr+9eKDx8oKygKns3PUI+9kiq0HVR1PcYkrQacuT7qg
v/X33+b60V99mauQcU15QjmBLOStwpAMgyyxHDqNhL9Y/YbAaBFjarfaQ9dXakAZjv3DqHlcj7oF
Hq/kGX3592/Bdl9PetZVwCHAkDWFGcg3Xcz3+rlscYSZ4rDflmMfvyhstz4t82wlzLhokir6Ugg/
kUt+WaVF+ZH23G00gpWMlCqu6LeOAy3ehfOmu9Y1L6PXZtH0w15pbg1nuAWKAOiPVk7gcoeEXi1u
xSIOq1v/wxRtqX/dW7OlLbmJ7ZFm3FTqw7grFHCGm2zO0nojPGXpjzRGvtRyg/po150zXENG0B7d
qsjOK3iW9D8ZAtLBSrv7lv/dK4BqH5m4jPV5u8iFYtAAeUQDrJmAKaXkONdeNG9XBtNu6CUAxNim
maAJtTq1yrI6h7tc0j0V7fCcLoA8mEf1cECcVuYPrdJFdzKv5gPLUA4GA77PrqIXtAW/q+zU1BHT
fdvPBNLOkTrbJxZQtd1kAnJ2bGkAYart6txt8W8NuVI/lxzs1rAKiFyAUopj0gBJr3O1e9FnCAYr
riY6L9jG3c9xK491jpbbN+u5Af4/N9zP6bAMYlf0ojiCQOheMGbNe5uR6X0FOQ981qSUH4jLi86r
xRvPNKejS6gV+qHoUrhaSm1ic6+NzAqgGnV5IBkwnSRI0kqfnd28r4pI07dtOgyKb5U9rJKCLCgm
c7Y37hId1N+uZQOnw/GEocH4wj56S0v1lhV6+1iD3buIe6ueD0ld1UjxYqYfG7dlyrGRkw3DJzJA
am05l6MIS1PNupOyUeXBi9OaDwlbebDDfuya+dBIS8sBenkyjNIusQJYYc42oVYMhgakJo+yvHQv
9DSd4efMOrHIzC6M06W3V6KrpPz1TaN7b8ZWpoaR0U4PutnAk9aymkorl7hxNwNFc3y2QD9kw5Kx
RZryPLtCvANps59L5ZZBHs5UdnITbbVKMzZ9Pijpo7WQQBZMdmEv29KpdbGNpGNdgbmLkoMb9+M5
s47iRTqz+ex2K4uxbTQIKFTq+0XNq7PGcrszTlz2IgciUqkaL6N5pHdVxO8RX53lSel8Xrzqpkan
8N6pyvwUyX6/Tw03Z8ssQd+WrjQvonqiBVdU2CwXsrvHwUhC0Uf21ewNyUFbZn1jgUQFJp4Y+6VG
rDUXZnaaODrN2960dq4xyBC0JNgwHYoL7gDxnr2QeIiy6l4B1xnoxrym9dhpUM6RE/aD86jGYO90
gJYU8zRIlzVWtpWdchXD0Jv8zB1rf0pSzvVsXolhOnGN2gHr2Gh7JUnQA6RSHjJAOYGwmDgL5GIC
v/lG0fuLWeuPmi7qE2JftnFWTocMLwG2+27Z4265gcrCFqtthT8o5Ra4iXKhCuC1lgbhdWo77TD2
DsMO4dZnxZRWW4M2DoMar/8AAZ3dd6Nf6mP2kmmqfoBkVIRWpFi3KLxqYhlpmk1Z/tjEy3imVsZC
d1lL35esmx8ksc8HmRL3PHTVFcxKmx4fsZx4w2hZaiuzvuWchLXTyROjzGjRZL3ctfEAVTY1ucWq
oV+u6ONJSOEotlPg2cU98iHIaXF6oU9JHbY1vQAfequb+ipw+q3UAS/LWrseU5KGSG4YvVvdYWJe
jdVJlWtd4ltxTL4vgVznhVSS6xxqGBznj2aum5RGojoFHOBUgZot1j1+YbrnWZ+fpnY5bBjTNydD
wjZQpAwcFKheBzI9j/UYT9uKeK1zWPBXY6pBkLEXKshNbSKkc9t6PB+QwL4kCjkIU5e2O1UfXZ+G
R31PpJwXAUtbMujCGmy6uDhAxYX0w+ZuG9ft58xkF+nqsrnQcllXIU0lZdeIpH/pYs41SSeZAgt1
lsXeGSkrfFp4ONfNO3ZG8UbFBXA0J9u7qkpvPtFslAuVB3nPyRzjLmGx2MWx0HeKrPWj1k10bpvq
iW27fTEivd8JsSznZrtcQ4qK964CwrAXdg+ZDXpbsHhmegSQA+oUSfOncqnnD4XRVSf0OrxHW3bT
p6Jwlw0kjKykGy+MY9dVREQmKc8Vty5mKJyGddkIqsIsS7tbGq3LVmO8cOEWRRc0jpFthqbRkAXE
8wE5uxWkuiqmQI/EsI/ZIG67CYsxpiqDiNXkI+w8Y5e3/eL5JgTmcx7J5tMElxIelGyOKtSUjZti
fQbAx+9PkmWX4roOTKN5HKrlZBDLA1Ady6+irGAs2JFn5kaP6FzmjVtW13TWlx3d8UvohkGRJBLO
+Zjt4kZXgwxI+aEmTFQbUnm5JPZFnYw3VTvpp02tP8XY6sJBXwi9qjKLpk8+bWNNA+c5K0EzAPWx
yP0OSqV5ZJAgL2Q0eYeI/tHiDSdm6jylZKzvqpw2tp3y3C7ssQo4nZ/KOUkulxkcel13yjMZLddx
Zfmxh76ndomjqjWebQjC0me7qbUDxLFkm+IvvOplMflm6k5M+3rPDWPRmWy4RS59FaK9zziA5HGG
yDa6iMdZb/oHWC8tkDKrnc6XvPa2ycS1vnaqzA9UG/b5wt0Fqk3nltlPwK7es/8nPtNzh9t6BKUo
3da4HQq3bwLX6y8jNE/0O3NTMq60vQsZp4tPqkFxU4h0+IQqKr2oAMP30LEE87IVHXgc58T7iCIV
ViEwwwJgm6Krd9wJ6aFIDAa8hVI1zzRUuYS8dVS9zFpypSnjtEtr2LyhQCgk/LrPmX9z+UZVkMKK
Ym6+dIyU5smla2BC3l7CtIYZ5esJqv2QHWouAz2PaZTQoNcvLHhal8oy9epKZRJ3ka1Malhbk97s
l8mraGk3aXor4PsPvtaOGbHxtZ3dGWVF4z9xZfvS9nQD6QVOIHpXUr/wpdXWt0WzUOslsvgkGiIU
LPCmp+DltSNIQfM8pQFknuRG7EQnosymdmeX0jpziUn9bBcuWb2xlxiHFp75sZSJu69RCVx7c+ly
F/J8vs9YA5h3ddXN1IuNUZrTaZ2YJgRaFaKri9n345xP5q4so/G0zYpxP9ZxfZbOnfmYJ2uF6VuI
uT7N9ei+FGWzAn6n5Wp04mjPCC/TQnKgjJ0+2QBNue+17RANzCRJFHJ6v6hg2EGaXfDSzvl8mZG2
O1ynnjsnIVDtkkegbYW0yAx+bZsNKzfUqwMbhPJmocqpg15nkRFdlh9zx82mHfOr6YM2lt6Z2vQW
Tc2o61TDlxmZQX5ikEf1vnCKdeajDs917843aCtaL2QUIw8uEm0rhNSWIy6UKsDCdmINp0wSNw2R
E8klrmYWAwFZ1wpYN3gKz8Lju4xmcd0UXBA7kMPKeddMcxU0JcE+mT5WGzrS7QeF4cwHEmLwKdO/
KEMbVPYVQ5ThJBVJd12li7IDL98dnbFp71tXUiw57dJkoHmH6a6eZ3ehqEJ1gqxhmZjjqZ4QB9MQ
sUnduRD5UEbTYN8VqUUhJhfrTFcNFRZvl9kbsqnAyvPVZgQNZFp0PgiUH8RxWbJ+ZoWXjMfptJXu
zqgBK9wCXE2Ku85SsgOB6lQEJMsoBc5Vq7vLszK+LB23hClnT/k1xrNRZbyQdftx5ZWVqqg4ERKp
RDygzsy6iMFJqie7QVd4Bso6hTNGGxicEtERAVvx5mbRxvZjhhR3Yn6ROi+6l4/7fO73DTPs3TCp
7fup5IHjeNly36V1utdHpkKoK7plp7tVEg6xJw722EbwASd9nyiLRJ24JKTcMuWOsPeAPZTNlpnd
Qv8c6DO+2I7MhiGuuGV69XZJGFB+2UP+krzrVpT889Ze8ko8/p9JzHfPYjV6tG9/1f9AdblJn+vf
9weDh7l8qH47tMVD9bn9XgK2vu6rBExxvHeQsbFPItuiP0b/6K8eofbOpDeCzguRF05ni437NxGY
xqssG9YVXXbk5QjR/+oReu9oe60hZphdbUQf2q/0CL+Y5151KNipASKjd7O+i3/BmkAFHiuoAyxp
ad7tWLvEBchff1o0Z6u1U7ztDI2KUjVBnOrxpaOC1JNLG6qNtiAOG6LQi4W3V0FRI52YM1iiqatv
hnKJLltzmJhcZYfeHj4Waq49ecmsHezJ/Fl6t742GN9+DBqPEGEcE/8PHp5XHsGkKfJUMsfdLgaT
iTh/79QzD7pmzMGiTkl/Ps/zLmmgjwY6O1T2PDVDdNSawz7JZXoh9KXewTW1j7DBjRMVaQHFRjVZ
vlYM/Y0ETXg9LfU91Kiv7XVujB8bhr7QP169dZ3G0KrpA4u0UgzoFH/fntHdPG1iYh62LQ0ullVT
3gLlnz6iMRhAFqK4YJWuxYOYzeq6bsb3SZOqZ1Ws9edpWZXknsA2vBzUsr7LiCkEKdhixERiwXOc
RPbxOdEH71Al3cdZSEB7ajI8KIbUW/JcSkYTbi8CRZ0r4mBV54BgDT00hETyvkTHxMQk+mg7J+m9
ahfkfuB2Xtdu+kAewim4hr++0vxny8jF8Cy7Xj7/hjWu/W3bV58fOoxm/x+sKvgYPDhgf7e03JIs
L5Ujvrbn79eVf77y6+Ki6c47gp+hErlYihGE/nNtoSn1juvpr0WH++FPL5z7ztC1FQ8GsH9VK7OA
/Dl/ULx3xM1ZhsqViMbUoLX+K4sLK8mr25JRACwZhnCWjmOSN/kWjYWAuSeUr64ZEg/zvVuZdNlS
u5peigICrA/ekpWEAdkcxPrsbedYquGk1PU2q4FnprVNkyxz803kmPKwCJncA24xHH/pW49dqqt+
mMYo+TyaXXvr5Xr0MihzzrjbTrKNVtMd8eukIM2kK9lTdJmMTlK0YY2vSl0ehFctZ1VPqC2BKW1y
KRxn2Zv00J5wSpfnvcKeqDTBo+HNKbZ6L4MRSja7CFNeWQZ8YHXClTlS8voo25XbyjPEgzXyLiKR
ADIea9BjQWMIqraUeCD4ckOE+rOcjeVinBf7c2rp7vOX99JGYER9aViJu1FHiNMk2CxXINzWlJch
vRJOo9w27aQeBg8sM+PJ3mDwHffs3SX8dFRI6XLmdI44Lo4zITmVQ/JZ7TU+nBgEH0RY8QejtvMQ
8LdLDouCpE1p2mbxmQ6dZWAoFNK2/i9757XkNpZt2185P7Ar4M0rSdAm0/sXRGZKCWDDe/P1d0BV
3SfFaJVO8emeG7cf1BVVEsQEt11rzjFjvKyQU8Vko8/Jkki7RSVoXQSou+6bVCteIjP3X9RBnYVE
rRgHMqSmzLxG2jcdHaP390CLtSUIBENC2MxaLwjIhoBrFHM65oJvFfmwl1FL5ZV89PKJgo+/FLXm
33NdT2c3QqRsRyCo5YIoKrkGWErXoutxhWhpZzz6XQrcJNYSusSV3kI7N4b6qUgd81UWir2tC75p
JF71vUr0zxNZLcHWnmp3h6MCahg8l53ipv7e5h671Frrvmis6dWkMv0tGqWpwQDU6yvUhWsk0+4L
Z8/hckAIth5bo7+yKd7yZU9I51DCXBtKHn5z4tHcqYROsEuq8fUwtP5L3yKTXljzdhPYSb2i2Tce
Ar/dYPfo1lNohpdDJJ3jlHX58xA0yjN39/EhClLrWukILKscfosB2uyxAxm7IHNRoBruu2WrVLiP
e1V4gtsAwRqOszGSsdqV3MqWZDvEnjtU3cOQZVeRLGoCgDqIV4TZvYUdhC0iyigcddz7t3XNfMhc
K8zRYynNUvXT4gXnDmf1RIxHs1A5IMdt8Do5ot/0nD+XWsPcJJct9pqpio+tHsRHnXzhG5Q4/n6M
6G9z6Yw2Bg2XVWPq8aq0Wk7IUZNt6rR28NCHYgETX0G8w/M6YpHuwE6xw2itch22dnUdaqbwCGZQ
UHdUz+6IZhpC73ikw59+4sEfLlFahUcAcPY334rGjRWjU4cWrRBpEsXHZIwz6Mm68ZiMEdlVJDxR
HgWyKJdBUnUFnNeqLVepUuXQv7j4o4LO+eG7IVzGfWuQsROgUa2jxr4O+kEWK5Dvxje3JHDC0QqG
DqbOVTYATzetvOWGNB6RYCiQpXoksik5mdmuC24xfHso3qgS+1uFsEmJaDsAEZSkG3fIcBYkq67g
sQubvDPrm61ecfMyw4bLO9VeGgVxdJAAEs1FqSIoKMnTvJX6hmN6Tfkp9x8QQ3A+XPjxRVlvM6zo
coq4Eiw7cZ1Vb9nwAPSYbstOy6/kQBEm3CKPk9Fh9k+1GEO6/qbTDm502XCxYVkqUMZdZDLyHDG8
EUxWBTFxlrQ8mUJNdNUWa9Gsg7FDw952sOCIhaM3idLfRNSWrtGDZ9rBtuvb4L2wt2q7bfJbHXF7
ju7b3VF2MZTrmEpOYa8iOmLuBzhwyeJM6gT9pyWxebuIn4xgkVx988toTZVqGbo2ldCDEz751bue
vKr6sIEjsyi6XaD6pD0kwcLKVYRz7aZFLoMm+L7xqfqYGtQGKtK9ue9K/RAn1tscSKLFtxHKYepg
kWhXmhrVy/LWifcGmPPXynaNnWUQ6YNuRROrBk3XlppT86RbdFGrsVwmZrcqXH1Pg/9CdMhCtZwY
TwOyDfxM4m+6RRdQQRxSFE2EdkDkplgkPGq2eBarez0yPfyaN6ZWiqXa1B8a/oZxMi6naHzqm+aY
IJ5PMdfNDsdn1+wuKCysarY8TfbliuzDo50Uw8LSUYVEGrLWvn9WMu1DJ7goNm8zy3mJyd9eCv0e
NctKj5zHMnpDskUf4sgKsuwsg6JpS7kdXaiVHee3aPdU0ZtqWfYDF9LyUMJAxlGeYbCDHK8hA826
fZxcdUKiF6QW7afbelKXZSZxjLAGs2uFEB5csVMzBts2Kb8Xldh02buvt+Su6ReBMPdFn1Alm7h/
q+zoe1PdMUimdhN36WWkvhcR/JXG//BFfFFkFVmM+bfQBCiZWLSN3yOn5v59xFlNuNHdRPpOdjCM
96lVPcu8JZgwpyFROC+jGW1UGiqtyjCgq4HQEAnVhTlRNu+5v9Mb10aYL2lEFpNPtd0sqy11ABwL
vtRBIRjlZemmN8gxSREbLxtS2iJNHmkRvGsWFZH2JVWiki6R2PZq0i6lTSczyOy7pMU647/LdN9m
13G+ghyyHJ133b5XKoye0PT0ixy5uvwg7e0iSrHc3Gfy6MzMt+e0Pip+4NE2XdRpcFW2e8dH0gox
396l7xJPf+VsnGLTZJ+hrWKuKJAy7q3qtqXK2rrrRJckfLDrBs43szHXGWGRdrBT5WNqPgfKojd3
4Og56aQH27+LqF0LdVHoa9Ve1YGXa/TM0G6aOdFzUhlfUsu/avUZQX5RcJtIGs+cnqJqoeWrRkVN
NV5X7mZyPO6wK+IgNnZgesYAB57NihoNfYUBz02mPgvfG9BGf7b5bvI/y+bJKnYaie3toS3vI+Ox
r1fdrM2slmFIESpcxPUqb+4z5Vl/GNVrLMWo5Hf6bOBJ7lEFDuleqbcqiS7FIVVux+S+UfrXWKwK
vjZjZ7C5WbAcp+8ujTM66vlqAkJifvflviLniKPLVpO3A//I/rRUmoMmSsTXIEtLjmnhC416JHti
kfK5qdaTNB/dGATEmkqLvtyrqaVp7oveb23b47C5s+rLZth3LFWThm9yb4X4hsJDbvpeg+WkSC7z
lLRRql4OOv3Pvn3smEGiRvu3r7qXtNyqybbvUU5XyOrpF/aoyDAME/S1hXUNmzwhnc/eCHEZY+sh
jGrhlHvF+k54ErdwsiL4sKhR2dbuzeqaRM6lg8Cy50xtoBpJZXaJRNRLqouoH+CktqsI49Si6D27
u59yMrNIeUnCm8n57GxqYa0XtVtANOxVB6C1KFCJ4ltn7mVYrhlmGXkmdXyVcB7rJyJYcFIp5Z2L
l4EImmXHsTAM6O1FK7fzRNYuC17MyAiNp9XQXpFJStbHjQVnc7qhaOLVEYoaPAn9Z1I8lDgWcJok
wVaxjlr4VsrXKY681vK+3KX+g1pJ1X92av64l3AH486NNgJj9Oyx+3rnNtWwCHQ1Tw4DIgLcHFWf
rCgYEk8FCY6xxUWT8kFGXfaqMkYS6LCTda9lRPIaen7rwso4snSWbm7xV3fPBTiAjT027TMqqH5D
j6Bjk0q0p5i1pOiVAliEhZ5UNQMCOibhXFmJml81bVRtUTIb+xDt8Epvef91JSmwdJLvFJT6oaDs
t8Jp/eo0d1Wu7YuUOQisdKmGwM77Zt3QpMCe8I0q750T+azFLNljVq5CuUkGr9Lrh5x3n9sZDVy7
KPaBOlxkYawsg87f+hxM8EB0Wz1FjakQtVGWm0T7pGTbbFKLwFyiOqb+MkTiu1amne1yhpln+VGk
LVofzxpfR+VBK75pMR4M1cHScBuM6WGsaAkkGt9kTCyIWbQe66HpMnfC+1mT2RXkc2ZHjfaSnnWs
eJuAbLu2qRajm8mdyx5iuT4GiOyh4Zuwm2DympEl8WZq6m9TdKkb4no03lKSDJlqNwluo3rbZjsR
jk8qKuE6jX/Yloi+3HRxtqXxAVesIS7bvlMJe03osHUhO6C8JysV6r//GpIZog+3avlpTWRHO+B2
caqvyRomCY4d+TeDkMv5l5KVQ6lHBZlv6yqCMm4Gyok3eVLMKqnMsjtIu3+CuKsszSK5IK7slfPm
dKRdW24msiM9EtnJG8V2jHeICldQEDv447P8//rub0hELqWPX9d3N9X37O3b29cCzPwH/irsWuof
lDQcOmVUbqmX/HfxhaS7PyjbAqieTdU/Siz/rr4AIjI1lHIQaFl7HLjH/y6+qOof4ERgT8w1EwNR
qf5Pai/zCva1qghDj2rijM2AqawhQf15hSN00ckKu5Ro9Dm01UZpeUJliphDY/85en5ZwfyBrz/9
u/i46D41A4zKafF1zrJQcUXIVWm64kiEkFj4vmHh28K4FKPz1+Ik9MKB9NU+KK6TSOeqEIwF9kcq
FYbJzSxuyk1Pm+OgxZnhWelUUwwS7aZPc47xRB2zEEJb0Dj1ZE7MZjkZBpKZol8QwZKiVcop5SSN
fvPlC/8PO8Vcez35yYDbgSemgq/Pzvuf36KdBZYbI8ReTUJNKIW7ODHmBr1mYrXUhWEgpSG9YGrT
37n8f96hzJmBOGP17LmwR13NmP/7F+idNUwdgUecr1U1CzyzS7PVpODb/fuf7wdk+OQHRK1LUABc
LAsbOuP761+T964ata6LIMWUyIEqk9NA3CLUUdzMnuHHOidX6fjJUiXA+wOOZ/AyFtNT2cvRXqqx
wFcgJgxBsYb4IWX9NpNc/wx7J7oZ6Nhz4DL6ijNHlweIItpWHgZHla+yGuyVRhge6eS5pR+Ilmt2
bY8T75+vbP+v15NpIs1coL9ZyHI6VP91175zCkAN8dF8XdL++tN/rmq6+YcDcegHp2M+FP1JK+Df
okMmDxJMIQztr40qXf8DgAgRNiZICg3cH+P0LzG7DnPN0VTYvTN+45+sZTTFfpqHUFCUmdqGxJxf
YQ+dDlMkggIFMbOv9Lk/lin6MfQR1bLu213noDzWHOqe6pPZpNckQWZN0HojxmzWSIOswxrBp7VN
MVf3U3olhLXPO+OSaXFwemITivCSYO6HbsCG0pQ2QLN+g+J7S1d94Wba+6gE+8pQbonKgFwSu9mS
5IVv+IKQNIMK1dVPywkitAEpulbC2Eknle92HFvfi66rOfNMmkpBzqX8h73l0hQ5NQkHE1MvVX03
hAQ6KonVPjYxSkhdS4ZXZfQ1rExpsRSqcG7CzHqP6zfa7vlVUNFjCwvrgxPNwCnPVFfEEKT7wO07
MLd2eMWJI9waBM8uioICPXe3wNlZOj3/qqms22GM7wLFzJEP5Jwjg0ZdoTcxLhuJYzZPdAQaVQn8
YRmWdHpi0s22SmY/lZBLF+SWE65gNLTHIZihm8HUrCvFNfXanS4RJPqyjDd2W90VBJNwE6vDDzPx
vSrn99R2v0fYFty4abFrSKFapElLdnyHATXeuF3qJTmqqC5f+Uq45xq/teND3ccHR2Y7hxziKn2s
G857DuIoJVuLCjGTOV1CpF4Q30Ihyg8fx6DjN+SXIYG9K7dqJEWt+p001HWmtdd89S8Dmmv0H0vV
eS7yeA0UGY1etpuSDSIPyAR3djoHybpLKyOQgJ+J5sJSutaFSjwVp9/2OivH7KWQ5KQu9M5uZi9m
UHxQUjVX0gwnWnhFjW44ix/1RmuwyvmXaRHvcL9V6yFTXgdDVx/8sbirA/z0gy/lVUkdVeR705ff
DfLf8Acy2db2LIZDoM19OjDvOhljjZs+qrhOrjWzMLd1G+1lR9KIz0dMS4IR+7aPl3qHTFmlD6Kr
2TfGAdpte1BXfKyYEG6fe3OSXCW+nVJMQTaGM+RiqLR0pxujQfA7ABC7rG2M3MGVMeFcDmKilQ23
f/YRDv3Z/vxHR8//bdA51qC/W24Zsv91/9ZHyddl9sef+WuRpTeHKwCnBA4hRPnz4v3XQqv/Medv
4BngsPGXVP+vtp2m/UHyyWw0QntIN3g+hP210GoqEgMwdmDEMOCwQNv/ZLE9Qc4hKgBBy7IAgBk8
DHeUuaf35eTBQhxrzgQkInG7WqWAR1I0B67YrT4pvBL4uZChW4F8U2XcYJY2YRwFJNt10rLmYHJM
jvBQK9O8/edb+f+2kcIW8ncj5fiWRF8HyY/f/ucggQLEOFC4VxrzzqbOioc/B8kMM+WcTQ0YHB/3
DnXGCv1rlOAt4394QKyZKvS1t4u3DFA4VLY5JYBfOKX/A28Z19WftmRkCphtCK7AX8b/MyZn18mX
YeKogk02rtcGTUnKIJJWxyoZlKh51ns+GdVpUZFOFKXu5HB/HtR+JdAalgfXFa27MdFudrdEYWn2
MZWEh+6UwG+6z7DU8hpAi9952FOKFvWNFtc7TbZ6tg4ILhx2BhaEkD6TEvrrgpCr9tGORV0uB33q
1W05VbQD1KEN3WdibHOf/N0xyvo7h/JLjIplACe4IMQztEA0pCma5DCOrlKSHIjYzZM+gt6gNXJZ
WRV0IjkavXEVRhWezTBGyd8q0rBvonAaUMlkE37n2iSW5Z7QYbfa0E0eVtEo7pve/cgxYhD8jk+6
im98EHiVHun+UheJJLnVNBpnk7aNqpF13TRFfXRy13lUlOq1BdcTwJTwdQUWAIeOSbEfjCh8MsrG
3U+lW2ceusyJVyondM1YcBzqj4XeqV4W2HjJQ0snZjevKbXg5h2MdYKYNjj0blzu8bSGMGiEFNOG
DXrO4EUF9Eijd6KZwk9QZbt4yPWrXNj+RQsCE45pLIYdQe1zbDWEk12tWUnNCaFS7+vaINw9BGkY
0xL2HZ9GvaAD4ZeGeosYM3eRyA+5I5eEvg/vkvDvYZ374NE2w0iJ8noSpa8vSQ+s34Eq+WREYlm6
qfopJMMbHAsJ9/GovSDXHd9iJIWo0pHKyiQ89r5p0crWhbMgf9BC1t09TFmj7cZI1b8ntYoeWoZY
ziQ6cisk7mzAk/lhDK0ZLI2wjuXGNMahPRZyoPMEMaZ7jri2FwtiJ9JNHCZIVmU0lOPGL1WACrKp
CsMbm770b8NUOldDoypSX6ldENvfo9ZM1O94563hLiYFq99xMnMR5w8pLRpqXolOmi1N4iZtNjq8
R9iVYAGmWN/Wdi6pEduajJVdgbBA+7Bs1H1U5EY4FJ7SImF4Khpzsl9sZVSia1ZYv/0eCVBRFrkn
GLgWXQVxp9vUjuvnucVR1jHylZbowZG8O9+u1krFpPTGTHMl9TicFO9k6rbBzuwgPtwVxG5HD3oA
F4XQJxklWG2cKa97WkBlA8lIcaPksnHQnlJeVJRE3fpq5aierXNsX5hRq7pAO3RbBo5YdqGewlq0
8j4/xNJyNrHZVRsNS8alQ3tlWdb6MTQ7jhdxK8e7Zgrs1yIug4OPgADAu9m9xpkFI8C143fAIANa
37kZ0ChtsVSniSjGunfXE2eTrYjjdCO5LidLhVwwzqkx7oelFIW29PthOmhcEoaFPWbxPXtyTqt0
bBm+cds+jm1LIqhiyK1FovM+k3m88t3+E09QcDkU/n1Sqc4tNdRgryTwXPB9sAXGXPv5RucY94oy
zBWObf2efHUbSXJWGRuFlXDfs5XS6PUlTnLBmYzSq/VA2Y/SN3D3fSKahtBdzr9jXVmrgD7hpkn0
cKBJpndPRmoUWO9K3YV/5bKYrvupUjalBgGsgeF3UIBh0e3gMLqRsdNh8hnzF9IusElpEeYrDKFr
OnNQGIxIE/R6fGelNmO/bAqwBIpWi52WROLYdvW12oS8r7amvJj1+XIqpxkyFdOFHirLWVI9GO5t
yrgrvPbtgeh210v6uIexnCJP68bjOIjh3exEv+WOU9029RBtBZynpYH2YSk6bVhjpEPqYQj1gEa/
2Y9hHz4HI2daAWOHM79VrW3EE7soLe9IZfDXliXBEUA62EzmUC2CpJVI3sz8Qoqquo3Ic991kUWv
qiJlb2HpAolMWLwjtqzW0dC3z4GDFLZsqmHRBrM0oRwT3ki/0WIjPCiZxM2WKvBvRNrtLJm8BVOH
ZF3lN89DXj0GEznptAUmfDl1tELaQVO5qOmsVHnsgSR1tyGwqV072NpxCIXxDHHFOhggGHddFRX7
xk8OnVbVq8lqmnnLMr2cLtTWqN2aalnXH1srwEYDN+gY5KG/0YWpbVH7VW+j31UelepyZxXSX9Va
2m4pqLzbfIWeGWnaLaiPdZom4UUcSABb1qgfjMl3UFpaRbxQwIdhtyNcd2n4Tb50OVpeI4mS972l
GS+45yBkJE4ZbJrIzHY5+vRrNRzpHGPlUrCy6bCiwO1kj0Zi3uRCsiMKRbsVaFNXoqYbZCnFyNUx
TW46W7nrKtOmjSCt10rBBpKCqFxDw4mXY6w7+97I9Cd3hGEiNSTVgTl8gKZgaYlQIvI8Ckv+0nIF
KJpkNMAO0oq9U2ILOoszjBW/Ku1tw8ylz4wjgqXLWVagbb3SD5Ar5YU4csttF2WlUNgPqry5DNV5
FyekKguXQvrcvTKkYzdlYJUXWjzIT+Blen3RKqHEX8Ug0NtI7YCGtBHzkVJloWKP2vQkuesFlA3I
tVbw3DpBhS4mQveFlKSsa1wSxMkIQM30v80ornq57BKyo0GjOaFt+8Sd644MdWX+wiswItiltVoZ
cKuRhr3sYgV5qmOJOv1uUGv23zSLDqoCC89sXptaxVA/lQqDN3PXQ8KVPU6b1wTVydJ2e7mVtRld
O7Ug+N4Kk/vYzBJnIzC0KnQu9FkO1FUBRvFepsuW+JHbBkLhKgO7duRSS+hZZRbWokiHcW029bQF
BZYAu+gCEq0Kenc2Hk+jq9tw2XAHxzfXdjshxugCFVP6OGOoY67Ydv6B8I2DlZmHQOSinEt8ltlr
vUweMpBkXLFBZ+kRabWVGcujsAP5Rka4/iDaohde05jtembZ7JOeqwbWn8lh6rvjU127+Vy6SddD
P5nf5cgd1dIisQkm+633C05xeE1vnC5x905qNbd2m7Ns8ECGjWztlmYS7tQFSRUZxzPNoH1p3RW1
A7dDyg7L3SicD+x7NVyT3n4ozfTZ98cGp5PhBnSEpX1Ta52+LudFSxFoirHa+Mk6aaCoHDBJQcMZ
gkq7AzSVwo0TcIc28Cz1Y4uO4nUY3DsYMs51wel3bYUtEP0xlNelFIBREKoBxUtpFlJPJhB8ZVVW
+joQJ3mMpKVtJ2jAR30M2qVtltEmCe1km4edhoihctp7J7KGiwhvyRKjgIZYWZjdzpHgk1KztNgw
pndSpog871SNVr6RPTc2Kcm237kFBh0yPBeTlg/9IotUc9w2NY71RZm4+o01Ia5s9RKaUK2i92EF
7awngkKMjymdbQyF3+HXGuAumGMbX4ZZyBo+6OpOWlK9D0dHO5qiDx7T3JfvdDGDgfz4fHjoNKXc
2kM6b+VpT5rQKLTjGCT1MbQG5ZiqiPNiHuEuDVEoF1M6WfeZ2pQHA3pTAv0kNoyVOnGOKcwxfKC5
FhyNOhompN+iuevUXts0ZoWMIp4GiJmcNfz6FUtOVK5iLTf670OaObd80qdKoG+WuY+4cFkVkQpW
pSwb81iVpLqhj1GGANsk97Er2aodyr/BcibIoIret/dqmkfFUeBCRyxEv75eESVZZ6xo3GAMnIx5
LLu9m0JRxccyCPOodgpShCDVFWxxiHjUvRGgf1vbnYuxtUMIjifR7GAD+TWYRzVJlkMd+dtKTSl/
lWzI3AuWsi6f+LmIDexJhq4KZlQo2AAXnNeKXar35YXoxXjoW/M9xpR3HCcigOoS728aI69IUxeW
W49PF2WevYDsitVbpX/aqBAezQKLsDniXw+TAlhylO4sO7B2ppm+dHFy02pduYKcpiztsXuZkyyX
BbMasUciNsLsra3g5/5kgup3AUv30mgQRjb9ED7gS4r3bq/6GwKXrSOLKWBCYarTWuhK9FZbJe14
v9PflMKwG/B3+QD4x5o1uZUYQ65KQ6/uupHr4EpNrEpecoq3XlFUKtO+79R01q8mDc7SBqPeUxqN
A5hzg60vGhQHEQUUz3IXJj6fjNaYti1RH762ASJ6D9Oc66+NNGqVnYK0N1yNtOl2s01MHkREFB3Y
CLWo0OaOnVwmsRQKBzsrL7dUZQodbWYetdy9QoawnXIy27WSU8ZeG8y+vhodoARvaGJ9zQvb1v+I
YAQ0i6HMe0CuOlvPwins1Llos9EO32yyMcVxLralN8LueHVOgB/BjVud5RyL8LCfXDcXC0TciBbz
IsKdbQwFIhYIVYF9k/i+mixlXxfBjWomtn808CuZq7rzQwxWE6EhnuCH+t6RNZpfOrPGd+mQ/2yu
226qfcC2iWPQ9BJ829BBjQugWnBNVQgg7AP4zfMthDQM6WmLuUnI9tGMAMX5huF6+tj660i6Cn7R
PFqXk4+sw5fVhzI14WuLT31hT4n1JBrwesWkZlAV/WIjM1SbHM7BRJaajXSOvOHkHcV0IBeZridb
Q0nQAVJG90rFeqZ13jHyFTvdh1Ut9kGvDRje02kRC8BgMuOPBVmZv4NQTMtFwrHgI406ZJSalrho
sFOoFzHUpa0wq+YbSeRQaslSeS+ooLAGmoXurmJlMtYjQnIUCI5CUGnWTNR3A4NLoFT0YiOUacTC
3caIWoNc3WiB1tykvuofRjXoNrZwtesRyJzX5xOhnkHzaOfjuLYTuMk4ZqtDN5ORmynTLvAOascg
lrMGpKicZzdKa4+Y8uZdz0V7SJSKiFQN7F4aO9o3UTTVIaRGg9qCSjF4VKdf+6Mtabix2yxas8Wp
MoQZ3mJD5/7OhF/TBOGlTIrDG/ZvUBBysx50H3v+iLagbGFXhHrdeFAQXKzNo1z5pm/e5SN+miYI
4l1W80KAQfvtzvSRs+atpu7GkS5z0g7+IezzfqUBW942qpzd6cStFl3UHJXEIZzS98viBVs0oAUu
BFnrXuHPy5p9I4RpcpA0g2FPm6ewr4A8uOYmViuDbo+d5G7zZ/zsP6o6/w/bgsXfRDD9X2hZ4xT/
dxXH6zcAks3bz3lM8x/5s+po2384c7KJRWQ8MZGK/u+qo6X8gVxBo+zHjgq6Cvb4v4qOuk09exYu
zOwfuoFziMq/StM6QCvYUyCogDtac77KPyg6zj3v/25WC8YxmHE8KXMp8kupETc8ENsps7ycqiiN
vxBczvS7dL5fPfzEfmVZDN3Y5+GqSB8BZj1oRrX58or/g4rgV48+qaQjHDVi6aYIIzFCwLpFqIfv
0zrz6ScFWA7wUZ+DL/Aca7gqDPegswT/Rh/wq09+qh4BQu6EXWB5bSdeU2y6gcKieN5bmf/OL99m
2Ms69gG7ozk17pIB1g4hNuc9Go/V10cHhgALjMHWs6dIQczvm+gacIqc93Tt56frXS16Q2Ok+EBv
8XXku3RUrNV5Dz8RYsBP40CV+6ZnY+dZcnj7LHG3/MZr+Kuv80Rq5ro9hpSEVx7UxgzAAmfYZuK8
l66fzE5bw00B6cbw3DYXN12jOKDL2+Z3UpVffPYZpPf1O62D0OocCrYeVKIXwgoWVqE/nPXO9ZP5
mVNPq9OCR9u4yRHAlxepUe7Oe/bJ7KRwnCWTVptewRmSS5ZvLqpqdvv9W8bxP19Y5sSJr+8Eisvg
V37O9zk3eJMSLXl5fd6jT2Yno8RFCMKaFYwz385ZYUX/DTBu/nT/YRnXT2bnZGDn0xRpelJvxKLR
wwm4fAA+OfaP5334kxka6qGQpM+ZnqaS/qCIQ9B/O+/JJ9OTqGB3AshtemSp7jl6vhVBc946rp9M
zq4LSzNIkM+7qdLvUsePDy1XzrM+t3YyOa1RlkTM+oPX6caFNaXbtGy88x59MjExnpgKDmHDM7rY
CzVtHyv99rxHn0xM1YeboQnH9EphOfvAFvWnS1vh4bynn0xNw9Q6BVcpo8Qfn4y2uiRz8Mx3Mg/9
L3sbmBiiAJRo9KiUfpt66kemUF/O+9gnMzOMx8wc2mD0eiqia7OD4E0zqzxvc/uRFfPlk5MfRFu0
qwesEta1z+l7isr78z74yawUXJpKfRwMLyq0h97EaOk7cnXes0/mZWKAjWkj4g+i0jxQqL7s4m5/
3qNP5iV1p1YkUT96bZQgOGrkZdK75y0n82H66zgZ9dTtcqU3vAyX4MLpug0X97ezPrd6Mi9niEBp
RcPAeoKjp7TdT5FO570T9WRi1lWP7a/pRq9S+u+FqB8D/Td54/Mo/g+bg3oyKWH2qJMredtUuy7p
QV8qgQjOG9vqyaxUpW4UsI4GD5Fpesgiq70HGBqct36r80/0ZeZYFQXMuCgGr9edj8Q07tLE/c2O
+auXcrJjVrlZjlhSR0+zRioMobrPqAqddyhUT6ZlN6mgcrqcVCPkjmqt3ULCXp03BE9mZewPsNXo
cXq60G50SsqWH545uk9mZeKbU0noIxuaDYs9MqOLsA2D8z63cjItZVD5lllUo1dE8XNmJQdCIc7b
GU4pH8QLBokzj5I4E/DDqPYuncyszhvhysm8JDHLpxHFB3eCTlu0IakZ9DbOm5qnsXZ6pqVOXDJQ
ulbsooxYKXjrZw2UU+cAkTod/WAGeGwonVdlVDP1JD7vKKucTExJK6wUesOWVjTPSm6Zi1ZRfgO+
/sXMnGkeXyc9QLOwMmyWlJx8yGVm66spis/c1E55xmUOi7os2NSssbhtgvC5jX9ngfvV5z6ZmQCS
KQHznj2dw+ytgPf6JJPqvOXq1NFU6nqM6hbQbuhn9+Zg3U5hctZiRfLuz+97kLld20E67/MorsfO
+W6YZ32VCDN/frSRDVZDIsPg2b0OehQIX6LfnzO8bfdkWoa6RduaXrNXm/jehyK9D+PpzGefbJhB
bALQi3gjuRNNXkLgSZLk6fq8D36yY3ISRAbqxpx9KvtTInJCRN5lZz58HptfNsy+6ew40CPGoEao
hxVkb2Sz3pz3wU/mZaiVYV8qvPFQbY56TFhrHZ11/sYx8/PHdlsaQyF4Pg/G3fcBeZ+hTGdNHAqs
Pz86zM2aJksNNtkmdc1Ho7soRXR73is52TE7dUQ2xu3Bc7LxNnapoGBNuDzr2acBw1UCEiZS2RrI
Ki3XAxiVHaka4rxJP+tcvw4UW2kqrEcM8SZUXPqdCBNGkUVnbQ+2czI5bXp4egExy+uJIX5J1MZ9
80F47M57MyfTU1oDGMLaHDw6+A+KJW/t5rzpc+rsa3S1lUNgUlUGxxH1EWBIXZxXbbNnO8/XV15X
SalUqL88rfg/nJ1bb9w29/U/kQDqQIq61YzGZzt2HKfpjdCkDSVREimROn76/5rgeYGYiWO8RIFe
FCnDobh52Fx7/ZJHIHIBlerfuTucf/mvJ/zURV4HEWBBNR7RoGWs8SxECmKXr0vXHQEOPPoNuhOi
Sd1Ks01qL1ZAPlFsfULBm+dcdEKU0TKbRIDeizNSK9DTpwUZFb9uOxEq1kikeldbkU46KFD8u+Yz
Df7zavxMG/n5i0oybkyqcS9glf2CQve/B+118UlTJzzLtIWzXBRjHV/af1sL/auoGq8DLV6kXve6
IpyOzbqvBenUFxWVH0j11W88nMDc9mYl2Q7sztTYDwZW59Uu/OZI6uyaeKKth37HemWEgc1rZihK
s/xyYmnqRGa8gzUFC5i9gFPMWcDwkVjudQpPU2fTTKuBz6kOtqLXHQzQ2EcD5ajfaLsR2WlAguFw
Vgw2wAmrZEsReffbickZD8clhf61GIYIAFjynOHJ2q/fTkhWuw0zFMNCabnPn3Fovmb2f1ylN8um
zx/sN+ugi0tRLYGTO0ERGkAkHxvB/tlV6rlKMSckWY08WwpNWDEGK/yW2LkMo0o+eY3JD7O/n85t
cHVPpCRA2lG9ooqXPO7Z5JW4B/zmdbhvNeRXJMEMBAzlGa50shAT6tr8+u2EZQPBdqLXCEZCqr7j
YXQZCPvk17QTlAwELiDe0HTYR3/VCSw4II3yWwKZE5V1lcH9BwWWxRpBw8uQfwRV7bNfv52wnIlB
Yey24fJQb99avX/hATT9fm07UZllDF4kEnnqbJMPSnRzvuHi49e2E5YtMHI9vPIj7JTtqS/nSxSk
vbNSnXeW34TluSjv532Scdnvmu04nkDv+7WeYaU+hpcppOApQp+i8tkvjKgTo5A/t4GB8KtI4/bL
EoGJYct/vYbnXHz2828obQTF0o7pSHDxhs3up53xv/yadiI0JWbdQA/D+Qc233LtobnOPJt24lOw
aeYZR7ZQkOkBhgsomB08m3bis0kg5TY1eq1rwMwVbZBfUl5psZQ68Tna1JhKQsMGm8X12LTbetWr
YHvntHzu4e+moxOhLeAhKLQZsSIGm/3SrKO568ravDPZ32rdidF14wBWCVw4exZ+E7YRkHizf/xm
ihOjKI1ftD2flOEH8Qh5eANHq8xv3XKVQGuSpSt8gcBWFUBzt3KA0Snt/RbcxAlMY4OGgMqAwJzT
uwiUIxHHfvvb2R/858CM26hkFcrGi6Utb7eZ6Xw08tlrvN1CzAUkomWCsXYxtR97PvzT2cwv4+Fi
9rDfw5Y2PjsvLf25VLFvbkoUSb0zJufw/s0Mdx1OomTpIaHEcFuUI6ojsDrrQ0t3+2Qq2E8fvQbn
rGf7eeCbJd3MTPETKB9u9MY/h5pf+DXtzPNKxyMWcshB7Rb+E4zBfbNFfmmVxFlaNq361IKnBC5r
CDQtUd+mrfZbEhNnYbGgNrTDgqw4pKUXTchPEQpr/zwib31RZ7D7Cs4iu8LOz4HAhWS8RhEgqu5Y
UPotiokz5JMaWQuXXiSYlfxYRcGnfeP//rnvb6yIv6iYUrmGSdXjyaqfKHgUqH8JarF6zhVnaZlI
mQjdIjMOlPl/GciVh3YHT8Wv687ikiytAXse1ytSwbav3PtPcGF8J0jfGhZn2zcNBwNsO8/EOntc
2vGiXJnfo1XqqpjWQPRgBGNRzIKgy8OKfVsYDFX9BuX8g366rKAOr4UhOTreVVt1ECuIIcZTwggG
7OvG7TSpUGxIu6NKjUL5bS8G0yWen9MJ0CrILBwiMVd6C79nA1JhPseB30R09UDGhFbBHxOP1WS7
FH1XdOP8wWvEf7iE/TTiC4HBcZfic0bwOxyyCbTr5sWvaWeGsxYFrfWMo9Ye2OpA4WVzBNLeL/ke
OVPcgki4xniyLsZSPsDN5R6F1X7rlWszCVA37Al6jPbAmq8hDiohoY9+Q+LMbyjpOKwq0WuNqtEV
H7PlgV/q2pUChaBeKpUuawGG36dom26gcPAcEGduMzavKFEIMbeT/VQaeT812Tubzxsr1Q9CyE/T
T5WmhgkCSi3SADh3ZEJu5rT17Laz78BoCKLIGlbE6wDno7X8aCr10es7ukqgsjNnc0icIkoIZy/T
cgdFclr8FkFXCqS2ILU6y7AI0uBCb9nlEIjCr99OSA5ardlYYQlcUHh0P8NY+aoFeNWvcSckqz1u
wgQi1wIey7CbBREu73vlF++uGggXiGCoUo5jPiq8ydjflGr0HBQnKNcKr73DGOMAFK8WRuDsewoP
Kb8xcfYc3sSssQPmoF7ova3NTQZBw5+bdtjT/6/AInWlQDHhFbMaaUPKpNjzbGrt2eejzq5JkpiP
M6B0d+m+8scg3A4MOL+7kE/75yqJlpthEgZ1ZyDbwv54jZPpYp17fbfA6eEhJgzu4KMl5dW5fulx
W0igvJStcMp5vQcrC4uBMDyPdRp/TqLyhur+8s/j8cZS4mp1onKG9cui5qIJ25dotFeltH6VFaC9
v+72dsbjtjEAnHAT1wN7tLvnPdCV6Sww/NwsKuGLrQuLekMlFm88B+R84P9pbW1XVLvLcNVFCnK8
HmJkgJnf1u6KdIK57lkJem6xBMDJRQAM5jJd/BZXV6VTpRbzzewabvPwBwIoHhDpevErwEldmU5d
LcJKi1EZCAjfO+BIhMMG889z8LzU/eZ2TJy7VNSWBDwOfE3QocunTM2fud0OMkpPXTtmfg+PrmDH
pOWgIF3Uxb7YmhRLabN7JBBH6rkeOj8iSxep9wrvsWwpb0FOgElh+E7T56n3m/H5AaX/aUpC5aEH
S7Ac8sA0LygQVgqEAw5n8wje3O/8Jb9fCFDF9nrel2CP9CYaUMWo7QZeRsdg8bD5qQ1R2Pa6dZU1
JpEgFxamhLt9m9oLYHef/zx93uq5u8zsGw0jiZ6TKbiQJDr1zfC3X9PO5rzPC+ycBoNJkwERNpnr
YNBeeQ+WnT/2Tx+1C+CiOUCiUjStoS0sDjLY+a+Q1fr1/DxYPzVfjnDeRMdBJO9hpr0gkw08bRSf
/Fp3NuihFsx24AihAHr5HDUrmCah33M4c7VHgMP2rUFmtdjJCB/KkcMRLPH8nk6QbkJTDk9lVCrB
iKkAJtMcAMj0bNw5OSdEgrk39rSoKEOhMxhVI1Ve9xTmio8EnAvmlGNQlnH/Zub+Kq2518YBx6/X
M2VI4Ecs+Y4qqCCAj/0Co5rFbH6FhHCBfN162p2RSQat10AKBVtzXcfLO9vGG3HPneBUdbmnDcCu
KArlnyvGbvnqVyjLXN1RaMAVS0rUm1bZdKZNZP/BQfS95fytfjuhCTKbAr4V/SawI0ttejfHnnHp
6o7GMoRDHKzECjgNBcUAG5wKVgtHr6DnzoU2aQcLwp1mhdl3fknqswvM1vptP67rsdyjFbIMcG+N
1i/THH4GLszrRAcZ6uspOA9RoxcNEdm+1M8DCw8i83vrQLn466brms0EliCsYCDIAz+WnBLa+iXH
mKs5SuCtF4EjBnCIBP82NvJTpNjo9zFd0RHdhRSsTDEJBbnnPWCiAfH7lKkTlws2B/ii7axYkca6
sqNNoEytIr9V1hUe4WOSOYFlXgH/lBfkyD/rkX3ymuCu7Kia6RbB/xtNL+nZHGs81GPqtx+7uiPO
YYKzJaA71SBvkG24aYfUc7yduFw2DkPSZkEBexqKYob/pm2j8J378huLVersmEKuYBwojIncg5s6
nQGpTIjXtRYOsK+jpyIUUvQJHSdwZTkS5K43oJ4OXh/TlR6l4AsmMPukBTwvDyyFFXmnvFI2IBe8
7redKOtEPcNXZlG35R4UMvUTMDNXd1QFsmQ7NMwFrNvKi/OCIsLNT/sG72Wn36JtTZVgSOgyvpQT
uYjG7tFvtOnrppme4FUGM9wC5TmgTQWHddbKbwoyZ79MJxLJZcaY8A1C3a4hoEp1+i+/jjsn2XIx
vGpTfMtxhWsmlS3JR/0/C5b/T/kbskKvRwW+wf28ShTdBwO/67bsefF0ImDMiUuCAjzVdTMrukld
NE39oebc73DPnLAM6pQEUFmfrQJ02uc0ZBnKTVV17TXirvhIiGqyzXmKb4k90ZW0RSBCvwJF5gqO
1iBMDVyHzoLxFxCtKmD6Jr83POYqjkII6GsLL6ZiK5N/Von08txlfhr6H9iJn+9rlIPsBtMrWkzB
sj/XNWUXAHNrv92euuEZYZxpAIeGMFyBk2rvdr8HFFSPv57iIaxH4atrQNwZp+t9Wy5Lq/3Oba7o
yAxEmbgBES1po7s5EgV0aZ7j4QQm8N5zzc+5H5jwqMsoBpptXAe/ewl1QlOtkY3MXrECTLCbcmqe
5dZ6DokTmp2Ad2Fqa5zvafAQSzBLGymM347pCo7Cc+EjbIXhKFPv9UVmBCydx/cASuf58GsOi7mC
o1mlaxBpjHjP1haE5rX+utVB5ne6cjVHlRqxjCcwfdG6Sg80Nt0HvL2Vfh/UVR1pFa6VIBj1sNno
qUS68mGSin71Wg9d5VE5zckyQREAy4A4OhguAUDbjF/ewBUeldtarfAzZbDALr+taTjl3bJ7zhdn
69QR3qlqgStbpJY1X4jsUVZI37u1nZem300YJ0RXeKjiGQULYpfE1d1eNwLFvl0cz3CmnLXfSS5x
QnXQyYDfgIpTWVaAPo5w3DZeT2/M1e/AzrnDZnFeBUYKi+BRzIeFbbvfmd+V8ESRQu5aY0q2cB9F
74f2MK0w8POakq4Pke7RuA0ZDv0jva4te1779Itf004+SHYi3UaKYYkB572vWKeBAlqqj36tOyfc
BmVWGQwr0TqnX+Z+v9C98cvXugoeWN3i0AJGWmHHSR1Ai8dpUSvPpOcPiOdP6dp01anAPGcFimfX
Q2nllC9s9xxzJ1BH1c52RU14AXYCPepohQSW75Xf6hg7gRqMfZTWcDUswGe6xTnmklE/RRZzFY3g
UwRL3KLj9JxVCStp8LIfer54uGZEC4yMTaaRUwVgBJ7NILyi1rDMvWaiKz5K2r0Emh0H0Uwk4lhG
4T+t8ntHBJDs9ZmrAd5hZyvu5OU234TwZiu39woX39imfzD0fpqHVUCn/02VDCbUc/ydzPOT34g4
sdmumQhK4BsLycoO1vT1t543zHO4nQPuIGI90zbGTLH7VVZDihkm6vufO/7GThQ5R1wabF0HSTM8
lNaqetF7X95id6pPap79/EmYK0NaI1z3eY+xMQmK5yOZ2mvwvEa/U2PkRCjPVlb3Pfz45VTeA9N7
BW9nv/OFq0SqBhnFwdnqn5MUdW8cQPDZS47Jfgg4fpqKYQoZXA0YFJKH5G5Goi8tgXv48yd9Y5q7
SiQCOlg/pXiVCMwmr0HN4CfgK/z8T+Av+jo+KzhxVDAIpUUb8Je1RyIEpCs/gx/m2hL1gnYUpTt4
UGm39kpFUJHiLmP8poprTZQ1ZdJF56Ulq2Mw+JYRJYzR4Nm4E6RLUnFVWzRegVdX2/iGy/ekZW/E
qGtMpOtJCFizJoWQcZzmfRKZb2sfAAIfWxt6Luqhs5FuazmUkcHfsoimuR37YD4kK3DxfpPSCVOl
mnFoIkzKNd62A2DOy1FE9J2T7lsD5Jx0VZpKAsIpHhBhR/y0Vd/Shh1bw5J32n8ropybaZtqpOXL
c+fF9JHp4Qp4N7/ji6t+ShIwS8R8zi3qaMzVEF01PDN+G4erfxpFCP5BKGhhdX8Hsu5lFfNHr+/p
yp8glwYph6HfdQ+MpRnskCMP6Jc7dxVQg4LUceuRyy0hWCu6nlz3we4nCsNK9XoBa8LBWrh448Co
1J0NeyDcM79ST+aKoIBVngOVBLCDy+p7lojL1M9ojrkKqL01gMWT86LOk6eJdne8T6XnNHFiMwoF
N0mCNPFaaRCVJnAJtsnz8O/qn1YQflCqjyGZl+1jZaurTGnPpKUre6IASwwAMuFkse55OXYfwSzw
mt/g472eJWEIFiJdsBqmfXTWxgJuABtBrx2auoIhQAp6Macg2nIO0ylGgmLSZvf6mtT1KgqrYeVl
j5kyltXj3E1w7w8/+QQ9fMJfDwpuzomiI+ISYoSnjRBTNCi2Of658d8v4tTVDIH8BTkCBCtIEkef
ywjW9xlYEePutT//8Db/OQcNdXY1A5EDJnllN3gu9PZJx4v0OirSzNk87TDMurT4orZdk+MsMgi2
qqjzSrcAKf563ANGeknOQ9PJ4YnG8RUDV/fPo/77rY26jkVBb5ZBlgghKXUJICj9IOaMe05FZ9/M
BA7QQFRQwM/a66ZvX/bKT7xGXc1QsEKzLDN8zqkDAafeF31Y09kv+F3VUJ+A+xSOOMuBaHQcrLrZ
+tjvU7qSIRYo3OZQQlXECsS82DTy0NDtP6+P6YqG2qaEvDpGv6NM3onhrz6JP/q17Gya4HfNe3O+
w/HaHlNFd8gcFz9FPAADr6c34XGQAqebFDoM7rr+ZU30s1+3nbDEGksYbFLQcsa+NmP637KnX/2a
dmJyDttkAcE7AT3OZkAwWSD+PC3KqCsYank8xUIl57N4+oRXqJOpRz/bfuoqhqZ5ZpUyERbCuSfQ
9sgoh7jXS8BCXc1Qlc2Ar08YFUHJIentQz8xvwXcVQzZqB5FtIVJsbMd2nI7PprV+q2CrmCIVNUI
8hPGu7bNBtp6nG8xeExeM8WVDCV8kj3QfBhwOYyPjYzbZ77Z0rd5JzSBaQ5tqTEuTRcfarBnAOot
/HruBOY4i6kLoX3AerKpMA+ANLjhC2SDfvuDqxsyWQAruIQAxLov94mpjlnF/dbZ1AlPEGd2Ccwd
nuSmQOVqr75V8fbiNyzOdRMYLrynxhjxLqruZ8LIDQ8V85yKzp45DyHJyIqOTyy9twH/CPNxv8/p
qoZoW0ZknCBsnq2cCVD0w3TVpGvzXvnRG2cJVzpE2SYoKyH9Ss380kZdhRfoznOuuOKhnUE63VVQ
I64lL4ZY3JeLn20bdaVDMH4N+mTA27Ae5uiaTSU5hAmwjH+eLec4/PWtjzInPm3ApF30CJ1gVCWH
rNHxfyKqVQ1KYVV5flknUKtphKETmCCop18AhUqXfA5S9c4PeOuzOpsoqbYdd02oIEg7JHcqgCcx
Cmb8yj2hQHy9+Su+wWdkwvAgfXYDxOjXbOh6z547gWpC1tQ1KJHFQEd+IJJfjY2aj3/+rm8NixOo
BO+fXdbicLsZdpyrEohSyWa/ldHVEVHgNHgFfl4xyrDWeWNq1FNNYvFbHV0lUWfM3A3RAOTDVJ+I
6D7uu18pEnWFRHoOgwVuOnhKLIGVA5RPAdvu569KqXMBlV0rQiy6EORkmz3wdjdHw2vPL/qLkGgl
wKenAGGAlHjIRmDNmN+DOf1FSTQgPSxliHQZA5odE/PfxXpOFSc8u2GRUiyQh3RNNuTg2MuiFYHf
AyilTnhugOxmK0+xsiRLlYPveBPYyc/wgrpior6V6SZCwooeRtP3SS+mYmRi9It+6gQo2LxTTNcQ
rUd2zEk93ysArb2C35UT7f3aaDgpM6jktvU63S3A9Ws9+p0BXD3RQKu4ibvzEX38FjXZXy33Y49Q
V0s0rD0Tw3BWJW/lPy2rDFJnlZ8ZFXWlRLh7dsOuWuTMxA6hbFpv423A1uyT35g7G2mmg06OeB9C
eSPELMTSS7gCab8ocrVEmoHv1pfD+QkhvoBhaTG9WwH6xkbhmgCVmvctXs1wCZ1AB987+5XHpfS7
Ff3iAoTDhQwnnEXjaQgKoqbvRtndS/1Af1EQzUbYcpRIskxZXTRsaKDeyPycXagrIpLDKkegR5Es
78xRNsmWL8qzPJv+oiGyldrwD1JPe2jzJoy/xNXspZahroJIqUlmYO7ig1pyI4foHy6k34i7JLMQ
SKCMnvOIYVl+ODfN6HLyCp/Y2TszkfXEDljJ7ZoduW7uQD/1y3668qE27hmQwRxX83K2hxVHoawl
g98y7qqHlOmA3x5QZ9PL5kPZD3fLe/e488Lxm5O56/4jhMnY3uw4mdcxKYCno18nEyCbs1dL9uw3
6u7+qUoSBLhiFZA8XJUmlnmNPKhf287xNiBLp2VX4YtW0j62cg8vIIfq3znf8jdGx9k++26gcdnj
ct6Wa3Pb67F8puMMgSUKLQLwu9sovW3TJPy+agYUsNdPcpVFtivnZpgFrtamu93POZgSLmfvNH5+
u/nN93alRSOLwWirsa2ieJg8dyPtoqLJ+Iia0BW+bMWwrDTI+3E36lCWaQLDwzgwfhPBFR+prcsA
ZQ9iuAWL9AA26gsI5fE73yp545c5sU1qlBTPHb6VjthnNVp5CMPSz/qZuuZH8TS2SSbKuFjNIvM9
TaJjm02pX3i7AiQ8rAf1tmES04Y8JHqPLtk2JH4Lkys9gjvzWmYWXR+28WrW0HuWod/G6+qO1rVP
+iBszi8+SDBhui6P0Au37xg6vBF8rvQIFfU8043hxYrChr6oecg/Eanw5DvbGkhObJlkOKV9u+Hd
Y+r46Le1ubokYtQKViRSONmUUMBCkiC7LUPgov0m6i/aJLxHAuSBKGDNrPNeh0sehNJvPXSlSXtm
LEnLNi1i3UXPczI1D/U8No3fTHXFSXFNhAxqTKaUVQcj+A6+d+j5VOZqkyJto0UIDEy7LM1xq+Jr
LSrPbILrlMRYkLV8Q+Nh1gwnEnT/2H3z0w1RV52EO1YwzsF5Yat4edH2LyZWvd9xyNUkzZCV6GrD
dlBm5lHJrnsIJQm9NHiw0cBi+pMGz5wX91q0wJiSGWdPxv8+1+H8eR9742gROlvzqsKtlSSDvq8a
pq8AETUkx8F8iI9Wt9vHP/8lb6z6rnWKkbqSJMDoyGB9wQHa5mEfPnm17eqSiEEZ0TZjWSZsBKq+
hjC5b6nnbHeFSYx0mVoNFk9GY5ErOEiexqhr3hn8N8bF1SatcVczC4QVTi7L16iUt3BJ91u/XKsg
OErFAYd9QjGv4QHuy/dKJH6Xflcok4Z4c1YxxmTfCZLDtYhgRWT8SpSoK5WxiVGpapHbavd4yTlu
5uHmR+tNXK2M2gnpSAOtTGDNM/wMH1Qa1O+c2X7/LRNXKtOBFj8OU3dOD8sAtaC8qMvpvYTFjzXq
1xMhTKdfLwF7bW1TzwnUD93Iu8tJkCXNg6wKkouuNe2HnpTdlqsMK+iBV3X6KYCCdD6GFE4I+dDJ
ajpOEMGd/38QlE6LLqP3PAzC8Mem+GvvqCuDExnfiZjx5IEaJF7eCsOMzWveREE+2UmkeT127KkW
k6wOIVNUXfYqXpW+iGY7zXuutx1uuBBGNVuI/7aiqqNJwuqqntLt+1b3aZZDPS2PQmTT1axstJ0q
Gkh71FsPNfIGxP0Em/UJdnF0CXp47Ex1mpdMdy9qbxgvsqVeu2Ozz6U8RFNffqXzpvtjLeXyaSVa
ijvID9MpL/lQDYdtm6enZZv39Hsku7KCAVYjx+tedcvDBqxfct9UkrNbmHHt4nangDLcyKCvBDC2
+9i/4PUxXW62pVGqy5eQ2nLP+TjqFSB0AiBgutoOtpEAQPH1BLT2LqGPVSEEhHFb2ktgWmV9oRYk
wD6bLdqyi23jbXQYzViKT+A4Dh86hYvfw85p2+YyZn19nZGkIfd9M4bxIdPIZt8GquqWD3Qc+jXO
K9jiUCxgocqQFG1Ba+0OrWzj+XYas7X+ewmjUF+JTbIpRBEZG+vHIAZl57aK9gmuS+FEUvU4JZPQ
eLYNIdPOo2mZw8dxIr25wole8LxbFTcg/rTbfgJdFtDtIx3L1hRJJRT92/bBMqT52ExRux0NSQ3n
cDyXZgHxYOpk9m3RQxl+B2lhHJ7jFMqnW93SpX8IkjTIbsYlyLqHie8zPgCfZTnloDbPPT2gXH/b
z53EM153SFHVUD3PzUTVg2gob5JDMgC5pfPOhsregiXA+IuMRjw8TUbuZXXZEIwyakRqceLVXiqd
M6i8nsREw+XBdh2SEGlfzc1h6Zbe/JuppRynwg49vP3jcTA3UDpzG+N0TTkjKHde54992eBdASZN
bfjcllUcHbUS/DgaTZpjsHchvjpyTaD09YmqDmRfmh3PM529H9JouBdzncASUXTZlzLhWlzD1WfE
Tc+UYtzxg4Kmxd1vSNSB8e48OPpCYRTCYxwuozlaSevPZFfKXMRZF1wjIzkGSNNWHSm2UScfwqEL
ryyf4+HQd6qJ8nDrpvSkYiF5niXASed8aMHIzBJaqnyeW+SmW+AdvnR1v2w5F1yEeRfgvUoaMl5w
QDJOsJBLv6D0G2+2etzVoa9s3R6Tchm3POSdvhj1Ev+1jGyjuaFaSwiVa74cwToW04WmSfxvbecA
JNSGfUzHTClQoZu9PNI0EepSDRqvNPO4i5zMNHuON2qOfcaW9WRgd1LdryILTgHIDv0V5IXmyzCE
4rqequqfSIbolZSwKzy0C1viK5uVtXrSARBehyqEp85xb7shy0PdZePjsHH52CrUyefjUoYf1lLy
6mgaQviRtbwBua1TVyrb9WOpA1zWNhqU89H25qk1A7vcUhC2jmucLuMp6PpNn+wYbkuB0zOVOaw2
pv9G0cfkjlRSVTkUKENzI7oJb2gKBWLLVd9IdRjLoO0v473sTYE9dzN3UAVf9XwZ/wt3gdHpRHM0
wSwE1pkhvpIqtC99leCP48VisIcG70SPFarxeR6RjX5Y5yGV1+AvUWgBRGPoKU5W/lEOoZxuEqNR
ClQpvcjTNO11cKvaZjKX4M2sN30LXHLONVyZDrOIo+VDFDfwOIyHvT1147auID+Tbf+ke75epHgj
ua2TqumPYYwCY5ogqXGb7awlh5VtCtWSSprbli2s/z4ubZ+eBJ3SNc8kH6M8UH29Pg5ZhbcQEe8d
/p2gYhkvgJKHRbjQUh63rp+hCFqzen9StFriI2yEUVlHpnF/SvCiEAAxkWn5ZcosrLJBxJvjY91X
y10JdS8euLld22LZong78BpWULmcmJwu6rYF2zan8dzmMSq9b8K4ik9z14wv2QaW4bKNfLwcJBS9
1+O2beOHpet1iTcniHzZo1ZbM91hLyrpnbHZ9mnLdFifgh2F1xcND+C5cJBDDCwaIDXsu0iZQf14
RuIS5YC1zK7bCeZ8Vz3ceaXMGzHE+jhZuGDd2bnOamChQtLcYEYNdxWva5S1L53A6ytQPcU2VOHy
2J8paQ8xbVR8mKQO/05SOM8hndcJWMyffVM+cZ0OVXsTC57SI2wwSVnDdcOGxzrhpLBKfG90YF+Q
sN+PKEbBRK+ybDgEKbzscD1I0scWb1afmVHzt2xv1yEPmynNDmVW0itdxxoe/Mt6lxgyPdVNwtlB
jbAE1LKJb8w8z32eLKq7QcZGHCzK6A6hbslVYvrsZlW7JceFM5AMOf5Q80WbSv+doH73g1S6Wps8
KTVTx0Rh3j9BIGaSyzHeSZ+vqSHVqWll1hyapZ3pcYgm9iUsM4bMemDX/YCoToJcRdMQviCopvK4
ZjIYbkW7V7DQa3Z1kqaskwvIrBqdY+qZmzYxcEQne9hcVTEAwoeAT8mQw3ovvVRVs9sDrCjG6pLL
LL0DRW6YclUH7XpBq6ZOruN6DvV0GNdxs0s+ks3ED1pWaXJYegCLjplsxWM7aDYctSH1s4hG0+ak
XGJ7ME1r834CDiwfGZPLfdBk6XSoTSavVN923c2apnt7YVMZmKcoCvfpADkOnvtigSOI4FsdnzjX
gbqsmyZF5mdKuhw+P/924dz3p5HSxhwzKsJruaqmvuDg1wyFWkh9bBk3hziZcZwykqrPM+jGc24N
9oB8C9svLR+zmxoV4Tm8cD80cgDIto6bCCs9SmjksVpDbk4RThz5imAs83gLsUnPhDf3a1t1eU3k
QsACny+txB0iXcI0j1UY5/ib1HHMyod1qv/aNLDB8Urjy7WeObIwmuHNO7bYx6akgbtnsEKX/mjJ
1NHrcqqoOMyrNtOd3cdyPjAjAFTSQxWwU6wHlJcKlPhFU45DjFiuQtKnw6G1XSPzNdpXedKc2eE+
nqtpOljbxeJS7RKewmudVem1TXEeyYdBz9P3LWpplid7C7TfjEP4cjTlwtvjMIiIHOoQZwf4r69k
/MyrMjDHIeTldFQCoE50aDXPyJPp+rDDfPoWh3rU7Me0nP9dJg5/GpWUpD4sErPphqVDdo+M7F5e
BBSHq4tWGbo9Z+PYUszlaCGHXtit+zBUc/yXpjpCjGyBwgklK4PhwGFB2+FdPFL10RhYvF3EAVwI
TnGZJeEVWJBtdow5EeJJoPaJ3HcZ3dMcxwFx2fVhEGEEusje8wiXjGO1LGV20G0Wfp7SYJXIvdVM
9pfBBMpm3tc4t/4fc9/WW6uOZvtXSvud3dgGbKSukg4w77nfkxeUtZIYDJiLMRh+fY9Zu/pU7Zw+
6tPr6UhLWoqSOTMDxv6+8Y1LGodlw65qMBSKtCoNdDeTM9X1REeMQYsAJg5JtIKqtw/joqpPfSHI
A7D5iafYN/WOUyKulVv8MVNRV5q7lQzzHT63/4OJHKaILUwPyoO/IgslgUmtmH6u0yLoBmnewOlc
M85Lpnhp+BPExdGwj3D3K54OnMTyh21GJKOuJaa0iXQ6fghF6xRMnYvI33gIxS3TxRt9vZUa7rqZ
HUa7nOAxZYc0kJr2WW3hZJei6PcvSqndhOrX1PrUwOfqGU4pwk/azsJ7su9GB2NR3rn3mGpHCpBM
5lnvzYQNem/qUbcbM1RQx+GzTjHy5VVYgByJo3djWe/V19jHK3ffWmiMTutSoFelbqmag3Og3mcD
R2ZTljuyioyMNAjSlUR9sC9nKrDfTLSAZfc4LuOerBHawFkh/fgJ95yFJySJN8Nnp3GE7sIoWPv3
ikJelLKISHezhMVCbtnk2WIDm6BcZFr5zTYKOHlpKRmvCoazP6OktyG6hWaE/oFBVJzVQZ+vWaxb
a/edcYplIlDaO8QF2Ha3KESZTRG0WQ6Polm77rKC2xsqrkk7QB/FOGx9vPOVzlcUmE1TsPpR0bCx
F0qDwfvi1WHQvky08aNr4sZZ7Bci2MPEQtZhndXddTsNYbkfkO8TZiirSZX28PvXG2djTVOIH/z4
kzFwC9ukJOsM2t9ivQuPR/l4DDqMPdK17usOT0zXrkmvwhgMXg7KHT9i1ce4/jDw8a5LP8+9G+RC
oRxQuYcnCDdbFVENORXu05Yt/jJjdALzs4REo/WhVwiGh2CsIyw66MZd+9q1Vs0/Y5hQ5j/HKifr
Rzxh5ZovSvGg+uesxnpAixqLKE9tTX2bLLx1bGP6c0RcWcbzyVZmUFntcHol1SDR3MpyLN+DJope
HAK8zqh8J/0IcfEcTwCmRLPc2gZn5pIxD//nCAGo7OxOeTD37XJDkHBZLGk8sWrqMuwFhcZNtQKW
KApNU5tRZdC9jMVCYcuHGWS8gc2vqTJWVotJkYNA/QRMHNlhV3BwCZnQbD9NFUTnAKEhTWx4hrLR
h9l7xHOQgRMx1UvwQqhiHJVGS7w0KOpSXk9kZvIT22yvsznGWtoWtufiIMKpQ9pCGLshfo2LgZo7
WwAhuNMt7+rUhJGW6DKkRZBwzbD5ceyj+SYkRJYxCF4jWy9xW6PytCL35J7qqFQ7MrGpv/YMIzSb
sMOoY9v28z0CUJHY2mlbBLddWU2oToEV+J82ZAHZcB/Swj1ITdOaDii5p3uzGH9KwrVp6uNi5nza
FYYwjLlW+gVmz+wncyvduw8Rwb2w0kIO4nVmgLOpZTqrWxt0Jz7P5afWS266xFB4i6GEbyusQoKI
w2o71z5X+CsFvP5Nd9V0ot3jIbQvhV/nImGTFXsareJL+RztauTXPEwXDEvMhlUlry9H3JVOJVVv
gVIny9i0dbKqmeFO2DW8Qfo1RG/LGrjEx+3NZjMGU0bDnt5E8Uj1iWFcx1D74HhLZK3DAQTO2lJY
Dxsceki+jNmW9vBU3cQdZdVPR6S2G/iKmgDxhgWJ8WyhwE67bsBcZfR8iEtcWIfXNEa83U2IxKw2
ZYChdbqiSa6zch1NcVpdGRrsb3XBEpClIRIv0X+OBwYD+svFWqkSpErN4sIEy4AeymtZaRKkykbP
YW3EB3OeP776xBh3XXAo8bYAdWEqS9swx5/gdIgkMLDTijRCEP0t3qIPLybhiRH7ECEWlxwucvAT
bnpV7f1obhCYbkUbsRTeFeSJ+ECeEgerifuKcKAyiHTJ0Wm6qBUHnDeQEwYgSx2ArLcRgs0qFgPP
gQVD6nv9UIIqgG0ORi+TQxsQdX6Q9XkLHpttZJ+fBqJXJJETntMULZ64m4s+5okfz0KnnTDlSwRT
tMPY5gNNJW3EY24F2NJ9FxcPveyj58ryKkyJX5XvkH+t9wIxEfiQMw50dD5BnEwFi2+iKS/fuG9r
knlzpQ/4JcsNW5i3wcZa3VZSjRTFkpub1ObC7ELpRv/QqAUM6kBgaaRdFSKwRE0IQtquKAPkFmba
ncQ5Z5E+NefYMo/eMLfFvTwTf9+6qkOZQzGJCb4gy5XFfQN6PUY0BKcU8BqB1qHMAbRdVfFYX5gl
9DfKerDxKXE5+s0wqErcwRTXn1PuUey6OU4tbTOMz8M8GyyK+x4LzCOA0rx6SEIHFCldXdHAdBro
SBKWblPF7RUN+fI408ruZS385TTKVg8/jfNzHBbNOMqjt5gGKkhflCyeEgVJzY3zGavTuOqbPgk4
87wb1i/F5cgK4ady7PhhFc7LD0Y7+H+3VS7Lx0YiPe8mF2VAUaOSyaW2lPLW5xQJTLGxzVVoJoYA
kjpvl0uHpvrA+rk/LTkNbIreCS5DYY6DdERLVt3oIBA/SFPXZVZxVCZJG5bxPUO66BGj8A42VnYa
UGVOpXsCRqNRQXsQuqK1Ue148gYeYTA7zMuz387zIfeGlSV1nKurbmqbr5pw3mvgEAS7Rb7Ua3Nq
JjR8p2kQsUrsSqxLl8qhzw917cEcKsQ92wlVT6ZIYKNT5vc8lJ04ecorj3VX1XM6BJXzjjS3tsPV
5OMnQgQrmYR2LHhC1mDpdwFMpl6tcG5KUcfl1yWd6UWQx7fWFiCPwvBOuAzb5nppWNnRixpD7k8I
6fmtgAHB6yLQXBx1Qep8P5DaD3d+EC12h5iXYUzGfi7vQsgTb4MxL/pkyPnyCtkif6F61sdqZHrj
62m7FMBaQv1zZngkksCY+QXzgyABOwbVGqb12Dlb/0qiv7xmwL+RnWVAEdhMKJ+eCrK6Q4+z8xYa
GuMdmsgBIq2jfL4NYroeJ8PDMlnyuD7KbvezW+dkXJB05gJ/zvhujGEtkUZnJLggSt7TWhYvRGBx
laLU4C4Fod0hOxKyvAH0xS4dmwq3QiGG6GqRNb2K5Lq85wD5HpswN9dLF49kH2vyFPtLsszDVyin
h7WuCYDlUcqjCteqA+QXFqewL4oDboyXdAZ2muDRzM2SjWaYmwSXP3zMvdVNWYTieUitV5fgCgFj
+2IrDObwNDBg0EhyjO9iNM3XZWzFtcdUY3DqLNIkBMsWz6lZ6lvlz27arh0Lqk1RLsBdJz/oX5Hi
4lOc3IwBnW+8WxJ744Ewf0S0Sz7rn0G4Lp9imTofAOQS9jgSGvGl4YT2EYSTwkujfqrSHPtuDtwD
0DyQyILeUwmAGhK72b72VDc0mTWDmUE9DGOetTFXQ0JlmDsUh4u7sM6VKg2Bzz+ABcMcnHg8LdGU
mvkNEGGnt1PUi088WHQfReuV9lhzFStSXbJ1mKok6pi97qNYXmK75j+qBmHk/w3r4r8eNoXfrQHg
6zyaLixBi+cTPUC7uqSMxb/mgxN+NweofUAbtNJgjGCJexPKrZp6r782rmV/HmTJsiv7SZ2Hh0Tt
1YTtiND516Jugu+y734KytYgNHjj3Hn9dEgOL1fr/ZIWIfiu+yasXYocx+gGXptE7MvIX4/UYBK6
/ZVLE8Tnm/0vY36w1RUAb1Aq5zm68/MLGquXX3vnbxd9WRSglmIF6yowySqjGy+iv7QSsXP9+UNj
uATBh8ZakTL/0c3NKxnEf0fs+69XefBd8m01r3NW4L1DmT8bsaaK/1oEXxB/4wyWpqxD5TCtLTz9
FjaYY8np7Zcu9nfBN8P+yuAMAEMzjSSHcI4YhqCfv/beZxbWvywRNvZFjK4QouyGfq4YsMQ9cb82
wP4u+MboCIKY/izP5N4PhMSNGZF18EskNAC+f/7g6Gxcw0IINOF+ozKFBvoJI7T+lxgJwfegCBYs
ABDNeRFakl8QQBUdW3/1zb89lgV28bmpWpAxrbmKFpXSzvySfQwq5G9Xxa0A3iOIp4LRPQFaRIJ6
8fxrK+XbcylGzMo8AuFUPizspqyKIJlXaX9tQ/ku+8ZYNIrXooDK3sMoZ+69A1fFrzkwYeDw56sS
zr4fR34H4y4GbBazC1AX0Ff/0nX5rvuepMv5CvsuUO/ip6nHTAoA3S++97ens3Fw5gfSDXrJQPc1
t5tak187e77rvqdo7XMu8LGB5W5nrd7iqn3/tSvy7dEcYJ8JI2zcS87sms6sWvalMWv2a+9+5p39
y44lFhALZA57R2Vjg8DwISMIpfhvTswz++X/5J0E36MiQuA4sOyFFqaeLWpHyXIEqQ6+A+2CdZgL
A9ZSVbdvIuL+EaH1b39ykzd/+3d8/bPtgBkgm+nbl397aBv8+/fza/73z/z5FX/bfbZX782n+f5D
f3oN3vcfvzd7H9//9AUid8GSvcUweLn7NEhB/Pv7y8/2/JP/r9/8y+ff3+Vh6T7/+tvP1urx/G6y
bPVv//jW4eOvv53l/v/2r2//j++dP/9ff9sOn/pn8ZedLd81FtYf7/ifL/t8N+Nff/NC8ntEAiQM
xgHMKuBWga1y/vzjW8HvKNlBURAsjGLGzjpRDX538dffwt85DzkDNSnmcSz8s9TLtOj1/vob/Z1Q
XxDfZ0TEvohQAfznB7z54/7/cUtwPf7x9V+0bW5aNEAGr/676vKf6ySETR8nIfVjgl8i0OB92xT7
8ZxQpmcAIzKfqoP1VorhHdgV0IGYagoSwJq+STHXgTv2XPbzKwOyZ3fzWLWZyCcEwLRumctsXPvW
T7vWbxxWnZS7EAs92ML0rtqWCmOjzRiu8x5MJezAZlhEnMDf2JvTzsroHeB6USXjUMjrwXhtuWWA
ivtEdqNn05x2hZ8wsoLKYRc4xLegc3zFwjRPU9eUGBbkGCHvVwxXXDoNTdtvmgZK8B3sqj0QLM50
otTkRe7uLTSFx9lMxqW4+MMrlhoCyIgS0W0PJPk2ktXU7JulVR+Vt/R34IFWrzGRQLXlVPQvEvMa
mxgEyHhXXM9uP/sMgjZV9MtnA4yaZlq0/KdtafEy2lXA8QeJ41nT8vXcrBMPNg+rXvMU46rgsa9j
9GRB5SnwS2av+SA0j5onZFmDjYOpIumz3AuiAlvcBFBfNy5MJXDrEaPX0Ookb6aapGPkSvB+Fg+t
sghpVN74GGtXSRVXzYyZFbO4iwViQRMBnKi/rEzRNLjW1TrsrB6AAceF7I8BFf0HwHyATyjXwDUe
+CJgPK0gEUoqwGhIPY3X9qqx89BioGmMPTL/nLFqO4Agx5Lks8QQy/Zo2xuIinZ5HFbXuoO1ypZR
GCpnUIerAtM9PX4UsaPDha1gvXqgDRteFt8T75rOwUdUaIORAI+Wp0B58rn2Z4wiKwFVy4Z2QWQT
N57BEQbTKYh9u9kYgKe+Ty8D3gefUve6ua56E5BtUXok9pOpcepxNMwE2Qhcs069hq0uoRbXNgHc
XV1iz1Q6KWMesK2pMau647wbusSHf9MhBlxDMuBVTmVRAQpdVvNeFg9Dq4Sazp0xbMb7Ds9ZOoW2
exm0jymHHKT7QVsQq5NlcqXJcoASL03vSOb6YXQJCIDiti3K1tsyAEjNLRk7OcA6q529QwCLmi/0
4KA31EaBrYMNDEJVAIqMnyAgGGTSLDAPyRgPjYJ0GAmeW900HrAbM4EB2KzgdCXhCLpKAowYyqiJ
g0GR9uY8zamUlGoHvkz54uuo+OwxDqlSHXHMHyh899pkANetwb1i7d6FUiMjdQjclmEqj9VUYb1n
JQ9W8A1hdSM2ndMCVBI1T0XmTTGQy0oCaCMKFgpZrAQ1F9FU6HdOTF8kc8CG+2pm4B0UCATr0sCr
0ctoGwf9pS1ahHXTpssBuUofU3HE/NjjPIAdCeQ5kltCgZDunaebHdRZ3ZAVIGXdrm2fv3SFHLx0
qEdxhRFkPmTY+caHemiKJosBvj+ALwkOyYTJ6bNs/PiuQyTRjb94w6ViK0trGVnwKLwa7FAexG2f
DU2D8W1f2Nbioe2jN+yQ5XOM4Nv3PFwExi+xlXWKnbrHEQsd8ZLmVa6vZ+FNxSaaKZ5NqdV8s9Qd
BvkNsXmQNksFuqA/YK4FTD+McyzRWZBMAGx1aak030u4ZixJsXjGHevcAlwSs82x6icx1puhnPjy
R432Pzq/L8ufQ2var/H76fynA/16+sSId/j8y+V7Z/6ytfrjfcTR+f01/x+e6Gf28P/9RP9f1oxD
+aez/PyCP85ywn8nkc9x7BIugr+HK/1xkse/hzi8UYCHFDJp1OH/PMiD+HcfdvQ4rv2Yo2Q866/+
cZAH0e+M42jHQc449TEa+x8d5NHfDXf+eZJznzKsZeTthCF+H/7DB//XslJhzlmI1anUj6f8CNAc
Qk6Epc/8JZcF36JxgHWz2flsxzp/X7pg3ATujZcKCDqto7QmunhAsqpdksArqkdwdREPBOqvRIZC
8bBQHNDob3Y5Q48NEkiKMHbwGqoOsanUbcG7MgsLMhKMh4lMmyFgSdQWMiFjCWbkdLCwpqPVy2jC
9oLFP4bBHhcqEtgHVEnghioDzQBUkCpTOHWk646IU0CQLKWXGoPq0AiQ38DqCJ49YhKwyNLa44e+
WVVa++s1OBjYYVe2oznt0xnFysI9dB2XmG0kw+plTaWOfr28OgL3BjVUu550W1BG00E3ALLzl2nx
9rQakXWq7KY8T0rkW6sRsjgfSfc2YgPtSvESVRt4NCcWULz+6LBbaveM8QrNFvjlwTK0ySZDqwR0
7yN4wDjhmx1s+h5tFfwEq6U7H8qPLUCyRWCOXcVbUY0XtUF1o3SLYbE7gXu152AYBSTe2qCSx5mC
3BqrYh/Md8zlx7nQ7on3DIkcDzy+5j1IrF4oUtg9pa5114MqWKpJY3cVYoZWAES3vYq2Q+HvPcZ3
PW0ufPcG5m58W+NwfGo70T8Qr7SXft4+jSOohsMINLfd+LN4xpmUQA/8SoPuiJIvaYd7VRjwn0oJ
2AwwZVOMMotkUIOr3u7rlm54/GMVHsqM9QRHxSnrkM5s1vkY0kBk1cIOE5iBk+jLp8GatJ+bZk2U
P2yEKu70uiC8UfU/1t7On6J7zm2DAdXyPlQqk7m4saq+Geic1v0toWHiYVTp1XkGLFpmICW3KaKh
BpXwZr2goFaZIXjAPm6enNWPkPUYUGF0sy/BSNz2KkcimO/XiW3JzjECDhXLuJ7SUD+GHE08uSzX
+pZG3SnKYancAF0aRZAWKr7KiY/yS2bGlvtGhbddnD+1LS7p0oNSe0QyUGLOmV1xtANj75A3Konk
ZRcd8kilrPETvwhwhLWZ9GwC/cyjoC4N+YeSTdq2p4o31waWSWjaMhGeQmq3yzSdaATL7tg80CK+
L+ufqzzJRT3S7oQfvYxYZTd0CrJoelubH1BdRYE6Mpxkrt3ZuMsKAGOyOsXI4HO2xecny2n2xh8k
x+DU9Q48g1vYTCU5axLVD/mZXo+brBMcQqnuy8d+8W+GVT0vUiCiOtiuFAzzKGVLTJLCgVXFjzUM
Ey7AP036uHvoI3mLgR9z9YHnE80wFt43po1S6USfUNV3Cfg3NumY23vG+wJaUJ5CoW5INVyy3n7N
ZfnWDKDcrIt6aeXKd0Xhb/qJXcVUofD0yh48nHD5SdZevoA+I27nGgq2Otdj5mPf2GhGHopgmo6r
E+a6WWO7Bf0/SAIGGjRqiiJVnpgSjG1uqAnvB9beVWK+rOJhp2qlvyo4mj/BL3EmsPAJkp5CSQ0h
uI49EI/SMxOrkuUWMZJH6Zv9VHiXtvKzAQLDgZu3dRIFxlBRl4QUSrJhDzHDaVi8+3wUKuXqNWjm
VEk9bpyY5Bb5whZUyoUAtQMFHGbERdrLjezfc4cqotVgg030WrOvuW+yWUXuxQandoWuu7MIJ2cj
or8iWXzMOSpSFoKolqzDAlaZq5aNj/l0yvigUUat/hvS5PkFGYo8LdCzbEozjht4ccc7o7FMe4E+
p8KIPzP9daUM2GMy8GWSj7JMWP/SUPFQkMHfqdgzOCdW/+fUCwgt4CGSmrVfIA+D8X7/THn/ojhY
eXn+MjSYdMfiri8/OlPjea45iL8qwdiLqv2Eh6NzqMczj4NPdAxGiWJ4N7KfCLwcJR6NDjskpr51
e4Dv9lukmiLLRb6vJTuCcL+tsAy7FkuWvZfFOR1Xb85jIF8ESTXXWb746FWDS6R3JC4HYZ6TYucv
Lwb7GeXeq7+qjPcNLH6aoNqFa8s3NW/B+hPzHYFxmZqHCyrWi65Rd0UY3TPiS/RKdVufukZc8a58
M87NSWHdhcCfNw2gdg73Jb0wIfC6PMEiof6arZh/BhKagTKTs07zUmTWXATBfY/9tQdlpPDlW3Am
k1VT4o3VTrYuneP4Oo5UItqDGS6MfMnH/s0zeKj748R4EkJpbxvwNgj0v+CIFHzIkAR31U/jjrfe
Jdr315K7Q9Q/Irv+RXTLkmAXhPsdpCyzZMtG+xz9Y47kmC6qtwW4J1cRdKxpMOgE9ruwJxrBJDTz
dAEixC3F7z4Ea4f0binXfQciccOvtJx3vIhTQEdXdSCSdsJdXuIPMFC2sqeZEEjNVuEo06Kud3Yq
T071BwvDYNmhzGAhMrKQXnGItZFJWasl64LqtfXaB8w4fwR1d3IDdNRzk2cNZpoNVrAH6Kwd2+ne
avR7lfigrooyKoOPMYqfRwKHWTieHQM8+Yk0dE3WZoi2CyXeCb11nugQSyXWsBjjK46SVxd52PDc
ymBjAM7oXL8QubgDwtbxLFLhEuGtKoEDV+ZPD71TEDzEYzoidoPwGIOC4SVkzYNH8lugemTbj922
6HN0X2W/pN1al7sAW1UxrluIybZVG6fjyk5dBNmT21mm0hYUABXZpzGaDrwJcPE70KfXEg2rT1GZ
rO0GjP9T2+prqw4BeGKJP1N/13NcnX5J4Ap61Hzaw6ApAYftVGpAMXhXVoLKMIEtY3IQwvlubWLM
q8vrFuIC63ufExuSLuZZvJS3pOnvO9bcLp69ppG784oW5v9584qpdFLbCOoIUIf8r6ZhO9t+kYUB
VDkR+Q7FQlowfZh9mzpv3vO+3sHuEzvCReejrNOXRXc5ibecHv3pieCJznWQls1m7o7h8qxBTOz9
ZV+pfQwJmCY6BXKRefETW6pUzO+mERu4WG9pdVXihRPIJ7iduHdBhiDBB1WHqW6BypACx0Xzps4F
Hoir9Bm84IzmYdoykQj47IXCLXs6C4l2l5/Awk45uEy+Z+8ViPabs2Vrm6svH+TlwlYnGcwXZQte
Kh8mSN0OwPxODpItDaHAlXN9Bhb5z8H2aezg5CBUuyejt/WZxK7b7UEN1piRlFkfarDK2tuoOgeq
uR+66/fzCiRnmLyUCHqkZXSoZZ0gRcttw6h9FMpsRtHfEXNJByyDgt7a8ov7VbaCyhm3/hEJxke2
6puY0DJbGwF1DjwkGLdPPdRI4PlvcjgngA+QbzQMaboyfgqm4VCidLoCUaFrAI2R1FTYOIPQ87H2
82ojAZmAkbz0KaDjxOFeKNGKLSjlEHQdWXhpG+dj02FfUb4+tjP+BMKCFBGa/C5WLIcRBLrmWtGb
Fpbm6G5v0af/QAT2mMUO9yRy7alU3l2t4ze3jBh9e9d0INfjUh3m9iNE452HaBzgkNIeAQChD3Ag
nKl7uz7qQCbxgAvamgOr4qxYKUMosrj0a3Mkw/A0Buu+jJdnKGCeKk4vayhWcE6kM0Vd0/qnnvlZ
SYtL2iJi0YOyEhqBkzM9TbsAQN80uMSLeLPVNNgWhaLYiGm3AZv11IMP3cF3L1mjJekHxKe19kGZ
dR97FQjH5QMs0RJvbjIDakesVn0xaSoyM4L+Fk0jKL4wu1fWLzZQtu1U0C2JL5F8pcZ3U6ILmK3/
E6Xr8Bpp7P+VI6DSNFGAzWPSuxIAVjrBL0oDF6FRFpGKDBCgQF7gef0JKTTlXtJlBySK7QWomIda
yawc8/s6WuVNDcAknczQPQ7rgB23gHaTX3uLq67dqlwSkc7fQtsAoCTsEgiZAVN0u5xM+E4EhZeO
t5AhovTvcTEK7T070eY3HkWrNzEKHdzotkvODuvAuj234YPzvCshIB/DysGK7FontoM3kxRq2Smh
et23Am1fO9kz09x7LgTaAUAf+ZsXxTfK90A9CVGxA6G+XhRft3SuzKGuAIN1kEqBTMw3Xdseqzi/
4wMDx7ztrgCndSloLzfDWdg66Y8S/j31MNIsCjp4iZSVl6pGv8NeUt1AqWE+SLiavahFnVKfAOJG
6dYzhrEPV95OtJ65GCHdgmribP5Xlmlf2vgiGnGQDdJLhPO9YzgFDxSYUQaOGSLY0GmFWmfc0fcJ
PL5tq22/B7cN3NF+hkORiZqETwM7oP7ZdWTA5ge4ffHhu2biVeAmbTs9EGCp1wA6DyWHXbIfXzco
/4oyT0g1ffAV1MFgtUk0gO/ek69I1Bd6ja657VFr4mGhcHmhDarHkUDnMbRllK6zLq6dXs2uDdDj
jiNuWw6RdtqFjdkuAyjNJISWAFmDb91AIUokd6yj+8Xwi7bvNyCBXTus7FNVfvWBeB18u59j/qVL
BaFZ9TlMYQJm2rvg8Z42P0X8JGfyxIi5hwvNQ+ia4pgj4AXc8vdwMG9tY165BzUUw1/vBfS6KQYg
W2v0DoJ2Ar3NZgGbeV+78WBol7G2B8X7o0ETfyoi6DZETmQyTQwoJzjOyWKrpK0AhRoUEoD8nwc/
lNvWK1G1LzVQhe7K886c6/WWdq7Ys/qtI1Ym0p/AHQ9HKN97xNzVdZ1F1lwitaO4QlYnS4DypY1o
t6ucEsjl4ZEhElM3DxAZwlzB/igcKDtcrx02mshlYlQ7CndrCCWfa13cQ5R0lYfmqqNVFoKpkHTr
xwRQkOHgTYsBGUB9VcCpHse1i1C0QRG5CD/za5CwvfKu7qbtWAWQdPPlnfHoyKHhucDg86tEmUOk
QmD7BLH79BGP0EvhzqLp5xLPo34RK9/6UdGlMQdHuNcbPYiXQWFCw3zQeHUHviIFhM5pJhV5w5jm
pizyfQg5EzsfJDTqNxB21hAFnJtVmdVg6cFQaDeYECufHDVhJ3+2iV/bx5A2gHMbvssd304AMysy
ZyWIcLxkaYhSMomxU1XRAjGCS86pgkBR6POq5IyQO8AbxKDNBp1tHg8FwnUV5+8gL+0bYf6DuvPq
jRzJ0ugvYoMM+lcm0zsppZJ7IVQqid4EbZC/fk+OAWYW2MXO477NNLpaKinJiPuZcw9DyknYN3tC
4egzNEADf8hlMPvFiTrqah6po5qNeem9ctWb2gti5bhiZbvkxM08PUi4tu5Ihw8nl8QSV1G1J2Tf
MbXiTL1yIxpOvhRfFmddry2hMXH185IOLW2M7cuIvo/w2iiDttucXib3fjlhl5YzBUvjqUcM+SIO
J9uZHrNuTO5qxpNJ/YH/Yc5vfSMOE4r8pHwS4j0y+GrIut+S9YG++pOxc4KNnM9Jqi5jan7XFSwQ
r56oO5sNS+epic6/4ojYI4JUidAkOXmh+tGnGDiA23jjZrLeZVqn32RUHfm26bjq3VM18xtceEjW
/aSpQJnqCidgPVbdyiagHphOcy34zdMgX0011Uk93eSlU2/1nriSh3UZWv39Z07O2pskPYpunRTJ
S2TXa48wajAATzjZiDmXccH6MxiRzWx+awpQvc1sbSqrk6HdTNaBUuSN3HF6GmY1s8W32iB2i23Z
q8NicijnWCskY7P8WbbI+eUM4dqARBtqTU6oFSkoSEv1RTuD1kLTP2TDvCEKWQaVazGJ7KbeDaNx
3BilHm/0KM7lOmUfzqofY+fCSz5/9QTCXsYswPv6fSDjH8QT95feKbfUYwiVF/18AW+kfs1lOn9q
hR7/5BVi53CRpbZLZfxlij7dxg2l1IEyHkgJhi1EEQK8bZBrzmEsXmyDObqOVnFD1tEb7KfBpcXe
q13uOs52NPedsn7MFO0jn7V1aaePqq42ZrZsxihmIPPlck6G5lUziZBr7W3iIQ5GmdwoUURBHNk/
fdJu73cU05nWkX5KsqNm6CEJuZVld1ujBU9vfpn9uDKKhpr6cPOrEftRmmd3mP6ISXKKynpPdP2Y
umWxE0t0yzBdpDC2ukKamkf+6djz0S/uPxeKJ7e21M+l6yuqxvjBmjTT1yJ67zJ1Ev3NL2/SqajD
tfsocuIrwpRDuDnIi22TKTsgK218LNRAKG4CwxqpyjSyABivzinpOPNpHiwD2+yStibFxnVrvwlk
OSQ9tZQrb8wuqdJWC6eS1idaqFXR2pLdyFVkeUPzOLiuvjNwhleuaRzcmtOvYKuNMuTTGGnMb6n9
runlEFQ5ZR+HCzoqfeDl3i1t7CDrnY9Z2T3ntg8IQKQro6eOM2XymNnPXeyGNu+yniN2QEuo4vRY
1MbBcxB7UgQgej+7WJ9xE2lNlBMqgrD2MVPP7IuVmMaZ+LL3ClKRjD1NlAkACZM01UttlEHVv3fa
tUOUnmM65GLtcPDMttpy/w6cLgstl05UsER+HOqxmt7obv1obvxzf6pYNLzSK7nVWv2tJ+nBJ3G5
NRV/X7M4TFXYVnt00AN56r2T6IFmpxQQtqP/mvPZUZH+SOPpI4e0QHg+wlQt9j6ohmHqn+r7q0J7
rh0/rBd7NfGDz1R/HkdrK/X7y9nfVooKS/HR+Um4RG8OosQwbqbZ+86YcDTEz3wow3KhNzLrW8cd
6NH2m6SE5r/OxVOivkX5WXhvczEGUfKHV/bRb8e1MYiVk7936S8UDb1Mtw1Su24tIZrCpStop3SM
DIZxseAZ5GOBpFZ1xzL+oV0e5EZ5bgkp17G+9YZ7qWmmQyStsLJNLmz3mocXRE3mbbTk1XXyDUMu
P0ArPojkIxHmnuLwXhsfCkpuK4Afu7akNKjBqrCdB7t68szPYjADMSdrzMhbWTDQt5a2HaC1BFab
X7s0P0bMbAEXhrXhFGAO2rBaUKilNjw6y/S7tOI/tcEpqLrmofBEmMn40R69w8IbT9LdxAHFmCiT
iriOeG3oRjryVY6XChckml4MM9008Y/CS5AE3MVrNV2n3g58gC6z4ofbrSxnKR8WWqeHyar2mrrl
I1aE6pyto/p1kXsHKx1PelsjCMchvViKRPu0mZ4L8VFMVO5H9zZ21jabq4DYXWhEx9h+t1Jvh4mf
4bm4vwCI0O8rq5NFCj+VxbHur5E/1M9GmqA3aTuZ0VeoFVOiH7rRU5pFR2HStlPa1oRRk9nxeiHq
ngvBoe+t+oqGrosHGnEI3ibruRrorwpRnp10HfcfgzjMiL39nt4ls3e/yqdsNeoHPB6jPTFHWcax
bM7sV4MLwMfpACe+S5e9Fh8qbsdJts65KKbrqnoplmvhlBtb/9A4wrNTUx9U7O4y7g+JerbG7Dyl
60KfOUAiPjsHn1JXmsehJ+m38pG5j4XWvTW+/IlMhamtgGGUgVSvnjVTMeoCGs9n9OV6usvOy8Ww
GSEnc6NX8YPwBXAb6MTmLrHSSyvPdo6DVef0EyyuSShrqTeGli32rrSvkstS9MrrP4hcihfyaFdH
uzg7XD41IjRIRRszNSjVfqvqxexeRbROBedf497IWBw5h85Rihwiil0xOpAW8oRawEtrZOs+xegY
S7q4llh7y3ZuzF3NBiavoKPfXlogSNQFpU/QJ3tcunCutAB5JbCy5lRVWy8dVsjDPXuskpR3lNhY
/hJayvhN5/YpcauYXMMDmSaBUYH94dmUG9yjJjQZxmWJBWiV57HI/CDx3dd5nsx1vQy7nPGL6xMI
jGUvDCfAKQg7IwsSfomFrAc+c+xxhb3s7mYMjaxZsMwTT/DCG/BrEg6fwgik7pV7Qj+MZ8UJvt86
K4ZTt/TAlbTm2ifR5+RAp6G6vvTDq2158jUbi+rgC59LoZE355lMUK7eForUgd51X3WRntpyWZlD
jtYDZmBo1kBPet3blNo1j/rgLpH787xtXY3XsQO46RpBsDHmD724pd1MtqFZD7JOf1mWfp1d6zRL
1gyrbqvETNsF1/Yu+j7nWBFy6e4o+HRdUq4pG/7N+XOq1qX/MhsvMruYgu4GvseiASTgUzqbxSYS
p9IcH4yOTo62T+t2L7xPv09vGTqsSB8iHdi+267dZd7Gdr/mqjDl9T4p9vOwTqI3MR0r+wmd+9KW
JjfwflkJm/aurSNDsRvyCSp9AiPDfPftCXjouzc2J5rpod/gs0koGa70eKGU+6xYziSH/lTxbwv5
OBxQKn0BCIOKQLqRbnVBMTBRo6A+5dZ4GnW+SfAOK+Jnu9KmDV8BrH53lsjZ5LN44Anr1xlOCXTC
rYcm4WvvTNo8VC4+UDe8s1VkleQLoRTzMS4T0jpO+h11kulMnP0xXg6pqtaQFHayM1ukuWoXe1oT
gn1gJjTQpxFEQ212d6NLA66ycjzeVvtda/6lWnByNd26gM7wjmzOGp/Hxfok0ddh/qibgT6k/PZn
6OV+pvBMJibuMb7Q/H0ESgpEuCJKPfp+pn/2tubsumXwDtCGLhDnV9L+nLHaoQoZCrEIkSUenXLv
+vMZiohcG27shFUUK1TBRD5qdnRbyK7tBzv55YvYXKFFNqskanSeqi7eZaVhPpbGJvJNNrekV+o1
fLa0aQpK9uX6yUKDP4lnhk5lXcn7kQXrZ9J4wsJIj6kDvzIaQpsy/eWYGXG/9SYfQpIcWHvAaph8
4yK+h1bZ7hpXvcaK34acLLW22teJ0rmW2J++aW9yx8LKtsRLrC8MYYIs1RTkYrk6o9zjEW9ij1xZ
l+wboZ96X7+4yRgUmebAL1DqkC160LA68KTyVg+LRdO3Pp+kB6JgR6OOR8piVRzvq9yGe9O4M92o
rChexdBY2Vqgk2y7zhJJqIvMHRiUTKHxVomf03xoROB2CfJlThRKD7M5206U07vG7A+aCZgeH8c8
DhZ/pw7fAZWWBnq0opNob6it1ttOrwjziepWE9AM/Dlyr00s5Nassp7N4an45Xa092nBrhk269UC
5igwGqYbOlmKBCBixZLo/RMrTM01mr7xQHM5iSEROj08owK3elAlVUNHpPOjHCUuuWXoxqYRTMe6
hepQmsZTHjVfgzcYOUwAQWW2iGvzfSpd+TPeZd5YGEQqJ7Smgo1VPwulv8CPQSvxDIKVoyR5XeoW
zGreoq/A+Dj6DZnAkj9HlmEeGawWjf8Efow1BlgUao2Z+Wds5i4oErJSreO+sGVwCawm2mWEN2ih
V+Y7pjvWNJSH6yAWbW3pBm+PajJCvdGLjb2k/lucgwMNin768DzxnVTS6neVM9kn2U3mZwu76RiT
eADBkNGqmyWXex0iWDJpOz8CDxf4i0Rrc5KB2wcrZSfdqk6OhuxURzt+F/D1mDgOlWy/e/gyV0ga
zI4Ykpy6yl01HFCoPdoIG6ec9H1CIYV3/DRcjGK238bKl/XK6Dr/R6enXweWro1bUbQbhI/7rtys
nsOEmWbbJBrKLy3JzoWc4rVMwmy8/m4tN38CS9TcYDd0WChLHabT8tFHVbnRy6X49rM6bcMOqQgz
dmwAb8MNyx67Ow5QW7jAGVhI/JJ95rvRy7kelII6yyTejWoQV6lH4r1ntNlTKS7PYlrkVrS2IOk2
x9xzGu5VNQeMCM3MIBaaSytAAo9wQItIOjzXRn3K7otG7Cnxto1UKRXlijCn32KpRHnjbCv9nEOb
xUtUlvenAUy9xtPW29Ah33LV68r/XbSasc0WzV2PTWufI9fWNzq3hAMaNVcpztNrN2rq1R3VvBKt
cB46Y+42TjFWyJWN7Rzb1gTekoM3GJueLIzJYGH6GpqEkpNkqHDG38UU2+021TQmlwhCVmuSqjzA
b+D8FLFxM/q4DLiiuTV8WQxdZrA5hDFUo83lPVaf2XdnQiEWi5nrOX4YkICh4xjjQ+4o/n69p+FL
G+608cldn23YYfyZnOV0Di15BP9+m5sx5Byt0V+9KFrajSxTtbPKwvsY8566tZ6Xiww5xbSbyAn+
EMz9Aw5GITTM0Z+ytURQwl0NbdMw1ilxqgqRIvIvfoxu0oLhDvvM9fi1pPbe6Gx4arLk1KyMlIXS
5Fsr1zEYFmvXeLVofT0g8fgtyaKmMC5Ong8aueeIoCx6/4oc7bDWNC8zeGZFfULdQAHP7JEUo02s
sNZCc868R7eJ562Kpuyot9kI1YjQELwtd+eRTL9FhUofG6YMKdzyknGdJPYxRT9p085TEMnYOzd1
+qD8Zt4mebUyqlbfDK6JlRst6MSNEKt0bOK3KXetQzbZr1NdyavVV+pBiH7hdS3uCGYD5JAZRTtk
pP7IClPj7f4q3LCbLb+KpqJ0ro/8EvhM3FhDam8p8/JnydDCW2mBYln1/OwMxJ1zVRrcConRpCgU
j3orhke0qkbDfJ9TWKn66DvweVgfCe3KspsQrtGvBC8h8iYrAPw5HaN87g/e1EmeiFgLlWd43xaE
PXxqr9/UoLZWPEPYKpKZJzC47P/JpmQ+I8n9rgc8885rtv4CySPocwSZQi3Vxa19hqis45Lf56W1
T9pc3zlK8BGezO3sk53pfG/vujWav0enp9blQTJtPzaVNZyxLa2NIdV8BnA3w2YteMYy2Ce+5zs3
FVXOWRAHvc6jrXbk3fMXr87QnBqfQjxBBTVc2GqJzhRRK+O+M+YPqlcpeWj02F4kt5nS2XXmdzsE
XE7MNYaSuysS9ZJmXvFIX2E40duJXmtt1tHc8jcDqQGIaGeEi1L1rq3LjT9a08YY2yaMuDX+8kFu
+EInCzzd5dF6LoYXbzLpr9cydghIOzBokKb7ZtdKguy2Yt8htVe8/7jWKQ6XOEnFjOdiYVWSfhVX
1zYIZpUIQXjJR0Vi+EICt10RXf9A60GiqSf1O4pM9lUWivTFdA+HO8JYK1iLkLnw0ov70ygIKJdQ
XzU9wi++Az7Gyk3XLpS9kAtDz6HBRaTKu2YzD9CL0POKAKoc8ZnoQ8Q5FUB9dIgN+UDpw7j280+j
4lcXCaIF5NBtOIrpPYEh1QQoMyZ10ssy+q5iwzvNCH+SdE24QI2IZVYQSqYUruuTfuADmu98Mbm/
gX0SzsSWvBLjMPlCrbuFwObg8xhCu+gi4e9d57uIYC46TKycvT6N2EDKZCfBwlLKK582pvOUgDdp
pyi99UQbuWJ6Y73OGpHueu4fAV/Wey2KtttJsnVAK9ORX0vsGe54J2ElToAwqK4EkXuEI3JsF1cv
jId2qtQ+E1FG5BMa08pyu+y1YUYg9SVTQJ5Akn6mUqZXCxraqnZG1Ok8UR3aha8O5F/xdGDzFuCR
7WU0TiDY5ENuzdHvTrn86GpnYDwqNPln7uvlJy+K+uAv+pyv3VjDKzDHuwer4g8yGDb4U2PcCGSo
gxjHtCYeYyeP2lxV6yU2+uM0IJRPCfV+Wvndex8vcRj7Nrdps2hu8F7TM0pWvS4nwudJot4L5gee
xFpDM+yJeTwPkVp+ijwrz34UjZu6WPwyEALeVGe7+mqgYhEutWrXM/Spmy9s0rEF2/bCdpHkWElz
t1fQmzuV5eWq4UjaO15lHITLCZ9PqjrL7k7bzeb5qmoCPW3q3iIcyo1yzeydhWPSIfO69MdBI5AO
0G3dasnyISPVPMNQJKCV1Ziurupf9I4PFTA2vUWm692j4+ErZdOj6cSIhiwWhN3RXgqZmdu+EsMV
fgcOdZq7/q/WGZpd7RTTdiwNuYaP1j2a2v1gUGPBKeSWvEn7ZSHN5lUEmBao2fdVjiHPjHZKTMP6
3cb8MEG5wtuMY4nRXiHmsRvdCCKoHo9LlnX87iiGE/GhY7FSLq+I3M6MV14mvwd8xT3GMNA4BAZq
3tq8gXOZnSEO8YxEccazMFEc+nT82X/04vOdgz0kR99+iAj1H+LW7/5IBYFCRieZL1sU7cB1eq4A
bbRsXON+mi/akb5GuFhDheVytMHsCKAXumERqi2PVsVi5L71bcbJaFE89J5JEaPXUBu4oNhfuBLW
OydHtCWtWMCgq137y5da9DKUVbIrkDPwzzHpFeAEXeNinzkhVQrLCouiqgPdku1KeCDBjHYX5+mL
jgg4rLzFiB888wBW4jhEFfoeGBhufe2yL9wCpSZGi0mxPcXcvA+wirV8OUXe8MIi6jY0E76aQMv/
5wrq/6gI8H8o8v3fugLb/z91P4NuJAXV/7kfcLnX8yg9fH3/gbb67z2Bv//Zv1cFhPmXbrL7lu4e
z7Pw79ta/94VEPpflg0xztd1U9wXgfD1/lH6swSFANOjTEQQ2ifOT4D/n10B/S+Pf0hdQFAhpNHz
n1QFXP/eof6XpgClEt+3PIYJFCfQL/+9jq/PjuT5JSIPbmj0dvqcGKdsFt8p8Yl4fssgRyUZytVi
ex9G17wlibZ3wNJ+Lpo2b6uk/WPHJbO3NzxYbDspuZPCLzdLopLArclsvsMEFZsyN0AgG4/c/kPT
lg+25d5JjNa1nvrkx65kHrSt3OcYaandbHgmLnXxY5qIx00Bh63Q/fSp7936uiQHPd93vGmf8sSG
yULiOsi4FvAgIKHM+a2W7TrpRJh7Jczn7AqFKfQB4oHFQYWYyeydkzn1z2lZkXck/0TIkmx/X/3i
cXuhRXDuc1pgUxJvl5kjENxk5oD5TN2ZdDia/uyCdFOwKK62nYizyzVar/J96ZMB6KM9e3Z+9bFJ
eJZGT5paeHD8AKOWFEcMkPja1fLb95nzym5ZjRGxHYL1p14Op9Kt/ySp8Ud62q6xUXzBCjI7QT73
UuNZysXcDLFHiLGySJySTRy4+HN90zaFml5begBzvDzD3v02E41sZlE9s2vmHVbewYbNhLso/lSg
zVmjloRq1h6rNDoyx42BahGEqqZgMVxZ+Jc4pb3BsJptBnycqfmO0GC65qfW203au913aWg6DC5e
O0snzwt/2CjK5Nl0LOICVqevCf0IeoWYvkpUf9yyxXGbMveWiOI5aW+F4B9EIJyCPpXqKWU15aog
zO4K87PHDCqsbKNqDX+h5VstDSKSfpaWUOwXzB4PtUdL20vXiv5K88wKx7kft2k5GuvIcBq+1dgh
9RLvSJE464RVmmbds61JMu1xkBFK5R6zVZwwgTKYzeje0iekdRho96ucLjF41JR8zCmfaFPDdWkm
98HW4rVCeTpqnuatwZszudxXvIlFMKBgO4xeaaHuZPGqbsrfaVLvJ4NAUd60O5K9F3deroOnAT0U
43aWNjbuEO0m2jpYLO4qS51uRTutDgZaJbqof9du5WG8c0S1C6nUsWwj/lpj5LwLj7xMQjk2cP04
I7kRtwNhi8ekdokddNgFOOKRYQVmN4DGMjGK27DVibVZbvbsWObM81HI39kEbNStFyeMbc161xLu
PC4wByW1JyMzcbR8beAU9POe8obgN6Bp5QPk+CKJ3uuCG53fHLxqky2vLFpk73ey9qNyD+5YhJ3m
Jhc7WR67wpp3kWdE16zdWTrPkj8s+xlKne6jmHAH/9Zai1g4v481ytkd1vMRc7PSeXINGyZkmqL2
AnzSYgw+fintytHZC+KzeCvv8X8yiwSngwi4s213ejBL293WqqEGwgV4a47GE51IwDR6oJJkV4HE
Xeut+2Mt5tkXdXzJs+XTRsa7JI0NprlGkSDgXxb8p9ljGlpwIVXmHwjbsM7D3OmZXkEiLY3bgAxF
SQgXoaqt/NTlUwTbjkfMZzlfHkO0s/DJx2n4ksT+BkuDoNvaWwqC0N8Fv5+6NDz+V/NFpwocKKW0
oNC/QZIdQEY9JHwbO27y9UpASe0TNkiVBf7SqF+BTobWPbicTKs+Rf8g02zXZOoI1vZ8Zo2t5qsP
Q6K9eZB7k8D0+p1suB0KwWREk5e2cTe9etlyyqgQACuDEc2miQPaw5upiMMvWrxasvk25nid9y4S
SUQDwwHvu6rF1nMIuM9FZ7MqQTt5oJg7W05kSNzlQ8+1Q2+6H/OdwUw0HkOhytauXU5rCv3vRoqd
3iu40uSmZkt9+UwEuVVvYmL7nrWctYSSpl0gOrS1vYv77iEdUHbMjhc9Vv+zHo0BAQbsp4+4Mf6W
i7bPrrNFsHxTiWti4y07iX+d6N2nJ71tL8dnhYLozepVq/0RI029M9+dM2oj3kzKNo2RmxLNP8cu
OmDBVrADfMMQwD4uODTosIeLtibMV33Vo6Exy4wxj+v0mS7Yhp6/PLodupNL342f+o8xmv0xkpUI
a1cAyqNy7cQvEx2ds6nn6iOVebmB4/9a0RkMWNf14IzPms0aGvY/MKzLOT0A8nap88r+wZuSJ6tM
nI2ekgGY/bjaKxCHWUFgvdZiOKMWR6HjILCQDK7V78Luscbi8p2whiR58V7h226tdHA23kLcDzEE
rqAbanp6SY3mwdC6Y1oDXG+IpuvOiADsWwdKvBFJFB94XjZaIKPGryZlOUEKLm2l6cmv2O2NrXSc
r5k25YbGoPWkUx96jGHsBwM7E+j99l68z3sMeJNVAL+KnuwQwhbQxKaxw8xm9m7vnzTfSpoXw7D6
cxflw4ON5ErSvZQXJ8rbm0po2ccl8lg9dvpjPHnJTySw9npnxjem5JMcEy3utiTw3TfaTXSFnWGx
Tqi4y6ZM5uS1gWG492Wz4K0t7CfvouhUcIxwpSAI2s2KTys6rAFvnx9YNbzGXlx/tlKzDtL0o7U0
nIGEtdLXys7zG6N0HwJB7hXpgaLcdSIrbqzLEFcPpfJQjF6YiWpekcuyd0NK9t9nLEPdTOo7sICw
vz4wA1lelH86VoY8LTr7YJVld+3LVhwXk+wRYvcfaoIkBbJSPvtDN4S8KHjtqvaQkasmLcB0p8cL
KWK9jL4GNbFNBWXU2MuZJFTWS4o6NvSfsz4lzRGpn30jttSv+lIQXeGp5r3etv2DXabyrHeOWlUF
Iv3wSSqemcvncKpKWsayTq6s7GZkzDw7X7cSpib7S9r2cVLYQx3DEU0yBDpjSSb4j441QXtrJINK
1K0ABUOIjK3YD7IU5bLOIgIt+NI10JPUeetVDHk0l59QG8ewAAX/e7LZj8Pdsd72cEOp1lcmG9UK
p3JuDp4v43Mkb+nAla6fcvs9l4LlF7wVocOn2rKNE/bQu8md7ltf4JKR+u5AeocOZ5jffY6Qx7dD
X34VNIG02Qmn3Dm6M85gJYp91RPQTgt1KfgR2970kZXFUZtNDupi2ot2yq7DUNqh28cWVzJy8w0p
Vn6wPUVAfRuJQjBE6qc6cRUvFXFoemDnU5tTBqJYpPr60WX97BFYwtoqutsAzN4cbfRLeAxBwSmx
JMO0nbLiDzh0sRqQRX7N0fjSRSDsTdToAAGnXA8l2dWqItpa+8c6NqqNbER91fz6XJfeznOsXxJ1
GGfIl09qwlMfnUc/OdJE71jySgjcttlYUFU6KSzkntJvNqWnHiS7MZAQDDSmxp6iUKY8yED761WH
wPqLasAqro2VJeb9QHy10d1NUzTpNiKkOsUdMCUnVhuE50OZRi8LrjsjcI9IPTvlwVWDA/mYgqSK
h3LtiGhr5fras5MX02nlyZ14VzbAKQkTVfMbQwVaYn2Eda5Y9WDvhPdDXpK2q8jjvao7Pvr8u59a
5Tksi+GUSKn/tmoOW6f/QoZYDoP/rPL4BEthU5pOx9zfTbuefoOZ2msqWjoIUyQd8JfU3F6Vj3eR
chcsyK0w1z0IVNxQZ6RBXb0iFh/c3p0CG7/7258sEkZ+dgaewuHSv7BXRTuZXn6G7QmnfCLEmsVn
u/tldh7mSjqe9T4/zdZCT2MA4kuoIBBF/uTbWrLy+8MsmTJQgsPK8A+FMXM+6v1sjN8FwUdjUuoD
5j29IX05GoVG2L9sVlD1+VI9fZm2TXKCm8ROlV0drJG7N2eXFjsBHIx+3TgdkmCrOBj4T2gKk6V1
DCLyDqkqvry1XLvFI5Be8W36PTtHrPQ1TzPz1M4y+wcH6j+SFq7Nd/XUt9/fPfiA/wfMAMbt/0UT
WC3fX8m/awH3P/APZoDH4I7m7nOGEXf520z/dyHAEH/pvu4AZAS8Q/zaYUj/J/3H+Eu3bRvpwPF4
FB0PjeCfQoD3F+1+j7yNjidtISX8J0qAcP+2k/dfpAC+I+Z/i5VnJl/H5j/779AAnH1PA4RTrdK2
9oiqM6mqxd/BK/qVwerjQMEuhJWYBW0asXxncD9ljjmqze0rhpxcpdLM94XmZ2Hr/dat/DGVBLe4
DOeAFU9jU4PL7K3zUtvVxbb8o1ty/uVqog5duRd3QJG2u3q/AOSxRpakxJ063sVp3gV2sFCoszMS
FfUZe/isEXDMKDrzdvhwSv2LlVM7q29/YK6f3c48EAlg1hypzRNUfkn87xoor//SL/QxokM8Haos
PbGMlV0zly6D+SqtgnN8Ji649SlfSBNVr/nNd8c6n7POCgfGqWVdpuVD7ytSBTnNLl418gUvcz/n
bGMZOF7iY2d3K7j5q2whLXMWKdphHvG20L6yXP+1OMseS+TCVlgMznKn+c9TSbpP2MxG7wvLutj0
Qm6IhmVJDoQTWtXn2Vq1Trp1HbI04Ty8ILhs+VlOxOD89KzMi+gPUl/oo6Mvdva3FmvPnPvktYjS
cbF7buNPj/c8AOq4eIrYplVQscVS2swQ3YHFPEC/XCNlALvWz4nV7Bb9Pv6w2upcd6BhcvWVtWpb
wlPCerPDWU0nV5+uCclKNSe7MU1/55jj+Wfd5GaQ6+VqZtyptDQUYpvGzeNcQdel12ZqOIBZs4qn
st8LS88eY75sEpur3DwQXWrFS8YegcGmHzk9FP0h47VTEeeeWaSGqO4n9AHq05hzKFJphfTc3mJU
WNdgpTjvctcMwdU+xM741Hr5QGZz3nZmZQdNxv/T5vKduCPNPWd+jGvvaI40/t0U8oS3bPR+8Vfk
6TfNpN86m5/ukudMQnNPCqpeWQuXev3bMrhWiXo8zxlqe/lf1J3HjuTYup2faF/Qk3sahuFNZqSf
EJVVmbSb3j+9Pl5dQMIdCJBmwpmcc7q70BFBbvOvtb61C3uw+q5a1/17ybDv0OLuT+x0oyXpQNjE
eG0CIhbSIahKSHViLjZjsIWD3+an2KpwMDbFzUHcc7rfxB2vjcw2eY1O2xY4zpfeoU+FK7Tv6E/B
HkurAG1Ypyl61Ny1KgORGPtQl73WCAxhEpDI5OKk9fcmKYFdQ3xvGS6b+tahuCOP/sFd9i09e2+N
7hHE+cFg2NLTkCHM+tomaotJ+qlxyzWNQwdag/d0IlymQvsrM/sTMBfPwYec96C0KCWbMZzWBwtQ
RFGf+nxDDPUYkhlGdDj1xshlW2Jr0Kz75PTU/wRPQa9+I2Khq6rFc2sNus7z3W2wxl67uW//uEb9
V9bFEXYJv0br5xE50RiX9LjYpR2MmN6EICKCd+nxegjb/G2k9oMJh+OhR0dIxm2X3rJtNCcnQlhb
CpSWS9AdGuNWG72nsROVr+y5XM8pFSbspw83CXGzpfMmrNIlAkcOSszeISos6pAw4m8YGHL7j7Lb
6Mpig8b5OvEi1SOrgpbttYEWuvxzLsGE2B9pek+HGDWNhqzKfMTtXz0AJt6qmcwc5+My+ta96hqx
x+MJJx5LjRj2eJr2cDew/gTswFlnj88sosNGd6ezDrV5VUccbTx0p5VrnAyAU48iEvSHadaBNR03
9vTa5el6toz+XoVAXsjsQkqyHiQeV+4c4+1om37lZSS3taB5TBGWQmcynlST0yTjhAcP47jvhOW8
D2pXbYslJ8a1yDwSFUi2YLa/UqM5FZ7cdkVw4+rD0YPDbGFNL7bSSNRO9zRJTolrX2mZXgcWWlU4
b8o+/sGq/zwPAe1H0vmpAyNZj2lCDnICYyInWtwHYkXH2lIYo+zx3ne2+DRbyczNQfpaT/AuVs3U
MV2rAZE5FWrKxGtkieAcDHN9jauKKTF9D6vSys6uHVToohOxXmru2iv3zphJb0AVmiRbGJMQ0xjo
YYws0GJK8xUXBHbFQHMOHlLaQ9Q2tCdYEKzYGsoTpIK2yzEbEI9+q9ty8O0pKp94MJJtA//g7OIE
OYXgkDece4u9k1E6n6NnbrOQYaNiZd1UkxOwD8Ii5zB6obfPr8CtVZPgteuiXWiKNevZX3tJT1EO
xZQZp9Yj9AIA/l3tbcOoLA76jHxtFP/KNnzomKtpwCmIrj83cWGeA/gIG6Muu23NUnWvXQZCDnaH
/FqbVuubUdt/M9rALcooTj9MLhcIjiI2C62BQWHw5s0w0/HRcCjdTg5ziLE8jDhSsIFR7DOGv+ay
4YXGl5Vr2gaz7UYOpjqmZTvuMm/Dl8wgnnYbEsNpemhdYLPcvqlDmlJsSpHmR4nXrISM3pdE86SZ
Z6g+Hf5c90E1Sg6tLUn/Es6GqS6G5BikM8AARVa9SsaSagfEaasCGtTFzG3pYnF8vncOAo7xrZKE
doFQ54F1qswXRYO6IHomNVmwtkrRbu1Stb6qlj/N7ECasI3d4IH8MfWlhazE4NowFVSV9zKYxs3W
vIE5s12dO42jgftmwGUEjzaZ6zoBbSCK6dtIkOyAIcUnj+vRWms8curObO07nVgJHrppZHzGOWn+
DdtY38jFMZE59fuc5/+gcjylXMG3kadYAozsogNuoZDj0ITTJYK2jKHKN81839rdi1ErOEpsJcH8
d3TTr4K+AXpRdjVfexxnO9v0do7XrWJcW9Z5HJ2NjqVBFvYxbuydTFE38Hkk+rApFLFnuBMzagL2
7g4yiscOVV0KOz3KUd2oj11nw61q7H2eiyvzGQBPzlb0eF0CjmpQ9LYCbzJWxPLKd8/R4SEoGTuW
FBR+FkHTn+Z+pkVPYmncRlqv3zIBs7FRJJxXyoUdST8v4CbyxMEBQ5+3A0w8+nXej5TmFILmlAEB
ltH6rKnNPMhsa80NMwSz6ZkCMpRZixio/9quuR1VOL5OnI+db9rdRkScoDj1tUNdZdhqu6KcoydH
d9kSI6PI/KZHvxZzQAyFQi/fUHS4IJFDum0MIu8zGxKuv/lEV7Z41iOZ7LphZnATpfq5h+6HFjBX
z1RiFECxZ45HRAuCh5UP2Cx0B2qOp1F5gUdq7G/AwdJDVdraPqH87722SHpbg0nqSEMYXk8iz/el
Vk4vyTzpF8Rm5kpWa/8qPSrWRTu0T1ITf6hSYzNFq6dbrHUxd4QFBxlVaeJKNIQOSi+PX7QO+6LJ
R8cCr7lPgEMZ+hBUPFBNUe5HSVS3EEhczKUQualq3DgDhptBH9Sxjg12DbcyJ5/1wzT3Zmnux8wJ
j72MPwzKYDAetZr9rmfEoTBqRBgWu+QuHW7T7P2NiYkvcvG4lV7wistDHiyRz/yodIKEVBGw8uXD
WleNOOXpMAGgkiYdYCr4wF6eHaEKwjwB+cQZsZzcP3PPUVjQSbosTg1cUVd1lzEXyUctCRKOuk30
0hgUql1OFPbfnJVEUXthrUXUftEzrLEgmmJDkNgi0E+uS9o7eyxa3Agx0wDPr2pjA9/iWIVQtag2
UTu+SbFCorwEjIm8enyz0nEzTMPVGBnoY2EcxxMHdurpiFWtk4nQcJcGXyZ2p0x3mCCk+TnW9LOM
2AHpIT5oBGC8Qb2a2ewnALNKi/mrBbSkdo/MAJbmjHYz1nRr2mHyKTqsto7QfXBH5bbSink7JM3d
6LJwXTEfQCDGJMN6SaFKcEHivxAGOjC/4hnEHpAOJPsYK5MdWZUK108lDE5+WnMoiig60rCLw8To
iXELRCkVWu/zoOF97MFEQP8heuN9S9hq7ANYXpwpjo/JZJUvBh1FyKWzRQUGIQ/bwaniDFz6rEQ3
/CLRazgF9StGZfmcpinx4ZCseps5R6x3G9qlQ4zSWXGr6m4ioM+D74VpsNLgEmDHEsfQtXyjlM+T
/lWQyDJBx9h9vQs0+noAPrq0z0g6SAdLbEus9IbLl5RwoJRGuerEuKPmjaIk+zef4m0lCUUL75gm
mL1rJjH6e6lX1T+p9/86MBFwUNt8wULWPqVbxL+YLGOObWPi1xjLPC4DQ3rS5q7fjD1ZKM1NaQPn
PMq+IdQpp9qGgOo1FDBOc627lxHh1ti1vV0mTXzGTbQrRb2xGyvYNAntZSuaM8dt1itsylnt5j67
hXtJezvdzUYY7+3YNN+Rn1CxIwdvmZ42jm8pzb7SeedsVZNVt4hazK2u01qjgtA7Nd3iqdEDQ/nU
ESZ+oYGe92wzOtLPm79CV5DYd/XonhlIuG1kuu9m1k07R6vrHTbkGJFqHuV75YUzOoPTvzI8zh6u
3Rl7ze5bv6uDNib3I+13w26zS9RXySXLhXxQW0MYBZITEDNPd7jXDNVB12L1PsCFfqHkSv1hOtl+
95w3ji19Ekdi5nrjd5XevsrexQWe5slRRF72BVIXq0Gf9kgReIMmisoUJtjBaT9a2wgeaZ2Ez3oX
szH1TcB51whi9dLRsfQ1OxYhYM9xUXtGowJ2iv9u3yVpQNQyd1/sujJ8L0/Ha2qX2mnWY+5iLg8q
9A79AQhQYAmuxYWg33RQtVtd6ZGF0mo5JUs/chi1qu1cOYS/5/k0WxbXN9pK83c8mwEPzTSRNaut
h8Rd9oH2Ui+um6l576TdEnzCKvTGCGE81GGCywoiPiC+5DADAzpQ4ozDSLa18Tzq5K+40FLEizaQ
8tX0bNRegxjjxdFblljWlgxteJdGH/12Vo8e1oQWmNKAaNQSAYuC3WxTIgXbUPfnzuWK6IpyOlEi
xx5BP/ARInGwIky8zYm6YADNzxFPbSzHgw4REgmNxL++EEUYS1it80K6+M6+26yGntMCjHCoJMg4
jJYr6KWbLOBGo48C8b0SyIj5rP+TqkfnrxkMp2YMeSdRPxMSx5Uw1yGGRLzNualvO4StMEAqR8H4
KBiK7ww38gdJh4LJGu6m8VNiN6S/vIFjWPoJrQeK32R81EpdSxt9vRNaSLsMQRrNXkCBOeKWckH+
lfncnzIawFT0OzMtsVybkbL23kXBQXb0Flt6tzLo0l3VYAo8YnybNjOP42I0wYjPP5cN58LI/D7F
tbvUGJqgfLmVLvfIJ89NHf5POAFO0MnN1JPafKUBCLWTsQMTJc+CVdJFL9qS2JrNothwYj1obrG3
F5tHN+ghtz69vBjlT2uQsuDkZaOWZonilo2qqaeOjUapwXkcGGm40O/gqkgaYyvfNDBtEl9CT9XC
n4ShfqLcn3KMs9dciQvOVhJcVcMxSwXWXjcaTt0G96s0KaGzeQe+yn/CJA9ndgEm06b1U2r1HMz3
LHKs+e288N//TT1pwvKDsqJp7TA3SYJ+QCtZpIVquaTRUsaCkCJWU8PAgQGsjyPEWxs220ZVXExl
eepqaDla6sC2iqJdQ3/ZtvZCJA9m0IQ4mRfaAb8dYALLOxNQw6rwWTn6LUzLvyKShB3pLkDkWfKP
gh5NhYq+YxeCp5LliEyF6qDuME2piCZuVaGqPcxksVZG0TyFdOSsqsZjaVGrUm/wuoznoANsl6bF
G15EYmneH8vCltNSiLqj3u2yOGw7l2gG0rCRzheodXAq1IJxvISBRiO0alOCq1W4puXa3jZmydxF
Tt/kDs4U2zAoh/SwDYkbk5+dEQsLtFcAhCuGvsTkozPB+GwLAzP5E84JD6FTFe+YQ39Bjdr+vFxE
tTpLtqFnXNPWOspQIj8nf7I41s5W6JypFQSxren6rcsdeRkHWA1pgwF4KEqsltOpKIMtoovBrmT/
YqZgk3HlxeE5QLV8ULxUvJnD7KIrMcoF6TjwNZC8GvukBjRZeitAnPZZMHp64LPo12E1wCVs2itO
6p0Th0+KntjFYvs2cffeVrMkaxjyfeWQAhnNNPDTrdxX0MrzInxNCyz/Mu+cE0IOB/g8OjTURHuU
2m/raLzjC7JfFHPGGG++Hyri+VYWYc8oKtc3CrJXYH4y7DyF9wRq9m81hHdjhhMRh2/siRcB/U25
xBjBQ+3DyVhav9kbqYo70PC0xkMRr8cyx5kuijtwNeaMtiRFTybZCLJu7VAdv50s7yQ5AdHHM32x
WaF5yBgAweiBHSddjVc92QxYY+89YviNo8FFbwlALu9FD6F64w3JUyoFMfog/NH7KN3SOfHXsWO8
Q3roPUYA7RwMiyfmaCyS9dj5YVYvcK+l6pnuSgwGeu/5TTojBtqlfZ4yGd4KgRW70WXsxwO4AqIz
xbqyzDUb150utHIdl84bedMdkfp2Y7hleWfj2eUUtdJa69m3dgEz5KzBrp3cdEc9PLtivTIJac3/
uSvxiwQTYExpkCHiaAMis3q13THdhxYr6tT6msWlArBV21Xob1+wiWwsc5p5i7pDGCDcGU99lOHA
Q2GLtIdX2MuFx6uOOuyoFTcx6zEZU7rz2rl/yYMGToE3djfC72KLgHjAeqtd7KibiE15nx1mDPwq
+OyYizFoZ+Htcpg55gBSKZPA22kI5JOO5TnRRuq/A/4iUMD0FJXBJtduvWETDhQ4YSl1X3luvzV6
wcS02moOxqU04oVIHFNy5J0yDipMZzuMhTI4aLq4DMjZPZpFibhtxK8cguG018YecG6ytYnEJvgL
Z+av7/QtNJeoieyVpaieaYg/Ig72u5o1NyUOA0/Pq9YGt39TQbFhSFI6KBYf0PDoX60KG48Man0A
DG6fWzJigsCxq2ib5sJ2CTKnp+6H6fZvRBp6LBZMiafRB13Oie8YHdCZLBI2Xke0iQCbud8gVhuh
e6Ki4czIzjykXfpRT6F26om/HNN0OCgVlns8g+6KDA4RELyTG1SLeTV0jf7jaVm7G4zunC1fu1C8
JWYDMTLO2q2+9PKRxzH6+lvqAfk9EYzBGkjcefB4yOMAXxDRGdRhCk/N2giPiphxl7nNSxI4JPjs
Tb94VxglAyUWfk8r7CoN5QDfhlAViAsN1n2qYN149p+0rOQ6lb35UnrDC4/BvVNOvCnptOX0Y5yx
lxzNwbFPoy1OYZ/QAxoyCpaUSxCnL5cO84CUJnRVPbFWUSeGAzQWMHBgrdaFMi9pQsrI1W9OGL6L
bmIEYSkwnnDuq8Q4qjAGs1dxFsC0eDaSAduFM6yFIXOu8czOmHwSHklMlipC2CoBKTpIiDYQWY6u
2rvpS55e2rK+cW0lUeX6weQ67P3AMl2k87xQdAoLFyxcAemW2zAzRN8r64ulRbfe0p+6xVNIEGjb
4n3hcCNv4JwwUyLw+jL7QXy2FQ9+oRViXYwqXRdxs8diSHQneditCg92N9x0KqKwiZMrNyDWpAhH
lfYvoLKXqXls7yg9DdcJfwMkMMBKqdMC8bch5mXmRG3Bl1Zrvxy1964A8gPe0ReT95BVcuZadWuD
7l9uxSaOBSTuuFDllvK/4TaJEGotN7rSnd/bkLSLVxZs3FclsicZthCaWbZmeRTmtM9bK9nMhFmc
UR4HiZ7O1w9ZBTNEU01PvacRnHXOg/ZaubyY6O6JGnYqbTzMX+FW1c2Dn3XFQUnRXMohqQnkfVpE
x1KyMgMHCHGW3qxiPnU4Gl1+TYIH+RquGUhXiCJGFF70nFuwQX6nXGixoS3fXbZNsk5MPrG1euHd
WYb0unjv7Jjw75QAR0rmjWfy8ndJMd9inVdqMAvAFJ1rH5ixfGDge4K/y94zykPeoUoBSpjxAUbQ
LZSN7Zk/kprzzQAhWLTdvx7XjluBA7b9zLlKqfzQiXwJkrAKcBlWkZ9xayw73nv9MzP0ca2c7yEK
vrAYbZ1y2M751jD0l6m+0Jx2scaOII219jSx73oYuYuTN/AqtuIk4QgYr5Wm6dua2dvDKXjxrQL4
YFRVjOMgAGIynB8Sjfelakb7QX4a7JoZ6i9mMQANa6iU61cMsIoTl+WjlXspVzXqeEMcx8fJIv1v
8hQn3D+YWFvgaSvcHTp1LCFutH1FbE7mLI1gjonIA9+mvplQTAI9a6FJA3cha2hYE3noBPvjcgkq
uzwD4Z5sZN/d0hiegK5NkFWyxWRaiKe0q48iC59AmjNft26RyNJjHamdSHHeWrI9GaQqjtISgz96
4XtaRrepTg96WGebkvbSLeM8QroMltZJk2HV1kaQMa77mhTVr6YxYp1c7p3JvCAOBvlwWQE3cdEy
9MozaydMqwRd0e4TK4NTOD8rsCUEftUTmJTkKWojlDQp+EyAoNurIcW5jBqM7+1triiAnhLOOPOu
nf62QXXTbBq5g32nAFaojHtcjSacFb7RGDTV5M8eRjGjldzn/jVt5HOs37fg4dc5S9chThI/7/qd
Jj0/ZvxGhTE6t4ND2uSUUePj1jZEqROddtji1OaAga0XJ21uJst5GFXXmEj42HIDM0mo8atZn9LM
ceU1qbVu8fG+idYJKbsPucsMQxCQKev4dJo0/Nh5IRewTus3K5v8wE6vkRX6YX1IsG2NZ9uNdlb4
V3IN7yZ7XXEaoBcY6caAT/ZrlMtuS094Krd2Si0zmEiz/RtZvmaWH1lS/wkmcdeGxWZgbijZWfph
KE1W2xoyPpxUjfqlKFuXXDcTluGqxZkPEzVhq2MokzmfdIsvhOJ4w4F+zRnw6Nr8+qTWgL/FwUu5
4EMC6qK5xenu2ukyjQpirtoAgRztGRRu+KjDprrnigFhOVf9oamF3OHqgOJk1vG3JgNrB5gmQ7ph
HVrXzaBv0eoL+ECMFtAhY807pR7FHrgJ+KgT8dCy7JpjQAH3ru3tcluo3HrLY4PL29iw1CcG80VJ
7e8WUNnNSnL904YgvbbLqWWQm4W/jeWGBzy1nZ9YWvHe6S0kr0GLCOQnXvk8ZvjCYXPcMjKGpA8T
xbtmedNxdBOYTUZzTzkOvIwc6tdhnm1MvUHYsz8qGexdVTySWry6LYUijFY/A8hbVDehgmUsotSt
AJwEjxHVbyjnxa6YLIx7AwmwJd2cx2LteE5IJKEIjob0qk0aZH+NxLkj3r1BoD8YVN8OdsoVo4xI
BGSMCbnJd84zTchHGTDnLQnxSZfZrhaYNy3mbWnIR2wJGq9Kuhh0VtG06JgRmxsa3Ve9jSzoBlDN
K423ZYj2JaqGZRR0N5vtE4C+RSxVd+CB+1maV2oab5XtfpHxfzYHcUzM9jxnMN3tAapoA0xPdLMg
i5Xcs8KBlBmHj1FLjspsPyx219VUz+zgVmQD7xU+89KBoEn0qEbzrrRo4wmm1IVpAvVDf+yQbei4
DYJCY0rYfdvpb613gojnxBMFuldzGPma6QgUtnOBuDHPCogpkyWAO6yD+Jf8l2nkcJrB0IxEdIVr
8+S1EHCDOdiZY/rVSdiWZVj+dEH0bWoFx2snPta4vUBQiH0A24WajhHSjb4zrQqMQ3iUVBtxkIT2
UoSnJJBvHAyvhEgSTgjEuDW5RBavluZRumxT8avUOTHZToEk8/bVITOCZU3W1cYJQK0PIOoos+j3
RcUHTYP0o5zdnRf1R90aF4ExWFExt9GKEvgb6X3qhr6mUt2SoFlSztFDixyxrioPnTLA/zgDJjC+
cms6WG13a0mehMwqgqj8NSyh+aEhX7Anr4amYtjrbmvN0DZWV+08uob27pRPfqtGitETQ64jy2K7
zqwrCQCI++a9V83BSRRJmyb8o0fKgw4jvvRuwprf6L+JPkF8SbwjKni4qogyRaMOymq8Glp4E/gf
nab9gHJ+y/vaF+707Mpv4E5xpl2RD8u126Zb28Edmkm5yQZ74U5uUw3udhL/2MijZPcr/IGJhmXc
AKUh9EuGYG01jFiUcUgYrpFffZ66h+ceptjYU3D1NKqHkYpN2y7QbQl+YNbsmj4ucNRTkB5COZ6q
yaUZegBeMUY2OkyO5XVuMOsuWQvAl+h+TK1oQkVW4mbLRJnDrdY2o19W7i5xKaiu8L06EvefltAF
BWH4n5jVGRvIw+7irZh1tSq63lxpTOvaBn+0SCY/Gpmb9+xpa/gwH1k5HTPX+hfW7dGR+jNS28ZN
vAszDgilvMXmhM7J/ZJgb12swx4wqElplJsXIKds+igaD22o1rErd8YupxMRsylYO2SHxbyCW6Eq
+nPnaf9g1ZIPMF8r8jWBq06T7H+6rPonRLDTqETa0EAakfyp/1KqACrHYhbV1c+ezWmbTgEAZ3it
QlotAWyQpBi7BIXvVxNtv7Xcnyb1XusxvQKpWCZeyrjWWXVu25ZKmZnIe41Xupf4hwvWUZBGpyJi
BFmMGfOnJPvgkHvQqho8XPQxNEvoRkEGH/S3qa9+c4RdQMdKMP4WLxqvNizjmYTZz2w3oGgKVsnQ
oLrFc/4wPsazHxPfj6Pqzl58NLzp7tEfwQED7uS8dzPdR+SnFwJrOx8xhZTGL2pPxjmh8YyRHXzg
lCiRHMqzUFiY8LgX60iffmMS2yz4JVqr120yDaU2ozsgFOG5bkp3kzMxWzVGOyFt4JV2OyZ4xSQO
XtVrKwenDI/yeIxDVax7i8ktBhW4NI686RQjnYM0itZ8R+q1cbJ1YYjvGaoqfJOXTrg7Pe75E/sk
gjnjRacYWz7gMlQyUjUFz6N+yhEe1nUV0q6ygB4C3lW2B7EDEsTd2yGEEBjxr53Ix2R1DKcTg7md
2kk6IFqn24AEyUskmKnmi46SeOP29Vdej2dwRWnkl2TMgdVg0XDsN8BYG0RTmylH02+nnjz3lEd/
RJ282qMVnfJREpKi7fDbFNqvk9esqfqfYeCepcry04iTczwtHlojXFSp77YxPkE3rG2U1KS115Cr
dVxFFSvcx0wIdDNkHKJgnJ4D+lGqJD5YnnHn5zoJiScNSemeZNam1HiaDDSJDA9Ehn94AgPQXGR0
Jd8duwnBPMchfl8ew7neV1X/7GVZedBKXi1bp5KkdTBLQB9YTTq2RjkcHXP8sJPKuWqj4W5QdB9z
Oa1CqU762F/b2H3BO7+TpuG7Ue1bTMRWg3LErhWcckLzMyieaoHpjco/X5iBhjKJnqWi54rZNCO5
FYivJx1nYxvCg3Kyr4qquF07JI9GpH97nIeB+2NybGgQfQfbRP+wj0BVxLAr08Nkl7gXUGHT7LK8
FknhZ9G8DpPXjqYb2T1TmsH1J7U2U829VkPkgKY7MxExaZIYJ2ZGrYqNY24DO/SG9By5WMM8bfsK
9Ey/kRvjrJ8zcn6qIid6iasoeK41PiimVOCBUxv/uCkActWZ4id1s3SbRX3+mPFB/pqwcbzcaH09
ZSdSQxxdY2UP08awdQvpdQIYjFPriqGWbiey9TgMuuQ0idY7THNl+h79hUBqouisICB8k1KBRSm4
t5oBfDgdTdNXgVbvBYWcdFOkwQfO+T80/V1qO/njVmhJRluQmq9bhB747lt8geW5j+b6Aostvbqm
0iDGkAzI+Rq1gCno1hT5mwsXCLHc6MyjnnlAS7v0Xx3Wa9bcbRQKf17IqB08lFy/YaF/n7weM5vz
1oBf3uhxXi2XqLubG0CBSbesgFKVL3RHiadOMvg0/xQcLOi8cVdpp12SMr1Xqf2feUbBAGLPHAnI
o1urbUXIbh/37b2CaoCRjYAAAU0yyvinjHw81nimNyOA7ZWbddfC0T/iuD0Vxl/Q+ABkuIGgzLSo
zy36fJLuUrhRIxpVoMUfnnYZoG/2w1mnCtBFcwmde+H2+4WYWXGwc/UfMaAtRmKfdGIzmdWXmXzP
ckmhvPHewqLkjmmF85eIwV11gmlf2ICuNhosNd40Q9kOTvRCMdJzCoc2v6HktOgeUzfcMim5hkl5
sA1E3CnEOGjE7zWJneX2AuKM3WimscEaOTYlOfYscYfUtq5Z+GhnsIxDodS9cq3eB6S4NTMt+Ejx
Ofpw2dhlMT0OUOTHuXiP8l1fxqcCFFiyDJPGBPLtILzmMDWSG+6oMXHuHxks+qAHnxASBaBZJh4P
BkRtimvqz1q5f1og+Evu9jsg6PrGbDDyzVly8i8j2iMGsCv5ogTgZEtL2mZ6wucbSfUVjHlOLTXQ
+IparnU2EkrLsmFd29ElBLnXj/r73NanpsWmCyc5nkIMy4n8Jw0WSQYs4tPVRx3onB1eEgeeJRHs
kygATWTTDrwKXStx6i3Erp6TljGscpAlBFuDfxH5ha7F8ipkf6m66Oy2P3QjYNWxOCRZ9jSvuzH7
w6bLyzPghyvGjxzUIF1tqNls6ojlVMTAIgOdzNFM6X/d5G9dNjjRDXkZXG4AHf/Dxjy6sjlmA3Bu
16XWMHOF5MBSMnjb2CyjK9460nbsjMoF0BV0xZZo1MvUhgCwPdP9UTUID42J2ybUyyMGgEsda29o
3NG6s7IB87Wtpm2aNRSGAmj7f6hr/P8tSvF/bl/Mwp//1r74v8oX9f+QpCRMaVgexVGGQSPy/wxS
CO8/6GJ0LZCi0iA2aTr8pf9KUpjuf1DuJJf/gGPwDI2QxX8lKXTvP6TjIdDp3hKocBzr/yZJYXtL
u+L/FqTAD0hMgtMONi/L8mzvv/UoU3gU1IrZA3mjKkxfaq2xrAtik50SqxwnYxjh0FJpipteM4O8
SnYhlKRxHS4fV8CdpP+3xdWP7+dTTQP4MlRvhxkCp5nGDNVHEbY4EGB6xxPbIb4zpqB/kqjTtSfX
DTUWP9WBvDK+bAxgff5JCl4yfhvpN+HWPHNVsF7dOBvcTabH3fgwm9ymQ0x1MMLGebCBtsxcyFFJ
8urURkbA1E7P+oj3i7HhlDapif0iCkGPtcwpdCtVxooNwYFnUPTRv9D0smpXJIkWHeggECXrc0wS
r+eSjjwE/VtscBeJeO+CkkHExavTXuDGiUysLSu3K9rQ2rEEgxpGlEDsXaNzkjdGmKQacNa4g/7A
8zB6OyZWZsjKoAAXy1I2e0u0qWSvGST+SlhjBKN1z9H8oe1Akyuv1NYpu1Hqs/fw75JFOnZ0Iy8Z
iVYtDLBNV5gcWKyILPlYypyOp0xBXqdLrNJ3OkJiyDzJzDGwmI3jrMVIq63ygdw4kK/bGqkWx0YF
Q74D6s79cT5W7C1LDKwtLe0ISX08eI7gQlIbev2dIj8O60q5DVtlrKKOi3hrxHOEDwAnHmUVk9D1
ujmGhpVk9doKrXx8TCTuwruiPQ7MJ0gkOhQYueUM2WY95+ECRq+uIDNAYqBSGAOAWjmZnArTtGQv
1/HA7VXQu0u2QqHzK0MwEWdL8aiD181KrQ1Hq4iSwSWYt3Lhia1hSRHNnKemGjh5Os0VQ20juHWN
Vrrr+XOoWmod23vSlQRqSHeG3m+CsKc2tOk9A89hpWx6FY0pf3WcyXkK7SL5LFPZeuuIyMArl5bR
WCepWwKuzjzM02HRnqkmqi9TZHoYtWIKj1eysZildnbJcX82SFWBnkjzt9bDuXlA4A5/3Qi40G7S
3REfQRBa3Er+B3tnslw5kmbnV5FpLaQBcMe00Ia4Ey/nIIPTBkZGBDFPDjjgwNPrQ4S6qqvMuk2l
nWS9yKyyyGSSvAAc/3DOdwq3HOKqAFe2s7Oh8k9+uPDZZklNx04KoXXns1KkBAOI4MS0AFFz9nhD
vpqiA+GMwV7BtBAIbWMl29wBOE6HB8rRDD/KlUho5JEWOTRpVlv3TofiDJd+ug3zGzsagAdYGFYQ
hPjvTlTzPuv9FB1s5M9sK1M2JcjZkHvjCik8rlmQ5pq9Cn7vLIYmwYJ2zgKLMDvp+B8D3/N1MrX1
VYZA69lKOagb7cBlyZ/V8wwfYBx5r6lhMy705A1/i9BRaHgom1S8NSZ7wwgQkAfVr+MMZCHP072A
tfphGRD9xLdkoj9YihOT3KtWHT27Sdp9MGlSDdoygDDYDE0OCaJarxp/6D+KsEeWdtE4dsQtpfh8
03lvZ6ucziWqWXtfAqxPmequ0kfC75pCH1cd8ZK3o24MP7JwqlkYYe5nK8bOy+F/JM/avJ9VNfhP
mn2MfZd081A9hAtr2umiDEBpIpiZxrpFc1JpeM7TzFowTpOR0exFLtIs+0kImgl5sFZYARmULS/d
Rb4Vrd5diCyauA3c2bY4pTp1yxc8kGFDfJPbE21QjoN6NHjbcBWBatwGK7ot3zNG8YK5pOnGHgCN
CKodbMVqO3LlRGDgJc8npzfnRQgga08L2dY7w0BhmVk7umXFQl0Nuc7iYOD83hN5hqqgi1j2PyfF
5Ev26KiP8eQ3I9Rhd4QNTnfUtctrTevUPIQJQfGY6qMStwCaGYlQ38WT9BLk7uietqO3RiASWjkQ
9GIKwvRnTYnF9nReF+geSz2B2LUy14hDppoOpARqJugjCDrLHTnfEFyYwLfdJaKZ8GMscvdtgiFr
PU6TB9Q+crR8kImv5/vF1M5HtlpliFa7K3N0pQYCi8DMkL06tWMTJARV0CVsa8OXww7VGQlq3lzd
hp21zEftk0f/FIUak4NssVhczKA2Hll/O0+V7TA+L8KFGZnR+G/QkdL9xkHYG2CProA5k40BFv7E
4PkFHAyFDWF6zeukc3Gg243XkVSStRAglezLh066rIuEWufvU+vRAEZG9vllWWArY/M68YChTsjJ
QNCw6ijQy4kcdKWCAAU+tpIto6nFI0tQj90BFEw65y1BpxSeisliRJH2PD1xBfsP9jB7eSYDWP8q
HFkNnnwsnNsiHpVue0CXFbESasD8X2RZW30jWqMADipzhRxjNulxrnh1IFdRaXpqMgkYLShb54mu
k77N6S3h3ziD1JSVUxeKo0Bt/FWHuif/KFHOO/cxrLNwyN10x8ooS+/05MwrM4Y6Kc4R4+YbPNPL
d6tCeUC7PQbl7cI21tsnQRhlKMVzJJz7LCOMGUpgXkW4BlRIWE5PoiqTD4Z6+CuIVTGpoEB6bEBz
ogkvMGzdNf4o7divZcZlsafpsfCLceT4J7RChwXNJE7yWexs6cOzbHQHsa1QaXBfFVPIXBuEYnno
Ae08LfWQih2OgOYR9ZL/nvUOTKke7K+JxwKrCUz4hmuEWsTBYSN9ejCqGz/bl9SA3wjOQppcucgi
9iJU5nMlTiQ8uFYiHhzsJ+Ksuy3u1KGq8pE/DMFwRV1l1F1Ur7zIdy6ad3nuI+i4Hzjoh4F9PRib
EIVk4dfzd1PMqjiWTpv8WFsLj6CdD+nT6ESLc5Xiu2puYff0+kdrgvlLJg6XdMroFuMKYkq2IzwR
roGWPQMwcDYAnAuv906IRb3uONRq9FFZiwYHR1o71UMC3Mo6lV6eBwccWFR+5HX57Z2Tinra6Nom
uPAHOndvtHoCsPMaUU/DZxALgI023pmFdh3gJUaiskZvFLdsbj6cerLbXVOCcjilqiVIe4xk+da5
cCTviI4Jum8uA0T1CBxoUEeHrKqvqCLWdS8bF/A8yqXFPpfIRKpDVyPFxXCiZn+fMq9f4iUaqgKF
a7FEHzkTNaToYnHa+7UQpbvH9aa810aUQ3XvYqDQjx4ZDEmeM4BSYGdIs6ZPDfvsmLERbY0++i2/
xsCzawmdg0ofbaZ8bJfwnYjhOlFZ8ZVaHpqZtLDZRbqLU1S8m1GB4ixox9tO2au46HEhsZksgoAI
tdBgYx2Z6fJ4VrwSzxn6FiRfXZFXJzX48oY3LBMpKp8qwRzoZy9rVeJubnnV8K4WKIMS8qjxYXBn
YbUflqWLJ9+Vb2EJEzo2XusmcWn7YJ1MRPWMJAllYpdk6MfDdpSwptmbo5RYaqAnvODmm2CaFArA
AbVGkjjTB1XLQrB6lpFquS6yfw829XXQ42OME018SFnNriH9J8Fn6AOcBoGAdOGNE7HHOhdldk2K
lkoOCTgASivB50puRBa85vB2NQcT0EVqq5kRiBZ28SWMnLpjx+qEBUAh1TMEGxbQJt+mE1lVl6it
U5V/ZXibQsTeSAkv8JeH4clhecnoI3DtT8fzZ3KWNBK0WKXN8tjWLU7qqtDiZ1ABFr6w09lmgeJ3
ioFnm/ZELQQ573e29i2yzMxfTynmPiQDjZzID7Uth+WuLtXr0rpNE4PJAmpgqaapYp318mPMjf0L
GDKj1jYPtCL3oaBMxRGmiY+ARYqyl0Yj+7/owP/PIIj/r/XpkG3/M+bB8WP9+G+Po8o7QAfNCL3p
8uf//O+/v+gP90DIvzyfthzEwdZ1Oy5EhD/tOv/EdcLICUKJkpIW/O8AROH85dGph1EQ+OxDhft3
7gH/yCV90Y1sR7Ar9dx/iXsgtmb83zfrdOpB4FI40/kzGdjwjN2Pj295kw78Gv+jGUYfV0qKLMar
RmRrVtDcToigaXp2tBvmzDPNvZV2EcmDFOszfxT4ngJ7TLmzg/chUhJTXXEzkLBz5fUR2FLcVTwN
niA5RBsDSEEs7UFlTUq+I5F17a4rMUe2GuPG3WAPJZWFZfC6NrlXHJsBBQ56BCc94dJOOWLYsFxU
yzq0h99X6l8icPx/etNu9Ir/GN55/TFO/8jpcLYv+N/EzvAvF0M+zD+YnRQh223554aF2BkFjudE
MrARFoeSyc+/gTpCxkvcRMydXDiX3OZ/Gy953l9+IH2WOcyf2F3a0b8yXpI2M6x/f8faUjKB4Nng
LxHwnZx/vGMJyFuaICwCQJpe81VHY/TW1DJfd22Kp1NY6a+SLRqD09SEbwmvKnzPizY3dj/0GPqi
Sj77agUXZjkWLHQwzmmxX0RHCC17oYwBdSAN7rgysBHwug6EMQm6dpegeXsDr+hBFQ955PGMappB
hZus39dBGeRx6SUEmVAPtAfeAol7JcYSYWVJft8Tn9oI5bNaiQyTgOpQyckRR3IXDlgAWsdGgDnP
S8XC1yDPzLy8L/ZtnzuHMpOk/npkleUbnrJ4FRWh6RfSn3jnDAtE3r3A2eghWrcI58oNuy8Yfyyc
1lYq+0RWrHVOHNo2b5jX+wlN8dcA6o3mlOYMXaH5FlSrekDNFOD/Wl3247Vwqw9cPKF+WbA+lMiU
7ehmpBK69dxlYahcyAWFvPGyvdEdnryozOtDTtf8xhAcx6VPgDBOb2r/V5WlHZFYUdN9GOpKHySI
heu43JI3d77wKSsy2g/wT8UY/FSzlbPsHzPyCpouh2unN8Ve31eSCF8sMF8M0vNnGk0GdZUIcbw2
A2rTuJhT2qTKnq0bWshgxcun0u9LJzeGeD2vL0h9mYQ3OkPggU+CIyhPHT3G1Tikz6NdkKANjDHq
j4pegA104bNx63wYrZiJRTLCwPCkvafwLwnlKB3e3GTGBpczTnvNXr9wfmodAfLoLPa2s6NSCrOp
1NCFusw99i6/DpdXeCRqzInxDt066fNSu8Scq4T1PUKSfJax49YThp0hoF1vMN2r09Rq55VJEQnC
JlAoLSx3YlRHXs/e6XRNUrXsW+Qm7qCvUSuU4LTbhp9hCvp0PmnQkCxxveZVUhRxz4QQ8iRhJDTS
crQUYRA0KyjgJfODUSfcSgq7r0BI0DTXUJxRvGTMvx7o1cuXwoGUGLeVV/6ck8ZitZ4H/ndUwlvf
ERYEWPR9CnJ0mgExEm4ZvY44qEs2S5WP+TfYLv2mGdiCLjS6ddNq60UuCDFOU6XTLzvEK3tsZiTR
qEdJk4PSXdpYtiO3QclvtsCFHhdsjB8QqZDvKoI41zQiMFkWiTqmqsMpX4xifSaWaYPULG6fxyMZ
px2jLcWSJ6s3J5ZVSl3FtXQoQ3Uxj9dDURGpVqazsvCtROO7oa57SUKF00s4q8zirlMJWRphSQac
I8qgPpYrYPRzW2P5vwTer9Ul1qO6oB9BgcZg0XjjsSrGvLhbZuLoTnPgrPith5Vr7jCGIKpOJXgC
GFGTMUiHks471TP5P1phhfKwi8hqint3WM3ZOFnyFCwtT7K9tnO2y7sct5YKSWLM4cl7J6OMnB9N
Z5dE2DZC1vsAapmJTUXDt+vVOrwqbgQ04y3Dogvo+ggS3KVQSHBDbPghRMkCF+JFR6ovRhAQwwmw
QRd1cpZYw7RzYYPPZJeSnHZEIyiz21JE+RcaHUIDMiTtEUdPlXJt81IMR1wiNq4KlJoANLviRwng
fjzMlEuolQVmq08KU/mu2jX9OelR/ETRalf7rNFbyLyeINLAS7efm9GVu7bjHNkr37G8Y+jK8sVp
hY/gOpuIUFP0ci9B7Q5wC7BnBvuGKeRLUyck02up0KWOE7LFvRnaBoSuhzc4ZqCOckkkLkQCd6n3
oS+YB8FMXT8jEJfmQs1izWIEb4wPu9Bb8ZQ1uXjCi5kOsbYdcPSYSuBcMCFWJQk5dnIeW4egZL7t
8IIhcvgUczkmWLl6InJGlLw4JxzZQhMYISkAS9VhuMNroJ09c9s2P8AhzXZKV05xadlW8NUNvfFj
wgOFwzyLU/wy8bNI7L3Z4bzKkww2PJ054pRQ9uTC4SrgkOm6GhJqZoAJIY5DCagaGb7mvAAAowrX
+WSGkygOj8JHk+1a03DOVpA2J8aCKrqcUKX8GNRm+jDQCJ4sJ0mehiAMB3YI4RuwbHQktSS4vcpS
/7wmav70NMo67Uck0BeDRj/tuVOsW9M+KRmON/Mw1F8aiFZ4tLNmOY2Y1jk/+RY/usLrvoxlbHKV
HNrWy2iukGoiqeBNNmMaROpYpTBDqzYA18st+uqN0pmfrMIJv62hP76EvYOqZcqNvmcppdBLrMkM
u81qQTpLbXMQK7x85Lwix81yrDHrkvQWSePZVpqC8FwJmSkM8ljy1twd3nY2AuhMj7gvvUcMTAaa
7lS2yT7zKoB5fbPlYri2Hb1NXZ3hN4uS7KMccIAg6SmYfq1l1A4YwZgjx1NnhLzgOFq/+H0mdYUt
FKrGwsRHXieNXeBaarJ53JFBBAhSkQ6FQthBJ5Om2NcubNWwSW2dBH1NPjQlwfEgYvN4izTy4/+q
iv90Za77n7Zyj8s/rVx///t/iuLfRHpJexTgNQptO/hbUSy8v1jGunZATUytEjh0UH/fuVKeOtDr
JHNJG4rZ34piAeEe6ry30ecDQZX9LxXFDsT8f6yKXaaMPj8CPkdkZny7f+rjBu0pU4wWxHXBJDhe
BUI1Uh5t8asB4kmgi6hxtaLNJ3HWqZuBmJihANkWppvgyHM4sr0Okmic+FR9F4IsWoPj1FAelbXd
1HHLfDG4opS03TjIuvBHaMomORhVziv6Lz2G1jnSVj4WcYboyNuoHMl3VwZlBFhA2TMpMiseIDRM
v6EZrbZ9wwpj7B0weYsDT/yHXzcuqKcOjQgGEYb8zO9uMZ9I/ZgHo2FCEy4jSYguErAKM8PYpvWX
qNU8CcLBonIPuJyI6boK9EA0UI/Gvy4yKNm9Uu62Cx1L432x/5tCJB2jNuUNaxhl34cccJ9FYHsO
ll0gGmwUtWmK8bmvat1c+o3p3eMyMtNEy5Kwy2IJofC/WTpcMU3U1lK8p6lZnki7GO56BtOo87B4
MMs+BY2T/Rgs/7lNSGVHIj+lGFBdPCmLbV8URvzSefbQs47OY6wWhF0RkXnR9A5V3YjaMizaG8tl
3Lpmg0KeO6jrKHJ4AWyWkhqfBT/WS1JKnBB519+wEj5PRXrFFuzDzLdLlx4a4MDEme/KPtCxHSYL
QlB6bCWz4Js/etfglCmjwmssDft1lKeAoXg/+AJKWPeMjuum4xN2byz4n+dZDXfrkuGCWxYOuWDO
HmZ2bNg9GWletKM+G8ILwK2QUhxItN2e1miAlvJ1la259TNP3jKMv7ZHjUoHq36wnLLSe2QTCHtY
p89+lomTyqzyoXbR3U7LREIWQn2qMnWsDQejCcPNPSO/U7oyaCyC4gIyL4Ek3ZZSPCbnqsABNi2D
ewNuwY9O7E3t6yBtHulq0SHVzx2hZSzPaBJLhekJI4RhVxKuXfadUWl79n3FWnXpw81ckl3Z0S+f
RRK8H4+RHa1mRUunrpE3xOkaxMK23P2cnNtwuU0bv/D2qOHlU5tGAPPJBSrVzpkpGCNuBLaa3Sn3
1Ldc4h5l/toccITc5r8d91x9/Dct8xc6C679bxdHqzJs9T4YcqLtsUWMoKrGBoS6/O5UbLZTtm11
Us/3ShGNAE+d/oHF6eaAY8TrCXVJSsSEErJe9E2FFoA/XM5ZpVfyaXxxGNhCHQJ6jQR5sn+vraSw
kPE6t6JJyBlc0oKooLz7ZCEHs6HPP1EIyw4+SfEz6HSJ+lCuH8PgietxhlArkK6cc5rBK4aakuji
2b6QpTl1iejhMul+wJeyulm8EPFD9zurw0BHFq+1uCk8lIF+YSU3g8ZOTrPp7fitINDmqZz2UeH4
7UEO5qN0qp+zQH3ZjbVzy+Shak6Sbui6nToC+arGbBmffHXfoOidZ9tCL0au1zlI3ZFYC/J6SSrf
9srNiJR0nFnDuE56cEUxiN1MmjhrQo+HrdF6axVdYl1XFAQTpvl00tezKIr6ru6tL8fSdwPaSD/x
KeVFbvnifmnHJyAU2M0IU2adT6EPuiIbx+82IBHALWl3Dc+BvB75ugQARj5rQQoJBASq2PayYBQA
hsGmq3OSRvwYohFU29yEt8ZSEWFnzm3echSWeUQDR0V5L0lhZ0B5mzMvv+I8v9Adno9qIhgBpilc
/AXchD2NrHVpcuPU17wJhPPVFPSMfhXS3U/9LzXXyZfKgvcqsvZimy1Egj53tbvwQBD7SzItNw4D
6EsDz++725CnbTMTwfkkblvHg6cPNLAV8dDVgDCBK9+lzZyyOqyBD8nmBAXlHvTc7VKm2KHakkQ5
smadAwwg7izd4osuFXLnfBNuRoBr8E0wKJyvnGK9GeQk9jxP/CPf2C8AbgAoRkNmPbBY967IdyEZ
nC/UXdE+4uXZheSn6m5gX8R2hBCHnQ4RmsyDjSOk825LXpaXXTIOOx/M3nzqeo4Mf7a+jNfHnDne
bh14YaTtUMc5lLZEZG9eMr8GXhtcL4BUm/7UhqhEf7syq+F6JSF1KdZLHfn6tQaohyRFXzbq2ltB
1YOngmpTwiTn5Bj6WBAau7b9c6rs8SpNTEixC1wwc7srMyCF0vkPTjokd+Aib1iiy2/sI9KfAg5y
V+0FTzWYRqr+e0I2TkuJ83RkQuQYYDflNfNeUEBdf5evUE2q2rffvaH/tkTNdZWJbz6rl9GbrlM8
/2ZgkLsmd32PMYfEqxOI0CT2W0ByEhjXZ5Tquy7wzii/b+rROS9F9VC6l7ZlDgZyc5+cMUDERjTU
Ae0us+cbK9fXKSOjGMT9dwgKt35n3fVjhneyUZe1m/7i8J3TyyAhB8P1MpybZOGqqLgOra8OZzD0
tmAg09Y3L1OEOZjtKd1kEu0jtDJoYEpsBTlgoLkvf3Scky24JvEJoABDhrxQxU/dQd8y7R21wcE2
CDwUAeAiNiz2u4YAXFL2mFJxFJGTDkJ1GBC8ZPnJhwBhPQKDeen1ZQ4gVvOqBpK/S9dfCJZi1TFr
CKydNv2hKuZT3ehbf+XweV8RW2pOlMDn3Y6BKghvUcbd8MjeU0/GVU3Jo8JTv5Jfp/FOQdnt82JX
Dt0xzafz4JrT6PRHP/gBKv8ORuN9hqijZChAO8ttBFqQtGeLbGuW705vO5QEaH+m6KbW26n4AkFz
59cOidR7V/7EG8Q55eb3Gl9fAHfe0I/EyMj2KhH0DcOevM/rqOoMa7t5Yk/E8u+B6XosM3l2AVwB
jKOLj+7AmjHar5kf3fdDRs4QY0p2zngOGhIHURhH3Cu22z0UUUktQo0cwnlRc+wXocLIFYkTIaCX
q8CYsYG4xRGrxc7puFuq5UdHivF51hUy5cQc0SbezYbVu495Z+Rik0nvp+vwsPaWe+nJuTmzYs5P
6UJdCmt4Zh190xYjz34zvg6LFJcF+aAQ6oOVcaWf5OrBnfNvtboLsqI9TYS67XS/3hEdc+Wo6cod
90qESNmD1kZPUwPhsNvym8dm8NmwzTv5KVegDKaOvXTPtkJ+BUt5zzjmMuVLkGpESAbrR4RpEkqn
p08TvvEYSCymV3UF5w+7VrdcQzV47FE3I2/o0NsJDI3HdsSEF0voZfwVeyWDObTH53keuLslbI8L
rB4ufimDw9nNPliak49ZvLRIGS5IrH5MSCTJ8ggbEaaNYLiUXvXErvfQKIDLlm8fCzd8Ju2COPaN
0OPeyvGhd7c7XuAH1eKQs6fmXbyrCZXF43ft5Da5FikfDFac4hK5VcEbI8ZveMrzdjms6Ui0EBIm
cGXoJwClmFPF6ACu2Ejugd7PNZAxwtw7y34VObWmcXZYKR9r2d4WBt+zFYjvg61etq/yVfUM3eIx
L6x31A5se8dvlmN/jdb0fUZXfqEoCSDZQq7pS3kxUkndgTZ47Jbk0MP/qk1/Q4IRHntw+gjWloyU
B9Rzj44cvhu72Yn2k5nrMQ2YIVtFfWUjeZtq1GeDeYv0/Baq4CbVGMtXZjW5iQ4MJY9N3n03bXIr
NdzDNvUPhWZf3ynAyuloi+9z4K2x71vJ3gu9ha/tOXNtc2GRexsTelhdurlkioOXD65pv4X8Lbs6
9biQDAWgL+AtSfK4N+Yoo+idFY26QocErxXrV0dFT+jpvgLppkG2jKJ6SJNz1Ii3MDFXG+mOkIh9
nWSUSJnND+vu/QqWatGG57SpAVp0SMsjc9p8a7jA3piLbCqVZThhiP5gNbkzLlNU/FIhpyO4owtk
TLts+Mrg8LQByYp99BEM1lOUBHDNJrQGpKDULNwn3+DjZGbhYhbo8N+5oBBBXN35BStAogPYFJKV
TrxQunre2ZrL4so3VNfS6074ajiFBJXyKRtLt78Q3itxn0eCczH014dg7oIz48hDgLEwD3LcHPIW
3zNiBroHKhVOmT1G6veq9Pcdb/bZJuA82MTAU4yx7bpLPGZXdy2D50C+2gzoxfiFnmCv1+YhXyYg
MkTCtIriD/Ign5Fs7mzCQOuGWAaPyjiZqapS+wE1JflJExpaAzIq3DRwO7su3ttK3Vi+9TyMdwHi
0x7d/5DSrKQfM/XkDgsFLAP/pswmDHzzczuJPs4q3h5raZVP3YIOKUZ2xdQ3vS0GYs6T3Pryhdm7
+OeZS5HAC/n0yncMZm1cqItN89JXP8CHSH2dYOFGzYVBLjkmasBuhMateAl0GXAQSkMtjhUv+VFl
yIoIL9Vm/Za1UUWQSdMBR8aKStez1ov9i5xS94czjylGFKymDCJz/yPrVP0e2RBCYkGu45dKGo71
nnDsm5r87eVRLlWA/xHkb3+TzVFxKUa0FzijFuiZU+ShWXBtq7BobUrnbqKHI5TNcwY/LnyBKYsq
S33Y9IhUeUDwBN7lVGJ3AhJtXbTVhAPFWVIAHdwN2XuFdZmmhL3VWXjL5JMSo33e1pUL4zFEyoAP
sdcjdhehg73dJuYQ+IqFROk17KLcjEBo37QvYl3EDeAc+130EXsYliT0/JW7gshG1riofW+afYZ4
sQBkJ3EXh7WHwzbXFV52FtMG0TOBY3vmfE13hdEbWO44EeoLK9zzv6fDCiacYz+99fIJgIgWzEh5
/S3qVdba7+JaVexNXKHBG5ZTnl6v4WzGXYLz7ZYfbH5KLd1dIy2EkFH0a/CItYKbhujw8gnqb/lU
9pH3fY2S+cvyHIw3iBijiuauKfPYdmwGvNWwdRazwVsNX8AryD+RyB9jF3o3lbtME+jLfdCjI5+8
erO0KwoSOdFu0igr/1tSdd4TEVgTJ8uCjvMC7e5sXRdDhDt0NIHnHwa/mRUP3VozKl8bA5rEz2Eg
Bb4Qd1J2aMYTrYO7sK8MY6aOWBcqS3JXVyfQLfkGvCxJ+Vmq7RyfcWanuVM8OiP6B0oCAnCp+Fuk
gUM4pR95WVvPDjjt9FjBx7Mf59lDnQvozX6bzeoAInIR3+1ma/0BObPiBiwJRUItCzs5XubFUf81
Df03jcq2Of+PNQKXDcGev4Z/kglsX/NnIorU8i/biRh9hiFpGe42cfwjE4i8v1xb8iSIQJKqIcXf
dS1IAUJboCtAQuCwx/f+PhHl/f5XZHuSXRDiFhdNiv+v6AREsOkAWu6MttkUOL7vYkLEJBMwX0V2
RbjVP+oEasE9gZPCv5EFyeEgJq1IYYLrFwWrpfWRql+0g0UjNnSw7JAHMjukvJ5dgr5QAQ/7xW0t
/+wmEwDZfGxh4ZeYAvsLjk4E2j4DMmjYYUpJP0oCaQ5pJpPPbB0Gdt3ukH4W2KQiLPtEYlBUmZpY
ICIM++AyhDtSDMSQ8YKw3nXEq+szmJBo7gPPcd0LfJacPiHMM04i3DDZY7Vq1s9L6Aqiu/0wnwoG
dq63nnJH6+pp+z2Y62BHGVwECUQBbfj04jmZUMd/djMKmvUG14dTX9EZVetzNleD9UjZbvtH0CEN
rsaiSwpM4J7Lv+OJKPWwGLpK2NSbk11fMRoBMMY70WEKhhe29ssbp+Z7PeIbcwOKKJMpHGD29iVl
7i/1FSvNhpWOVzC3IRopk+7bHBRz+8CPyZ9AKy/kVSl75jSyVG55o/C3qNd5DLvwSrVBKh+TMYve
QAJi3St9aPoAK5jQb4ZayKfZxl2Y9S9Rt0t7M+aNAwILlm4FXJvDqb7wkG2RdGgVdrqXpVOaB1H7
sv/M+rFt78RCZtxNMlcO/g1g1s6LVl66Le1K657cPDmexowF9KErjDccEtuz9S+FhT3bgdH2rnqM
j9Q5QbrMl/k88anW9QI/3FoJev4VtbNN1oszNMNxVngaj+XAR/eGG2a2HskD8PvPxpNOeUeqSxOB
N+RKXs2gKgCRMsWokWCQpojwN+mfs7TN6stqEo7atyVjzkNWli6vAWjgbPUZaDMzELbHYMOz+0X/
qvKOa92kBLf8FLYaBAxUBI4ffM5bIGXmj78v7EAAZVx1CF6e0UOUM71rX1fDm5Kp9pO4aHgnQJOU
uVnAZ9lde1cTPebeuUxVyZF0SX4iMAYhEY0sywaK4GTlBnV4yusr5kp84qg8Gam1blZl9ylL5Ww3
ETGaYTzgWbjgFRPdLQM46iuqHUpSdiY+QGm3rl7sCe8U17upopOufDhYCxUZD1RYWOOl33sp2KnF
4rdFNs33m7ja4zfWtBnMpUFNzs6yy+ilTjZ4CurJ6OB0IsyYc8ytewxIwuxOmTczi57LrJZHQla5
zO7vv+d5V6/PhQfA6+dip92tUZI+5c8P3Qwrty9jU0nnAirDP0I5Z88d8lbfwBvlwkSus7oHFM9c
BdtfDbyhxABun0D+8MFN9qp/Ob/vyNTVc3O1JqS5vbUKbhtZMRUifO3mqJ2bYF78s1+gHXgfyiz/
2VYGtX5FPk3xrUkrxlJYgXLLIV2xQXdzlVoT/wm+letdLj22WVAhFr1I1ok12XdwV7A/4fzYjSPQ
Qn6qBXxl6JSpvSewpfU3C5AFbKeForY+//lN8YnU5kHLUvSfIOq2+993RvvcLiPRvGkx2O9TmK/u
NYv5eT62mvyXGylqfvektLkyRQsGmAWnhAkRpWgRj+EiR/vVjNOwBbcUpATa/nDVJJgOrnDmsQog
A4yTKOxSMIx5qkV5A4+mNWfCVMeI2bpqsn3gTvZ42adierCTnNi1AZsgGnVGfubBcdaATwcnAqxy
XZI4eMhxAPo4bziQD1ayOjyBOdLHS22VXcKDP5XHBIJmCwAYH/s9yu6fK3ly2be8B4h21hOTFYJu
3H4AslmAt6vQhxxn16G9JcSME8xhYsWkTaZ59qFXkTk4IUwKspjx8keaAyIF91uqxjyARuE7Y8Lj
XrZMzTkq52jh4YEHzwQdmUHBAMTtMjB47txGaKGa1CkrwHgLY/BtO2Flz6bwDNVlljXmdgqSgvno
hIIzTCn+dJreF2rS0zVRhsUKAA9jHd+YVOnpqinIPqnjPkErvZNFaXnXabkI/0j9y/XBI2PU3jeu
xxLQCgikUzlR2RxNpeAUYBnH30kvzTnfF4G+5jgMKZmW3JIwcGU2DN+R5FHly5Fpz59/vV9mObDU
256yRS3cHc6My5jw43X0Gcdsfz5yAC6ngMYkZZJiquihgdSCI0x4IwhiZDAeMLNu1LcLi0f7QVeI
sXalwJ1y3Q45/z1OkNEwAEoS2mV4JVHOU5oinAKArW2m8g+RZqr51owEvdytoM1KJnVhjY+g8nNi
mDsh8+TEgitEHG+Cnuvz5+GfWKPw6mt//xd7dkX68s//H8Zush4X3uq8UpHDSHI7MY4BDfRLrJ8L
wbU3f44rhGbbaRGxAXn+85j8L87OazduJFrXr7JfgADJYlWRt527JbWS8w0xssfMOfPpz8fuAbYl
AxLOvhkYhkdiKFat9a8/BD3RK/tRNbgq7CbYcizZJR+GHiptMPiicw16lKmbP0q5h2sV9D95lz0U
Ud5C5HVej4tdWBgQNbVHseW4wMf2GxLlONtDHfR2dBqgZbFLEzOc3GTEtXS7ingH9xFzWfvRBhWT
Z/RR3YgtN5DsN5No4fjOgs7Mw1n28xYSklEXK7siUmLPkoc4NyddMT9ef7JrVSq7C4aK7w9yHE8z
kBAoKAtsjHjgPY2qT78gNOGkmZOiSjCrjWxvY0zlhAWatBclBqwskfIUdolntaj4c1nro2P24s4k
KcC6w22umvHMD7Dofq4iYxy4l2ihKweYTewbz/Xbo0gL01oR5yz37z9Ma0mG+99Kc3mYUFGFRkkL
x9s033Ko9VLSFpyyJ9MLYdMZkDalYsJh4X09qQKeTdwFlklWc7n4pVYYl9BcXnZSM4LqdXr/ei4K
8D8uCPKUIx3BMFJKD0k3HJTXpW8+Bz7Cf53ehA3Q9x5cvkw+pwFWDE9Qe+v5VDgShzvEsF6yo97h
u0dZYcL7Q83mfInMusZ/jvcebdOs6SktLVhN64RAbDS4MPV4WT37hwbj0EVbb8vYY9pYD1Z4B68G
Xw1mW233UoKNet+MuKVXHTrGWARsptFpYes+Q76SzI70rxKS6q6S6TkSXradPKxtYyd5GqP5m4SF
tW05RsEMYnBGGHJ5S8RSUXxNZ8HWo8ghltbOxtumyKIHtsk1ITGLVX/q4gjUntMKx46Swi+ZTkND
fELb4suXBd6jSZDrnegkR5hHxFKpnJ6UkCk5oWzfDXOHeLaL+LoOsQlquDWF+YQTIFYUReecfE6u
tcyhS+b2wNQWQuAj87UjCs4jcZI/MKz80hTwlvxxnLZuYD1ZTn9nEHTIup9bSnUVrxqlybxyGMuF
lmr+lfTLhPsEmHBuBnsOHgj17dufuKrL+MxEF2Pvaz2K4bLbPgP3nes82SElJq9mTO8Qr2JY4iCB
xB4zD+8D0zUWNki1L8vppasTMDkccSLP/TcevX+aXNWPVbNEANVOtBExJg2yw7IcQQ8UqcVHil+H
P2K/zC2HcYMkbwO19CHs0ULN0UMaFr/ExMwZ4V+Dq7b4VIf9mtQDyJNDeOMJgiOG6sHwveak0o7J
wtisxz7+ibx2P+KC2aYAFsKDDwxr70zVcYbESEBcoh+gUvxQhnoe56i5KXWP796SsEGnIb4kXfMv
PjcnWHjudgpyHJBT+cX1mt9mkxLrGna/gqD+DPDSrTsB324ch9+2Pz/CguWFpO6jmIlu6hi3pYX/
TDjEQ2hM33Sb6xVOhf2qSubTANlvE+Mu1G7RKpIz1EAexk+8Ivma3fqMCm5vxvqmkeYvoez+lgKT
hLE4dmATD2DLhC47+OUy5IANBwyjW7EEfBGb0Wj9T+xY/+Io80h+wLPE9QadqEfVmuCat40svDrt
vN+NmQRJHmMg0KTjmBuQa74kfrW4ruoa9X5HXlWzBxudKdvQmPhrP41a/7aoDPxmx0JO+j6tfZ/T
EJufW8czmvzMgEdi7Olb1kHgIDQhMUviX2VrwyOoA9lG2Fuj7sYfSLTtDwwU47ssmEHQ2EOVv3p/
qxK4TvyxU2Ho4An4SqgCtAmln/b/9U5V5grpc5aEB2JvdP80WMvEzCzcQOA7UkBEUoGZ4XMf8LSQ
ZQZGbu/DJqHAjBF+9k9uQQlzgreHZhyT4FrTfFKGOgcJNOZjzBni1OjIitI1iD2I5kBaU3ALBRyr
QR8zf3xGOyCzZeDCv3daLE1w1a7Bo8UgUuC/bGT/rpnSG0edNEFyJuOKEthFJIZlqK1a+xmhAQPj
D56MCxTy6tEoNm5TYDe+ULrgdKnXj2aG0+6IMPHhHWHp9cUuU+HvYXsbX82mpnasUDpDURiY2h3s
ErnzmZ2PvzGnjiJYJYrKhtD4zGdXCFX2kFdk/0JuSNu7vPfKqEJ7VwXZ2kFcjPsMuzbxUqM7Y0N7
OZqkLwYGIT4EJag0QfPSz50jtoX03cdrxVrMeEhxfiydXDRY/L45chfTHmeS05M/t+hb+SOJCUSS
FJiDRdRMzuByeUnnU6Pbo8WfCwO96Rf4QBQHiXApA/O25IVRafM3jl9m44vdmEOPTjZIcrzC6ijp
nF0FGpvdaAYNMKHHlhJ6GrqljIiDNvluZQzaqVRGfkY5NMbSKfm9Wb1Upqv5FSEGd5jDDtH8xXc7
l4qBaED3TG4ULf9I40bWKA7Hap9PA53I9de0kbNUqXFIRRLHNJ8D3JuGfwQLl77ZxK6o+d4KfFbv
J7wEmx0ewzwiV2S8MKWC5d7KLsRYGQycysQLPSqeKp+Xx9DOY/cvMBnX1ZG/1nwns4r/bShD2q/4
UpenYUgls8TowheZQp3lN9ffPJdljKtt6EwjlmykxvGbrs3Tdbl2hsdtacqC5pS5flmhtjKcaBlc
Ba1t7fsWd4f9oCue6LXgwn2JS7MExs07pOc45aeXPtBLq8Wl32Vg+ch+p6Gdud7Q8JkNWZK4a+W0
RIClQVuVj72N3f4mbyErbcthgpexAgpZFrNdestIFHkPVQGpOLP9OyNzc/qcYoypN6EGgDgyxOW5
6Bluyd3itsHQL5E81Q2Ycqq/ltL3QfIIOh9XoWH0gExlnvYb3n6nbgUicUghguKsQf7cp0zFNULi
6gWzeZ5OUvkFERt4V9COdkXZfL8+qd7J+Rs/RKHG0KBfsAfwtO+RIUT7ErpafnNwp+9OpCiAoQD2
8EIqe+JnYXjP5V6LTWVBOmPyioEYbznDcvdLS/gcJ6s72mJ+qrATbdQqxcNwm5McATVKA3UcGEwF
UJKMtgEMKaa+qbacAHxfjZr4YHSZld+DcSgPAjJo+HBdLX4+wjmgPS1/mmkW1fdt1Q4+M2Ai059z
Cufmu2O449JcprEAy/O5lxsie3zmT2g6uPbeIB7gVx5j3pngkYW8pjYw4qtKWAzYOvvKPwy+IkLC
HwaN45owuvyke9UQHIpWWW4BkYZon6czH+B/O2RvC96ekg1ZuGERttmBrEFtfxohK7KmLjDBiD6b
r6GpGHHvzcvuoVEx81fXNQy2x80HuA6Oj2HsBzQOHQMU50tmETRc9771gAqXTB8UYeH0achZS49B
GlBWrCVOFWrTJkGKt8rUB4/WMPSK3KKEBfsCl3ac1qwS6fy2OpfLpmOEBOfmE85FsKJw7HW99ohQ
mLeKxQbXAYCcSp6r1Hhw1zRu14fnROEAFT8MrJG9oaLfL5zGwq0y6BcIYsw0YV4piqsDYqtoutOJ
ZLOqyXTxz/Y8jvpxGEFXbkKFVGk9Mq/TOMELrxh/IDjSeDYjWijqr9llz9K1VDVlGbXmkhuh2HEU
kl7cbPm5kOhwZEX5ctnCkwsMGHWd5d7R9xc/p0rZxR1u31TRQuN/ibh67A82zHIudLDrDpt4xxuT
jkjOvgoPOE7mC/3HELDlSitpYBRZTQPRwUvbpZmDHU+yQFh3MCyT2sCsou8qBtwZVdJeqWjKb0qB
yTJZp+2csnHosJJrzFlh4VQ2ycajdgQ8r0uTl3bNsgVKwdu4QsK+Vr55hxYOkZvroH3ZS46CH7Cu
p/JYYPk2/8LUIbPGVQO8RCCWq9vFkr8LU/h1M4E5tQtQgIrBwVkfA6oYy2RiLOtN4ZoFVMmZnmEz
UhqKQ+u5MwnDjp2jQk9KPLBvHZSzEYwxvoWbSfqccNSQrFTLjuPuaBMiwymBUA81vRWbJZCJMU7m
3jS8ETKSw1vBuF/UIv/aN5yNW5SB9fcMliEmg7I3aC4GFs8CihAJ5hst7LxuCmAeBnFfIqgBMlqs
93A4uLHjqSm3fWUuVkD1ZTdQSHyqF9bx5ZjkP65jWcXWn/LMfnGx3uYzWvb48XHRUhZfo8iQOM/A
muAzGnDAxh4j7V1DP6YQLv38POYtALaZhXPxABZV6Seknsu78DE82nmJ5XLgYYFBeb5zwX3AoYAI
Eve3NocBVqxo02p6ji87a2hZGVRw3WV4H01WM2P5VLESxG68HKt2QDrKf2XKtYSQl+3+Couiil+u
no3cPPs4MfSPQcLmtcsqmThPPccmsb8Is+7er7oWQcAfRRcCFpNu2kNWzdjI0jT0r4suGi4qrBZf
dlyytHOILY/2vBjSeiA5DXXooTIDoYiLuLT1Hszf6mWelR/sjSGy7cNABeLvCjyRHIIGRgjWhpN3
8JP8tlw56DP9g3JiB/PPANuHu34esVu1FrXPqvRKNZyDAt+c4wd3xcDtzV1pFAM2e4XHiAhk4PVd
mbCCWgjMA3LMpdKYY+kOG4bbMQEilATVdz5wjkQMMsbwiTFwrCkL8BT5J4bVHYyrPkkN9jMb/a86
ZFMETXeGhkn9pAe+CRylqJa0bqgUOdZJytK921e3UwTGtGFjplwPSzP3nvohsaoDkSz4d/oQP4Ov
ZdMUDfYsZk8ImmOwiN+/9zfgDG/UsmzTdgVIl0Uog/PmjaI5KCyrh9IxO1DMN0mCSdNpHiZzODiy
hZPcBeCGO4xf6BosnQClD0jZEU9Ohcb4/f3L+etNIKd2hMnCckyJwHqBkv6Q26NL8KqgrG0Q8M4s
vgghICAZKcSgnSmZ9+zClOrymGSx0a+bSJE5+f4FWK/l0y6/30LoT7/lXRz/nDdrIRBx6MjYH49d
jiP8Pxhe+OV35KSsc6qxkBJEFcYRn01VbKdwNgltaqNmSzU9yGMPM5FcNo/YqhCoM8P+DCEqBaEY
biC9p86d4efWR13i8or+xNcYMEuqHw+hIA/Etd+8Qq0yCN5FEoCHY1P87EHWZqigvApltw5N9k8E
KpsqbXmuONeEDxHDwuaDB8cI+6/L0LamsuYKLEu6b59cop0K1o5lHmU8Mf/DcxXztHBqW+JGJxrZ
p7pIA/WtyXNzslZW5RIIOTpYDq1KEG7n0Ii0se/jmSYBdPvSxKLf9IbPPuZtbBqRyX+NyJ8BD6no
gMiZARMjsityePd3MkcVA/K0/Fss2wEaR69j+yGUE1cxpu3aY9bJgXm61l91XbKiYdbyG/IkUOYR
aguyeA4GsbR+bfkgPEPZzywZbezj0E6Kn2zuwwMPobMf/MmE/nK9zqBEqbELXByOPyM75M+NyMbg
mTEIZZgQpfl1dFBR0GJVZXGTQYTrPiMOX8iml1sIGmYPny3Tz+PfeP20UNNr5WTyJLCQJCRJmInP
YRA08qF2RiP9Jx2wZlzHHRFUZKDFmOZfPtNAAj4+lSoMBioN5fgPAPjWvoxqbPGIB8l0sTOTfk7u
MFsejbVMCW8h8xoYs9hjz7d0dZet2y6S2r4vOzwAtnHvE0juJTK0qPb9ET2QDu2aqXDc2fc1UWzj
5yCIZkYxQ10w5rlue4RCevJbEC4buYHRJDa0Duvm1utVPO4LqoiJsiASEzcbEZXG/NDreCVTM7Aa
jByjnu2gskR9y4a6srDGBky4j3UQxDAKXH62l1dsDHOE0GXr+gkO3Ubv8W/cLgCUaE0ZTTsGL4R8
+VYw+rucnDR1wtycf3P9f23yyvon0Rds06BnrD+bwFN/l7aShXJ9lUJZDkHC5B8i59Ijy4VCyK+/
eSiu8WdGmaXg1PmorY5J6lvlATE6F4StGhdnuWiJfg8jrK994s6hvYX5lcW/26A0Y9Ymd4/+1uNf
ogqHTr8o00aomSZo1pMZpmm01Q51zl1IlKoPVGrHpI17maP3EfhnctNEbt6dXFd1zTNSMHP6hNdk
Pn4fyjmRjAJSMM2MAPYVKkofZiwxQsYxhYtxzJvKexzjQGKsdn3RwcjIaWe4jLQOwmf9YRCfY391
i8sZ3aXAIUh8EQnJau6WF9aFd6FHyvMxaXvPY+xZTlX8W+GRhmmTNdrDkVwRld+Fpuqg2WIBAfgx
5zHffVR1pBIFYeTTF+YUXBtLk+q1tXOZ2ssKGOuDjxyr2jPGNhaReu5NSL4hd23rcYxq/LgZiz/X
Rc3jVbrngSujGXRNw5vAHZAp+OfBvHyLBNXySpOwMdk5cHTnjc9cE7bR0qtKjwadIIUaO7NFkY+S
wkMYDfUw3AjHjdv4gyPucqK+3q61dqRtKUZMnhKL6vHPMy7wZOliYyCOcxp7L27nIK3Ar6M9FKLV
6O051VZC9fy3qciBP+a6H78tRl8pKDvZsFh6msiUYXhEyyAd4B9nj8D4jDaQPAPcLWDVLHPx7DQJ
vpsnPAj85MlorKRaz2UzpvsKaXV/LzKiETZMW+cO033L++lUeUv0Qt02sGPRkoMbMJrPGdUMbT8T
NZ7JeKNy5UwbsyMGbm0kKRB/RY+mUKLJrDHPqG7xOSiR7CdPaQ57dx2wnPMjgutxuk1He1QnaMqE
gFGPwdWsg6hCQd70WH+6hTqndVyqDwZQ8nVVwZnuWRTitgQtNBnnvZ3mufhcJxOsquP14fIFVvaq
mvyf4KLI/Fs4Iy9VQsbmKsFp/TN65eAJPZZZ42vbQ0wN/LhuYAeUmJazNi3SMgrO9WL5ixaJifNA
4pPutm3uIShXWao2vGEis2sg9PhWjCEmQMWUiYggd0aG6CGitrPW2dAPxV0Q9uHwFBtO/6QKjdmC
BqmoUYuo9jnoe6zqM9nBAdASyibz/e6x96EitwlO10e7nyTiEjOnMc4R/TPA4w1vyHYAu4jNAa0A
X232SeUh0wfqemR19dQRDTGGssIfne3j5DLfX1MbgqY5s4oIVsFhu9sAdzvFCf5P/0L0c3fUdVn/
eL/c+qva8ixp83pMxTzT0c6bOWsWLLCq6uWxQN/+PTLnZAAWsJj5IIhDPm9xCPgrzsa2+ef936ze
Qut47Xieh22cUIoEvbf8t66qRZaNmTgNnMbDZvIG5kG4FnNaefUIgBmAerqHTmjkdwwSW3Enfbv8
pywVW8MVULUSF5RDtDayOnhiTvXFofBwdyZ0y1UgO5oGGPP8RMw5J+8UlAEUrC6qjYrJdBRgudvj
IrvRWDmPNx4OzdPXmNofSxxoXCAOZRKr/tnGrfOTD3IjEEgsACdsKn5yrKHCbnurKqM9pK4guyXq
LKF1jXwbksvQ1CClqIe4lVzXCzo2wmx5bBItxJMCB/sVNjAf8PzIzfTeKKz52e4m73ulFsVZ0/vD
aZH6ni2PDI/fFkBzQPAH/jy0xDOk02rmOYQXZpcCi56OZAqE9R52DqqupJvY1Sbw0kMxSG/64TIl
+fb+K7T+Kjmp0Zm6Ijk3taTufFtytqIqm5kgEN6hAUIJ0kGDpIyBC7u2cknd8Oc2qef8J2UbYl+r
oxy/jxGuwdCYHMAK7TCqPUomtb8NvOwx0PM9f95y3hfTA8YSiQu/vCwZlJV22nxd/BYkzBQl4p0T
JYV3i5Ql19u41ORDGplscJDpHEahV/ICzn1yIGeb+0CwmDr+PcnkInhuOs8Mbv0AquXaQ99KfFmn
GpQ4ZHOTp+UKOtErtxDWIYAg23hdvpAakU2nQCIXWMzBBSOtAjd+J52xs6/lHDtnwt9NdUSeTYTN
KpMTC+w6VIj6yoqYwU7z8OmK7Hd4+Q5HYrm8e10UE20XDDKyq13Ku9UVjx8CTbBMhl3kL5ZX563k
hblEhOLIpEEaGID4oSMqLHfYCJtVXXdqC1TEMiUHdf6H1QQI5KDugsboqnpxrY1BmfU8Qk2LwLuT
recL3lLQDPz5ytC6YtAN1i+/Y7Jf5Vn1Ixof30iAZMjzetS10+X79DJcAOqkcOXCAoK4oIFhYi4J
1ePNQkvyIQ2aDeZR/Uj4pwkWa+1iBCUWbiTfeh1UPnY3nt3sVFGrozHXdkxOlQzNLZ7EU3iLNyHj
hQ8W7hs7goUSASXHZP/BJWxh+75p2dgN8bokT+qE40dxO3is7YdyrvQStDlMIl7ZfepyPIZT3h0I
rGu7bxZuTWSweBDW7GecXEpiaS9kSfi7gEGrLPa+e9IY+i8Y2TrqM3GgzrijjDDvu3TAkHkeh5mU
UA8ECXJmBew1B1Za3F+nMjBM6u521MpjCDbkC8EVkc6ChF3HPM5QIY+ravyFbzogt2+tHmHFNYad
TDvKp9hcB1Nc9T+LNFfVSblGn68KdwE1Mu1VvHUh4DcoN9hRcwf5Z78oo44fPmU5Dsak4f1qSzRK
KKVI+UMPhAcevPw6NcTxCiYzSwB/1JVkUnPtMBpcQ5pdheUNJBacc38bdHPxP26kJwiI8BIZpA0m
WLLC63fmhco6ouWMior0PQt3BTXPGrskaFncZ9rBqcNkb0ZIbjgyyrdJUCH367ku8xhg0k0ksW0k
JxePJWN3HcgNnF7EsmuNRuA/fp0RgmjvCwMt0trP5bIji6Bs+5No6JC/MN4YgrMNQYXhkqUQmLlw
JEmgMOPAvvGhOpHLRfY80S6CNMG1i8s7kZOIz8Nt31iVc4s+nrAoa4qmGgagkR762EGo2nrl7K9x
WmpJnXYBqY6VVCYsVcYnuwQbnvCIx+HiLngBvy2Pyg8fzgh1bBZn7T6alShOJZMp/LdAph+nqs7j
A815ziY+oczBKN2IE9JuW0/sTXcCZrBnFPtnXG8j55CaUfx5GizSD7VC0Y/ao5uhedYD8R6D3wz5
XWGPefojmhFhPcelzAj7yRhj39NX9ffvf2SLB+QrWISzneGEAPB1pFi+ttd1NgVWStHh9ScfLNE9
pQUOXdIM9CfjQlU2SmeIDmPSpsb3liSDgizkYcLZziqhhaphGsQ6LiHxbcCFrW6HcBJ2LPNvFieN
NJlYuVMn2YM5TsUDHYjbH6+YbWmb/YTFkC83fpyrRwcMade4OH3vC37dZ/xYmRzWLr5ez+/fsngD
wUCxgn2jMUzxyLDTfyFBTRTmdFaGfXNl4sYFuQingBvq7h30I2qjDYz7EOktiDlgQsT7xkzox5wm
yFdsBnEuQW9Jh3/ZhfkJWzhOzypqZPlYjlb9nCBNDDdQCalpdGIm8DVjrxmmFR1b+SI6QJXTdVMm
N2DpqRuSwNiNc4KLsTEy/8kEw96bK2Vc4Ywx38/ZWFS7OvIj+7kl1VzdZIIH+NFqeAOS8WgI6+Yk
lpIid1kQr1dDNcq2NZJQ31TCMLI9g2+xJ63ADUfGZ4WwDoSPoc+6jtyzwbf0udFhH2zQ05gWyeyM
mO5F7GCY4DCebfmoXYOZNvHRrroll8M9mQi98V0j9Cd0gAwxfF9N/Vjx7HN3tjY1iQeoI3qQw01G
yqi4Acrsg9tJV/bJtMzWvnGCbDB4mLhe6Q/wuUWJ8sfnANCLlamD0GPxwKHHvQDBf0CrrS6xPsG7
bl9MGhhuYgazoEwwdijUTM4YJmtV+X22sX1e8Ull7d0VCoqw7TZOM6p1IjTfX7B/XxSQISU4L4SJ
guO9Rd7jjHNGW3W0v3Lf0ymkgItJEW92qJLBxV1ka7Biy6wNfvpQDZi5zu1c/UZ308y3NuIJttcP
Lup1Z8CT0gh3tAUvif4cGujStPz5pIwpii0rifZ1gtn5z85I8/pXxQwTKjQRqAEWepBy14J2wHzw
Ra/jg0+MVX6b5anp7JvSzimqkMk2u/qybD64vtd8yuX6bKlcxSJmAkM3+2YpWz0OGJgxJnsz85zm
U6spxlA/ENe8hiUmSw/GAXYbn+gXJVkUQdK6+rFSnjndaDmijPzogb2+IK7EA+mXKJJsKhnGQm8e
mM8h2PXZTPCjqkBdmJzYAp9av46eOqYuFq730OPvtAoJ6CPH12puepVGx1LTfUYfXM2bD325GGE7
2lXCUkiblP367SkcdQgN93DDHnJQHcgRvd1sBBvwzm6EdTYyMqO3oK4EkEeMbPInKPAdg93335L9
Zi9WEnaSNrXWlr0YEb+N+elKd1ZZUMkd0m/jt+nr0dhWkoxTewgKso9JVJ/2qpNhfi+cdiD3mAI6
b6CSeyPJGe2FeeGbDYU0dNSlS7z0NZjZ03Li20hz5zezOKOlxLnGZ5rYnOtJdjlCSVtUYmMxWJrO
3lRW5Qt6grz8YEvFZvnVlrLgKrTQlqJxX+BzhiavHzWjPGIhyes9xVHPt2oydmyYYHcwLybaFHjp
Y8B0s8wRImwdpdvqTI8A0YGPFwEuppzivkxpZtZFaJGgGePN2m4VLEG4plbmy4PtldLa0B8MxaEe
5ntnQS5PMbBRvJcZWcwYQY1EHiMF8869xFZlNTBdaM6Sk5IsgMEzIbzUVv1V9jkZLisMd8Jkn+JY
+3lqwABPdu4hMxV2/zlA/EyyMkjniv45nb8yvATrQamhh9tWhdONg0beX3lzCFoFnN1gkWCl5Mnl
HrU1Nj5l/NwO+DqsFQN5d2NLk9sJTY5SKABcYNzWCksv7P66nZt4XCCCCzuHzogAY105cMP9MgJp
C4xw2AXC1/RVqAJIo0RGN/vnvvWhBVkxi+dIMnAPXdE1XSAF5Lv2LsA2dOMTqdJuh4Ca5aausB7A
CgJfnY2dgW0di8gjf47A13iTGmksyV0lk2HVGVUbP4e2ufCphj5EJ0EYCGFuVT+hThrd8Ofi2nnO
J39KH5DZzvbWMbHkZM6ZwtyK/PTR8kKGSpUgAIfQ8IygORey2K9rxYDM3hsO2L5688Y0meM/XqGT
a48JI8ONtp4Zo5qC7qkxQhG4ZN5diWR5hZXArRKS8MkLl44MSc7iSaWyemE3QAOfEMWwuO0QyYgD
kbFNO1DrY1vHxoH5h2rvG501oCCdGnZF4y/uwEZeTEe49cODEdcxKni8ODGYzdx+2Plt3g0HfwK5
uivGyNgIMPUMsmk1fW5zIwAXBCmZPjqhX2+jy75OiaIhMy4+45oC7vXnFCWOYfsJKhtClZV9ZnMJ
h2OLBUhxXw0U2zxyyPH/XEUZFf9E7VEysz8IBsz/l2OQWkxcZKpCL6fN68upcfLH7MuK99EFi5gg
i5a7csjBwTy37tcm6rCmhHSMD6tew5xh2KauZDQfj5JjFwiW0xUEmV0HQeQHO+zr7YdJo73EssFl
gftFYfe2pJOzKKmDe/vkXrqNMvICDegQqjW9VVtuKwRe8nCtJviqwcFCqAgXOloEj92V0ZOciGM4
OBW5HqeM6bo8MsPX/q6klfrkZ+EITipFWx9IqOmTx9iuyuQ5RYT/Iw98vGPevyPxegWwoSrGAkgS
EJwoSbn2Bg5FfT5hUOap/57dbDL2/+qo2t5lDDo6xEuBzO+i0F9CuhkfuKew0uNw15uEha+XdJrl
uE9nuYUh+amEvp/jeVExGtsRfwnr0qlaY/6CO18J//FSWplGmX7udGXmPxK8Y9Z2OFOlDrAtixv4
/Wg6cYWrw6V3Bzj8CQdRlP8Grmn0x+vX+P4jeFMRUqQKLWlD6X+X0wVOwutVZxoY6mGDRYZm7TLE
4xBDkZqJgfEg/q+MjqQYDfltDGMWVNiroPgcMCCyXnRKG/v7ykf+/7qm5cN06BlAqR0PtvFfVSpt
HVQAMydfosPYas1mw9A5bAbzPo+jJQADoLg5ud2SyHmVcTHjtB8y6RFebi1mAzfvX9GSYfi6mNeQ
wSmbGSLBl2Dtv35K2u9CyLwhRmy1JuPbi8l9WkEbnB+rycQbxgdvI9GsxVYhRUxI0X/p5wSvLN07
ZGh5BIfILN2lmUvIMlR2ErIZcgDDZQmNb9vEkbEd3dbSIIktXLIpNnFVKTGjXAfuKMxD6YyqWllJ
qzGrMFmf+6b1w10dpHW+/eB2X38XC6dAC56/tLDuoqR6W0sxzMLbAF7N6domYLK5YOomzMo7xx6R
L4tirqLTNHr0ZWXddRDj/dRyj2VbD4w+L8TA2YbKf4YyxsA7t2p5U1bYMK7VXGPoDDUBJ9kV6hWj
+I3oMKm3duIsCOr7t7KI+/94c0sTJtlLFZb/3M5SML9+c2FqcamlQ7cIsX58zJOFbDvDqEBpfkEz
fRc10nZoMxKlA+lfqH6j5/wo2rzIXrpcvlzJltfBOjaBrlp3/qIOCf3pNgYYwKSc+lDgvNInt1HU
JM9xlwENUflY4wZGJFTmDlbtfUidg6t81nkYrHklLNoGWRh2Tgv1t9ENlM7sIuatLGkeQSrL6Vxi
uPLDkqnHyuoDKzxRKFgR52k1e5v3n9Xfjwoow5MApDRjJg3s60eVcVM+vgDGiWEUn7zBrtdsOY+n
8a7yh/hcqxbyyFTGHY3scCF7vH8Bbz6z5WUhLDA5W8Al6bbetqd2XU7Iupv0pgrsbDxOAJnfmsAN
i7WYmKHex0HKx2K5MCD3reWzfVIkJ/1BxD0QT6fD5UlfcMhUR2YISKnH4vAftS91LP+mqErsZ1qr
pooxLm8ep1Cru7OxfClWbd0lwQEs27HhJsvhC2IbK91jcscSucJ4H9zxX8+ciYfw2NIZxrFU3p5A
YggdjP1853S9hcZhIb5MenLDU8TsGBpIHPsh7KK4jh6vfclVk4DlI0v4aplQXoQPJqaw823pFO0D
Tl246sCSbYKboiWu8VNAd1TUq5HowW3nq6nb0b825XdntCr9ucjiuQedT8TFNY/seeS6Ot0OeqD4
YmY7Fvv3b3wZuv85lPccnBFYaEyScNnQ3pvaCyoesBGL4QR3y+ufNIbqyDXsDLYHOwyVzfu/7q/u
0FMeglAGjwtxC1nTG3Ayxnx+cgqZ3mBCzjaQhgSk3V1FvirIPYLlOqKMIIaXpkZj4ZecgqhSrO7f
q260mD1UpY6S+c+hypS1x6qQjjDvHT7apMUT8gt5C4vfxRUqN+2ELdOB7YDVfFmb/k0XFVREWRhy
Otmi4de/f4t/rSQOTcAJhhwm3y5V0+uvNzR7h53G7RGRWKGxKWwnfQx7zst9ZLYAUAFh59ZBk6sO
FQVraefw/u+/VAqvXikzQXAqcAmidhXBdK8vgH2YdTw5I9+YA61F49CP2/voL4QzgrShV8RE2m7h
QhvpegTshiQdSmz9ZiNMHl1NtXaC5Enh0ZUWf/7g8t7iFExwITgCMLCvmCByb45w36/R3AjLOPWX
F9H7qJNu3KRmyzDRYBXPrVEGR5gr8bBB3UCTnEkzPl81juizIET7s5OdMtrA8RbPJbbyiVgK6+Ca
eTyfa2j45mlKFs3w9V2/fwN/FaueXpBEy7XA2pBTvN0cR6IzBwMS0I0IZJpuGtsITAbEiwFIRjzj
sMMSUotzOUDkPlLzTi1zSmcg4t4t0ubXVTgQpElf43mW+ifiVGr58N8meGnxDGhjxvOVrscILJ0p
yVvElJHhtvUelhwLmEMaQNkohLxpBI6ea9xXSZPASMbQu+t9z3hcqFPbjPqDr/h1FcbxAJ7selj2
Qh8gJsp8U67bWQR7x6WSiBF3wzTPyzTfkm4JDLK68sW6Hh/dR+iBVvPBhvXX8oG/QOaf4skvs6K3
y6dDK1vNtTZwjyic4Xcb1Wl7z6lschYKFnaDNeXIRxUFkYP1YMp/G+TLcyRv318HF77S/35nS3WM
ssCEFG5jPg7ctWwEf8ClsQ32P+Aiss8T4uBO19kvbupQ4sOCfIPj/2PsvHrsVq4s/FeM+04PcxiM
/XBy6Bykbr0QCi3mWCySxV8/Hw81M1ctQBrAMCx34mEo7tp7rW+lpVaMP6xeru6z3C3j3R51FkaD
RlYwfRjqJrDy2FhvkUES6VCZw3QQY0O3vPYUPa+A7JnsWBZuGe00ZEnIPy9PS9R0HgJIuhfFhAaB
R/tbxcSn/9MD+3MDfQ7XpsF5aXGyDzC46j9/zqLIQ1cL9Gnvt7HNUuvmPFlJY+TM1TzmqZ9+zOld
5VMfIEbyHsju06adzhYm2oDXyz7//tSTPP7zW4tuFIp1hxaqPb+63gub2gZdQixSb6+GlMdu6Xjq
VUf6c6jVbvZc5UWagX4lv0/f9rUVO5TQmGjCJE+3srNz60CPqEdwWzHNCFeLfBZKNOud0zc+WtKL
Npe292zKbyKJTHVRYo/lGEHNWLRz0YgD5jBNDG9JEyxwu100NKTAXNyjRFKxAgf4h1ocj7PefflD
Sw3byYQbleSYAHzPxU+6uAndiHnxqStYik8DUnSckybYbzKgYz3cLNLNth8Vqr4BI/H47Fx+YNEZ
9kK62Z0TitC6AgIi04fKTH0ak2kMh66sBSGnU57wStAZYcYbjegqbLFjjzZ0eXZjjf3/s5LR7Alw
iP+Izq2s0vCqxsIc7lwLV/KO5HQMtr+/rJfL9n9PFHeaj6r3Un5RfM7vmZ/vNLyP4AFQCe1rlffl
U1WPk/VoZzoMJVdXvMe1iyhhWUEXj5XbWEkwR4ujq9h2zcA3TTnYo3uBNDI+1wg08/VwqRGKFmPb
bsxghm+yfkRfxlA3a5/izMOy0IY07/6wXTV+7tSwUOIZparkDOrObDh494FkTV645YYNMVuzDne2
eBRXXc2sGxmeO/q7SmvCbicKkoAIP7JqOhDl2MU7ZHRlt6/8Kug2U2tzC/z+VL+T+7N4+bYOAN1i
JaUWY27686m2E8rsbmrTQxdaY/owaJjRafYaDuG0s0j1jNwrCDdxI6zuE3doMmBYUnV+o7CW5U9j
SzrQ56aVhb9NEaR6lLQXSXvcNtUHDXQ1G4BZZ/mHW8R4X68yAwp48A1v7gIQgfhuMaK96dUaoQCn
wFXWHjpqlp8AXKVPgjdv/uwRBovqhxCk7RSUSXIAhRSBgi8F0x+T6NKS/IdZ0FwDFjEfWO2GW1TI
zp+KsF/eUox3dOpAnRGIzVz0XQ02IKSha6gqzGZs0W8yc5zS4xC0M9ShMb4FkRa462huORxkzTT/
gFCCRecPF3kupf7+PNEFxBcB9GN2uPCSencUWBMphKFxQTWwqP/WwSj64C5HlXFf+fTUgTpFg4c8
rwIljBiSAN7URDcAj8T5MvQ1uy4UefDV9lDXAMP9/vDMXw8PYNwsTEUvbvGEvKsEh46gApJgg5NV
JNa28Du9PPuDCYTSA2Le7tRFQtiZHnmRyK2HmxZymLfKXbfDg9KGTnAV2VFgXhVJU49HuCphfBSl
R6AwvM6Q8GIytBBfEDCHG221zOexo07T1WRag72LGCt4TyoLZfiHzs0vmwAH+QXFN0NcnYvwXmRp
uQWaEA/3S36hDizzwRHMC0boiRTyW/p3LLs5AgFiIdSgyT9UJ9b7tzYVtulioGYqCFQRos/PD7gV
6SiPtFCcFlhX0HhUoxFYPVrWaSzIDoP+Em6AKAh10moFL5a9SO2enZ6NwRZRwAjqs0DEuMqcOQbO
GgvDYhQ0CzeXJbMiangeW/Vdslu0l4bsZy1t0jV72UiFwK1FN1AWk1HtpgqA7t6Rpp/vlqJ/sZWr
YMS7fGlQLwrG399lc2Dlzw8BrQH8QWzGkEFg+XpXrKa1UYKiYSutTX7e3pSxV0ZXTYr+bscZ0Hn3
F47ff3JsthP3fYqICeJ3AoL6W1M2Gqm8Ws/8LHbJibrXMKpBRboIr4KLfy3PUc3M3eM0UWtzHAN1
KHWdICh8Ho/SrSrnlTSBaaWbJDOtXNpRjEB72/S2SW7TPSl6IgBPiK0DkE6kFWbHlCeCnDibaHud
RZyaD+OpuRlaedcbwmMy4migrAHRslNnX4uaxlEpFrblff77s/frGww1ERG19KIclEQU/T/fRrWP
ldvtpuBM8B3vVjvJZXGF1bTNjsboJrDaZPAgaO6ToEL/7KnpoIKuS5Rg1VVfEO+gPCaS7uoPh/X+
NcAGkq1HwLCbjuLMUfr5sDLlMO22vPBsaR5GCEE5Ua3LCifBWmF1Ny5hyt0XWHZ5dF9SEoKGS2vr
yZIjNY8dgaCNgAdlXnfNlSnsHWNGNrx+43S8yn5/sL8qrjlU3cAlN/M6yH169yiSPtZnrcqaK8Id
ZfqBjL8eqrzRl/TTWH8z94qXLYe1iJeWttI0PxUsx+zx3AvScNkNLsSIDJxB+kOqtGh5jcU1e0E2
aZaRqn1kI35Gtg9//AZOZtuuezJ2wwOJBMNAHEvUTGs00mGD84L30j5y0PitK2GclsZd3BDke3Q4
uvpK4BGPd5CFYzm/XHv1NuhNBuuXBvZbySaJ2AHTx12uh214ZbkCugPNBeZ0YdB1w7GqIvIgaeEm
3VFlk6v20xgQ3Yjku0brqNvDsErLAUKFqXkxWVNJQdSDq2HqWlsBKUUpTZSESB8eQvIiY02/Npld
msXK1Bshr5zBjLT1AhmB8sa5SVKHfsLvryOclbm6+PsLlZkDXBre6UgQCUa+sFn+tuUT3ag6KbXo
yNn1c7VuCqPqDSAgep5Fa3smXz24NETdE4jsgTtpqfuG1Ju3ARcrKbchl3rx/A2mRaVNIRIOzy2Z
MuatFjGU/V5PLRuAgkH/lwzxOjrDoPYfbctoGvSYjfWawezx+XtzbyubrD47stZLOK2XUiYLdSN8
HNO+7W4W2lh16TMFvV1/SiiqiHyI60xulmOJXbLKt6BEsQ8tL6rJ0TA5N7BgnRcUJfaN0KfIY0s0
H1aCyKZ/yMyuqDd1g7Nk68dwHjeTE9DiGAbd6u6XljWLFUuUja+vfyDWlD2QPsVsMzzSUso3kj4s
7Tuyf+Vsbf47eYS2AWp0OZwsc1X47IKGZq+RkXu6CwN3PqOL623ZaykZcwJCzcKmR9DVeJgiuwkG
sEa6U33A6zlmD542wjXUgboTiuq4EHa/L43NxffrNaY3bNuJD7wTeqcZL7r07fJ7Fs/S7OWSLQV4
68ATQMvTuuiTs7ELTkFKFXfqey0cnopmDJ+buuFMLtLzEoIkk4YGuelWKETfQPMTgAIf2G3403VO
OED+Se8KyDOtPaXVWkXJWx2VXnln0Ca0d46uvSCPCILjsu9s7JqbRb+g5GaHend2CuK/dtalh7ls
R1G4sxF14prNhkhsXbtGdBnChCFolKNZ1hAg2VyKoehoYcVIob9hnuiLfWANvXVwS1CuK99B31yu
LK+BM2DBAjgGBFU2XzoTndMDAFpec4UVeyAU0dfx0RY3Z1HGqjhMWaf3HxYbYM+DoXZDNZYCfObF
wpiyf3Z2XiL95DFqOx/1lA4R8bohqpaGJJG4qftipqT9/vB2WjSmFYRhdL/HPOxmfuvQc2yu+TFH
s3c0yrQmdcE0H8k/JkNHThDEvdrEvmR75CDEm7zrbLQS4U02wIxri8B6i0wtJpLIirdDrc1Ch9rD
JGY52zLT4nORqPoKy8e07syIS0Oy1XVYQ7vtcqcDgUde3B0Vj8/8xxHREWJItM2DNoT57r1N+Id2
hd92eFTGh6wf7C9VSghV3gj/cYpGiaInGE+N44bnOBp1snFA0GOQtwm5apnpTcV0Q4803jXCk/e1
UITV6IoE6UqrKrmGsOBds1FrNzKsDtZQy+3ILzvlZdJvukDqcDgnEjqDKI8/ibSYyMJowZsYubkt
ld2SgjzFLj302n4x+0T/AvhiWBcMCNY6dRGGCy2+rofGPoims86KiKF9avAoI9Ueyg/SVuroNM0T
FpAWKBYorQ3goJSMT4R2hLFYlHcivGmBX+9VGRYbwFj2diRna0cWYWSuEl1+Gmh+rIWu/Puw0dIX
G23RkRGNEa3YBMt1qCAvSUvqm8Zg3iRaLcvwl0OvEdp4yox03MZTHm9BXQwbHE2BvqOBrB/01sAY
G6jc2tC8NTf4w+yvLMKOsWqBnZ00cw43VLW41zqTQFGLfaqej/oG9sTHpqiiWz+uMRuQ5woQt7mq
tOSumGR9ph8xbsNUgSXyyGh7VP1U7nTFRHwTVy4uT/y2ctuykUiw9j7rGKSIH/GSHZ3u6Ms0ZDkx
3gaKg2p808OcQLSUHmXql5/xM+uQ6z06Q48EKMRI8UPnIwEz0cExYmu2orLacJ6FvanHYlq1Yrib
sJKsIshA7GpKcxNEqY/iarSmvSRmzN1CKErbjRqLhmWHunfdshV6MgoTmJ+ZTcGuimoLq//k001P
gnXs0KmUXQ5GOWF9m4Q7hywzWOmnuD3ASfA+OZqAzGQUwSGotLfW0qOTSB13HXqNui61hnAhzdY+
VZmdPiPOgSrcN90VkTbpx1STXr1SuVme7dCMwInJz0WHiSeyKn9fQovaQCf0m1XXSZTCHisv6ABJ
yIqZaHJNjIW+8chmua/Y8AybGHXXQyrHaI3OjTOfm8EWt44R0d4KyjdDDtG3IbHv08wIvxWpN945
NdYS7MnjCxsUEgEsdwi2hJMN9UepZ+bHcJqTiBmluivur/TJM/rgCngByuROewjBImxDNvTEjkFe
lbF3q3lmyUATOkpBv4TwCSIHGSphcHN2EUTtvdLc6ujnWnaDWbLZIxaYXgDgk5IDLHTb9t70jLkx
P7s5qRpMYlsK5dFGV6eRXOKGMMy1Ojh47jSEm9SZ29rIyEk0LHPSI1Ze1zXfi8iLbrvAdjeG0bSn
InI/2Elj3VlUJHkFn8mm7bFFljCsfZlN69wL1aax1CNki/CVISghugnuDZUZ4rGCkXgX4ruCna2i
u1jpd3aTtWuZE12dDjXAI9EZ4MKxxQotAkJRTkFPcEZGmrNfJZta9Y9U2/G91blvfq9G1qM+ODqh
ow4WAoVDKLOE3ESE5OsszcdPmVfuKIXF1UDUF9EUo/HZbQyylDs59GvIBPkaj0n0ZFlo3MhGb5NV
NxTmh8aZjJuo0fvnMkjbZyKmrIfCinJMhaglb5DGUCOapfja5mW5B+HP8IvHAFiil9EwCiC2uEj8
fIdMOiI61McxI7aCW9LN17Vy/CczdqNdGIakpbKcUGVF6acg6qaPEzlhu1mzmm8DlAHcUdheX0q7
pONlFyyFXeytqkmrjjYamZ1f1sOjdP1rorvU0cJ2fgdBqbsloTnddxOtXG5u69YB10DiRVzv4e4q
iuLW66/SxAk+kOQn6CcL84NMW+pvatqvMvdLYpir6psU0scV1JIZrZlju2u9slzXukxuYBPZa1dT
/o7ahBh7DWGTlcR9t5qGvFtHdvG5aPXiKm1A1a38kKxQTbX2KuvphOc0I/fEkMDwCEYwTGPd30iM
glBP4+C6JGnqo92RLzTqnBHppfprhsJq3QTxtOdpUJ+ytM/6NYZ1b5vRY9BXPMkoZQhf/Trk5g2N
mfK1VLoFQWsw2o3b0uNcU17a60JKAIq2QyohYoJ0Z6SF8dkhP/UwhZq7zQcTJxKVfotW2JeCkFQj
t8haIi0QPmosbzOSal4a1VT3eY63dAuiIIloJmfdLhsj/xEonb+tankow8reh1QzH3UYJk5k9QQs
Fd568Ee6oAbRXqVB4J9ZsrDzmqzveTuKg90FaoN9vrrKqEVX0opgSBpZseOlk+8qK98FhRsTlwYn
Z3Qm5gKdgRef7dCe83Sjwfx7MhDLdquQ4dGNVicIctgMMtXRG4+wl2LcF7J7dYSUe4k982gawDvK
ILZOLtkxuJvr15ElZq8Patokjgv0mKBWcTKK8RMKd/eamuJGDawLKhq0HdrEYx0bwAgbj9KZ8nON
1lccun4oPrOTQaqq0puQ4mzeClaA03W1C4Se7Qba4xtKAG9juZF4baowv4Goq69pOuXXVS+0G+7L
lsqnIxu7I/CuHbEv844zk9nGNYjv2MjLve+piZCLKJy7SNj5lWV8daJU/+gS6OKa2SdZSVqgoOxg
YQxt/SzJ0Jtt+X28hTpffs4w5RyoXf17O6vcJ8TDRO06Wbsrif5eRd7IjiCuhlvmkPTURz/5il3X
2QehAcQscWafjqLh5BtleOTFWN6wEx9R6s+0SKvg/RTLGyi5ZOoSXXFGNC9uctpdZz+P0oeg642d
68ncXGVjGzz2gWjVIe375Fq3I/tu3tUjGBEWwmcXRwxGyxLAOMWES9wV2va5y1YSxeMEI+XlaBjH
1u6NvYK+CfvZTh5IWmpuoGXWW9U0rwkks03TYFjv4Bmu6ybQ70xX6feicgksa9ritoW/dgL/2fCI
sIxYUEaeWWym6xQM60r00auBc3414nHCdlp9coE6rgSwuzVI3pw7mqAowTZSNISywVmT68gBoMnG
Cyulj7Fy19UpfETkT/0xSWtqz9SfHhm2Fl8Nt9Vey0LnA+D3OSN2TZ4siFsFTlJYCqnBDqHEPn2Q
RBi8hLVK9hL5+adgbLLrwWn6qykBRkn7vdx5cFn2TV4WeIVKDJtrOGz6Fl4d6ekkMrX7oYCrWyfh
NWhDaj92ys8Nhr7rYmS0x+XQZt1QgeA9c7AThKQQ5slw6m3Au1pTcZ96ye3gqPrTWGLpBMBTvJRm
7FBsUzdkzZDd0QiBkmvxrHi+WtO5y7Ag9ObZVXF9mqaON1iXXzvspT6QLSFOumaVG6p070sDkGPF
i9i56eOUOBAtEZ9RUuWvmh2bIY9Dq6G90wOgw5FaTQ4H3IwWKcR1kQASznXvQSFwvMG+O6Jx0fyj
O/j+VSvRwFeWCbOjaKcziYQtIUgEWuue1Z7NHPQ+9kjIvKnhnontDDZKlF91qI0PbmnrKFtNGW7g
qqpNMBBUt89x7j0b+G1Pqa6Ru9dOzs6fvB6zcY3bma48ocHZS5t4MWNqUZ8jFjHo6DWZvp3ZcQ2t
PngmbxnISAK+S+Px604G/uYtqgCYb9Oo13f0s9OnzPQgMAGoXyNdqH1MpbG9G1OpbnEn9Fd63Np7
UDW1fJ0ye9qEZsNL1EvzbdFR7dWYdk92XDXxQyYLh1jBvtlEhfigEt0nVNCj/9nF30iy657zsUg/
47sJNiKy4SEWZErRpUqO3lBoW7QjkuzDsGb460naVV4N+3vKXSKsaS+fYttXmK2zvHwi/zhgznnB
/ghL591nJi6jmKLnrn0IhIdbm6xMcECVndvBGVU1YaDE5YAAI+2XMExoCRw8zsIk3LdBFpQ3w2UI
puO8KO6GbGr0XQ3JokA16+vDBuFq1G/jEM/5diAXOyD8lrw8tjy5kWw6O7HEWrJHyp8WNM7S0Z3o
22nnZDZ+rUgCSf0dyTzzDS8IldSfNFp/z4YpSOlytVYrn7H8qX41Jphut+Wo+/WHYlDalehtttSk
oTNnaoOKjgoJrwyPaZ7QDrASp2r2upyC40SIS7RPrC52bzHPBtYpzCANHb00zb8RIEr3SDAp36Ba
SfRzZI2cs4UqFHGnmHsTs0J5s4yvEz+Dy5rVDcESs2aWzhF6YiYfXYpU/lRZpVvthziJysduBOlz
qwnJ0SwT80XT7EWjywYjTkftVoouZ/YORqCEDkKiHut5A0dnF13AV7y9u9dg8tvwnKhivpSXJkzu
ix4ApW80NSe5zMeXBZ8zXtpH04WvNub+/zZIRiemkNNaxudXPW9V++AWittAYnm1TlADevd2QScF
kKnM25wITToXhCLM3PAudbWzO7Re8VhPutde+UY9bscQDqCz06Hblc8O6IqJRj+oj43wEqQFLXsg
Rv6XS7Rc9c71OEOrGu5tsSOVhE7TMktCK0JzLkl19XnWA6Y3M/x4PCfUNczJRiH5TrN36RVpiRLN
WxHTNyIq1xnF1TgPMw4WKJ54RojjXGOKwW9bGGMVaUcOfns5oKVZ4EF/6KDOne6f+6fgO1xG+7pF
9x645M9t+9aoK03SNPyBksaUnBnXUZ63/R5pPrBUAbq1hiKMj+aqt+k3XPNKF18Tr2mmQ5YmhYc+
17Hq0w+DOSWzzrwmoO3IwDlHDnHbJlGoH4Bd+fF+IFBJ7H7/IX4dKGE/RL9sEW6GPtd3380eWnOw
pJeFxmnQSAw5Tl1WV3vGa7iCGqAUH0cf872z0nlxgCxRBdmpQBin67YeJGtTNbU+rfNs5nDjnpdX
RU8k2Sq2ykzuhNKiEzhmf9rWjk/OLhq/5NPCieDD0VEnSJE1hyYk2kxhs6qonQN+099PmORfFmJt
efEgk9HOn5h04NS3Lv2AJ5M5cUVugqor+P0dqTBbbg3BjoCm9ieNiMnwWyY6b3pRw9CJWzJ+K239
+7P3Tp04m1dmTzouQQhus/Dg3QA/ahsGE4UpT0vzGRKRcO+DKGJktjRLF7rackcGRpHV2PkN54GY
IOuVy53MeRn0PNcJMVl/0m6+k0VgRHGYds0j23lsjyZrnjv9rcEvGy0uElf11IoV9Hldtv7D6I61
OLPMmCMjGplVqxDd/9EAv/2mjTYGhLbDvwewQM/JgaEo3GSSTFgGiywG9EnlIHcAF/IKyIWlVdof
5ku4k94/VoFvoUbT0dVzahk6/3zUAvV+P5YJFe4FNT0ZRlpekSmfpldyzMA8B7lfUAovcNEloapF
NDF9oHE4Zw9ZlN5gYSwmaNejMnX5oQHgQCZXZCast+Q2M/YsPVg2zQpS0qhuZIFlJwdRafHqpE8z
IUmcLuk9jidq95gPkWHfLOLoxUO+NJ+1wiUOJ4hweJB2S94VqkYs0om9snqyUd+wkBvJAwlwlnyt
elv2p6IvmpTJAcaTVX8BAC0EhkoMFvR+sqoJPHMvBByH4Q+BPdakER6qOZTrP6A4eV3MRysZM9h3
BnkKzdfWjnV5rSMMgRUeWjl4KL/mhnKhUOPgxHXRiU+Z72mYh9wqwbuPH5Q5RtsS7Z2N1ezKm/BQ
7xfGzAJ0X+DudTm4cyZeKVl8ZIKR8swkD7tDs5DpndnaHXs+hOYomE0PPil58I39SqufkOR32mbB
BZi8JbUj0WqxtZ7yECR9TAkWb7B9MexZfEwqZKeyyYRQ6cxj5jdrPQOs/eL9WCIB7MUntygUF3va
ctTQ17juVYbFuWIvOCOM8eXa5o1ZIxfYLizn5WJZDiDIZL3MvgFkifoouMvzNQhtczyg/sFMtVqS
tjKy2cUrGVZ5oVbKKHAaMg8f+bxkd6LaSwca4EATL/EVY8qb7i7h5ebvjIskDavKfFMuTCqEIMX0
gQ1hALEAGaeWvFl1iD2rnBTOg7VvmbTIcm/Ky3GlO8PENL5sU5KU+LqRcUPJQZDHMfPcF286eaqc
ycwLOfOBlVJErqROS+W2sz3Ciy3CbPESX1Lq3JZq9qSTgVhta9Y0d0/wYAYSPnEk9xO+d7YpK/L7
KGBXEJrnf6mLp2XxiKk2RVS2WD7ry8WfoXF80w/VOgNDe93mg/CPUVRAmAQ2B+OEfogTd+WuqzAx
ZSsIfgEoe6FlIob9PGN4zTxjXD2B++EPa9QIGYQOtypefRqu5v0iJo6X86jh3uO78qrhAshZk4bB
oh45QyagH/008v5xrhdxp517PvwtXSpmO4DgWSIoXeefUKhA/R4PrknafIvPOj3ZjaSvFms1rbLC
NbVmV5A24O0NyXDwMEadr606zWvy6+X2X4i/bgAXh3hB8qGib2Yh7emBB6bL967olLeycWwFW5Fo
StwPWLzpBaXQIo+V0eVCrDQIn9WXKiradK9Vbc/O3TTlDINHBM3RqqyeOL/Q/ez2MWBk/ZBZUVJc
xxhfKdvn7IUlhyET0viQ6VrifQljMmrvh6I2zAdYiB5Nnwititxj+hwJLQa2bZ2bjOdzrSxtsqD3
earfumbQRWtObjIdcBJxobtOVf4G27dMjgsFbQixkp6bOFPyXhLOt8JdqrPZ7H132hYzAnTnYUwx
d8uzIAKnnHfFGeuD5dKukR7aghU4b7q8rAbzIjsLA9yL5W5RQAJg4OghEclmHbSY2W+W/98GZEqF
AYuKx5bSyYgehS97sEopwab1Kq0ds1iXsF6nOzJGyUbDzT2SJAcTtn5Bq5kaT4vGZfl9lTez1Ih5
C/3X1lI94kqNcLd7ZnDGtKdzjIhyMcYsZowi75ETz7dKNx4XA6rlIzU7pmnaFesszM2aP0nL6RXr
J8GHQSen8DlozahDHBFF1w2SsI2LFIf4TiPI1GYJkKxdi46FyGmf0/+wXQ225hzXNn/Q6QNpMkF1
KPGfGCcduMpAb6Y1uyuyWVkbq7yFpEXmYVpxj6j+I0uEHxx/PLOXyIPlfy889zgTgJD8zhyLZ65N
E+6Q043JNqqHQDstC23eZdP3EbdJvdEqoLVbKghNnkVLF2/zQ6mRMXs7V+xU/dVSv+U6epAVKIYW
OC49CEo6H0cWzxnCgpm5nw4zvynvTbSvfuT1rHTVxVCwEIamypwDLiMqQvYXfdifnVpY82N6yazr
vYoT6qUeP53aEy9F9IqzGwExICowfUoDj2WLkcYpvXgKXX+AC6c4+cXZ0pHgPvolIaHXC2OKbEl+
xfIQd9Wg+det6XXuQdUT780gZ2U89XVjjQyrTHBiDc0RCvmPbE15RS+5YMxLJj6E1AuyKxjZh5CL
K8eXd90llpFUGDu/dgsIPd3WuYjlCz9xORNOrjgTdU3RtU9rbWzq1bK8+XT3eNQbX3S8tsKE5Xw5
OQSO8KCkns7BLdk3g8qS7qkPSStbpRdhyh+q2veCdOAGOG48KPEEF9Fjercn6CpauEZa5aBHKT62
hRayQNhFVsQMI4yW9R1onSlv6SGM8jtlyAy+HcuY4go0BlefirGvcOP4gl3aRaG6bKx/f5ze++Oc
bX2U+R47CheH4Xtdqt5WGZIqqz0tmZcjjUESg8jFkHtW/JrIJMNp76vIQvBHrJkE1qpoPu0JBMZf
I1MCEpaigGQAbNUZewgi312zIHg9C6Z0o5EzGm+1S74nvNp42HeanqtdNJmdeajaVgA01jur3COZ
CndW6urZnqxQRY5VFen+qYIHH/BEY4Lf4+RCbFi5xLkPq0hIeEm6KDOAztLl3ZGPKY2LDAvFc1rU
Ibd0k9tpsGFE0u9F7cvyIY2onBHj2PArEsIGxm3eZwF3lUogh29bIqVqgoY8NLLShX3xYfH8z+gJ
EoyW2NqlrFVAmkkSuqwidRfOi+oi9BgLSV2wxDaWhq/ZG2kgl96SDzuJDdmZTbM3dcHrlpEx9+jo
zdmRzYIKWJySFyNUc6kvfCo/EAKXsJmcgTdSJhtu4hpRm1R/EIG/F6miTWcvgVTENGHOcuf+vG3A
/VmYVh6XJ9soZybSgqE20jZItolpJcXaivNS3XZtQ9/m/7PfeperwH7L82zdm8Xxvokr7L3tsk0N
vdXAjx+ZcEGgxQVfdgCzJkVj7qJlYRyFLRGpY88BLvqahEQ9+xBPvK6/zTDRD+LSPMmxaPsvLCAD
UtZ0MIitPTNqg9HVBMmk7zNcAOJa5NzP66VNt6y7DSIQZf9hmzsL+39qdHg+mluLyHKbNscvDLaS
6sy1GJEdGxRl2TXCN5z9Ljxv9yRa+pDP4QXY/fun+xeGgMP6wx6eqDbsMfg2311QWdOm68eUzh5Z
FMlD3fAwEm9uROK57nWn2S1Ss8VBsqwyWS5YGVNRt81t27lq/PT7Y/rlCjsGB8W2GtcnclUe6p9v
sl7ze0lpmqJ0TVElLQ5EMHLasCXgrb0nsqkk2o3S483NZjTVesSzk+0qInPNl8jD7fs9EFlXXC99
segCyFceOFf2VvBB1pWVQQKVyNX+Z4cLZ2JWONEdQXnaA0dkmf39x/rFh+DwNNLG4hfgRgC4927L
3bGQWRo63/2SOuB6Wv26bDKayzay6+tanCovS8wfTZmUdjtYXEFr+Iwxwr9NUfWpk4oxYO3VSB25
opHO0vCHI33fc+NIeb4pd9CVIV58f1O0qEJ0cpqqfVFNRbHt2EISiecTJvuqgQCK0UpSeW/A4Fbe
nhZsn2+1otfFfUguXrSqe9s4C+SMHofX5dZe5AhEvCw3K0KNCO2+JcSbzRN6DGxhZub80TMcvP8E
+IQdFiqHhpHpwCF5Z7Rr2i7uJituzoNqi29s5NLxMWGAkG5IDGleFta77zdus3cvCli2E5N7Rc8t
6q/HSzLxoGs2KrUwb9KjTiwf6paLPX1BD4CqoFVnUQ6Rbe1XfAJwOgTfjnWt24yy8Rocu4Ti6EgI
W5M/a/zsHjyeqW7CvsfHkeovU+0M6MRrTfKrwqFLuzWNyHJc+x1r7KZtSM56hNZr12JlGlHWJWt8
c5RbopZlcPatETC2aanI2hmgdzK2aNEIYqO3HBZo9sDHJIwaf+9kKnclQRBDPGyWqkekIy0GKKTs
gjB5UU2gd3OaLwmJP8EadqUjrv1JWW9FWCTB1rJkSeh1DhdlS/YhyvGlGaCHGTl8lFkU8gMflDfv
ReheXcTJVg0K4NySj16+pogSIFAtaA095U2NYZz/Zj9aTnjfaHDKc2OSur2SQR9Phzni76PX222w
gjZEgIOldNpLvHR69YX6vK0J4W7d+KNkS/3Sy3Codku52fparK1ZBvTm7EZdoCGzGFI929rdJOOH
5ThDUfMynyw3T/ejpmGYr3slxkMypvPOVyjmViUytLGSt26rTLG4Pf7j6/if0Vt1tyzs4t//xb+/
wnqggxx37/7576eq4D//Nf/M/37Pzz/x7+vka1uJ6nv32+/av1U3n4s38f6bfvrN/PUfR7f53H3+
6R/bsks6dS/fWvXwJmTeXY6CzzF/5//3i/94u/yWJ1W//euvr5Uk9prfFiVV+dePLx2//esvc14W
/+Pvv//HF+cP8K+/HpMy+lxX7dsvP/P2WXT/+os+6z8h3mBGAwoAU0rnLTq8LV+x/gkHiIZKQENW
R7v11z9IMutifuifMO74Zny3QJB8dkV//UNU5CjMXzJcl50g8EKLVqiJJ+Z/ju2na/h/1/TvWdjW
u9fpbPBFN8gfB4/gMvi7eCP+1gwusgR3KxO1vQysr5VgoNf45M+VE4uitmVtJ9lKS7UrmTDHtBnI
rgoRPZs62V5TE3+LWvfgVvn3UqOvQ6MVcNRgEqvpQjBP6zUkwCuShA6Twe2aoJOJUPJA/BWbQHdQ
sRZr4ThzU7ncECJZrIbJO2oaLAgHIeCYBAmdF+cQF+UdTMAb0MHJmv31OULMu84carcymtZe6/E7
LLRwubczPbmZ/6qbFoQIa9vJ6a7JcVsLH0+KU2yDlnxtw71rLVHv3Lx6hO+Wk0jJFDWz/pu681qu
G9my7a+cH0AFvHm8MBvb0RuRekGQogRvE/7r74Ck0yWxjG51x+3ofqmoKlLCNsjEyrXmHNONhuY6
ma2dNBieJQqUBfo+L60DulFGxtF4YS6vfVsGBNRfS7YextptLxEDnjXXs8qvARKrE4NG4S04E8SC
SXQv55wDWlhy5JfoxaEDde04NhnYUnVdpUPmllPshAaBbLssqZ1QDK+1/JrzViSlOJPn4qP9kp2S
9i9uOv41Ly8US9rrEo5WXgZ440vM4iG+Jnf77Z4uE1lz6xqHsqUcFWW5W4loo5QrPCcSTxOAZjch
hDqXSs9o+4ukoo2btQ2lfokajBySDH2aZAtXJ26VL4NXRI35CPHGS+XbYrit6luZLzSxp8dWuYkQ
SW4XdlIjNPHLq0ZzW/S1b61wNcePRQIIWItUV+uMfW5zTdnc9Y546qrS42F3hwjbU3ggz2xp213R
K3zTvcykt5eCMjf2YCwIBcrGi3aAY7UJN2q1PIJRPtTca0vb+87o7IzFRPIQ7+qJ78CaHwmpCAir
fLUW5z7p5cev903BuDThdywi+JZaOrapcVMZ5m5QGpn7rRj2fW6EBvEK27vNKvkRGdh9Uc8h8cRB
C/mySM2wFVKwqONFZU0nu/6gpg1anO44zsHIChht61CmSYjr9STaVXa7qg2zxQjzuvDsbg0mh+mK
Xd2NGS34Mg6YS4C/KgJ7SN8Q4jkuJrIA/dwbXcxdPtxqC9aTOjlVGcSPrrMPmd7uoiXVT6lp1X69
mJO3TMD3hrzldsqsj2WiL7dwJfMDjchzObTW3Vq11rniZ+iZTTcn3+uEjqvyVzk1/KIekp3Aq7Pr
Ekv1nKWu/BEygc8BmDO8mTw3Mb/WKIXpfv1hp+eGn1boS/Q8QUSHcq+FQYv4Tp4Tvoql8spmeIpn
53M/ai0yBf26YuG4giDsAL7pcttDpAq2F7TIJkMdUImegv3fm8bqCwJ99hlcxSfJYe1qdln5loLy
KDOMyqMdVpzsvkf4WDrpAZhSvaf2S2gnqlKYVtIelJdVIneMfE7JyMdRGl4zjbHuQJK2ATgN356d
XdPqPrE9IT57r+jSnZwjJXIEiOLcW6voCXplYNXWsZidwCoLeOXjSVLXX1XZ2+Hg92PU9x2Y04PC
LM6h1FZ/PjxIqCDRWU01GYiseft2dFQ3MV+tmr4/LfFSJmxlqVwZthvHnF9e/eduybfLU3Y624nq
q4P758trpYlRi4FfyCw7JKP+2ERIU4fG3iUJ9ymiODcJU6EF2+46C2uXrEq679ZeeFJTa+4yt0dN
1lAD9gN2BDn/gpwt8zk53o9DYEjtvWVydClXC1kkInv+lkzNPLm8l6LiaMTTjTmnT42s4nmlfT1G
RbAuRTBCwJErFaFUU91Zcr2rYiycbMt9YVOnIjCKC5/xJoFk1PKj+VIW4myNqksZ6W0LZ+2tQ6XE
uOPjUzQuAaYSYN/mXrQjUuHk02Q92JS1YHjsgnAnoiGy+ZZ7zCXViHzO4TXW9FBZ4dwP5bWZmR4V
Kf4f8v1K1P2KsvF5wkHMj81U3zl2/sUgnkHVjEukHJdabJ2daDw63ZrS/x2R+KemJ5XgxVGArQ6B
m5jhMxWswWIeYDE4ubv2SfSlMe3DzHYtpWUAIAzbUeVOxetSNnfbG0KtsbP0Yzfb8GxKbPaierbq
am+g9F6NS1V0x0a7+aGe+V4z/Fgj/HzM/3aDANkHaAShjRJhO7n8UCEwVtt6JqSPZsh23JFdG85Q
5yFT38m18vr3F/tab7xfDcBW4PDp2+ne2JyuP1xNFukIlMGuQ+JyLodUsOvlzF+m5EbIqKXjZgjb
1txJIC/w2MBV3c3Rr97xuxSnb2+ZkyQnXrqHKpC1n1+Eg+iqojGLagd9fluliLvJFm8jqoqQH7AN
1V+/0O1x1s6PY1F4VqYFhVQXCOOm12Yyd43BwwJPa2RBj5VQfiJO7fh/ZG+FdPMC8tvA/LNfmeBe
JZI+7fUa7OB+KxDaHuG1NdUvqvY0ksKEUAOtM9DZkRi2VLuP1CPKHU+ZL/S+3mfJm66/Oql8zWgw
tArVz6T4F8Cnd0Cgbx8JqCVQ69i9t1vh54+kUlQ1GeW6DkFXubUiHzBfe6A3eLKt3lh0nEziXVyc
RPJBKIyN5xKU4rWl4fqAjbykp9mMKMYqd870vdWWZ6EkMrd2FTLn8uzprZemW+16VZKTPsuXzTre
Lv34i2bgVxbF+7vLYbpsbtIcTdPfnbInEDq5PrDXDjNN8rY+z4seqnr5LCVmIApov9r4qkz2qTDu
EVZeyqaE3YYatldfqsVlFwAeHNaJum+EdafiPZxHak5kpGprXWy1ZzUNPmkKv4Js/NzG/P7xm7D/
6bSBmfuq6fhhWeCvwARkQEZDSvy64N7CvbiJVjlmTzEH6ImZLDtnv9A0dKAIT/1V2zZYoeQV2gYp
V8X6dXNrxAD/HXDo3y/bd+TDf78+SEWGjlf5D5oSrWg1E2JzHc4pg1dKYmWbRTpZ8zGZkbha+VlT
KvZg6xIcGBnfShjzACFNAsk9+zmoa2fSHkyBlnC4zvTKVcTtkEPFVdHcVu0Ndj6XbOxHpdTp0xcB
D7ODGY/uYnZhYo1+pQ0+zugbXSGjOYv8SeSfRg3icPL29+/0TzcoGkx0dHWe2MRh/rwQCnONcq0s
CGPOtJutGlPlca9GZ6a0u1Iu/CUz92M6XWxPlGVRsWt2d794CX+2IwPo2oy6xIMq9ru72GgaTrKk
u4QN09NGxrhoGl43v25VtpImJ0WQJmeWb1hbfW2IXXWunwir3A16+WWrss24+NYc+Kk38OMz4k+O
kdBsoHciY4Di+YfZ0KpOiKJX7k9DPq9Wi51Iv7Y6c6c39bVVp2/twFed95dWgWNC/xWsfCuRfl7W
XJ1vA8MyLwJg4s/fyYRoGnOHwd1H4WlJz7V4MCoqSEsK5Ey/4Zxqq91+5bWYbXySJvPy77+Rd7D0
7fb/+QW82x1blTZWq/DAyNfOW8FRg9QPicxiN3/VVelrNQOUEzgaFX0mDvkogk59Lk2OX+uyH4zZ
r8yrlfXMkgm77tO265PjwVR88O0cOFODjLtPvEVYlyTXBzX1kp1x1J0MjyLY8b6+of+2Zs//wD4O
XXlkYw7l7183c04v5LOl+Y+tnN//2Ld+jmX/xtiDukTVWf+Y5OkOfevn8BPYr0jjt0mPzD5IofS9
n6Opv6Eu0hhYbCMonVnUf/RzNOU3Oi90gGz+oA4r0v4n/RxyLH5aCtJXtie109fAnB8eEBFz8Kkm
ajuEWnohzLXnwCCwKI3FK5anMN4mjTrBiJgh0tQ6bPSIAUJ+nd+1kobJRLmZYoxS2Wh2QSRHLzF0
8D21ROpXqISYmylVuBa0dbGnnahQVY9/CTRRPeUmXlLnph/JB0vsM4kfYd5K96s+PCg5NuW2uF77
dnYVpDGI2K8mqVoCCjrPJrVWs29V9miKA7LeLXy/unjIs+pTW2qH2FEykgyz+szHemkq4syZkQOu
3bU+XpqYy7WA9K1TNkikWQLg8bPYzGCEcDFnsT0SVgOn50wsYvEZ8+KtU0w4omzXbojLJKLqhAT0
wxivV9Fi7tklLBpOUiWrAbvM3Rqtbp89RcmXQZThWtlPEI+Q4c/ph1S5ajWjCZDuvRi4tT25fuh0
9c3IJjKGNPVGkddg6XkA1gLbAJqIi46sqCOidUxLnRSImBYNyB4dQVr/kXQa+ZD2NYxHdXosG+Ny
BatzpF/XPFkLsUW4AcawL7vuI4xNDyka6kumM1ZgpYghXdPg3BzFkLfc2VaDjAdlqFotwwBlFfb1
Oint5WCiKeAzvEc3II4wunbMldrTQFzA5wVdwUMpqemDWa/ZXqnlczEVFhYfBvxjF+3++eby/9Ym
/vN+8//AzYUn8F/vKv+nemPm//LjrsLvf28Ps5swQoWZAsSI1b89WL+3h38DqfU1RQ49MRlxG1nq
+3aiq78hTdqoS7BsUTJsi/17e5gfQWKCNwU5n/+vsD39g/aw8+7BCnkf+TeNHnYokxmnvjUPfthV
8F5LPUFYmRtFNCXTMbOu9bmeKbtWWowypyPRcXqOeubatBF6DLCt9EDU0JmZRBw6hcQCRArG72Ql
sbQWUxhXH+f0ccYk5qUcAgOclfaOTZPuzjx+KuXu4xoXoz9Ky03UFGNoUW0F8+AkHvFF+YECbPBQ
SNTuCErvY6ekH7HEPTd4TTZD9WmBUSGbCRZ/WMRh1HYnhcxjjmnVQ2MqwyUi3s9M/dyWSSHhurov
o2/80C7jGIh2sY6qWvehpvY4K0uF5EdJ2G6vzP0nXZJveSnlxZjTpaonHBzTzIRIn1MXlrR6xbE1
JTJ6wcAs1hWoGOm3y2SOfkTAm59P/anH+rxb4qEKVrRxO8xzqNNr7Q2KPEZZDFgYCMtwgDVynxXN
LQyzN/D+H/QxAgMjUuOLNCsk1KXJPbAbOtPWhE9dLfYIZlsPD9l6XEe7+nb2+G+rBSgifx8W/W8a
/Fishr9e1Yh5X9J3Y5/tT3xb15Jp/0YuMZUC6aVbQPF2jvi2sLcfkVWMppECHtqDpfxeKCjqb/wm
U2wZkh2syG3R/3vwo/7GArQsjn/U/iha9H+yst8d2Awg9Zpm4sNncUMM+4PBo15UzDV2qfikbykf
aD8jzMKiCEY261bIu7PdBo6xorYs2kfmW/Jdp+vRQaSmfdqStV1dXp+iSR+8rs1tVqQiIuZHsoLQ
GMVXGUyFwjyHoFsay9Lkjek6BGsls46QjTwMQ9wULsFIzjM2NfsiLnXzs5TGGLyIl24P86yiXpxz
27yYFtPcLbjt3QVXyI4PBhUB6y96tgSxtj98h3/S7NqOTr+fJL59LLZhggtXiL4iteznDa8r4pVs
IajtYmzBXFgwyrH4N4EhtNaf46o+iA0sU0qs0/9fT8Wr8XPXD93nf128NOJfu6F6e+kZWv5vmKVu
J7O/XlIPVdp/fvvXiZHqW13++Lz8eqT7jycm9y2UMY56Ch6lbTz7fWHZvxEQtj0zgVd/HbbyMP3+
yDTl37jHGcOSJIN60dDRsvz7kenwI9K8+LJpwJNQ8k/W1TveI1W/vS1SCJ4qHjAC+d71L8FRo49N
y9LbZXflReNeevvTzcn/4vj7X+pz3olGtouBK2SCzCvno+DN/Xy3AiGiGT8oiccCXVps/DUCs920
FMweK8iWUgitwjkBBhQ1YfCJQv+kTXc2Co1DQWpZytMwtr/Ad1a+zDxSj1JqxocF+dgOuF16b8dT
E8wCQfEd+axzaFVtcy1Ltol/WNWfqqntwtrBUeIafQN5tzYW+SPp2elHU8ms1AM7ZH7Q+qJiEKNX
KjL2eW5Hvy2QJbso2UYtxCmj3015NjhXeEuJrsph3qxHaAXNeHDQsiu7EhnPkwpQkiFxv/l0h2JZ
yeyMSuczSm1z2vfEjNVBFEm6FhC3rcxhl+PB4LRMxJ7XKaSTBtWIsm4Xwx8wDoCwRg4eTiJSN0qV
eT5AdSDnKB1FmR9lSyr44Ia49SeyqsKqnGznIdKNVPhwoeN976Ahwww7l89JvRZX+Isb3aMUt4wd
yDRBoWIvkd/YlNRuCTTkAvpiRGQqhU2OyrGYrRC5ZhREapckXkUM8zmrW+h+Co8LePXRyJkKy7rI
QSbphOeuMnliRQMpPmxGROrXCSGWcOYyuZ98vGYO4ANpKe7qyTGvVLVBvo1LiNCBRYoITE6KWdmp
rSONZKTp1TN6m7Q5dg4IVG9ZVxIwxaK9Kn1p2jeFw1B21ycZL9gQxKDpK+K3XVbARXJ76AxX1qpX
w/0K/Xug99AwUXOsEhtS3/Tyq6yQfCdHZJW6EBtjbfOpMCbtss5+TmAS5l6GmymUV7HEe43B0cNK
RGSLxbnub8ap0SA+1WZ67/RWp7iWKpGBgOrobYTa9gREVL7QrSLdgwu0ToOUl5I7QOa1/MnBguwm
srkenKKRgCiI8ha4Rzv405KCeCjRVhE0wbERt7l61wCO3UWtuqw0TWva7WKK88da6drrDoO46UbO
JPZ2toEGRIwpAYrFGL0YZTp/qluKQiA3AhJRXUPX1KyuHP1sdsw2GDKrTTZoXuTZKD1fyjXL92Ym
aczKB4dZqx3Vn+G6Ch3ajWWOblKXxON1k/USc74kelKJ6psU61rYce5tAyWxrKvWqdSF+T6qdncE
Bl1j5wGNE1QlJjRv0CKSkSVFHcJu4Nbk7uaUm5tDNe0mI5mxZChpdWELA3BcsYhhG9TGDYFYpFRc
SHO+yLuKxfpqLkq+BaWNSvOto0Rx9+dKk+2k8PuDlbwRLAkacRimijGLPAEKmx9PEiW+aFmHvewW
UOFleU+3eP/Ds+JPHt1/egXNROiBzp+q5t1ZRYgcVHPOFVoGLau1l+Psv3iFd9ut0wyTVnKIADWC
EkLeW734z1wB9fomskcs/N7kqKyx4FbBDTNYvoS3u826X1xBfYeKRc6kM9naqk8eg0ii3z2gYszW
+JrQmqPR0OeLZGjku1WU9ocUP5BykjtweLyzuPfU3K4uKj2NArWxCmhssdH6tiYyE1n/UH6YW0W3
PBFDCHvqFKwx4OarTgkjLPPzWZbkDCxakQOp+/sv+ucWFx137h5qYIIZqPVsx3rXgW/rfG7N1gL+
tipnuX9jeHok9iqop18pnLcv9Peb9tuVAOrS0UaPhVPz3ReOnFIkcsHAS12a+8jushNMq5sKEoj/
92/pzy8Ep5z4KJBt1CA/rQ58fWaZVgnTawg4Zdp5UJ4eU2d6+vvL/PGTs1DyOjrzI777PyzCmSrf
XhToKLJZ+BrjPI/a+3muzL005b+41iYO/vmzI6CVk8z2D84/2rsFn1p5r8tppaGonQ9Vtmu3er5Z
PVWcEutbR+kvN5d344fti7J4UzL9fyIzaNlub/yHPkVuVtjE5wQmYqkxqH8E+sHzgTx0nDMvFiyI
+GiD9BWV+/cfKBqIn7edr5dGO2VASFBB4TMc/fnSCPE7WCLgmlrVGO6BqmWmu3ROYaE/HuKrCheo
5tVLYeHlkIpj3FfrrTaNeNTJv9B9vUvSmiDLJb3KajIqPFi0VeIldQSrxjQG6anBcBmORoPkTuVx
eMqUoXlYHJW7xRiy/h4lkPIcrcL5GNlmBlDSLjmeqRi5Ul8hwbN1pXKIqyAFCLeABW46ycvQ9Z/x
3BI/iyKmcVvctq8FVkDkBbE6PZiNDcynY6QR4Cizb3GCTuIWDiZqnLjV1/lYypGsnfCIya89dOjr
Iiew1sXyBNhwMqX1KDfgbzAsOuktM6jPPB/AxMxyBZAJWRD0lHjpm9XfUhPvJmGm6mmw0W0cnTlu
79p16urD3GBAXhpJvKVL3F8bsIQPpZpU+9JigkXWLHzAJFuS2hcYT7twHEztQtMn+t4thYnsbf5j
2bXHGsNKb3JW38210rwSf1fAIBvWJvP7JS9nYoFa4TeR2pYXJY65l8gecDTGBO0mbSvfOBptVAWX
IypFHTPaGiUemhMIZHFJPplPRw73GbyREhpZLw938UwmGAPmVqiumYt6vhD4CKdTbHIYjj0lEkzu
MpBFQyjUZDDcMrfAIiErnO6ayorBdkIVAfPhHJlS53ujxlaA6kK7oSh07qaKPTxUYrCxZYKxAHs3
t51mPUqmEp0lDL29V0ZDfG7SvJqOfJnqjvSI2Z9tRClgoZfSlbt4Jiq1yar7iVUTSFjY5l2lsn2c
Bycfa5eJv2WcodMWIe0q6RED/IibcRhEMJqQnbirzS65pngAtw4O2d4hk4FJw2G1uxj6cQ2ERPqE
22tdelCbKKlvh36RGxQbizOcSj7KK6Qk7WGKMLHuKxLAl/uce0cLJ/46E5kiaARqlaKlc3oPOqYI
BjVeT11fmf4smmnZG6LmXnZTtbZ38VI7qUt1OO1EL1vFsSXtlijhlum46tYp3PSrCZhJ9mlEWqYE
EewKaY/nqZjuCJDIXkQtOfWJFAHrUFRrlfuzUxemt5SOcW/mVZee8XTBeHU28Irfml32kcDyrOl9
fRAESYw81UPwVu1MSB82AmgwnSUdqk5GOlRTW36ocqej806qjq9FWr+rUNTeJXjo0MzpDFBMWe1f
4B8lOx3S1l5apu56Jp6H0llvvjDr1/eZXKo7yO32Puu64cVu5Qm4WypYXPBdMC/rQFpROrUDUpEh
GvdisaUHAY1NdasJxpubxUPyVuPmvY2iMZXgmVXrh07T0BBYTbG+OEmm1p4RyRCsptE4CiJ8Y5au
Yu5GEqufMCzaL8vSMkKy5kELJbPvrzHr8zokA7qT2rXlMTXpdb5YghQs0sLJmxyIg8j9So/IMW7U
mSBfAkWSCRSyMYzMTZFv6evyoa6aBHJfWZ1B3q6fstSM7HAqS6cOOAC3CwytRJ5QwKtMk7omSh+I
d4tJMBVSFxplJHU+QSAAm+VCLr+QLGND5tEm5xYXRwcH1WkK4yQP1Qy32EqFEihakzJOMbp+PRt6
yly1leJFRg07O+1eSjsUnEyn5htOl1N70SlZMTySLQbgy2/lQm+BGqUNbeQq7eh9sUXvoiyRZy+d
1fme1135TOumF5nudvOMLtHxQMWydVTmlKCEHeETnrTMqlBuwI1BLroNe6pWmUKQ2UobWlZWv5ng
mRZc4mp3LNuOftqwSGtALCpQCXws0m0iW/gTZfJAHrCgGg/VQOgCyPzmSLBcEvv1EMd+a/fLo91o
5npWRAqUF2bzcN924EGZClbVdU8wdDhomvU6DQrk38GB3L8zc6jBgYxJXnsobEwdKK+gxXZxZ+3r
Hh3X5vSjH57XCwgfN12XZrrj3Jetx4KUgXpn9auKHqDXRfnUR8yddnqKf/wG0VkZyHgLjwPnP+Uj
QC2l8m0k6fr1RP14JoBpvOH0tep7pZ3UaK/CQPTjUY0vFb0yb6tmUHVvxUKverYSkafmpj0EkKBd
ZjN+AaVudJeWPqCfpGlAFk02rEq8n6d2UR/7vG44ZJnTfLI6SLSM0pz4YhkVLd6O4B2Oaam+K4nX
aVg5fUqenwE1CxNz7VwX8QSRdVZR5hFNWhaQ0aEx4gvpY1Tt8J0EOWERtiwiVUmz3mWikDvWt73m
J8lYixxveh1tYs+u3Y/MUNHRi7HbQzCqy0vYVVuUXmx8KGM1KREeLTPR1crY75nmlR9iaVqf6NR2
FiTWFMaoBOTQZ7cdMbqaCqsEbyd8VTVBaCN3GJDXdLTOJSgcYJ/jEiu7nMDH1q0XR7vFZlLxyc5T
2AhWX0w8kQxfPErvQAXKHAkijQQMFf3WYH+FXZhFaJUZHE8YxZQj6NpMjvuJwQ5mEYMRJiuECrdg
inno5FFRvrIkSW9V6qi61Wt4ZUE+jPJdmRg4D4TD9+4KmYTkSwNz0K3EIaXaTc2qP6xJQpgNkYd+
Io9Du2+3dIGnPIcpclkSco5Kv2ovWxx39jmNxeYj6IpuONUqp6idigsAPENFXj0H3m7hYSrbJi2Z
TIK+nM3HUcbfUK+UVkBLi/KjNBeMiNXRnnR3EQCNg0oDMAHVC26thv68f5WkVgnKaZVNeL6NvEdm
PeTnMpoyY4+xVsp9BcfnROUZOxI2bqddaNcohgDZHr1wisc4ruhT9jj1gBH9uSscm+H2mmE8mm2m
YMQaAQ2Yoyo+ZBEJzm43rsbT6sj0IOy4r6EjEfjIXgsmcR+LKjUO8Trk1VEwp/ftFohcoJUij2+V
aB1Gn74e027QDZ1fSsBd0SCvVFDNcm+LSox3Mg4MBQDB0Y7bzq/oy/hTrO1b2UguE33NwwgAMTEy
ResRo4XIj9WPKnIA5V3gaNzPMl23wja61YfHZ5/hAMiQMYl5dtVR0ENDZI+hjlQ3nrU5YFArEuV4
M5YTXrpoVHMH/YvVX+K/l59BzGMfzuuhCaR1XE6laGaG5BCA8aFY8gxn3RR68QTi3gK0W5cqsTn1
opzVXnRUvakOhw+AtXrh5LoKRW1witeMhyuFASSrQ5WbTDPrfDJP8ziZ11m0ltfzYtX2y5TDY3h0
5KrxodA5GY8003qOYvK0Eq1ZA3DDE8WEJD8DRLJtD/+OuJk1FagEVk/zpJaKTdPBzurAccD0bRE0
NmAFOABesiTrfECKXA67msgv3G6rFL2WKsxKgNWV9MwxaiCsIm0W6c6qEtui35SWtctnv7z0WZQv
b6pVRe2r0tVKuhusUhoYXaZdeQfEiC2kb5sasJ6TUGvRvIXRZCulT5/PCVStBqwuxjnxZlVo98NS
ck4oGxlnJg3CA2GkdYksEEjjmScGxOME2LZr6W37BVcyFTRdTYSbOcEW+Wlg6lstMMeDyjET3N9r
Jx3ypc13uCrifeZk0dWcysU9MeQ9pbygM+SmzsgCkGetL6+w5NCfVnIHbCp15LrCqogjjhv5at1M
KnY2fEDCvrSxIaFFQVI9EIzm1Xo5fClSo3hgydmh1eT2STiAzLGqSF+UmJXlsTUvh0l2ouloQDyR
T+vcaFSNSxV/wiCDdnhdG+lh0HJthuBqR6pXZ0qlbDWqDJmH+GF/UTJjfCR9Htlx7WT00ea+CDrQ
4IzBV9H5XZ/nZ1Gosg0h0kZc2be1GkbdHOFfXNclPhRSoqeeIko5LKcKwflUjFN2kAh3UA9d1sbV
2S4IUHUNbtqntLOqAgj13EwBhr+6OufDOp1QmYKEYVtMDhyqIlIDBNQKQtOn5RNPA4Ah+VpqqTsn
snqM2+3clYqSqwL0xdk0Wvss7ievlhtT7JssTqZbG4IRzTFTzYjKK6BWWGK80JgrhBFkAz+qHUgd
aovX5TxI6fQkjz0BnhY+zEH14RH0bJtxP1uAHYsMcDwddOvYw6Es7/vKpjWJB3qwglZr8ieNQzE+
iqgcb+ex0G5wY4iPtlBkqPazuZKNK/en0Sj0l7lU424jNsvVxQrkDhBq2nfJrRnJqsljUkdSCl55
OUljvExBq8vzJaE21V7oYzdtZ5N8dmPQAm7ajN2nBlfVlSR1lTjQdcxfMVe0Pb4Cvzcqp9ltRCXM
6m2yPhsK9TnImQ5wuralBa6LyD5kvaKOnsZjt/BG+vNIBQDEc4zh+QPVWKgYyEyyBszahN+pCas5
a8CezEOG13vXC4OawRkQghY5/+k44y7Nx36H+7m4bZQ5RlzUWsGAGRhpfyXbUAGT+GNGd+2+WZqR
xRXZs9f2RXpTd0J+7BSOrNUq51cGvaigmFHJYuCqo2e1aywadEp7stW0u0zWmsvOTYzwV0+m8YNj
NumXoi4mavLZmUFDJculiWtU54vqaBMDJlgQHqb91VLraphjTBYP8G2WY7Ildq4ADdYdS458WoKc
TK+czE+mUKWLnL46Six8ezeUpPXzMCo6kDPePEYPQQGka1jq2CbiZnHH3uCkyShIPSAfxiQ2QmnM
07w4c0crIDH0jOCsob3R0JzdT3pxF1WUCQbdDTfTUtnh3igU4c9yu35ho1GOmTM5+i4yk+mwUL9X
br5W1QfR4fQO+dv0S3jpeeOXHXmynGS1T7ZsEbtObN8Bh6EybRGRk+JmHWeRyNKdZ7stpX09N/So
pFkMiacJiUdGoaFpDSw9aTaWYC38lv3gUUJusVM5ST6ZCSGgB1VILU3z1qyOqdrYwEMiPMBjbOY3
pF7Mz1IXl7dmC7rfkOL5VDCoOU9dVHPTIQ64JN6j3I8kP9526GgCucWpWAHSu+pF6uzN3AHubnN4
R2pDFKFvYjD4OAxG6feWKsx9NvN9+dwExoBjR4ZI3siSEyIdViR3mnkBXtpW5LYQxRiuCmxikxhI
Zn4L9XerZqckFeuepOoMb6IzRADftR4Z+yiOJQHL9w5jnJuExKdtmj9HZpCmZUN2vCGt/kgf/g4i
Ja7oUaDznk2oqF6bLvm+ViM6FjVZJW00CHMLJph2yiTx4LHIvAPSGg1j7pdJMXh6Jy9wyRcCYl0E
c7zfqlDmG0m1E47JbUdA+Nj7dsPQMEoALhsT+5qhLA3GQnX7Q8Ipy8diydQcAoacL65iFFDsm8Xx
p01D7ZGjMp4rYmqEN/ad8RnAQh3wpK8+Dobw+tTObiOhaONFsw6GvxXPD0DJrLsS6tZA2WoN+acV
lMGHpZN0WOarLRfXfBwsH9jxC5yhuW68frAL/rmW0pWymiYDv603SB0w23Koq7W1gDTt5eVcxYrx
Uqe6wmZMX9TvNA4WuzSVusmlfkV/uOSy4ztKa2Ve0kX5Diclj6O+HT+NkTkEBCJc60oWt55oOEm5
ijSN5wF/6Z0lyao3sqauRWXYnwFrgzwqwXl6vZqsT04V6U8RaSu3NME4SzqZQR4hq0uhXQls361g
gHV+MqgM4lYGNgFRguldBPYG4EZqBQ5Y3nTXMI1GbFhwEwQd8yQNf2mC91FKFetsjAxQMeR28Q1G
9ALwNvN3ql/uPDjYxADcRSvQ50fpzBAvg8GP+fIgakb7uxypM2kJctGkkDOktx6GEEBgzuOfo8GU
lECKSgVu/YTJENLzaepwPyHPsuVkP1WdeLF0DALkpOk+ycPpsl96hUtPQltY2fLY3UAnUK7m/0va
eS3HrWRr+oUGEfDmFkA5FoveSLpBkKIE7z2efj6wz5wmURVVsffsUEvbqLWQiczEyrV+k/DirFhs
V7GV9q6Yhj35ENaKNyizWaVdlgB4HHQTJ+1QhDUmre0b3hzdYTJliJWdFV4jsjhxykq01q60TXAf
s/y2o9fgPVCp5OMbo9LaH1OYGcaV2KQDpy3adAdq8jgGWjmXpkH2g93M/864P5X6C3fD/qo3sx6B
iX7otj6094+CpLKxNctM3Q4WOjcRNLNgNU4wNz1JbSifxN1LQx78nuQ676HSuTquUA8NEjcwsR2w
QShN0gHJh8zaVlUUtjbWSSh0k3aWh6A3OX1J2WAYRdOYPVupFEhuSKn/dgg6mKpVq3BwlBCNfDuy
ys64UZQkX5sdZt0OSgBIfGU0aN/lFo+LTVIb7U4OkCnZeOT6b1AB9U1QdPGbABuncI0eyTJvigZx
zeVh7Ddhad2yLe/jgMpBoKiWrYXYaO2sqlW1tVWHaHVn5MkWHu+ycsCcRAat7BWWGxV+9aMIO8QF
65oGeGKl3mvFlcdy5NbsB6wGzepFpwhr0ClCwP5ByWkUe12k7vSU51+LvZB6bhWZpE1KJyMpHgZe
X2OApFIYxAO2Onj+aH5Q0PwD5fjeC2DL2zUY29tRC3NpPdGGT7Bl8ZJHpVHbTVjJ4V8FN6iCPAG9
zZUppCpeLzndZnsc4eKOODZrbIXAR0i31jL6FHo+vvmFmYoO157hRfVAWcAPjqO9pGQdJaU2kZSd
PGF7sWknoYW+iMoP1JhUx++1VdsmXiU+WoHrSAjQ/UZ7hf5kI+Iu/zQkddW4RuhP3ZrmsjfijCN6
B9O38AqtUROrN6i3KddC2MiKbaX+aMG2p75/E0i6NSICqA0IXppj+FuiOA7pXkjDa/g5peZ6qj8a
MOPGSNiATtHfgDdgw1CQOemY9SRIC+bZFN/7Umk+FXoKZb9lZV+3RstzGAVUrJ3Vx4LgVBpFFt9G
xFmP7mQLh0iXmn1L6Z8ps7mklv1bCjdOdkqlLN86ynTTR8NFK7nryHt3GWfgsM0ACzR2XcjArzEe
jV0vzqQnYc52t76qSDVYScVz4A1nK1UQsBnw9BoD+lijbl6K0p8pBKw2ZBJyiEhppNTgB6UA2aYH
0XXCvK8HpcJ1SJbENblJeFBxl53g+PnVfe3L7RZmfcQ1qrKm28YTwzvSuv4mU+oO2LuEOvVYiwa/
Sx+8j2xsxcoRIi1WIPmiZg9JPNKGjZinvbpHDUVwA732XjIFi4rUyyrzGrBMPnITpgr/gC47fiIh
i/glnTJSRn/C0NrFWSp9AQAQj7iStDhHTSDvWEA+9VO7xXbvBT+tmrsG1XxMlRLPnXS1vsYhloPZ
iMuc765JBygf3ggWeyugPuWjMAnVcwIqnc4aX6w/ahpFd/gTmHieSkGz6XTTXM1+tdyDzTpAIJFy
4WMzTmrvIBWtyNcIiVp/k4abqy16rTS5gVfX/UYRMcRbW8YsGRlMhdnZaJ8k2wFlyNjJByPYZWms
CkxNB7HGj8ufiJFpuL0JxU60mv5RVMSIr2vSARr8YxWFcJ8KWOpG1kdo2KOlVZJLo5PKwUACmjh6
JqJLrMeS+KeWehCzyEjhcZChM6/s4yANXiMvKKpV2CZczcSK9UxP2XqmKnjbBcmThydHjldI4IE/
9OuCt5iDHsEchItGEe3TYGy2uFgYQFTqsd2PGYWQa9FTLX+tWiP2RUXTNwUyYBneAyqv+kZtyqxb
ZW0XwfzxYujLlTwJ/h7yGR3CNJuaaxXvqmzNGw+pn3GlSG7FDExKkdEYcsGzBB4PGfgU6Ee6VqBJ
qmIr0jN8KOePrt+YrDzdKrA5Mtndv2j0SRHGRjJWQ6xUdRVWSPFww5/kJ1xxstvOyMgEY+qOTBW3
t/VAbTTeILPIdyErTa5nfVghxCtJnfFDiuUQQlVaj7dV3rSSrQ1KKTtZIF35VtSHbtrnJc4i9CPe
Ywkq7bqqpqR/LQp6FnZpIYu/qQqFjy0GDflqthmkVUfV5r7ou2kfWNEQ32e05xiZ2fgJvoGaeR+G
cpNdJRESDm6aGcLzVBfiregDJbfFlLKRFpcpBGERdQN7knWZRMfShwMIaeNVEedSOGadOvwVdPqv
WUs4CWJUs7bwi8muhkZSMUVomCFMuotqS6/rOa9b8OJ48TQGzOvamJADMpHuRBwwkp9KUrFZ2UiS
cgqLU0s8OCkOjSNfp0ugm6OtmwLHdaJ3wkvuDeUWgXt81tIwGd95cdIhNOoo/hUzbFtOQ1l4pCmK
EpXQAYijcGcojz1as3PR0cNsALRt4mhR1Udz76lDBMHyY7iGRVFt/FqbniJsnxI36YfhuRmV2brK
V65HytX3dNGjX4gxVFtApWm1M9KmiLdBlYEAGzR5BWKQGmXqjUa1UpM6esykEU0YNJxzJCam3nrE
z1FtDgmM3eShyT0DZVwzgXHkdaY0roEwFMk6qWqLQmKGPAnZiKH/FQC9JLsGly2aNSnnI66nSb0L
WnKI94Imzvgs6JkUPNQeFBWWrK8kEChVSvqaWfXPXRel6DUOYfZc94NFjlybVNHprgsYkYSUzddT
ZwnBfTNbe9thGNc/FQSHdwWGnFt8N3CZU6NZ/bBWVNCOQ/wYaAV1JdXrPYF3p7dU21pZLO2oRKjJ
oRxTiNcNGt/hTYyxsfgQBCMrPGJtGXuNT/YuTUcpvIroMnMnxWaSM96U2zdwm80N2ny4zyq1pd+H
8oyA7ssmvUPmtH5UuPbjgyh0RYgPuV7c+740tNe9LGf4gOb+T51ECCHwwaPWGImhwgWnHt/AWeMr
1vpQ5NGi4OPiyHy3h73wqTYlqf5Qu/nQhnezUdi0SzSvzF/LKepvEC0RuY3jCPKaiSAQbFGqm6dG
06unUTegf6l6IVDsD/MrcyrxgJssAcaBpbSxZo8TdwgnLWOZYlKBMzIFveSeZ8dtBY5co/5G+Lfa
d5lW3Uk6iYmsltNLUY7BIUdVzlVouSNilnQQmqpK5HXSOdBtrRJGfzPqWolmsZIgzgtTDB+7B5Rz
6XwaYiXfR1krf6higXRDECrdGiE/U/4ZkgNS+xxnIWpaj8a2Zr/sKi1qr+m5Gb+kojX3s2U8ZfVK
LF18O7x401ciYo+GHiprWY3E+y6Xuw1GHyUS1+GoPnt1wgmLL3i4MZqyDbYtd2K6lmktbeUWHrId
ZpDJViBmrZVGc+IvnyzJbaaiMl0PFYq3uq2qA7DC4C7Hbi2yWVawVHTqf7mbCaAg7QyYbPtQyqV8
V4cthuJpN9zgTI18XtVI1/ogaauy4I8q6d57ThbWKBaFJS3ERO6L9VjnI6sEC16760W9WymdEJlX
tH6GVypFGfpiGnzvdCyafaUE/sHQCuNFbOHEDZXc3hR9a21DP6bfmdCD5r4i+RTwaYxl5KQ0/j/Y
S96qK2rrLqpaKlXY/6xKX8d7JJXEWwW5Igo5SWO6KcfJayuS3IsszRV4RhQpsKaX07+eT+53DZvF
y698U64D10s4j7ck6aBfA4TNdlgyp49YKfW/8KD08dzR+5qs3rcqBccir6i34Piyq6hR9e1gkeci
kDvkrGhRSB9G8A20MzF2+yPK3vRTrjU6IyKdtmpLuXJ8RnOnEQ8BHUDmQkU0ddcrmBiiuxMqfxS2
4cYTVQ+zUOiEjZ0JcfLg+yZVB4As0kNPDZNMiqqbXccILqwDgbanlTYJ6iahYj5jb55rK71DCn5V
RyEgty5NWzeNlCnbeZYvBG7aGoWwJqPAlyehR7jN4BUkT2MIM7ET0v5aJq+zMCXklFsj+q3twf21
El5GKF3hdKEdRk9STCqvUu1zvcFRBeAuL249q8Blt9Q5Tf9XN5UyG6XS5uYWXQTMhDr/gGYGQGkF
jdHuRcc/YGP5Yz3AqhC0YdfKk0rV2aSQxhYvuUQKk+RiWUu7oq4hKAe0dKekQfh7LDacF/GdN6Dv
eBVjB/sQtBlteV7FHplgvB1Tz69vQiRuI+qHir+l/+k/oVTAvurb6MZHxJBqkCH5IErI05EBzwSu
sFzq2RcTE9Y6AtmzO0wC/NBxCKrfVRej36TnTfcLxjqHllcG6V2dN9bgxvS3EofCd74y6UpkD9iA
0rzEp2sPf9O44Qqj37bNUN1LeAxGtixmdCy6tF5bHkx4z2zw7MPn1Jpz+gS5rbxWjVUga+m2NTmH
HdMQxQcaZxR+kXpCaBoLAG838rHprhpdb2/7sgPfiHw9WheVZqYxGvcKWJrQ02MZ5EWb32F5Kh+G
TAiUPdi6fNgpOrJS6D6JKIY1WUxzp2Or0OkPuWuU1a1fqRp7o882EfnNXvKC6c2r4v6xagBSYueg
9deV1U71qkh9z3I0gwRrXViAPG0JftyOyrX8opN5vwI3H6nQawptB7WU3trcg3XPtvPyuwEx/JWq
xZ1JijaqV30cVtYrrrDVdaZNQ2wHvBZlXalpmTpVIxSlbSCFvErEJL6NOiZoTZogmdSWslqnZ2rq
2T1diGB8BEmQVD9Ieyqk69MS0YUqiP/WomgKCAopXXDHVd7sNphP4lhbJ4ikiR10SLtSczOFS4Nv
hF3qJgawCLhGDxwDMcglMef7MRbpBq0h+dlA2ZBuIQZ+zLj4E2hfwSmI5uwgu9xkSPj5cvdcYieN
cgQ904RjGTlWj/5QTU/XymnXKEMj6JTWSQBiCn04UMrqNUyBEltTgHHP6D+qL6oiGm5syLNoAI+y
rdShqGlA5GbEbVGiMsUTD8EeGevh1UIjWV+Hll6JK05cCyAWH0P/1TIr88MfJzneZT3SPAfQiVW2
IoEfYkcrcumADjmpjWT2448mU6P3cMiUt9LEdRAwWGb+CkA2NY5SFmlFN983PwLaFxZHPP0XSqi9
UToCmGqOLqGiTRRE6W3UjNAgJHAZvW0ZCJfjJmRa95QwgYHIPl7UHZ6YxQ3e6ZjRN2OkkbCofdHh
LBhMV4HUDb9Fvqt/FEzKRqeLkVWgHCzP6zwyhx9yIamPY4kuHV32MPS2c3pm0C2ktLSmnq2Pdi9n
UnQNFi2TsYYxJdENcRDAiyr29ohmx9UurzvPcFsOavRUMKodIFnI80ntd7OJY+MjX1KopR87UNc0
FC8nj9p37Av1i9IO6nuQkeA7yI16fEz4tDZXodfk+o7e+XDfxEKbb/5PM0xZm1UdR3gYQ+FCea/7
i5um0tgBFWj81zJzI+ltdD0Ofv8mR01JDVYUf55Hhx6jej+VIeCS6WRR4lL4Oe+lrg7aUbHl+mEM
5UPKxrWMaXc+ygmgLb1I0aQRigSxqi4A3WIRIX7RRHTj5dnw6iHELtjKb+jlFurd+VAnsK4WhlA4
8dB9gTW4wLqCzyrQqqaiOwXc2EQPe2zv/nyIE3NmGdCOITYzniMhGQ2lm6GNCaEU94XxlMGjty6A
rY9R0AhqiqICvkyD9fVJ4foKFg5ysDBBqdKUxldbUOww3ojAZHGguQAPNo8w0KY4a2pC8EbeEwen
79hgJPcUywtzsCSFZyNjw80ZE05zqw+/U/MqRFPy/ORJR+B+nSlDYgKMCChy3Vq8oLyY4gqc7ewc
gSoTxUNRusqqTWgdovCAFVZHu1e/AL4+fmMz7BkMm4zuBb5ni0HKPk1NC2wcKkQPct5uO9TNlXZ1
fmSfcPHvcHJLpAKu87oQP6Un930qBzyKAJKQQxdu76CetencwRVswZbscJU7JJmu5VB3dEoXZ9HV
4PSu5DDpNqUSR3BpP6wMV3PbC1yE4x3BY0mUAUB/GxBGF4MvzARFEZ3HkqzboX1pzOsL44YguYDR
E4CZlWU07CUoD9/HLSQ+VWoT2k65mscNL96VHdmhFmTjo/m/44a75tAhdcDHuP8ZNVhLx3c9h1qq
U1zYQTND+ftTzWB7OD0GJnfmf9iUX/H2Ul8kHuThAfmKHQp6ku/S8YxqR3+s19KNtxXSvW63vIHn
wH78uDTpCxkvMPeL8PO++7KDOzHqci8ivBDY8Nvke9Nwst2v29xpbChnqKuGO2TYt7+BsthIrdo3
o/23t/HLuPD6P2XPvi1L9jUHFYQUAOw6J/33J6kpu2PPq+u2WrdOiXdwl79GGMZXYxDaMtadQiHg
+vUm1y819RRK0rswMi6Isx0dM5BTYPLwjZF1EyG2+QvxZTqkHGHqwJqoeSrabR4Ubis2D+hQ1U4v
SHdyiSRKk16QPPqkVCxGzp4XYSSKiNfQDfgeFE93ILuBRG8lsm6q8rXoSSJrtb+vhfx6zORVi8wS
fVxK21oFPFZt7gZTcWolvs7wOazxvkH8++H8djn1PniqWQJeZDKgnXx/qqoeaXbC/rK95j0v1L1I
6o4wIwqk+cHUMQIeTBvPsmdLTm4F1OiyVHnHbuAC9+XkC0HSQ0fOh+cwFy/EkGny+gNQ6zIFqasJ
roXgRF/6LgWyLaZAWBTHv8+P/CgLmNfAl5CLLSFXI7iPjJDItRT4IntiYPf0aNuq3yKNej7Y0am3
CLZ494PmA4zvCdYBqiLPo/9tcAs9H+Tou0IQdpahIcCo4ISyOFrB0Y5Rmyk4A4/ail4Telpgs7lC
nA9zlA2gqGAY0L45v9FD0Bc72McDDr06xeOyZ96NmfgX/0RKamn9jJ1h/nI+2NHE4Q5hKigQwhGf
xcDn0/7LTpW1qqu1KLbsLP+pqPtIvzCYU38+mRPLn2njRFgs/8ICWurnYNbGKX9vKGlMvXFhCEfz
xRC+hpgf4csQ0ALvwLMQQgRSxVUUFyfDQfiwAShxfrKOF4ClItqFeY2lo56lLhZAkSqYyGiGZwuh
uJG4kPhK98KWv5DUHm9WwiAGKcooYsCMmwf8ZUB548tdM1mebUgvTbROwaOgVFjCAGh/GIV24Ytx
vE9J1iWIajMtDobcYlC90AWNVfqUrIlqq2G7w9hqFQ/pPdZCqy6bLsQ7el0G8ZBPQGhE5NflURSG
JuV0CcNuNX/vdOkmGZqHbEyw4LqkUXkUie8yG4hBWUyipS9OIGHuBGf4HGLiZ9zzO/Ot31V0uSPF
dINGvLDSjzIQMiJZMeYkHkUHaKDf35pYDVUL2pXzrnVq9VHS/vZwrTKRDruxSrsfWdev/uFynCOq
BksErw5VW55HbZmmsY+CpZ1HqqOFyBBofzycC/9xFK5wSDsonHvwQRfjopQ7orqkA+QYbjDB0yqP
uteFfOHEmyKGybtSuSmI6uKUoFlcmFDxufgI1yaFMrW6MpLXsX05P5SFVCbLgSuBSoZIt9JCYkZb
3Ey7RhlNTOG4y9WCdA3Xv3FLoxx2yaBE+7HV/npK34CTp55bdNk2HqE0VnRIV3LkDRcUVI/2HX4K
kk4/Yj51SdYXx1Zfl4k1IF6J6LKKSC5Q+42ZqsqTonYJ9sYYnftqm13I3tlfLMNvWRJhsX2QDQ10
Out0MdUlaEj0z6GEuq67d92Duz/wd+v5x3ptr3c72+aXw3q95u/snb1p7N1mYz9s+On//YXDSPZu
P9gb/vOOXx/4ffze1fzf+cmZfzj85c4/OY7tOvf37pYf+y2x3Pkn/ufwY/4t82+d/8H92L/cv+w/
9oVb8E/7PT8+9vP/hefcX9itxytuFkzlNo+WGTWRJftfbSkd01YF4dNYeBL+lsVp7cXXnv50fskd
v2VFVZA20iAEA1teErb9UcMKoQE1nLPquqKDi6jtU8BdBa6u1t/zwU4Nik2KCKRqqMRdvNtU6foQ
FzTDjpPiDqL4Dn41IOP+upOF7flQx8sI9za0E0QGppNBzOP+8o2KfSXqJj8z7DSJ3dx7qcvSpUDo
QH9YZc1vEAjn4x19ekmhyXPQaUBpik/VPPQv8QIJQyEF13R7ws9mL3pp4gJRyK8GXJMuHKvHBzmh
rNk+jHxFI4X9HiqsdV/VMLqiGGjGO4lmgx12Y+oOo45JA91P/crHiXQPDOfFAIVz4bz9nLrvOxQs
35xmcKijgb80XurwAhaHJKUsbuf2r//cqpVbQFP2uOJRNt0aHqqbOn/6NfwCZeU9wmrb9Pvebu2X
whXtvx+mgzOgizz9hV0zn0nLR8PEUKHkMe8ZtPy+vQV8gLld1rlpt0pNnwJVAOVSjnUcQsF5+lMS
At3cow0zdGMMIKw1uKNiWyRACy6vzi+l45oUa+lriMVaKiSzRRO0Y+0iOrrN0fVzUZNvdxUAWwfd
vXyFNPRHLHSl02fJrdKK5T/NgeYnQHR1ro2RBH2WE76s5jTxvEDteALszAMHcZPrXM/J8sYfiVFe
eGcnDgXIyBriT9RjuYovrhMwMkbaJlyNkiZwJXyVrUOakm3V/59xFjeJSujghEvEAWHg9tIBF2M7
RJUGI+Lz7+/UCrHQkVRmjcq5zvx9EZZegn2mBOqlzKX7svB/R8aldX7itIHYTLozK/TOS/17iD6I
wRQnlBIqgL92rXSOJqNEF2jlhc0uzbP/fUfxYr5EWqzFAQkBM8iZtVaF4RjeTSy84E8jqCDGU0eo
qAm3bzU4f/2Sgb104ggntMb3j0YAf7MYZNSidwCEkWNFegr9W6AWqrgt67te3ogAGdTwOu+uxGFT
wAmuHoLqGmBVi60NxhD52/lX+ll3Pp6G/z7LYhrUqME0eF48PAvGDn5zk4u/PDRhFO0awjfGFuHw
mHh7L+oApKz0eD2OF1KjE8uKzFCXQfRS3lSWGYHU6UquV0xHUYkS3TWkcDvwaucHemIz6siCI+U3
L2Aw6d8XVgsgH+0J+mVwDf/KubaGK/EHkvIKS5t/HmoWkFNmn1HuPksJ8tLvS7XA29GmIf/aheN9
UWt7sLW/vbi4dGgvs5zPWh/QGYMmDNd8fTEsL48NOM70yZOnOr/Rm9thOojRbfh4fvaWK3YZZrHz
U7MvgdVB5vHiRx/OEBKRuHIJwnZSN6qWXpjAZR7wGY1qmQ5lg/qItVyT3ZDJfodtRPUjzR1wmfLP
6Mp7GH0q9+fHtTxuPiNRVUfZVjK4nyyuWJXW6A38ErrQ2t6MNokMTeEffnEWIT6/iV++OPKoVLDc
5zfUv079h1y7UuWk1eb8QJZ7aBll8a2RQzlWWsQ7AHvnYN5re7xkmHFqqj7vL7pOZ4mW0vcNpMVF
J5eaNFuoX2tYZiB8pCsXRnHqxXM9lKhPGNRhlu04a0DTvJYBBdTjL/TtphQnsqC15QJIa7EBMuGi
LHF+4o5yknnmvsacZ/bL+9GzGCazRkwBHL6aIXJSwe/biyniiSha3fQVgmwXFvg8V18PXWIC6vmP
nNTcJ1u8LaHxoyrIMHJDYRigQwLc/k80IlxeYdywPT/Az9TwOBhFMw491NC0xRoP5492WHmpgxSA
0z1CZycLAdbZv4R7XEDX6dXkZOihw+GxyztrZ21a1Moh6EQrtXaiCzmEdGKlMvb/fRx9keTrOY2P
SmDsEF83upM9+av44G1t4RDslavwUXw4P/6LAReT7fcjdOiI8YM0NHfgm13/vtkahBpePCfZFZuP
CxHn296ZGdfl70sKyVtP6QBMOz18MvqSsTNcReu7aaVcZQ7cSvd8PHmesnPx5uf5soSDtu8ReiJe
4zbXyvXUOdysucJkt6ojvuU3vv2qV+4Nr5hrHFoQ8vr8A1yc4sUeyoIq1+v88wHqQy2vWWP6+rd/
9SqbtkfVvuGCJFyo4pxY10i3csH/tIjihjofWF9GrQEtzIwOs8JWK3i3nqtDG4D00hmkTdqHiYF2
r/0opNG2EFFSkbkAnhVbf5VoOqTwiNt6qw7XlvHYiDvdfJiluIGkuUa9xrTj/AQd7/f5UWkA6Zxr
81Xg+6OKoQUCBykueNursH+Q0p+i73QoVOjDn/ORjnYX9FWU47hvaCJIk2ULo7aESa+RcHZQo8zX
JbQ9ShJTceHQnKf224Kbo3BJhyvJl/Po/OLqXmC4bWJ1VaXTVY3HCsC4aSNk+vM/H44BKB9DGe5t
8KC/T1ynNB61cMC6YuC/paHwc5L9C+/mKLVhLCYaT5rEhR9cxuLdZI2gJFqKSq9V/ByVx2YC+4dp
BCyKLHzR9H8xcxalUEqglEQNeXEYK1kxxtNsKhmE1Ysm+ddmUL1YfnEhpT5acNxvQSDMyBzun8bn
5efL3pgJFAXqf0gAJEg29E9K1ji+9oAoroO/0vl3tMys57s0t3oKJixyqqmLCQwhhlhQOzntzEfd
+wsUPJ3uYK/98yg6HWYJ2UIorda8JL+MaNT6vg5zbmaiP9xHyruKkFqRmVzPLrowzotqsbpJdEDO
ICBtSEfFvFL1dZgkhEK4xx3aq07ZejGMsa2g7iXNGaaVrgOs6H9GGGc2F1KDU7PJlWEGeNC1Bl71
fZxWS88N5n8G5RRIh7ExTEy4cRnEIfv8hJ44KYAGwTeh2IOepbL4LJpKmBTWSCA4Kg7t1ZvBV+//
TQiuJpbEmqez+n0sco5ghYr7EqUdfwfNHkWmrvh9Psap+QLgSlOZE2Judn6P4QeYhqlekTmT9m4O
4MR+QqO2xf5CmBMn3vxK6OPzSjj0lmHaKEZPuWK21H1eUshRDVdCfOH8YC5FWVyzrL7rFSkkSlVg
sRNW15GmfqRZenc+zMk5487IvOGVDIbq+5xRCI8QKCSMr/8Is/ch8Ww0D+vx/XyYoxLLfDKQWv9P
HA7x73EKvYEG2RMnoeYllJtp+KXkVxOtHajKMJlv8gqSuQNw+XzgE0f6t7iLpY26deJ33hxXbeDd
Nk5GRTNKzFWHgJCqPIiZ4JyPeGJG6SVJWLZyPmE4t1jp2eCBPm4wA+HsAliSo38BzEx58YYLB/ul
QItMSw+FQFJGAtVKkj4aoSLvAFDm+7EqfsVGcOnyemImZ3H9uYxJrUqzFuNqBUQXJYVDoi7iF7Ec
XaAYLbw6HBNRaFFAe3jqP9X0na9GwOjoqvJNxgpr8fZiQ8LbG7iHoyCM2Xed3QXwdtB7uFSOPrHb
OOHp9c83Tr5ci8GFHSogpsHRoQkWmrBYvergyHIFNal/vjpI+gwZ2CINx0+k0pdvFzL0RdcDNHbG
OECf8qmz7iGEh5VyYRUeQZ4+b5VfAi0+koMXUAAD4o0he0avGM4Z+pcGBA6n0K8koNsFcuSCi+IF
ZIJ9qFxYnCcnlCYRr47MkDr79/2eWXk5KVKXOQhxrCQhXsmjupLk/OH8dJ5IbqyZP/k/YczFseKp
rYR8LmF8FPNV71evlI+qmLuNLG3z4tIqORlt/kIi/MxdXVkMKhzKQejNiUHxvsQi34vqexj+8bva
RdtgdX5oJz7K1oxxAsugcldfrhRJqMWy7hiaEmZ3QqpcG+Xb+Qgn39GXCIsDpBRHIDsWEYyoczK/
syepeVDjZH0+zMmBaBrCV3hsSNISo9uE2Zh2Ijbdtenfi8bwqIQX7n+nF7tlzcBTLhygdr6vtjzk
X6c5JuCItz54+QSQ6smgKgUMzXyE2C9394Z6MP6IQeFkabM5P8BTBzFAIYMHIPcAF/g9eqbWpfdp
bh6ZtxFFw6z/HbZIlF0C7Zw6gUG/8xUF8gyMYrGlKy3tJZlumRMpBpojhTvkGBKANQFHuAFDaIfp
pW/MEZ5zPkZQz9cAt8zg+2VVNJn6LOtV9J1VTXmFS7rTw7T9ZSTKvmi0Q4aGjzOpwZNeGQ8hUpE2
qnPSrlJ78cpLy52mVsq6mB3efUl5Pj/r82ZbpOZc0oCPIFkE72CJoagKTerDkUJDhWaTAsi4Ru1r
XaR/Zn7UaD3hXX8+4KnXjCQNmEBONNqGy7wvabUQf4LMoSJte+27YayhoDthfOHoPjmwL3EWmR+i
TnALc4ECe/fcDHddthMxAk21bWEdpGJd9BdasaeOAYgBWOfMu+eo2RuyeOHXB6TmZuSoVKcFobfr
SrowrEth5un98uVTmyaqJZPp06273sAOePJd9JvPv6NTWwQoD69pXq8gwb4HMZG6g2MfZo403HgB
qt2oRBpbS1w32SoY/83EfQm2eFGBWOXQXiAzerQNy3IvhwhaXnLI+LxOLNc5Yntcy1QNqJ64OF1i
xPl7bCV5PUjHapBRep2SWldVdo84l5x7a61XK1tAC0GLYkfKfqdadogHa92NhdOVcAS0v1pZXjj0
Tq3SmY9DW4Zv01HjkmMebdOAC13WGG5TAJSS/sbY0ebSM2hFIT8UqXv+3Z5aQACmVAAJQNTY99/f
bQEkF13thHdbphFCpInqxEowHGZfln8Tas49ZWzQJL7430Nh1VR7mcXg8mo6WKPHVItP8Dkez4/o
uFhKDNgBssydW9JJdL/HUcgSU3G+FU2ZtjHi4LlrwkPdYb35ofT9zgyawNZa0dHU/lEKh5WGtp8r
yCIURyQHzj/MvDWW6+zr1lmMOcYNtRb4WDv4/Ah4rmYIeQf5dRM+y92/OUn/u3GW3LRuUsU+8Qnl
Sz8Lc4uWR4VYRrE7P6CT5/WXKIuNo6MiNNQaUSxzN2u0FbcdPMz+X+wDeFygqzUuRzQzvr9CFVPK
KISaCQzZd60W8nlI+fAVgA7ahuFaQsTEHC8loqe2gjXj0me/QOrIi6BhhO5UZXDykMWvrARtCiwj
TeP+/AR+gqyWS+JrmDmz+3JkN1IZtWhVZ45A/fcZ1Yeu2Hp12ESrTjPGR0TbJW8NXB+dABpOqBAW
ktW9cVb17mhJaNwZZpcIDimBlD+Y6DC9DK0EslTwasuAY1ex1Magz/dWlRvvKTLhD51eAfZA59x8
xGrKuh/ACjhd6tU/S/4UlB/pF/5ISnPYNEHux2sf4b2GriBy4aAIaUzeVz2VLpdNWw9OhBoOkryK
GK/7YFCyVd/3ar02YBsjJjspbl0ZxV3hlYi4hFECC70tGnDrg1as0eVwUr+BS1SreUZLDE8cyPk0
cG8sZBkQqdWH7ENojfDHKMY0d0KjFIEU4pfj1oNK5wWFKh/YeDT7V8Sdobiy4YuPsMWH6NCqo34H
8MgaVk1X9P7KGOCeIJvTunKh+EAiVeS0EbjUTZTnRe8lKACqHoJUNlIn6hXjVqpQaQl8tL6HqCM7
8EyfbwG6uqnI6CPjuUdRlm5Li88zOhL5OkVpLUMGqQEhiCJyv+/8eniDERKhETsIxQopsCK5cJKe
2oRfl9DihKumfqq6iO2R0t6svZvWe0CxzTbjp/Nr9bh3y1FKV4XCPVVMutKLQHUkIrs3FxjH4TbL
twEereJ6LJ9NM7ZRYcK8QbkEvzy5C7+EXGQ0A6xspAuoiFRB6hQyTntdgGpLMf08P7aTcwibcmaS
wbJY5uBWXU5dlhAHEYNtH6ibvIyeI0V/KNr+wus6PY3/jbWEKAxjBnp1LgVP+lYy38XxHoMNZzTf
1ALO9aqO75EAufDlOXHJoLDEXRfr6jmTWBKIUVz0q7AuKdJZB7+8y/tDNfz2g7cxdyINfZM1poPs
c8ShV3LRgOJ1w/hHk7yfn+b5A/f9tPv+FPL3066XKuQeAp6iizsUyR5BIrqAQB0vcPviNQidsL5w
b/2/pJ3XjuTIrkW/SIC8eZXSlutyXV3dL0Jbee/19XepBjgnU6mbQs/BGMxggGFGiMFgkJt7XzoQ
FkElG9MLn/L77IZK4T1HtbeGshmy9bwQ0D8wkT1ZM7NQfMUOmRrtUZ023bzT5HYt3Etjxk3Y6S+q
1T4FrQ8rim/d6ArdT3gUEdxQeORB8X8MsqLYmtA0rLjWZX4xYVZB8jAhDuhh3vgczcjKg6kSG1TV
PbksKsyJyYDQAD2fBW+mrWq+/PdRYVo50yAAvtAFnV+UrgSGV4owmhQIZ/2O/MFGdsaheygk39vh
YZDvhnGtb7P4WU+MqueOJCZu7JUqjtRr4yGU9Pfah9+9VFcyj4WzyuKmFgS1dXDt86qHyJgVsqIV
9QDa+ckkD/EKXaSZfDIryHO3SXUPR+DKWb2MRZNN2ojTlnL3zlwWvqfGalDacarkdwkhX5g9uPA2
psLv64dxcQ9P7MwOowsZKuJYrK2sbrL4R51spW4lvZk+w8V5PzExS6LK0GrAMLGUunwaRWTI4Oe8
voi1zZo5gikj/emnLCJC/4ib4hgF5pMR35oynG/XTS0Gr5PFTPt5kqoluRnSYmExqflJMH4JcCsj
LaDwdHGlu05y7aqWV0wurY4TZVqU9eCZmM8kWQhf9J1JhVmu1Y2ffBqCh7QNdkr/189scrr/2jFm
Nd7On6hdmBRxUIG5hQBqWzNQMcbe5voOLnncqZm5Z/dxqzZIADmNAGimM7c+0hh5Uq2s5mL8iQ7D
FIkYoqDjxnj4zA74P0hsTKquedCNNFE6V93JdROg1AQ/b3IfyRDu5GYhwKEUQOZVDuk3s0vaW7lC
dcTuSsBhf79ysCjMQIEVoQM8850cJRsLsp6MHiC4rzJBqtYrOnfb5NLvv7d0unb53EsNpVR5JrB2
BMdeMlf6VRnqxshWntVLZ+HUyuxgSxA054PLlzS6L1YNR3sG50PxBNrBhwfNjN5p2/+LdZkUnKiE
TMnTzKKHoBqKSJS4p8HKXYhIyk0G7IveZqytfKylqAVyeYLAcJGS7J5vYV3FtZdNpppGuYMu/jFI
def6ahYvFrphk59aJljs2XLg0AnrUaTPgaAnZL+OMhxkERa1nVJvJetRBiZdN5+uG12KJmyfSWEH
N4Q+4XxdgmCJQ95T3J5UAQypduJxOCaqutXTeuVrXRYJQdpTpofxijY+0PtzU2haFOUYyCkdxcQe
hc3Yerakfy3le1Tx0vLzv1jYibVZldBIOqjfYdV2fMrGZrpXROiGsgrluZUdXIws3Mhk0oDniS/T
uTi5A4SxjNH9wdKgiRtTg2/FSjYBAOC6QtvRQFNh+GJ10GcW/b0bGwiSDSues/QR+QGUkUFRTd5z
/guSJIO8oePC83llu8nPBqp+aEGPohWsfMOlMz7hzYDwW1Su5/QyQjpxTwhAwq1Qad/FYexKG100
o7JFND+/Z/pQfdICr6sdBCY0noPkiP/iJ0z0Pczl4kYXrdxg1M0UHNoEafmENNRuwu7Wj5qJ7scR
hQXbQFTluistOS7tHxM6J24qujLn22vqXi/BR5k5vfl9lMhiHxMA+JXk24g4epW/8jUXMna+Je+S
yado382+plxApjagYjMRpxe3xaCaN6FQ+sgnqWGwVaiC7OvarNyVVU6rOM3LaPSLjBnKrJLnoDFv
pwmdXBRoQTONowj7ojB/KpGMOqX19fpmzn31wwzoHVlUAfFIH6fp5LQMLeTSHBRY0+r2zu8TWEtR
sciGLS2+FVjc0jThxFgwlSUmDIw6SwQtVaiKvPUhGYEWwXzKYYo7erIidF/iOi/CnRLCu7eFUc38
oip1H0ISOTJ1JwQRwHOYm4Ij4n76WwwC1rh3y7z7HYuIL9whVzNFSwgdk02WaJTW6hESuh0MjPGf
wUUOa6OPgfYmU7V6FMvYumH0pa+Zq+7a19wvkT7qFT2FpyZPqTYpYQ+ZMXDEz4Y+eq9Tpe8rBHj1
MUz75rdrhPURnZs+XMm8Fr7EFLb+M9A4/feTL1GPbdchiGSiYybEmyTqPZ4VYsdAyWBtq0zsX69/
+YVBJ9j6JogOdVuA8PPhtSyFgL4xU4vGqW7rSn6TR2Ck4w71VphZkbsuxeK1gkVPDXtmTtBYydLb
DIlBA/UOSQ5XHiLzc8Z1PjUwaR6DP7UMbZYRWuUYxoEhuLaUqs+q6qG2VqKrWB3C0X83R+l4ffnz
DAJzMGWBy8DvNRhFZ1HEi3JdkBtRgFwxcO/CyvjTjfW44vIXh5hJmmngmpxyqsfN11T0ddrQpoaM
r7Y2UnMz1vipOfyt58yszPLJAanvsQ2x0g5opsCr1KCxOsD+ZazB8eahl2gxEbZx2bAocpSZj2p5
PChFAOF1UvwILCijzF9FUDlj8RCGR0NemYy49IiJncNkHGSq1nCVnp8IZuUVuKBr4oU5HhTFfYKT
1Jaa9l5lXkMZ3ZVAv3AA2REOBHkXFUZz8piTAyjqGgXtyjLh6JBsv9lqYIWMET3idMXQhVeYE0UX
E/iwS0wkUbPMCw44N/Og47bV9nuQich7GDtByVbO9+XuYYX0B0VEoi20KufLiXLeSdTVPCevpJ81
8EkXVcNeMFBfKkmcpcrcXz9RS8tSuEqgziBrBkZ5bnBs0qEVJET7jOw1zdEsDAxH0tc276JMOlG9
GSrpHaAMFY6T2cGN5b5MMiH2ndt3phdsz4b84ecXZ+s8rdQlL/qSWII3TAWVjkqDgq3zBflMTbrw
ivpMqJQbaCj2+7tqE9swRFzfuI+dOb/rzw3NPK9T5B7FKXSzUYn44PAr4fELHX2r8G8Ki5z+Svjj
9v19c29t7z/t7GM/LXz/+FO171S72GjbfKttf9qP6JfZzCPaX/bbF+fw9OvX7VqV5fKgnP/c2RdA
eSrySo99EYw2dIImDfaplKNB7EXPhtZJKyC6S0eezJnAESnbwu8wezr0kiZL1G58J2z6G6jQd2Jh
3IAGuO/7eseVufLZL92YEUuw+1RzANYAhTz/6nkjp4jkUehGaeGmKkQE1IbuNpeFx+tffZ67/+Nd
/13WLArErmDUZsGyfNO1FfcdCYVtVHHfN/1BgQVL12LJ1n1t5bK4WB4v84kzikYtoZyO5fnyRk+t
FLMvIsfLRkeHMkKLmAJTVl5hS1YsPhsQIe5yYDXnVmTXtyCrgc63q+60Eu3RMUL/auXcTMfi7Nhw
70lMWABWJRzArHRupIiKXFTSLoJhqzloKB0QCg/XP9LCOliCji8QrXUKDucmmtFrlLhkHaPbvqEg
t6ugiRJj4+99juuN+WhQxQaBZrYS1dWqQppu7pA+nYa6WCPeRfH79bVMjnu2XROB24mRWZqAMN0w
xAx3O33AntGYPjZVDNSJ+5snRuz+8fvy5brJi54LTm5+ZFiEUQAy80n2Nsg7BBD6wNHk4Mnv5J2K
aFtfij8lyXvqoxaFEvELfXGIjopNoK6ByC5CB7gVlOstvATU0IUbNgjcxu0kN9qJbWHXnfHTYo7l
e6E0kiNBcbiJi3T4fH3NCy7DwYJEl6EmyODm8yp9h+hUqGeBU4ZysdW1LDqQxQZbr+NQXzd1MedI
G3RKw7BG0Rt2t+m3nKQsfsj8VltJtCa9HdrdNnQt23R8c2OU7aO3Ju6RYLlDce7Wj6etdhJ49vu9
noS7PBKPQvNQur8N46h1K8m1vHA0If1UGbwDTcePnJ2bsRy6qFD1AEgPU1/w44RkUVZaoTPiSTrl
3SELdEdHg7zkAa839SHLZO3Rj2VhKwZl4x6SwPT8m5KbgWaV4iobZBLkpw5NhnZTgulCkVbohVtT
DFLVkSIEVxw0iHkHFkmhvINHQD0AbsuwWYmfly5NAJ3YOCgK8DDiQJ3veam5iCimEU0fxG+Q6JR8
usRHkYbpuDNkdO+b3LbKrZ+uGF7wK+yqvL9FA3rZ+RTAWPipK+SoRKAL6CiRtskqYeMZ0nbFp6ZY
cxYmWB93A7Q65MKwAMx8Sq96S0vKlNdEzMfKfd7fT5b5mVZahJ4hlBt1sC3cG8Xbt9kbWoa9+VKK
jt9+z/NbdVIf2PbNJwoJ13/WgkORl0/oPw4VA3yzXUfIr9ACZHbQgdsjGmVLhK3rFi7qvRymMxPT
Tzg5TE1fgFFjrMPJf0JiRx+YpnB7M7x3P/qva8QxC4FJgwUH/2GWE5HNWSy2xqIv4gxbJoLRA/I2
1adaVhH4ZBRh5RW15De8P8GETG8OWJLPl+UxHeuh28gV5uUHRNk2XqQdzUxc2b6LpHCamCMQWZN7
cifP8orYldteEMvQYa5XuaNgNW7yzs0dcWzFgxR4+srNvGgPoj4uNOZuLy7/qBxbqdIRJ7D8+Eau
v3qBjPr6TlT/fvvgL4bZkEElLpJ5vgRZQCt7QcW6huKBG+tn7RZ7TzBfr3vf0nJIZMhzIUlhbHT2
lYiDo0/qHDpx+E3SfrXtTld+5f5KCrBsBbAcnJD61GU494UgECXGA+XQ8cRjPf4acT6vfwzaX9cX
s+ByUNeoE2MFb1ySmnMzYVyT3LpW4IRk0nsh0JKbpFCDwLbA7K2UWOSFePXB6Uq2ztP94g4MobXL
jCAKHdnvxDfU3a3WTv1QeuoHJkbtASUX2RaBi/6o0g6wOlIen2NEH+8S1HaMx7KP84TYzUt5D0Oo
iLSHWLm/KiTLX0ffi38aRqUdkDJHbGZoTeOrGmbS97/fL9hxRFIVejHMNZzvV9FwT3WiGzjg4Tau
j+QUs7WWa22um1n6+qdmZllmKrsRDTXMIEqB5PbBq8HURhFiqW//wtCEUGa6n3g9nw211ELOR5V8
v0kMqJbTXlW/SGZUPFO0UX6Ouk9icN3igsdBB0othfjDJPn8vQHwURrMPGD+Xo+OAno4Kpq8bh3s
r5u5SKGnShvXD5Gb5RHxzj+UUsouCH4/ButeIjyGmiqt5JvBalBmpcKXF/Wmaf78G5ugW1Es4Dk6
v/drt3QHz8CmFUC61+K2x1x6KjMejcljtFbhW7iYPjodCrBacLxzWj0o9TQ9U6LYUUz9ViRJTFpj
ozd/ghqacGMNAr302aiskJ1P1Vg6WOf7Wbi09JEYih1vNG9EjdqvqW3laiVELPg9pFMSFRyKy7yu
ZuGo0RBStQSkPcVM309FhDDJ7Q7RVDvtVm6Lhe3D33n20rshxs4dpKIPR0DpQ4faOtqVYivcE0R+
9GlVo40nAr2FC2ulPrKwvH8YsynlU8n/SFhP8hbBNYWCMioyPZ1yFxadk4gCQhrJwe3+dk6aHOLM
1CxtMUd6I0VE4TfK3nJoqFBmQo/q3VdXItWCX5zZmZ2zQBRrTUmxg8gRLb1qa9TBoRnVv48aPFL4
g4I2M8rznEUMxFItUehi58xNI5UPLkLlaVDurp9gFS+eZdQq7VlwnfT0Jnbzcy9X2jILw2bSbQ2/
dHrJA//luoGF7aKDD5KG/hH8p/OOaO7mka9nTeTofsdJTXaZAkbc/et6/PTyIfZRBlFoCc5Pq6hV
pi/oHvWWOLujoQanonjTpL9gKEVScq2LPt81rg8K/7SlQA1Q9Js/IatCETxpqlCUqcmoqWzL/sq1
u2gBxRSm5nSeqfO5k8TNGHDz69hJIcixVHdTlH8ZDj7WcGJhOronRxOYvBmjys0jKXtq3duxexHD
WyuqUI9ccYH5zfRhiS4ThfdpGGLepW7ctkRmDVhDOD4U/UEsDq6/TZlENB0/2l53t4+tP3XombE5
LW1Rul6ZShgri00i33fDPgEsG20l76CrKEHzNP2EHmnmHkxlrfj8UX+9Znx2Z7hCQiNRxXjxUD2J
vS18tpxh2+1/xffa5p5RIRqU+y/SwYZhw5aohOcOyEzHdLptYvtrP2d+9OZbMYuIUAR4AFD5NWJx
Vw6ObB28tYnLKfW/tuBZMMx9y3WlERNNvGl6BORtbdwA6QitnWA6VbbysLpoe/yzJIOxQRONDvK3
c6dFYjpS0YzlUs53Vf0oju+IhJvVpwGp7vq3qRxj9VvOcCRFECcTv1faCjZw6ViSw1EK5bVPUjdt
+cmhcQvdCxuF9SZW5TCkYrfyShq3aIHxVSiVdZAPcwvimCOXoY8xcG+0gpJ7MVBXKnOXKCSiFxgH
sOaErwm2eb6IkmkVhFVFJBlRD9Vvk+FZsg5CdO/V2wydYiuCYMTRC/5cqbwvBYITw/OzGRmtV7cw
6DmMDViIzys/QvR2h89VfiPVm+uBYMn5T23NPCVERlyikBg7uZftEOHNR/lG8IMVK2srmh+xAh3q
IcSKryi2Pn6K01shYFN/iPUBZt8Va2trmp22BsGTKhKnNSmOYnyr6ht4ja5v2zxJnA4YHXT6SwBV
AAXMfAN577Is6gapeVctNnoZ/A5gRbeRQhy2fu9RZdOrNQ6RpU0kBWEuf+rcX9AI92huBlbVcqii
l7pGk9oRxM+ZxIg4apev19e3sIU0ZBjnoDGjU3earU9tWikTdGzVltqjVKi/5rU+7mIDdO91S9P/
aRYaUVhSQSPwMAONP7PkiW6tdSahKkgDWwJ67WWPaoy+nwSaZQK6KjtTS70Vqxd0xXzAU7Nz7Qb0
qMlYNOJH0FuHaSqOobSNF7wpA5qzgn5T5a+l59+2frUhrXBcnpLOAHYhHFO7Nj6rIZrbDSVG6ef1
7fhohV7uB24FUTQJzbx2W3pofxkpzsvkPARDjRfd+FomyowUBeGbDBnDV9OKrWMANeohVBntKZu6
QzdOrqkr1yO0R2Pkf0nLXHxMXZQmNmJXazHjjlFDdbLr65u0V0D1ZYOubJABzX816FR2G1lI+l9x
Gqq/fbcMdpXag8/uAl3+YbSlhsznEN0OngkwhdRhfG6sUsIpxOirWxXBEcHualckjK3foT9l3Udi
m610Wxf8H34UFQoWinkwVMwuFa8R1TZBNN4xBiHYC/oob/XCOuZ5WR4VJUs2g0kbdsjU9u9vM9rJ
BnVriqKMqMxqO73pG+E4elBR5q9uKtjBaka0cNzOLMyicAeocwgThu+EIrcDlLKbG3cNG7MQsqh/
ogEwUSgC159tXzIAkbC6kFVId2K/adqvrbFTUBDu3q678AUqjbOFJeIitzNguHntqFFCwxtcZMAa
p/8JRm+T2MYuKmxbfgmOo5M/9c7qZJh6GUbObE7Oc5JxmKlctzqoO6ffIX57223NzbjP7uKH4ghL
4E47rmWNC3HrzOAsbsVaXepGi0Fx7z0nn4O76NhvqZU/X9/MBac/NfPRPjxZl5YHvt6VmGl3xq4J
7WqnsZz26/9mZeZ/YeoPEmpU7N5PmgtP7h0zrsJGOV63srJl8iwLMD3ZreMOK+Gdu4cI8Eu1abfB
zlgpplx0gWb+NycuayQVLuIeO+qTtGsPiMVviQvvqFo8XV/Q4rH9r6N/tFBPPs7ICDM1Kwzp4mF0
N155dOXP101c9CpZDCU8ctAJvgR5zczPGqTCxXpiC5Xir7lwQ+zdZO120J9dY2da+0j+Y4i7bE1y
cV6Q+scqyiXEC4S85jVEzW9cXYljqFuslhnrGgnwQ8ElkK2gJv6f5SE8TosfqM58iEiKm7gCLgw7
tt5sM6WwXfNLJr53WW8brrQ1W5cSldDsqy7ZeGP0Y2V3F74gE0wTwoHHkkbl7Txs5Cqj+Wqm4ZKM
jm/zHQIeoN6d/NY9eLJt7TVG+PfSi/flut2F7T0zOzsJcVhLqp9jVqpumK8XlF9Ddh+7a2N7H5F2
nkzQ74L/Y1ocEMLz5Rmi0daFr1J4hhmRDq/vt/ekB1SYGqE6iGpjerYe5f0PM1Wbh7TvcsUW2yhH
sC2qbjqkP5/jKKs8u0Yx8HMJuuOxiIXmRw4l78rtvlSRoPkIq+b05KKzNfutQZKT+RoW4pFPzZtl
J1sFSsWNeBxvsl3GHPNrdbj+ERaujDODs4+gZRDvQI3J5lRPaFiBPt9eN7D0lU9XNHuH1KpXm2jb
8pUVZvjtTEBLMhCd8G9LrRxWRFphsKfvxD/MHyNC0RZNIJGfmHqxbZroIUVHp2nLlWfpwn4pFN+h
PptmTPhO586ELjktrqhLnMbsNnC3bsreub5hSykKoNOpOAmuFgD5uYXOl9RuUl905MEppa2cbttG
tqu0tUtpjVdw4eNQbaWDj94dKPILWJOo5nHrErt9IALpt7L/VGfbMFrz6sUlnZiZNvXkimAgoOjD
gVxo2FsvXmzLTvZs3Maf3EfQiX9416AHJe9gEtkUK6H14zqdHX5WSLmfD8Yg2hy5rioRRNMRK5Re
tBf1Rt0K2/CH+vRDe2BMrHWiIzrCzQH+cCc4Ks5wCPfd2jNrwWXOfsLsiEWaFcjmMG1y+lU379Hw
ue4wS9fHmYHZEUM+q9UCCwPaT0ZKa9cO7NZWNwHtYn/b/NBX2lBLz8Yze7PP6Qex34Y+Huofm3tI
69KNezfu1cYeb1JbehL2w5cGHeY35bVeSdGWanpnpmeHQxBiJVZlllq+h0dkls1N+wXUcGZLkyM5
9XO0+/sAeWZxOkInvusP7djSZieuII0hCluvX0OCr/nHLKSEIrPeybSmVI6OehtCdbmyhuVj/t9D
MOXXJ2socj8uxoE1FKm3s5Tcqfovem3X0u66Jy7agV2QMTraUNocMqi1Uu63CXYS6WnUetszv9fK
gxWujbItJCzIUf/XzswBdToPMBLxUvSEx6G9r7ovQrPmadNNexE4TmzMPC3SXbnqW2yM3nPoghZL
tilSy153qMd7uXwKIPKzvg//4ro8W9rM3Riks4TAnIKFivxB5TRo1EJNqqx9qrUtnDudnw211bA8
13zR8k+l19vKmnzFmo2Z2w3Z6CZyjY3Sex7NQ4ZMtrrGwLscESbBSfKliRt69p0aUw6AgrNhheWx
YxsrOMBgUUIsZ4ifhwHNrbcyfoEADuoEyHFjqGc2171+8anFsAil/omRBdrh8+OVVUVStRlu3xQ7
xXhqk10qebu+cNzEskWrs8X+Ls5WztpygQGkDYjkD4DD7AvWmq+XQ0BiVW76jXvMf8B6RX3BcmLb
+wQBzb343AvMXawsdlrM/FxArvwfs7OPGgpKyC6YPPf2Bu/KfufZdnnbO8178VLcrj1jlyLKqbXZ
ww8UzDiUkkGFMjnkKsOSjlkBm91eX9T0m6+saY5bKq0Ebr7Jila+pzmYm3uzze2oIk4y9/x+3dhi
SnKypvl8kSQU/VjIWIPidM+kL58s/GQ8kAKFdsJ0ky2/e9SL/OcX5aYER7dBqKgN15KGtTXPspKs
hxuN6YbYGT99C+zofjxUjv9ibX/LR4a97XKfF3Zze9uvxNWlmMBpRbCN6Ug4jGZeO+ZSlJkiqWBc
bkpYLyd+NuH5+g4vvaIm3bv/GJn5aDcC0ioH1lbv2o12aB6oKX5P7rqNa7f77tCsZXiLGdipwZmb
NiUyCZWEQXkvxTt33796TxnEFMyN2WgQrrwQFvcQrV2J1F2dWnPn8aajumsVU74XpCTPd3V46Nae
Ocsm/lPtncM4s64Mu6AnpKlJaIPZ6iPPrtqVdSwkPhOZ+H/KHjMXbKNIhBCeskcW9HZqPkhr2f9C
9KD8Su7P33nFzl/TsdFWNcgF6ioE4Uj40/fPgn//1yifjzrRiZnZOmpfgWnLwozi3XnhXesfNHcl
2i9u1YmJ2RUzyoJZeBFaNr1Mzxx5itx7vX5oFr742V5Nv+AkRxRKr6QewSLou9iZ9ceHiFHLv103
snQyIbPghc4bfVLKmX7FiZWxMiMhl7ESeip6zdQC/NhOFTtNHyjNYK/XNmO1zbPPffPZXQMFTsdw
FufPrE/+cmI9EpQ2FEQcLmnDPaSVL0zT3A5GanuKvi2reDNNzKdmtb++6immXTM7i3lBHHq8vln0
qDxX7l2s3ffSV6X8pqxRil9+QwoHHzOlaLEzsjILQ0nVFXolMlbBNK5vR03xkKBxGov+Chzoch8n
RAWSfczdUzS4yPPrpqjTQY+cJK1stbnP+5euGJxOOYr1vjUeIV65voNLC5sk3ek3A9wCkHj+4fo8
0eM8ZzI8jh1B+hz5z0L19X8yMccbaI2eWm6GiVxr9qX6rjQ6wimb60YWslUAopMAIjpATBfMS8qu
BIORjwa2M0p28sdEBfGPZee3lWLXpW18E+71F7S/D9etXgaPc6Mztx+E3GCiCKOF0W31sNp0a5F8
IafBBNqouARK4pTLzz9QUdeeD/U4JrbpK3qyTrIL9+nRuouPcJdlTnpQ0jdjnztPnW3dhXvrTjte
X+RlrD//BbMgnKiCnooBv8Booeo9avK2VVrurLe/NgM6cSowQtU3BZPzhXK8EMVqAhbYfNasW6Xf
GeIrU3jXrXxUK89DBiBIPISREJCq4ODOzYgQcxRJnJCR2slz9Ca1trcNJYeyjh3cBHuX8W0FXo37
duvtkhdrNTtcOHBn9mcHrohHubLofThwPeykTbxTv0oPw06248/m/S9j//3XyoKnC+zKguctvkYc
yyQ0Meh+0yS7E53orb2VbGur3Tf9TvqD5J+9YvIyLNPwADA7UUlOtc/ZnRqKg1BqPR5TboSX8LF4
aF9CMOJ3ek75bNxb3yQn2hSuo2irDc0FZ+XBilgHrfyp0ju7BjVh0KXI9fCi2I3tsXCfY7F56Eah
Okqiu8Zsu7TQU2uz8x8ZWjgKihABCS4iyGG+92n8KntfzVE+DPWf69u64DmTmsUkdAb564XGWhjm
vlsUfEgr85xe/N4Pja3nL9eNLEQ0CDKJNLrIKL02r5H3Ul9nhgXyqGfYQENotTaeJs21Fa9cMgMJ
D3eqQWvhYiRHC8wEIfSOJzaFfrB1ufn3qTycb3T9phl2xj3mKIHACgT4WgG6jAhpycablUyS6Jvr
u7X0SZgbZoRpsgWa6TyYqEbM+LJJo00wn9pqFzcbTVkxMcWD2fFlSpYJQGWiNb5o0A6+lUhFC0DY
cHfR+O4jrBsGx5w2rbRjMJ3mwpqU9D8Dqhc2UYeZKK1Y1byv58OpZPke4xBKblajLaru4CSu6D72
ioGfGz6VNDYzVx2Iy5uN1cF1VUgm2BVKX0Jhs/MC1KqdQMU/GKvu2HWC+gY5Oa+RQIQcPcyVaNy0
CgmVmOi1v2+6mEHZluTqriq75o52Y/lQSIPX3OZGoD7qo87NMw7jTq4H/1aXE/GbPGTmbR+Y1bHh
IAaOJCXkZuqoSoAm6UyUjIxb+p9EzPrdqJrDj0AYNBhi3OTFB8H3JY/M5la1on6nYeMpNz39Nk9T
GSq23mpv1FjX39vCL/ZyNPiS3TddPWwkT0gfssBsN6MYTwNfpchcqxyH1U72pOzY6PibXXZG8til
ZT3egi7t3EdLEJVPYW+ZrdPBE1rbfepnR1hPh7e8KX2Im1vLszOplpFrjvS9HygjCEYzy5luaIaw
s0fZFz7Fciq+R8UI0U1dBeDGDK1g/kYIN0Y+dOVNq6YVk96Jn96meZTd8BkVDwayaPgtF3IGi18X
Ja9BI8PQDj2juEurKvhT1UUso2VQphSBDIMpgQZC9ndZ7eqv2ei1E1+3Gf6QvFLZll6jIviVxsqd
6ldU1WvdFVbuj8sCCiVoCGII5BP5zRxKFJCr+kKR8eZPRkftKdsI9X4MxX1Q54i9oPssrNUZLsbR
cXNTIysAk4gcChIT5ye5TYrC9ybEpfBCgSq9e88cY7STe/X11XtobwNHf9Eeom2xaR6TH/7WJA2D
plBZWflSWJyE4+DKm9j65iVXzfUMFd0lDl600z3FbvrV/GPhgjRPTcyuLKVz+8ysMWEhiIJO+P3g
/KCObNjyo5VulKfiGNyVtnVcQxqtLW2W3sGbZmR1h12PCX8hHuwuXclT1yzMMrt6kBiO/IiUnK8q
eOjlp+vRfuGNbZJSkFcwtAiOYA6WqXl/ZEyHkjtmsvDNaA3ja+p7FBELM6XrY41VvEtcpJNtNdHb
0a59N5A3dSQnv0pPCfFfqNGhs22LlUtiaemn1+ks4Yo9t++8aeKhaz4LpLS6v9KcX/KaUwPTDzh5
35tlHWVyAYy26OS3SE73Bch7bchvUvlfWDq9UmevDStJiSghMMyq/xZp+iZs8k2ZQjmnrAm5rF3e
s00TsybLO4HLuxoOUnlT8dRew1Qv5IeIkKnko6C4mVeY5QdBO8gt0WzCVKe7RENbYq+/+ND4qK60
v+6ca6Zm+9ZnYhINArVvNw8OnXdMY2CJiJuL976/8updMzXbuF4yPKTaaVRkvbup9WAzqJs4e1PF
YpMKayS7S5cB82qo+yHmhuT0zFjhZW1TIdzmdCiWV+iG+I6iHhAWtLX+2IVrTrHk6KfmZo5eSZE6
pALmhoRuf7sZxD8ucprx2/WvtdDph54UACsDtBReGMs8P1CtpUEQmoOAb7bNFuWtl9/0kH9y5ZT0
mgJb2YuH7tY65O+dtVnDli45Pkk+ZVso0i4BPXrTN1qsYdtHUgBstwlORBqz7fUlrliZvzuH1BP1
YOBGRf3KNv1HXX3Wm911G0tf62Ql8+JIMpZjEQ2sRMs1fd8pUUmDULof4S6hreyGL/+budkZCwa1
iKsYc4ryMzZ+pmTIudvbfvjlup2PYu08AT9d18zpwyIxJWF6hQXfrVeRWqM93lE04/K8M7Y0tFrb
fDB3wY8VsxPS/MIsaQdpEOgoba7rXhJCShelUKflBk00x9KeG/lFGijjBhsYAephHdmwdL4ngOSk
7sEo/Fwu1/Ilv/MylT3N0hxqEOU2a5qXpstRMigfWprMgrWCmlqKXxBpQdhB7IVLYXb2yITRBepk
cj2YmLaC8qhFjWubQSoe4ZN/R/57rZc+PwtMRZ/Nl09+fHJ9BqoQwvQyPajQnojLXIntnNfMptSH
cqURME8F/jHFIDvJLG5+kTy3PE5UCVNaIRzNwfgE9Nq+7idrJmarGTS/9XIXE2XeW8+jV4YQ4Hne
83Ur87M9X8jsK/kDXafRworZCbCP348qXJvPCg/L63bm3vCPHSoruAKJ97y035UGDO5Dzlkr1Je2
NezWcg+8trbFEN0rAsXd6/bmDj+zN5dpGEzFJ1/jdWPlFYy5pZ85WesZticXX13X3HmBt/ezaPcv
rKJbPlEkQsEzZ0dCRk6rvKCgHJLFNzCY5vFvGeXmXH1MFAnI5Yq5C+TGxypP7M3uUYj3jUqgWuV4
rcwjebCFCvEzVXS84aXTPiWM0mjD1gpXLp2Lqcq53ekknpw0Vco9UfSxK7njXvF3avE0KK+duq9Z
7ZDts2pwxiDdNdVRXyPGWvSkkzXPzgUP4aTxEmwDacFzdA14CjCq2LuXNB7wWrKSKi9GlRN7sxOi
9hYUFdm0VvnOkxLmRf2d3q29GBfP4YmVyZ9PdnTMQ68pJ88ZLGvba/W3rmpsPDaky7g2WnlJ3ToF
SoRjxen6gQthtqS4RoW+Urnoag04s9+Udl5w0U6sdIH7CoCvsdXhLi3JkMSjqO398Lur607rvbdr
ktkLrkQVGYp1GNan6az5a080syaMXaZzu9JSntNREieeT+0WtaLSyS2uyCZjwi9yZVojaQIgtHFB
ZzZht62UwPw3H9tEzxM6P7oW89JAK0u1AbCEwmxQ/U7M4Aa+CM+OTW+lA7n4uU/szJxYQVYXUkS+
gCAjhDDKjlDLcJV8C/4VOScngac0/Tqdcddzx/IKOEnyniTHFAbLVjKrsBMrW4m2S2cEkhUoHMh3
tQt6SRD6PVVBXsYNkC3Ty++02L1ravPtenhd2jXIdyjdTVwUaIGcr8XIW8GHdxpvCPX0VReH+AgF
QnPnk/C8aUn05bq5C1jMFOaoUzE+O7E5/B9p37UkN65s+0WMoAHdK23Z7q720gujpZbovefXn4We
u0dVKEYhNFej0daEYiuZQCKRSLPWlW1GA+YZmhiZiAz586HbArCrHL5peP3Nu17IrFo/ZqPT8pol
2GT0l9ivtLBEa6xsj345FtrQh0iqwxoORlcRH/2ioiWWavtgdLsoA3FliXJr+cHR99q1YjBSQlIM
XS0UUZHxCzWIzzqMpKpW2JoAT1w6/SBE07vQKrKbAhPSynvjTUiG5a0bkTLtkpnYbRo/horyfZTC
V8Vo0jtBmxc/HUT0moZAvLz9iddBEb6PRnmY2sb4I4sClwliK6AagZZpNGdXb2Pxfvvvvw4bLv9+
xg0XeRuRHBMMSBL7qfCqy89TdspyXzWcCuyZt4Vdn5pLYUyRkiQFWSpUPawgc0SkszIl9FCk4PQe
rHlYjNziJ7CkMIbIPoLlthtQwQGqIciWLKK/qul3RXkRiglUzIdUfqnHfTt4YnCUQYx5W8OrfgEw
9lA0QnRboo5FgfsuT2yhD2VWK51qydI3KXVotbAeXJ381lUb0O5NO9qqOrrm+BKkaNszj1wE5K/Z
8/Pn1j+fgFFszPkDBpY1GUErNWMaYNT6XLlS5aRBbdXxriNuBHLcSrjvAUYyJDjGmj3Vkl2U3iS7
C54s6FQiDzK6zaNNjQgc7GVAdrG7BC0izwXyWI2jiJEtojBZq5E3GsTGwKxVJk+k2cwYhJ+Mxira
D1KETiocu+p7Tn61zZNp3BPTT2bMnAKjHVB4Wf7U67ui4GHRrISHdPX/qM5YcxzrwVKAKB4lmtQB
+5M1ASwonMHmej/1joKc35w8qj2vKLhyiC7EMpueTBPmHEaIHWavHwEzjHV8QjcVjC08AAyO81C6
dpcXWir0vX0eOo1jarQhxJV4QndomRazXTpNVoehR5DRaPOnaPDaiFeO7rmKLFB0XGFQWSgGFekx
DfgsC4on4OxduAUTGd9+bbxfnaB4U6Bn41K3YJ4DLe0hZ14mgAfkVhM8FdkvU91J/UnXBSs1nSV1
qvltbFJHkzxZ+cQUqjWqmiXnoyUAorVSjuPkt2JqCaDVvX3Av67cWx/IvECCPCRqKWHx1RCLD0qe
BTZPcojDmdcBov4rmyW0s8uuHj4s8fey2qeopXZi4RQT0BhiDKWYp14BU1J9b2CmqdHv5Fbj3Wyr
+3UWZTI326AP4jy3WMdwkR1Bt830JY62NSgFgJyfmKFD9EcDYMERupnrt75CTeiTlAZntXhfwZxH
uQ4mPQ3wFaj3WyT4rFvJKvqc53SvwyQcCI2ypaFJGWlxVlnRXKpCmlQrq0+57EVAViCZFcWY4Ded
3nzXy28iFhwvY/z7oU6lK5rfxgZI588c61gJKC6+hFG4BIShorT4khZ1mqTe9ADfKNIalJM7M0DQ
2ziSQmPge7F9RJ00XO6m+YUImMJONj2gcpNktuR+B3JxuzXcXAXYUqyA8Al5s+xd12K8NSv/9jev
BH109QgqUBraP66YmIQ0G3VznFXQj7wHso/qk6BEVtMSfwLCdTAsdgfka/BBSX/L1Pp1U9G+cjSF
ABmDvalCY9DKIV5UTHmMGPUAM7aTC8Mn6dAqfVvJdQv5I4nZl9AIAqI0kARsWjwM0F4eeR0y/Vqv
cZwzTxJzF8g5Ni1IISlURCfAVbkUAMzMHggvSX2FR8asHnsNkKI29DmC20Efn2MQlPLx22xX9YuT
x6deSFwZvimU7EW4k0RfVnZhjMYEhCGvmfmuVK+6seA/vo8zcE8Kq+nvCxN9vrVbyq8INWeTV+dc
9QY0g2igC15DS/Glb8dofgBMW3ywJgR3U9Q5eqOfQjrG0U2Kl8pAcBMXZHJ0JzfN72nws2kEsMgE
sb+YgwNIAY53Wrf8sw9i/MYSkXoC2YtqFUAJKufKlkSQA5qHNpIBYVUho7NvxYex0yw9dm4b5Mpa
IE2MJjaaBZAwzXu5FrmcC2Ocw1EUXYR8lXAMhsztsoqHKkFLgcx1BTk6wGkpWcUVGQ8aUsBEpcMD
T6qQ2EKIlppkjgBuMndgdwlawcP/N/CDAK2L4FYpLJT7AGM8GDwm+lWFKTQ/cjBw02wHXVArrVkk
8DJgNdtm+ujFS+GWHQ+ufS0AB/7QHzlMAJEpwZxEOeQkTfsxhYAENKVXpdMceQIuWak+BeG4NcT0
YIqDnZPopI3SfUyIpw4pb+52dfHPvoWJFfrUzFRRxSb3NNmh+kOzFbVjueiWGd4ro43KyE5XD33O
OWn0773adJmuApwrUOsZu84AyinFVG6a7DQptM2OUw1YOzmqeiaB8afSQOZYLLDKuXkX6m+Tsm3z
TTq+KdMpL3fgWSDyYSw5Z2YtvL+QyhwaoEiHETGgl6q/SMtbIAR+Ju6E4qGJf2cd8L49EZQb/+Gg
gjgdXJcycAnZ3ITa4dWqzdCUaDgXAdnkqG6Whcl5tNIFu9qyMzHMgjZiE806FUNneKrRB3ZmULjK
9FgqGnD6OVmFq5YT3B2ALP+jFbOSiLLlTqhwS6Xlg5R7QnIEvVEc/soiE5kGNy9wM9pl8SkRtL2P
nIhj1RX8KxzjRJe+L0vyTOoyuF2ljdzRFO8HpTwOmcE5BTwx9HSeP5OyFDmuDDpW6mPb3Sfa+xJw
ikmrB+1ME/qaORNRxmIk9hN2LV0ESxxre+CNxvGUYNxZWnaiChxuuJAo8pUJj8sp3Jll6962cuoR
WPNDxRKsEKDIBC8h4zHCegK6qYgtadGMFwNWJDCOUt2BgmMvaDzGhq+4jpGGGIBiYiNJAlY/qvTZ
soXEqNQ2wc7U0m6Yf6uRvCm6TV1OtpZges28F5ce5MeISfTMEnRf1FvfmJ7MftOrnya5E5XPEiTr
ikPQXdYVTluWDhn3gv5haI2ddjyq9TV3d/HBTORSJqh8VtSUklRu7+VkRgak7H4qZtUD5hVgMyB/
iV/DMCn20bzEqACL90bUZ5zYcu3YwgchbqCMUMDZY7ZJ70spIBEaqDtM2LiRYdaOrDTiQQpKdFOq
oWllxTjaxEyeogzDZ9q4gNstVmVc9aBckHTeAVhzyaBDRIcaeIDQWvi1cmdbiX7KqdE7RbWW7JuZ
iZZavIdpZun1i2Zs6wk4qvqTQIS/N9eL/WDWASk2vG9L7EdUIwUia52Ix1Y/bNMcRWOAn1dW2GFs
5vYZoT7xltUyLjrMZSMGohDuvMUtkEIbC4ytx4ULJgO7T4glKi8GRtNuC103PTp+R7N5FNXq8qyQ
clIKbcLJVMfGandJZsDJgHvEMe4y/b6Ym99Eyx8b9DFzBFPfdaXuH8EsfmA4YJoEq0wf1c/9+E2S
f4em6FTGc9lsuwSsasup0vd1P1k9D4iX9UboH0JfGyg80OMGYgWWr7cOlSIqoia1kTIk0SZsDNy+
pyX1S5Ozp1f2+48o4DbTWTW0pjPLm2S5qg05RAUnzHRLrgqQmV1nx7KrfPIOC+vLGVlf33J2VmSp
CuoigaxBwnvtDp0HAw/bjb2QvkSAm1IGoy/t92XUaSZNzqQAXE1ddVTNEt1Kj7fNgn3eMgJYBNKs
6JBdjvIUeaSXYvS0aF8GvqZsbktZXSmwptFxRUqxx1wQOri16rYHzLOiA97HEzAdkIycwG5NE3Bq
AJ+DckDgJXZ5sMpqMdBkC08eoZEsD71Um62sdKW/7h2gS3YuiO7Z2baLQtKQvKOC2q46pLmZIvUt
LaAWaNsHPIEDuxl6kFxo2vdJlFpQRqtepsUKwDcw2HB7YddOFjis6PHCdY/ulMtvyTplKRcZiSY9
9UR5sqXoMRT3Heqyk8SpLK+Z4rko6l/O1C4quUbnJUQFGcY1lNMY8dLu6xI0zNPTKiz6yy4lUKQ/
HbQXMPbWr8o7ZeAEkKsWAgKm//39jMM3C8C5NhP+/rr4RP3dCQvkcE3dVWJedv2ra/Hc2X7ZCN5q
CqXDBlgsY4wwRDA8NRCFlJgTqepmigVPDUHKmo1et+jO0KOVPgSZX1oeOmG+m41xu7S93YyDlSiU
lVi04tHc9NJdH5inseCsBXUctz6QMeJuKHvwg+IDe+HN0B4ibYfOBPQY1d2urjZK/5ftAux6MA4g
7yLVjGIwV6Rpi6b7DhNpwLgvgXHPmypcczX0lfy/lWdCO3B9qBgbgGJJ40TKSyfciaJ7+9Ct2iky
HoCVByUymhIv7XQUChXFOgAdJ/IhSiWg6/Ba564aXP5Zrz8iGFOdtZJMcoL16u20toHgA1xEL3R1
TJZo9/1WcIrf8XP/ZPAyHDzVmPtmWPRIqOg+ofoX33UPQBMHy431KR5QdXAku7J5XcarHuzPYrJj
33GRmciyQ2IGUMKsfW7BrJW9Z+1ByAfn9r6tdFPDc5/JYrxlMAZdCj5ZyNouB2WvOLVt3pl25cbb
9qf4U7b0w7xRK8t4XDi9pJx1NRnnGZhaM9YUGzuKq02ZxAeNZP/hjj1XjnE5aHGYpwT42rap9X6p
jPeFWliZnnGMn7dfVNOza6Ae0oZIAdZwRqcM0sw6cBHr1CHD05j8bY6ROQUs/Ru4OeV50LBqckcc
rXzJtdTSDM66rXRRX1oF4zGSdiStCAJRTDybB3KaHNMLtig5fuv2gZfthsfZ4pnDuvf993izSahA
lGLdbLFXKBOJTYrizHEej7WWWI3mFJJvKt5t018XiNQMAiMkBViXJfVaPKkZRvaW9/GuttND+rDs
FDt+uy3mqlXja8fQvgKUclAhXc3HVXhJj4RAjh4f4nwXTPeZkaB34k0D6o/oxejfkDC1hpE4gzeS
ser4QVxjoBkP9DVsjFlMS5pUCURH7a7o0daAofwo8TkKrpr/mRTGWIZET9WISmkxkLE84Z3sxbvq
rajcULOb/bytn5IXcJqQR2l7WzRPP/plZwcPM5szUjc4DKbhJ7rfYFBZ7v6LmzrTjrl26gLFu0WF
jCkP7QLQJeiyuK3FqiM8k8BcMOFYVbEgQAK20QqE0h5UzjvgqqL/jw0CJAL0oXhufp33s4XCZJ28
FJQyXLRHP37MHNWr7WWjvXooGNjDUXuPvQiXmuG1h5fZajecD1i/vNE7/b8PYGxkwth6qYX4gMk5
Bo75M94321/pQdsmdwogVrXC2vGmaFbP95lIxjhKNMlqZQ427sJInhPEQFaegzF9iUrN1pUZlNXZ
/JiF7QdwlTl2yVWXMRpFjqdOqyFbO0aDpYeOeZ94mh+fijf1qEe24FOaXQqxzrGlVW+DYhtG0GWk
81WWH6ROxzYx6E7HanjKDQUQhM9jW7txUh2GVreLSTw104+lA8dc4hI0PN42ZrqRbBANQGu8aSWC
VA5L0jcK+Sg3EjTPEylNPFGfxQ0ZBOQ0QdZ1MIxSerktcM0HwK7AzkcJUcDUdukDwLcuddEAhc3I
ktLK0or7Be1Qt4WsubhzIYz5QvYUVwRCIuVnjOaucpMhJuqb57Z/vS1pdf3O1GGsdprqORx6vKSr
qbP7sYC/XjDN3doKD7eWt3CMjSIc0rImh6TO/AjDjZ4+6bp7W5mrzB71O4A4Rk1WxKQSkKMvN4do
mJ0Q6LGvdWc5EFdzwELyS92Nz/0+8m8LWzvvOliYQR2KtqorPnpZrus2Hhec9+BDj71Ux9RjVVm1
aI3mhyJ4dfjjtsD1BfxXIGFqPEbWV8nSQqBcKi7yl9akdV4O/LDbYtaP9B/FWM6wdIplaQY4vC3v
msF+bhNH/myQIvVHpIAtKXF4nIrrNvhHMfly16pSlRq5oDaIWfrCJcQpsieFB1G6du2d7RdhgnO1
AKpCj0khTHa95+i/rDgPN97fT//87M7TY21BoVFEcmayky60+BOvqxZHw7qvrgP0IFxKGJI2oyUg
BD76U9PNdjK9Nuj8NYkVCtt4fhMHXlvkqh+ieAtI6oHbis1thUCYCUgJiaZ0iIPBLhKvCEdr7CVk
ELzbdre6fmeyGCuQjUxQ1QbrR4FTBO2UKxxXd9XH8OUdziQwFlAYc0GaCRJqDU2ru6p5KsPHhthF
7ffJIUcWIdkBtHYUJEvS7ILbyEw1uLqrUGGiuGcyak7M1QEKV03qA1ggJhAw/JPrAxrVYqExrSYx
SnTjBIU9KFP9mOlafg9yzrS0kWGPMJS0kAYzWSHv5K26FECQohCCavwVFKEuh2PdBgq+CLhPstuO
u87k+GSeCHr4z46FkptzHWcEoWCi36U9IIiL5K7A7PRt61k9G2eaMPcYLpfBiBeIAS9at1d1NL8F
grRLphjTuGqyA/sCsB6ScE/qkpfvWg2/wBvy7zIyV9vYVNIs61jGxwzk0feyG3xrra7YiHvllDuN
Kz9SyFXeC3b1cJ5JZS67setjdaioysDpEGWvSZ/KyC8je6k54fTq0fwjiR0QT5J2MMIGkiJ04TdE
tDqZc/g5VsI6Gl0pdb0pISEjeFNVnjw1Fsk5GVCeGoyHMSep0iIT2zRIaNSDjKfbNri6IcBhQnAI
DhmASFyaepEkxaTWqOPFSM+Lqp1PTpIdheAhmTa3JV1Vrakrw/MM72z4M3ClMKqkmZRkilbiyjRm
K1D2w/A7o2MDd0KD1r/SHZWNnn+bg2OlPgBkiSN9TVEUOkTwYSKBAhp6RlGSRktcog4xnkyP+OXj
sikBqrbt3MPs6OgOsQ6N3be2wGm9W5dLQEYI1B0E3/TPz3xJgHb5RABBMqCg248mEjxt+h5V5v2k
Pispr39jzaNg0sNAGAnGJeSyL4WVJfIbxoKclIxZ2GnZ58mPSTEsFXxVxX5Inbb7dXtZVwUCyBwM
SAAuBU/HpUChQohSIT1qp0a5n9tvrYE06HQXGaO9BOHzkgNgKk04e0n/UvZOQtBAZ7bAqQNE00uh
OvI1eiENEEoMS0y38rCfh/+SF8J9h5oA3ksakCwuhZjG1KOohFxbQ1qvDRY0zYt+G/J4A1bDf8yk
mlAH/Z+AkruU04xyqqU6fQzG2XFu7pcZifumvcOktZt3xIvq6AFIk49z0tpm9nF7+9a8C+YJMR5l
glUP5cBL4Zq5FGAhpG8PdNkI02EoP28LWN0qjB+hDA1iCVTQLgWgmbeeRAXhAyZywEeFsy+g3T00
OBZBL+QrizgTw1zYopIZpU7jMNBJWb0sW30OvrknEjm31eHJYQ6zVErj0Bt4ZgSIYWOADqf5Ry11
tsrDpVk9V2cKMbdzbARaXy1Yt1JGT4v5QSqLZE8due91pyjjTWtwGg9XNwrsSBqcBxATWZyCauxN
sanhHkHZOS/vogbQIk636JoIE9OV4JzDTKnM3pcgIECmWkAO1EwSW5/cAkQ0Ha8EtmbR50KYSwa8
AwmJCgjJNeNB1PqTWTzetgGeBMYxKEqRl3MO71OrgyVN92rG2YrVxyy6NsAVSpCGROcLc2jEOQ7H
BqeyNd7E8s7s97P8JPQvSXSSCjs6CkdkwRfeG3rNts+ksi+1CLF2ptL8zZguYBd57TDrURnAXPJv
rx81XfasnsthHF7YiONUiJAj1Vrhx/J8Gqa3ZjGBwvgzx8Cmpac/bktcNbw/66myNlGkSpmWOEyp
KtpaC7z3/jGt3dtCeMvHmEUut3LYBFBrMH1w2FqLhjFpS4k4L3aeGGqdZ+FEqbejMukQU+HFmU2z
lWs/unFTibzWYPowv7VNdFHPBJFZynQZ7Qi2ipx+OH8sATbsGFSPzdRbYVrZsiojkvsPzRwoN2H8
CNUg9BGyGQ8zCZNWptdhNoi7rtDvhv759katHS9a0TLRrQiUHuC4XmoWqOARNgMqQq/vapoWwBxj
HPVWnijWPGJKVtzpSuGM6vsUvstVyAmEV7YQvSRo3QQ2F8FcM7OymHGX8ljGJSKiWj6WfkLeI/G7
GnPO2YrVX4ihn3G2gahwhCTVIabr+k3QgSKO1L+7QnRuL+fKcb4Qw6xm1y/1EHcQk7XJkYDkVQcr
yWnSzWNTBpaJ9MBteSs3o453P/onACV13UWRSCC2TzDUaSda/Urk0o3631EQ+sL4ROfjp/KHGfM6
1Vd1PJNJ//xsKdG4Oqp1J1OX5TTLU5OeLEupYivpOM1Sq3uGdwLiWhAtXLEUVm2ThzEVBK4Qvzci
b1jyXb2EnDcJTwyjjzI1oT6KEDN1fq09AF02+3sUP4RaGC6gIHA4zGwnUxfUVZEaoBoYRtMqYtds
kLWyBoRMmCO/bRGr2mCOH1OLGG9CieNyd4DPgSNFRU3R6PTaRpl6O+PlS9aFANoU8Qs0Y/Hj21zB
TL9qIOs0FnYmv8wg+FRDzs2/ZmeSCDQchOJYNnbqOQwnWQh7DAuSRPKDCJWNhADKnMyOOZh2l01I
nMY8loE1zSjmqEGHwzCASf/8zLiTUcPDuAqB19cZom02ee3o5oDBLGXhqLfm+M4lMR5pWXQALadQ
LzKJXfXkUAzmNiwiBzfN9u9tAmAeXxAmCgA9GKWGTAgyM0USuJo0dxQTv0k0d25Mzm1MnRtzSQJc
Bu9Q2DpFFmIufYDZmFkJYlnMVRdWPPsAmouMvaZbc+LdVmht7c4lMfd+JORLME9QqBC8ZZItTf8x
mO7Ag06gf80thZh1kwRZDKEuxKjLvT6afllWHAe+rgnla8dRUoFdemlvIEfQURJFRisvfs8Tkrdv
eu+OPFqJNatGXe1fKYyLi1NQgkc0S9xXD2W/nSN3mjh+R17TBOMXyOzoQBcB/M+lJtU05KmYqNDE
gsf5rA7x47x7FuxsP21Ur9nHW32Heu69bBV36F7en0QH8drbbcNYU/T8I+hHnh3fOM/NfqQf0c13
k/oq9LEt8kDseDKYLWumscGNCxkG8Uj4PgLsDIMPt/VY830oyJu6DKBsQtgTO2VyOqFTGYnIZPlR
5dFhUPJ9qiReBk4CtTYsQ4pajsy1WEIBOgzNzoH6ko3E1BJsWV0IveKhciTxLsG1Ueclpp9CW6vc
XkZBjGP9dKnYA3YuktmuAWDuYSXCY9S5foeOOFse859DJbm5aXiDnm9urypPQ2bnCBAElEDDqgIw
oLQ7Mn0EFcgqsqF9Lwfxm2iGpRvE5l2OfmTO4q6VrjCCgCElEZUjQB8ypb9kiJK6mrG6aCHzlDje
SppsSwN4kfVug8sG2cjEoRwaw6B46B91jfBDFMKHLOJcBtfnVFEJSB5VEdPmwK6ki3R2RMYsyqt4
QpI5601rINu4+p4Y75ru3V7rdQv+Y02MyxHEPp2yCvouujT5YoV8oWqIg5PrwsdUBt/EUjpGKq+i
cq0cqjQguqetaxhkZEkiwiWX50qgV9C4x2tNmVILk2dN8Pu2cmt5SsjRdEBEKDIyE4yzIxNGvLQS
2uWydhRTzZ4zzQEOql8LyT5Pv3VGvlWnEJMz8yZU+5+3xa8eG5o/ROJaQ36KuWi1YRgaYAngzVT+
7NIcJyUGQv6ASOIjF/4WkxAhKxoy/ghj7lr8URy0rY5cmBw8VtpruqRbswXgtfBfHjPnkphFVcu6
S7QGas2gjUWcsdcLHeG4vumn8j7pRKeJOstYuLMoq0ZzpiH987MTUeCPDGOE3CipNnLW2AnA+tUa
0ydmdpzm2UZ/+kM4FLaciJug757ySrvX4xGToF3m12lvSQOP5G11i/+4C7bSTIGWG4An4figYJBF
HsBpNOIEqN7NP24b0+pBPZPEaD/qjVlKEbQn03eiAFJlk6H4hSaRAMAH2sAx3dXL80wa44LLWSQS
sOVwySgYDpyBrSJbEvAtb+vEk8I4n2hMVYDNU0sCtMLoErUBrDiPOmP1NjlThXGkwDPrI4l69KXv
3sEzcohAtjYEr0ETuUSL3Tj6KDAc8/+lGUu72tWCFkw5hAai7BBAchht7FdCx7mY1yJfcAXhFaQA
KwHoxpdHQs/aSjVTPPBCXfXGRNskS+b/F03+iJAvRWCwB9ScAvxKO4S7RI/QzR+9BsvCEbN6uM80
YXxlqXSg4JihCZnDbdNWR2l4lAoDPT48kJu1ki66ZQm4zjBpiKYyZtGI2bUACTIRfIa9BeixRX3M
WktVXnUCFlWvD+4BTVuQwep7F/Cxt5eTK51ZzwhheUsaKCojkVaSkxbtIgNI/nu5cbP+h4YvAcIr
8MZltAiO7m3pq07kTHVmlVt9rPuGJgTKuMHr0l40P4x7J8xfCtMiAsc61wZUL1aauZPCMKqiHE9a
O1ru1MGt0POvDv4SNwjfAFv9mMnOlHB6D1YNifZC0wOhgBXs0l7BUzCCkgQyqyDaFg2IP1CwLgzB
76Hi7dVcdf6YeAP/PChyMEF+KWqY1RxYFEgNAP0bLYmSK/QEoB6tvZB3xJZ/HRBSbANqsICcAu83
I20uAd4mEIBk4ykCOqU0++xqE6h5IZC1AJ/0clu31YQzwk9MEILxTBbZXFhYmgbgjiAOjY/Eb9Pq
0LV16ahdOG2HZNb8XlN+dnHdAjmxLx1lMkKrCpanXKtUjm+4XmeEwhroiBBEodbMOtOxbJQeHYWZ
TYzRladsq5lASGwJMDi/hRPhWO31pXQpjTmgywCUuaSBtG6RnFqW3Ux/qKe/TmZSIaaC5gOaD2Y7
WOQonULdjDG6mo8/x0mbHgx9eCmTruQke1a0gbGgUg+INAA2s/VLlQATFmEwoNWF7y34tPrY5WJi
XN+woCJBHE/LHzpGBOn+nQVmUj+NgO2hx1z7kQXbJXNAtgL4C2dK92X5Nr3eNs01ldD3A2JWZFyQ
cWQudLETkYYLAfSbzq5gbFTjafn7LimFthb9TwTbh1XJI3CpKoho6mMWfqs1Vyg4FwGrBfKlF3AY
bOwj9y2ATgFRoKmUIvgbbXAeeGXfr+09f7mzUpi1IppWD8EMKQmgeIa09eP5tZwXoPI4ivEBbAIJ
A+TAUgURFbAnEMVGzlIkAOd8qpLOSWOv7N5lE4iqII5c3m/v49Xr7J+PAzQwcMSQ82I9WlsUVV7N
ErBA+5dp3mfKVsm8QWmcadmE82cb7HNipzxOrCv6WFYsc8DTZVEEswDg3EjdZ+qmwB+Js9jtBAHD
aY4hGXYZfIC0WYoaq8yAGq3bQl1Yc+hnwmMugzoRc+F2ArjSzti3vO9j7+ivz0MjMCCb4Ocxwn15
msoEhIKRgFXRyOgkMwpT3WCZ/UOgb9v027w8cnaBJ48xRKEMkQ1usRxJPG2A9SjFoxVJXlVtM2EX
Vy+D8aSqR5RrI9RQBXKcdQAahL+SyYmlk1bVnEv16uJh9WdMFtn2XBoSuj3qe9Ev2yYDKSygUfr4
RRbstH+dCVplsud6xhe5nMVgC8iMcJaJAhGjOoFxWAX6agfspUMWVJ4WHAMAZOeAWas+zehn8tc5
GAnsejKtBaHfCB0LTFQ2iKMx1oIBvgtxqyagtgZ3gXpQpNdmeCxLTj3jOsOF9vKvSjJCJPQ2sqUT
OjM5LAK6V9+9H97218NP9+4pdHhw2dfzxxCD0gwA4NFHBdw8JlwJhUrpQesV26+qdfQ8yzpYvm/Z
7oZT8zevAj4IAq0LoABxu+lAw7g8L3IgZ6UcVrHtHJ2j937854fnHb2jBbH4iR/u//sXv/GtrYWf
3te///yha7mFdTjYzuZ02vw+bZz96fX0+vm64VjX1UUJPDsU0ZFgxE/QozKmndedSoISye7Rbm3P
82L768eGx61zDclABSFjK4HZBGSRbDOOOJZ5ms9YfGfvOJ7jQWnX4sRJazusoO6HzlgFLQkgULlc
+EYx87yO6xhj8vv96945fvf8t5/EenM5W3x1UeCOv5DEuCixCKXAjCBpfzxi22yXp8raxmCUCby4
YMJGWp1RJS7NMmljpCD3R8d5P3q/LB/mYG84WYGvfOP5dUwVOZfDKCINeRmlJeQcv3//8QweTWux
nifrcQFr+YLf478g2j249ubpd2U//X7CDAj++T1bAAKn/3O6bZJfmO7XX0SbqFEQwmghDVPOYrcG
SDxF1EqwFHpctvdbLK9lO9B9Y9sc9b/+slvC6FE+EzbqaKFSayrMgfVb3qOPkwlJzsbhiPp6E1yJ
QkMxxgfh40BQeSlKnNpw7syWijrSE+Bt6bGnjgDqQT+H/vwva3kmkwksQvDm9m3dQSYwTSz8kloA
K7VeoS0SafYv/81/ODwcDi5nE6+n+qlZnQlmLpC+HuRITCEYHrC0PO/Z/2bf8ZzK6nk/l0Iul1QP
JRkEG1Q95wgUUHjQBx+W+sIzk6sI4OuUnKnD2KQWZ40kfgl6d7ytb93xJHxl3q+sA8BZiDvBFqKy
oNtKUhZCCvoMulN73XofvN51PP/hZ+X+/HKV9oaeAc7Vu378z8Qyxz9VgjxfJIil9pFa7739/tq6
I66D2e6c1h0cR8epsHBTEqvDPxl++wYmALtzgShvaVaBf7D+nIvJZMOerxU/+zDmYjKKCLQ25J+t
pdeoc/z6BQeHHh56o+IapYeV/oJf8eOA//06TDhO+OHQY3z7PGn0vNzYJba5U6iDuhcvvurr2zzn
n9ubfgX9FvzEjUB/8L5AoSbNfoGMziakeDB7jd6mS5MvS4DgkgbME1QwIoqvH3CRj9YbtL+zd9RN
OiePF9RcxTTo21JNVKyQHUBjIVukRwt/pAwG5A793Fg90L1ks7fMVHWVjEcq90VdfqEkI4zxyl1S
CElkKLj8Sus+tEIL71F7sH7hd4s14deQRm4u9LWgtn94sB+3j/7WdaH+79+nTyzL1qMH6fW035yc
0+vr/rTprd+hM1qfvIo7vYmZj6X9WSICAtQhrxox1HTMC4wk0PSpGDQ2GmTL2gW5JUi+6ynodX/R
l3gbNkXGcbIrW4LuNlXGcxUYVyi1XZqCEQj1vBA0YE6SQSw833oHXFfv6oyZt7RoeJMcq+I0DDgg
sYLpIzZv0/QYDRiWCTkB4TupI0swXdkMLInHcnA9Ugc0AZi2CKhw9G4Dyf5Sr3CMRSWggqQGbHSa
3QNZLS7QCgz2D1rhfg+Dl7bwpuJN1n3wZ6CrOxNcQ/NvH/brZwnzHawVppMp9rQVWUtAPCkDjcb0
wBiPNzCpjuikCIqDDscpuTVAeIz4YAqcTBl1voxlXSwEEwO2i1Bls4wPIFIU2iPSmSg4WoUal8iM
pG4eBm4jq+5ttVfM+UIocyMEStWrCW1Y7qbITapdg15DlBGFYSNM3/6DKDR8gThIRc8KmxhvA7OX
axMnxwQSiRD6FTKbTezIgxMEnIuO2szVUpp4XaLEgto7a7xGWuoYoaWtmub90m3z4W3hoXivi8DI
B030iyJbxElEMhQ17UeOMHo0T84s/c7C99srdh2IUJs0/whhArqoiYIFfKQo4Le62IIERGzBjRr2
7zlKzq5mJGQTpov4VEwZWn6qajx0FdBd3akX4m2axSrvIXR1HzEfxAR6dSQvVUzQRxzJji7aTQRc
GcNRg70+PAXRyYy3tenFvelo+jFW7UbifQAVcL2zOlIgqKABioEJq4HqRRadzt7rmOzqJDsXXIVs
NfGotnapoqAlOGbzf5xd2ZKkupL8IsxYxKJXtlwqa9/rBavq7gKxi03A149TM/d2Jskkds5rl3UG
kkJSRMjD3TFB9cx/kTV43Pl70s/w/1qfrYc0kEEfOFy4kDdRczOaga2yL2twhXiVLT+t/LpaGfGy
n/01OZtxKhLe5VOTlhZ8pMnDUF5n5Puymy2eAfSviVlcXXB5VMrJBBR35OoXdAwz67YbIVy1hlZY
G8z096P8i2SFbKUTy4AWDzdF+yFR2VejtbfvxYP0aDyzk5wmwElW3WSlAXdLCQDXRliOiTK3WXnm
Gpr1LHWf+cTs2C5onvwvm0E/3kG4m9Abwzj06NGBeFizh4LI5cVS1lZrdmLjYV+PWwmrhefE8S34
rm1tO36lX+Gu2MUPpV1tkic45Je+Eg0vrR1YhYFLx0sLBdz+dO0MjadV8POuWd4z8RnGUN5Y4wpf
sTEn+W3VRMlEh4ccngSQPUpstd0KSF1cnsKl0OZoJD/VniMvVKFdI9DACVBWqj1Bd9prG1fuRGIr
2srmXfJEMNyjuRjwL8jKzzYvVLZIRSM80ELICpQOGcQyhreWtXarX4lgc3lYi5N3ZGy2jZVUN/pO
gTERCM8I72Mg4Kvu67KRxbk7MjJ9xNHcBTgBERXCiIlrT+2uM8NPIRQoB7vLds5LCthWGjqa8OCq
A9g6z3ysJg/HocYVDhV5u/jVd8LGc7erK17FVc+KHlNIBCkFUoTcaSt30G6j/rNqVz5jcbh/v+Kn
znk0XCj1dUwq8RU5aEPEZ6/vtfQxkFa21pIVFGSRTwB8rUKD73RSKcUdbiR46m7GG7QuUOtG6l20
FVye0iX/QHg9PelAq+qMwMsou6gWGdiK67AHZO29BkWXiFd6cc5LbFg3ELXiHXbqxTnLHAehQFZ9
sqKAu9lpU54SKDgV1jZROag6cP4nkAAZ0wpsvFZ7bVlj6ckxOneue8OsK0ezUov/ERJqpdBZLEKq
OmMcta4VpuofuU510DYGaPnwCj2XuV8PwOh6xMqa5gBEbC9vQEreIzKpSElcouXhWuvW0mJZ4ExG
VozSHt6dTxcrzVUFcHGI/nJFdfPAyxRIjFl2O6y80E/bdR7p4BUOMQ5orhDpz+6VsgQWXzIxkbwK
Wx/N+9+AyRL7sk8sGgElAJoGJzrTud5v0JJIgngukp6ivmJQFUVjycoZuDhfFOphk0TspJF2Ol9G
F7V8HIE0mFq03L7/qJTKNnp9cMFItrKRloYDbhaIZNEJuazN5izAuwMfBpxOyZDZVnHfpXf/fL4w
VwDPTMQ+Z9Ati3YgPE4xGH1SKW13cfPr3xiAOpA8QV+QvJzOFg3jPqQkgia8MMFsJzsWtG1WFv3n
gpu7FvoA0UwJ/gQdEsynRopKzXgVxwB/1MFGQZuZiow2cyXD1fSXMBYulw65Jdt0DQq5uD5Hhqe/
Hx2nXRl2Q5UmqWPy/LPrTIeE6sq2WXK347HNtqcC5iyIS2NsofquqxpwQcBo6P6whglaCvsgjwsZ
FqC7kWjOFgpKIqYVjxD+qkz0I0T8F9oDHaQBVRff0R78pCRPD2j/WPHwxeFBAA4Nb9BcQEf46Qxm
eH5sgg5mwdUbobNSc5PY/EoL7SWXfl92xWU3wT2BAjU4+AHDOrUlo1icG5OWfVdqjhEczOJ2MG4i
tlO1PwXf6vq9pD6Z3fay2elXz5wTVz+uKLzsIX8/tUpYMSAowAiNKrpTwSKa/+YQJLWSDRH+ZVOL
N+KP3gMaNQj60U5N8QidsEONo1zi9EYw9FkI7dCEiXfZzNKaodAPsOf/mplF7GlN2qIxcJIPgdbZ
muidzCxsBhmzuF0jpl6zNYvSSQLFIKmDrS5/t9KrPLlOy5t2Tfh6MRHGzQQaUIBnwL06MxNmbKg1
3MYOkpE/bR07XG5tE8RbrUHsLKrukjx1C/7FqjXw/+IRYkAvByRmBP0bsw1QkC4yuQr34A3Su1qp
tkEYr3GNrhmZ5fmxbIJDcIARJpIXEchPZrZmYtHNcVeBI2eKL+cdKNJg0n6UcJMMUvuHh2xXisGB
AO/WEh+86lY8fSkRQev+f63NBqTJSPJFgVOxVUYE0nLroeRqh+LTiqTXoKM3iv562ekX66mUgsAU
Wxg80fJscwFJKmVMgskiKu/FmDlKyZ5Nq3jJ5cEWEDHXc8VtchBpBtqbRgdXbYnbWqUHerCVC295
rv9+ymwDBoCLpinHtUN14XAJW++m4V6rN17ar5hamGg09isomuNmQKY8c8+6Ukee/ehB9hCBr0Ee
DUWKrWFmbmh9SGsyLGvWZsvKWqtBr3uObYh82RifeQjyBRXvNEiZ6N7It5fXdOFwQRM3oBaAkACW
O6e7qctKH1XR4vrWzQ3qfq30W28erJGvXHILdytag/E0ikMToIA51S/pK4lVWQeAJRBY1RPozHVp
n5OtAph8pSJ7LlfqxUvzqExw/EnwHiois+PMylqoIAe46dLxrgeTVN5fqd6ujb2uqVfg4Qu+iGZ7
VMDRZk1VDPH0zpElowrlEndO3VpXPeIK0H4DTAy+EDtIzDuD/FMNRgC6YNAECgqNGpAam41tDIs+
SCQc1bFQN61k2Q2eNAT22T/3jSMzPy+8R6FdVaul3kxmAqRFcX1d1k5Qqn6vrpxkS1EJGL8AIYOS
Gygffv5+ZIhTvW3KUSBCLisozYZSmoCBUeVXQ0rupb5m9xYbtF8BB2fukBeJH8VGC0bIyMhX6fHO
nq2nucWjFQoioEwFqOp0MaXIUrPGUvAt8aG00DkhGjC4TbG7rWm+JONAw3sK5Z+X53rRXY/MTtfX
0RRAGy/ru0hF/N5L97zARoyMlyKyNhId77gZQ11tVT50GsosLDsZ6iyu1oM+0OpcS51S/dOXXt9t
VLIL6cGkO5Pc0uYZ5GFcT2093olgJYVcOg+Op3l2qMpSppiDwHhZ/8HkD6H66ThpLu/BTBTS2mZr
Rda1CZ6dq2MdcFZADQzPuxKgnq98fM6C0FaL2BHZh/KPaT8mN0JzAQCL6KsG1dfperaiGYuwgBs1
cmhL9bYxNb+zHBkC96JeeWU87/+ZjKGmAHk4cC+AluDUWBL2QScxjE0zShm1cQYAiBiAPs4IOvKV
4BcJ49JLIqHuVVl5lAJFc4XZGA4KwBSXeJTtLnvz0okIkAF4SCZCb2te6aOi5LGegwSiDCzP1Msr
Em9ArmJJyYZna21eZ+Dr6Tg8sjav6AHdHDYl01Gfym9bBfx9vOKQGL7H4eVEBXFFFrt5pV7zyC8V
V3XMncGeyviAQ1rKHmTTju/6SZ1njY9lIeTEd03v4CifTfqyp8siabWEkhpmoce7aMLLW1wNKxO9
dH1Dn3QifVF1yzRmW5gmQVRJzXRaJcxM3KFLgC8fTLFTq5Ezn/W0eby8tEsWAb4FqBGsfCjJzHyt
43gxs3Jg1dFyFd+2YY06mTwm17xTGPpGmzVqgmkE80MK2cjUbgIYMRq8TycRyYcuAcmMpLyW3KBF
JwgU2/9cHtPiBXRsZHb6kn6sZRHBSCdRavdl7KA/0Ut1zW1iYRddvxlRScljeg8+J7RGsd+XP+DH
RU9GidZXhBDAaoNmE4Dj2TrKSP1jaUSNKD5obrzLPOFRjwy2BKCMtom/wyfzGsfHYJtu/6t12mYl
xj3HbM4+YFr2o/uHUSPTAhMfABiZL21HZisH67s5vP22/GHfu+FVf0W+VY/YLbALV8kTAPOxI+9v
mtHhgQ35gZUvOvOz2QfNDlBTxaLQGMkUHzyjLvDO5zN0/4RrDYVnRxXsaOCugZ4oaPPPlH3qdGyD
tg0ApuxvQazh1NwX5V2r1n4pVu74sztvMoXmfGOSGwSMdObKCddByUhgyipaep8AuHov0voK7JbV
tuiAK1UH8aXVQ3+VsP7XZQ87O4tgG4wBdGq9Q1/M/KAQodZLlTVVOeHlgZl7tbIyurMLdrKAiBtC
ImhkOmMmCEFqmebGlBzqrWdKuk3N5iop2WtjDk43No6J5tR/MSgk2gQUewBQybNdE2stixB3I4jg
dzEIdxtzc9nA2eGDMeloN0ATwA8efX7YZXFFLY7O2SC/G0c34fft2vv5z1043/rQdsUDDjoR8RY7
G4SJvu6y+6m7fPS3MZSTN53vg4BgG25M6tTu6HkCdDmxk7lre2zZtgFtGyydCeLiyWOPdr1lVL3C
LGQuyTZG3/Jj7uNwdYRXgwPLkRzu0j+j4YzXod+Pdn212tCxOL9/7c9bY+SYlRrpYb+F3iyuZfCG
O5Y7OsVGeLvREZGrOCv31/lj+7SmRzZna8r6Lm4jgqwmKux4h1aovfkmFfYXXqh/9Ri8C4YkL3gt
r9cYb86hP/BTpGugM6Og9TnrwirVogXjdzh1Sr9C5VQGsqbb9iHIUUKAXO46xCMcLXOGbKOp7rIj
n5+mp6anzXu00GXTAyKswbRq9rte8YRiIN5/GBv3sp3zUHQ2xplHNUxVgnyEofKg/a788S3bE4jB
VbGje8Rnud1uL1tcuDpPhjb3obipSZzKsCgPDvkotuBtvx2uw4dum9rZNSRdHd3J76Gd9qzg+tyX
KzO74E+n9mf+lMdKIDPoPTjRTrqlj+FLuuMvsQu+q6ch9EZo5di5w5/Um3Ht6eV895xanqU0StqI
vlEigHws4LiT1ygv/WaNpfb80jo1Mru0qoCJuBYY3qiAvquF+qhaPtS0t4tGfgmVxs4qYdeCOpeX
9RxDeupI5iwk6zGuJJg8Vt50BzneUps77M9A7VbY6q1w+716ZfnU1Z4uG16cVIUiFIMKMmAes/GW
ok7kkWBSJ5leFXx5xUuw9tC0uBvB8IVaKmredH7sqjzspG6ywanRbYVO/ySjcgsZ23KLRM//FwP6
a2y+PzpoJqDuB2OR9keXvRG3cEjWNsFZ1WRarSMjs01gQqIXjfYwQqRDQNzOOMTALOaZ5lfqvla8
sfylSm+XB7Yyi+bM/aF1RQclgE3K1Nyt0vha7wZiJ7SQvEIDBvWyuUXHOBrizDEyOch7s4jhkNp9
FNzxzmnX+ijXTMx8PqJxNJohw1JZXwCEa6iImGuku8sbawK4ongOGYg52AFqNDoROsah02tJcUZ+
XaAxBLe/tg3Snc6eTAk8x7KthSj+3JLUjQ0IJa6VLCaHOI164DBHXzEt7tGFRHOtRJqKr+irnazZ
atTbICsxk8+ov81aNOoGrhF5dJVcadFpjuyap3ajCu2lZQ27Q/yoGmjV3gL96qIecNlZzl/TsCFg
hoIeAfXMM7mgemxRAAlgRyItswnGoRh41woKVwV9pR0NGd7XFFeqtT2e1i4bn9xkPrfon5yK3kBl
4+3idIxcixnKxtAXicLhRpO4l6Rr7NTTNJ2ZgPAQ0AwWWuHOlANZoA+KiuEl3NoTU3JTuXFEr30Y
hbkL1+748/z8Zzb/Y47I0/Fz5C3gQ+TFoCbgVkaGZv4pe8UNA5vUD9AltKscStWFn+Vih4Dx8lQu
uQv57zixoKeGDSbXgwotJ4DFapdrxi5klW+CDa0DsOayqcXwkKBZ2wAdycTYOXPNFOQNbc5gy6rx
ctBpo221I5oFUncwOlsve2/696rWbhIl3eJb3dFaeclYnuijb5jFiRx1yzwV+AbJjIOnypTEVWbk
khuPBQTEZJTPhBSOm7C3hn3J1Oo266tNAwq1FcjH/zMZeI/6acOGZMbpxCtRmkEjBB8iG7ETNG7X
bmPzl9T4ie6HxC6MHoQgdgft337thFxccwi5QFgFeHSgaU5NqwOlGcCkmAP2AYhCov2mUy1oJcBZ
OutR0ELPEaB1OkBUp1ZiqdekoqymOEPft0axjUAZLoavFadaOgtQVsQhBO4RsL3PHNhMS6ZYMcIo
tcMR20POIDelzNYbFIqDFvzNAV414iYLoHQgvvqyeAPh3z0nAerCmfYcNERbOZ0Wj0ZgWiAxDwSc
SueILrCx4WKqMpwddeYFWvDAzHHbQPdKEqAHCdg9aTNP7zMvTFcihsVYHTUQNGnCr2B/vrQJoMga
XpecpLyrjH7DKvKVDomdNQ/ooXSVMPqDRhPojDx3orW78h2shJEnKnVX6wkCNdAN0/fLKzTtqPlJ
inWBUhFKwQgFZws0mDXnzYDDmvVo+uqgnDdsUHi0g6C/KfLOD6Bff9nikn8fW5zFTSX6TIZhhEUo
UnJbQ7hWy+k706HeIq29MS15+bGtmZcrUjP2qoCtBNE0Fcw2y5dSbC8PaOkyOjYy7YGj26HSJXSb
UxgZcD7GMbcZWPDpPkAi33mXTS1lQ8emZg5UpE0bAfwA5rpGdercA4eNyT6CJHRV5HkDyN/KduVM
XjYJsDn6E3EazfW6YlGypJvUwuSAw1LsVIm6GyjkfQx6E0zcbtltIo0roF9tKaKH2CFKoxCpAV3s
bKRp0BoSCDER0W/YK0HlGWnsobjW7NS5krzBCXb00LsEPcbZdemOdvD0xh2y6/fsKXjjv8nKGi+d
YybIpnR1Iu3CW/vpGktZpQ+RgkMZ9SJbNq0bFq7GbIvOigopBaxLRfw0u4CLPBt1PYXSVXAP+XG/
2IdeR93eUX19E/qJWwrbSVc245LvTosKFYqp8j/HDhQlagdFDd2w3DCH8i4bOpG5CU5N3WVpKZw4
bPSHukbn5kq4sTRY9O0BoA7eNxSlZoOtygx3PdSsnWy4TTS/QXumWIsSl04avH3iHoXAByjDJtc+
2phy04uc6QLc4+2nNN6E0TOjz4blX96TiyOBzBuWDG2yZ/1jo9kPKa5TbBCLPbZt9xJXkW2J0bts
ZjEkQd/sJFEGD0H2dDqahgZBKPfo3EvptR55RnIlcn8A52F7J+teoXigw1KNg9I9XTa8OL4ju7Pz
OuqVNhLROJ2hqM8m8U7jD0Umrczi0j10PLrZBotDNobZ1DUamaR0Ks38MxndUkZAflvmps/KFtx1
ef5xeXTLdqFPq+O1HHfyzEd0kXOtnmRTRpY5LLOuOhMCr6N0G0ggJlAgE2h8X7a4dJRMDIv/Z5HM
komgyVinof3W0YrQsWLISq1pby2GOMcmZq6CDI9wI4QJC7pAZYud5UXhXSheS0jTqlsVneXB2hPe
0j1BEeABnYfq8tk9EeilXo8T/33SFZ6lvwMw4vSJcLWuuWEV9AVIdpDFsLs8mStW55NJcL8nXQer
Vn87lkC/3qnRSyXd1WRbcYeTFW9Z2gtHg5xTsFCNtomkwZyIH4v0KtLwHrlGp7rkkcc2Zvut6KvC
CFXYIEkNcjJbJ5GtTg/Qgzs04AVY2XhrQ5ptvCGzkoHLMGdGnyl48vLeW+15WirLo+sY9zjcHvD2
+dOjloQNrxFIOC1gk8xX1C58B4WD8YuNCfXBAp0/9oWV3Jh9U43OUIXSbZbLgKOLJBSHiKfpVaNb
gLNe9p6FsU9wQNDmIs0C1fZs7FZOWdkgv0YVaheE+9rsbasLVm66pd0IcSkywRwRPoBS8vTgBtlb
VWgdCoVCcP0gWVy9CzP9Ku0FksqKboZOFS5iuGs8DYESKS7GfzFMwHI0xG9gz4JGyuwDTLMusxTJ
bGA9WuQOnVPKGmz0nEmH4FX5yMbsyNG6cswpauZOw2InSUaPNIUtRtk1g8prmHRQG9OOOgPIKu4k
GnWSrLPlXLETCNwOgHb3mmo38oeJmuDlRTYwulmGc/Jls/1kmQkP6qlwWoUe1V5Eiz20D9deuBZO
dTi3ZQDtCeT1GRWB0aU1GFeQVarVd1I9RdXz5VEs/b42gRSBUEcMMD95wPgP8lUTvz9ingZoH+HC
v2xh0U/BBwOpCHw+kDWzkCyEBESjh0guCuOKNtu+9qwC2mzvJIJan77pBUouKzC8c0g33ObY5nQY
HoVoVTRR96Hf2dEeqWIPG/B12OS92NCbEW/OL/WBumSl9ru06cEKBujTBM4901lKDQ1yrsWUrkmH
1NhISNrytXfIhWvJOLYx+eTxsBQ5kJtmGhaHnglqRO6YXQfsGWCvBEyPayHo4u6b2oGh64zAEKWN
U3txEJlK3SM9aZ3OlZ97Znc2nkEcyPL6DMo3k+CNdNX46eZf6HFNMhAo5KOjEBnizGnqegiNVkOe
xpQ9ifZl/2GxlVxw8fY4tjFzkiJPSJuHSIzkjWmzbeip78Gh9ekmso2H0FVWKkSLDoLeWZSIcDmA
BfB0MjNOWBRN4s2Wglvhl8iuh2bFBMBd+JH5qTTl0xOKGuneHDPZxH01JGhmcFKJ8eeJyuZLl5Pu
BX2n5bYtA/UjrXO6C1gs3Zh53OzjTMm8GD1O26CQo10YV8076QP5k8dFsJWVcPRjSQ9RfTAKbVN0
YeADuN/uZWPsiD2a+fgOejCoW4R9CvfoiVwCqWhVbjbE7XXDUvhIbZQOq1v1uh5M6bbiQd+gvXYY
N1zh4acaK+m1kbXlfVDW/YHErLlLpapFVQpC2kAyZLQHU0cduqGsfkGdF2j3nNSBCkaLsnlqW8Zw
K3TsRjcrvXaZDoUhpwRQqbLzyASQb0Tr1EtjJGSDiRMPuFLCnQJyPQ8qkdEI7nqLbKOyL0o8TfHq
wDRt+rIg3nVo3nRV3uZgtCUR0Ja0ED439MqXc0GzTRvydounArEzgoyFjjxG2nOYjtZeGDXU4uU+
15gXkHSAvG8mk4NaysE2FLSP7bKW69puMYm+QHe/q1ej9N4rRiZtuzZlTmvqHfVjo2ObbKTGW9ZE
wBzIsvQU44r7GAMruK1LQTxJibTWYUCtpjYDKIm4IL4inTfIifKqjSpS/bA3rtKsVT7btFL/kILJ
d8JMY6+oFIacMkCTkivlRfqaJYbgACoX6e880Pt9jM6Yl1jpul2RK6NTiSG7xn9vryPLyiFYZ2rX
gTQoeIDVop3Vq/G1ynRoKIK3sbQ5noVeKVeNe5GHNAYxb6WVdkmsVPhBFobppi0jdVeodXOfxBr3
ATiljRNr2rCHCp/4MLtIBuSqwqOSBe7djQDBJqA0gMTeWWlY36QBj0u0j0xhDhoZH8Mkyx+KfDQK
Ny6jctcWnL+HxIjwyK5U4pN0sVTZqTKM+l6N0uYtTkzJhw5EuQ9aWXvK21ILdiCuYts2Ucd79Njl
fpYMuiMFknmvmzzYNUqt4+me4A3f4y0PFNvI8XgCRT8InGzSuu7v07IbOrtPaXAQupRtjUCCQCcr
JcU2obLzlQOo86RhXiKbA+b6GCp6nbuQH0yfipj0j2rYKB+0pLETplRubMih50+51vFPPUXl0VZz
o7Eg0BXx10Kk9D6gYQ26u1LT0DRBsitLQKZnbLveT4taPKl8UCs7lKriG9QEvacA8fCkGiyrndTC
o7KdqQVg8hmj0aOWBGAPYHok7BD565M6qJJfBK0W2XIhp5BZCHrxolWh2AVpVkH5URjGlSjV4CbU
GmzgQtZ77KKB7KDJ1F0JkcjvQ6Eptppwgk/XrSADnLcwb7IKhS9bgZfteMAkHB1GlQzgIhmrPamk
5G6IR2Ay0WHMdxzqj36uN6ir62NUoUqp9wcJsddvyA2I59Kk7S6zUgpAGx4LbnOUMfJw4JFbVkX1
GVpBdIPTsHWlKhu+zEzl/kg0CSlk3kd2bZaAp43DEF6xjiG7o4MRbDiJs8cex7Uvx7Xa2TAE2hJa
ch94y+SalEX8IAVDtDUiTcd2SEpsJCNqvFBDS046jJ1fQAzxPaO1ZJMhar1sSMytkM2ut41Q79yq
Gkw8DigqoJlmi2dpMpggsyFceCzOiVd0iS42pWFU1LEyoo82mC1rCkVZxhtXjeo0Qt2iAnxFL00T
FASgEPBakzWaY4Zm4hlKkj5ZIDOv7bzuJRCZQzRmcMaajKVD5Tr5Rp8JDaGoypsXXtDAG7SqfDdJ
0Gy7KE38gaT1uxZKzZaD5c2ppLbxKrMqXRBsiucol8ZXorTytyCJZZtmUtwDJmYeQnCJXqHPbtwp
cEQ0W0hApF0OKRdD76kwNhFvIM+aBwe6XAdDjZs0ox5EjZoqtQfuWvkaiHbpxtY19D7BL0EmM+/u
EmqM3DJB5KoFe1X6w7uNla6UwddMTPH5UUQng6QJpGYw0VqPtGM2CELkNX6GNRvT349sFEnVoacY
kalVfPOJxP22Lx/+zYr8namzwNRqcRlhGCWOCq6/WsVHkDmiWivvLqUrxysyW3mmqFFo6LCTo6VG
e467f16IAcnA33HMQkKJ43IOCKaKZx4HbLzWXxTr5fJcrS3HLA6ME1XrwICGlLbex+1rRR+T4P6y
iZVp+knJjlYcqszQH65gQoX2dIqukWqlDXFxDIRO4GSUU7D9T10KbbnJIGdIDDJlz8BbkDEQ66wl
cVN2MY9lQcj9XyOzxeg0yAnIDYwY99knvwlvxq3kGG7rCwgOOeWnvL08a4tZ47HB2cokKSCrIJxA
RcVRcLfdjdu77grQqztt80xd+bCW5CwF64DMy2BIgAoPnT+Wy5YEmsEG59iQAe8h7izpvtWvQ+sW
6OTLQ1OXjszjvGBWrdBI2lciQV6g24Cw+tVbs7sVXmg5xia+M1zTiUCx89bsDZtuyu/cwRXxTBR7
K1BY8S5/yxIaA/JVf3OUWVYZMWlA838QO532MDJfBhxEMd9V+ioDNYihS6WdDD5Z6yxf2hSAKIOJ
wsDr0FkyW7V5VCgTYlCqN3wij6yqlVleTM+PLMwO87At1ZBOcEHaDh+l8nvq/aMy+p01vHixXzRN
70iz1se9WF8hMhqlKBAROjpbT/diHddarcQ/S6s6KSA1KDxsrRbNK+Et+1pZu6mmN9+Tx8Zme5LX
Ztz2EowlFmprbKeDDxqbH7wlLNr27DUgv2P+vWJ0cs5LRmf7EjKuKP5DB9KJGCjkqt/ZHmVlh/yS
3djrN/nzirlpDOfmkGyA5hVovnntgcich4E0gUvuK/Qtpbsv5oTXjW1mNppZ7gK/3uERwroJb9de
q5YcCLis/1qezS6txigMJhetUh+iIt/hQf5VvcQbcwWHdCZ2g3If2ED/GprNaE4TBlE/GCJoaHks
Xvxxw+wMXVnENn5n1/pD9IV072bSS7ypnq2VfbJYpQD2DV2dkOYFmG9W1a2R1KmkxIJeFw/NrXVH
StvacIRZDnVCJ/4o7oYrJNXUXVNTXqxoHVuenYM6jQoaTa7UvFm6fYuwWNmATMgEcZsV2YNf2cwF
v9RXvIE65lpb49JbK4Tf/457dvIxSZNyBM4gIXkRyMm2t4pppy/CLffShvlrfShL18sk5gpiArzs
oop2ejCwOkpVY0ISF8ENY7Yw/KbciPo6WHtaWooGjg3Nzj0wJQ20mwC+UvXUVm9auGvXKOGWDu9j
E9MnHEU0MYe7suloHc0d1CI3oaL9i5BmkudApRqtzWcqwgWaGIk64RQhtCsGNCl5VF8pES9dwkeP
GXOAvFJntQzBHszTaB2Ele4bloAZkIFkVHUvH2Lna09wx058hJCDQ+YyuxTSVLK0NkULEhlAh695
4BSxA8B6pPRF/cdkG0BB4D6ftCNA3IDb4XRt5ExrO0pBtsFAkjzGuYeckdtwPrvECWtfHti5r50a
m+b4yBHGIk+DnoNxQy7vUOtqxHOyVvZenDsKsiCKxj/lzBOkMDJTwEXReM1ziOFKtml9Eghs6kZh
J5G+MqDzMx8D+mttTkfBDd4gw8WABkYeI+t9rN5COt7jnfJKzi0vLYFQQiR2eRYX2otOrc5O4Cq3
OEl/uClu5cgJH/LO4amd3FBvvGEOaOGf6AaC5eDfQONYcFPs1pr0zjf06QfMDuI05JIaKpjkDBAd
FbXXLl7ZAgttgKcmZuefKcmZ1MeY2d5XfP0xeooit3PJnm/KKx7bY+SYeyd8l98qm7qVf3mGl50I
AQRaYlHxnz+sZVmJ0ksE4yT+1tAjBTIjDXdt/qyXK2u5Zmk2k6jQ9FE97YhW3uOEAZbT0dh91zGn
ef83Y8JLM1oNTeuMfKaJdFT5jB7sRIlsm80NimWd9SRX2y5YS/SXtvkkugWlbuDGESicbnMjsQam
ZRN3CtRQk1Kg2Iq+JfXl8oAWLmTyo+31HzOz04RFUlyoFcxI2+C6+JQg0flAKi85CFe/s3o7W+uW
nH7wNLacDEJqSgNMF6x+s3MZ9dEcmLkBDcvmZ6x990OBPvPb2li5zJZ8AqB74OnQjwKlttn2butW
hFWElQqlQxvuZPUmFVdqcd8aKwWThWQOAzqyNPM+OdOLNmomn1DKzVjRq7ihja3lGsTjy9ZV8EiU
FnyjQoe0r+vfpf52eQkXJxQj/OHKsM5qgW1ljWNDpwlFwx6ViBtyr8FZHX5ftrPokEd2ZqG5JUmp
RmIZM2pdxTqYP3ypXjuwllft71hmUXmGlwlRKyPutnvjXtlFKDvf138yVDi3xmNjutIzqF1Gh4HV
Y03cYukWIn+H94ObPbpWk95A5Y5hGvvudaCVzftt3A92qH0PAfPV4UbWtpcndHHhQJ6oKzKezMGm
crrDTWtQBXpMcQEUvwkZHEP5jgY3hJLLZTuLkwphAojIAeIMc6d2soG1aqzDQZNxW8WfJXuS0Ale
3upriKfFAU0cARgPHnnnJ34K0pAijEFXQ1MJPd/foGBFys8cueIru3vN0mzPVWnAhqCCJaHeU8sn
2atWm06+Sge5eIOCvPO/Q5rdoDJPQYoQgIeFcut67ApbMyrwNcbPZU0eqqQ9MLl0+uhJLV9yFt0B
XmJLbPSE9U7Swh7KyhsN5pg83oEMcXd5XdcmYQowjjy2TXVuEI5vU7hbU68k13LkVtLDZSvTtj47
r8GiMcW3wFjNM9WQU6EqHUh4rP4jbb+7DgRaO5nvh9IRvy+b+sGeX7I1W9Yowz1oENiCCvebuslv
o86vQRwQNi7CMVdGx1DsFF9raeI0UedmTTpRhQA4PacGI0OsCCuZNkh/Wyi3eFyzLw9scaXAg/kf
A7OVSjSpHBIOA6DScGPtMDRuysEbtYaOWTyij+zMYgZTLbrMaGFHZx8sG/+HtOvokVvnlr9IgBIl
aqvQeXL0bAR7bCvnrF//lfwe7qjZRBO+d+WFgakmdXh4eEKVTZQHJflxfS1cb7LCWNa6sjpJlyCn
vGBMXWbHyftYBk6ihE7cPVKRoAZ339A7ryNfCTIQlmxrCPoqMydg1SXKve9jY8uyM8qCNDvXwlco
zMUW1s0gazI8f4gja8Re69tm4XXyPfU3On2+vn3ca2YFxtxwcpAOmoJmTfQr3CwcWo1XDxtLeYaM
UFPvqujbdTjBDrKyaJgJQ0/a9Cc4eO+K7VhuQ+1ZyLPOSWchBkJYvDDgoE2Zfdfr5aSh82O5t7Oj
uenfZS+wIYNbxPZ0n9vNPdkaT537fbJFiTSuxX8Bsx2YSlkkXQ6KeqeR6HZWQLRhtDd+awpcLddD
rGCYK5REY1r66JNwQJBuR5DBVt+ufydODvtsB9mh90rTMjRjAWFWf+sgo6nq3WC96vqjWr2FKm4V
5UALTwDKPcurZTG32xj2KMwkACUlbrO8shGNQ8g7tPH4QUrwZxeRTZg/dgZeINa3MQodqXsr5Py5
H9HdgqaBGHXw67+Ja7Crn8S4SqmTA1IG+Ek9CLpM+lSWmzp9rEXsF7wPSjT0S8ug59LUi1a0ss16
ED2Dxk91o6l3slnUG8x9Wa0gLo4eiQJaIJHiBLeJh54QkIaCq2TedpvkJ1KrGPi6vnNCQMZIjSKQ
AzkHIBjwfud7/9AfW3Q31Pb8W7ZVsBVurgPyPtV6gcxtbQWJUWcRxR72b6PsjuaDYr4TUYlQhMLY
qB/DHLQKq5rSXyPFOkAhOn601u/ri+E5EgzropiL7LR1Qd1hDEUTjxUWk1WOiQcH0TdzLJof4Tn/
FQjrrSi630K1BkiFilEWPFkgYoofaG038RGd1G7ZNwKj4N1ta0TGJmSU44ZUBaJRbfQAgn0442hz
zk/Dz0TIsSrYQ9aHUavrwXQGMKl4Tjp37F80wXXGIbnQQWSugOEes1rgymWsoW0lvZ46ZHVJ3Tyb
RtXsxkndmNX8jlmHxE6gjr4dG0x0REGvHqiRvkNmAvMqUECKPsGQfiLZsNHGuRXEEDxPaqDrGYrd
C9UtO0NmgRA7lAukoGgvIVuJcpnhI9X8HRwbrSlw27xtXmMx564OCrCsNsAqqwF1Y4iu1J+6aFCf
d+zWIMxGIyQK6NQBJJ8wQBgobpH2t5mU2GiT31w/ejxfbIA+GpSiSw2XzZ4j7KMhdG5w9SkuGRM7
zL9fB+B+nBXAstZVyCrHNLDMDACBgtEJVXPAL2f7/Wuhe0qeCWJ93mrMPzzqJjq3MVlwDoZW2kmO
Rh10eeNHOXxWfy2EgPBq/feZxVRhp5uBD3JfC+nbQGvc0Hxux0zgN3hbtkZZ/n+1ZTm6xv0sXlaB
JmCy9WVPV3q0S+KF+3T94/CsGUVmpAyW2/hCqywdsoLSAjfxpKMq2Gy0zt+opsBvcD/KFwjbDpQT
v1cbGSB+ldvU3Ia96PblnRdz0WfB2AVeqebi+tcbVoOzf4xxTWnVbm6ghIF5r8f43xyVFQplBo5y
k6BioGIdagCFst+jLyQr4e8ULkDw5WBsmTDr6DoC/zIBASIYcGR75BaM7i4at4nsUn9f1m84oUm7
LQPUU3Fe8cq8bg/8jfznBxjMEmO0VtQYwVzSqaFTQ8vVeCma97HfX4fhm90XDHMxBnKkFEqDdSoK
+lZxN6RPlih04R4iNDVh2l4H5RiroupPGhpn0duP0dBXUj+RaC/n+6LxYlHuknfLYxT7HyDWJ0AA
I4gXknFkEdXhZhheJmmnt+91ttNFtc5LVubFAa3AGNegF2hjR1M7wr7Onjfmk2VH9hRjVMG+P9lv
b7NjeyfPM+wdet2vfzOuba6QmYc6RDHydDKBHKOOO2eFIxybUkUQjPnH2RBbUCzDMb7rMrd5lBzp
FnyZ2+DG9Cq32peOZ49e8DS4+Yt+ClzRe5b7kl7tLmv+Oa2NcJZgM/RDeQpui1fFLdEB//RL+mju
lYdD59Z2fWN413dWYEAGcxoKddSbaSHHVzP0g4PMGyyH3Qld1nrykRqCGR0eGHizF0ErEPFcNBXP
gaWn3eKMx6TYRKq6THrsu7neNYqFaacR7cylaNKJ913BJIAOBqj0qijUn7tnrfWjyE8RmqLXwNdk
GzVlTYvsFuPo1Z5QO/J/IVa24+o2UU8g3G7H7fUd5j7w179g+YWrC0KikDmNevyCoLhVR3cOXDJs
yvQmDG5q2Ff86OPB+28wkTdbCmCYy2MTm+j1aVso/OJRAz3qQUel+T4q76X6GBoYVDcyuyoSG1pY
AthlM9l8qrXQ0BEdclTWBeEVRmOgRgVYsMFJP8tkblBKQVMJ+uayfd7ElUPNOd1WZjlCGzhe5i7V
AY9UOsv4ZS3d9t2QCAJ0nr9fioEy2oHQbcAWQToQXSW1GmSOXz822ltaa/jmf9+Wj9TXCkQ9/8Zq
Pk9gXAozsCVC9vJg0DuES7FoJJhny2sUxpYxWmH2koyl4J1hm5Vmm/7u+hfk3cFrBMZWfVnJMEEM
BJI8DBmyhsDQLUxQu9dxeBckJkVljG8vB5MNNhIKraOyjjNIjKPJz7Tua0W61YzxSI1u26itYFlc
G1j0fiDxuvDnMc69Qto1t2ZM/BsyuM7b94r+hp6B4NBxv84XCBtqjigh6mihhwNvOqfWZbQ/iM4X
z4GCEgX8Lph9x+6x3joY/CD3sQ50g1aZnf2W7iLQuJeb/IjHTXQyvQFXxexBAO4g1NVe/vjF4QZV
DygIcbwvJCAUJEpo1cA2itDpLRsX1AkiAcNTsk/cGAOBgu3kmsjXkWITdSQBN3nQgkJkgmJZEXx2
UgUm0J95eV+Jqg1c8/iCYhN2ij7RIYqwsjFIXYxQnqIxdFVMZ183eq6BfBk9e8MnWRST2ceKetJt
R2V8mHH9XYfgrgSkSooCVggL3OPnfsjAUFkP3bfMacpPDUwXCbjOgm/XMXgNVCZFigCkhgoGbdkJ
iMxI6x6NwhhyceaNddKd4BD8qnfhW/BQ/kDiUXsEc7v6U0XR7o/yb5Hvk7frv4GzzrOfsByU1Z3a
GU1AwLKeOWBz9HV78mX5Hs2gEPLS8zyNvOtovAQrRHnRzIRnwzLizmyrrKUQBdSxYh3TCmAmgrbW
yUfzVmeiQccp5wTEjiGUr+61ugX3nohRnnPsz+CZ20XuwctpJDW+qr6RUJoakWxyrRRdw/KdLAnu
S168cobG3DJNkxVJAmkvR9MeW6QbZsy+NYFthq+dhosdCbiT3/6Lq+0MlLl4yAS+qVbFDoflXRkM
CPJFz0ve8+UMYrGplc0EGkUjfYp1SdKDTzYN9bQwcHX5hvjvieRFuWTXPzXQMMWhF0ZvYYzJ/8lD
VscxoZgUHQfjUw6+TdUzCE1EBnY5WwBlSwNiFYq12Bir4qlFSVZFI35bV75mye+m/05mqFbQbVY/
6zPGNXWXFqPgEuZV3SnaZFEJWYrrYDM53xEtIkUaUmz6dJB/6d8wT9jvKpc4yTNxuqOyr7xBtoVr
5Th2PONlvCXB6wF3yHyHMJbaXFJxdsfN5Knf/Q/Vmz8tOys2wa/81thkdxYsex8/iK7P5Q8zFxiA
MTqpgY5SJeztKU+6XylGg0hwtGPt1Shu4nZz3VNw14anzUITTBB4MzuaSrI2amaHk6pqW3P8VNPN
FDTOmG9HkRYRJ1SjaHH+B4o5MRjRw0urAFSouKnkyt3OyreTKVgQ5846Q2E+VjlWrVU1QAFv6qje
NTQXXPPcj7JaxrLM1akcYlKoZQSAWAWRwkvUb8JI0HvOa9SzwOWCcsjSbUys5autMEKMmtdRD1UR
M5K9HuygVPGy5Efiu5FywoAS9OfSSLXRDCBYHM+XniEz95SkpaVGNCCHEBpBWTxDK8sPJAdn1ClK
t0aRTpTe4kKC3BH9o+jaQXKVWaxixX6q9SiUIEuTNs9FcKN0EhJ3djt1dpx1tjTh/SBwJZyviPGB
L1B2nTKNp2QRTMzn+8K4l5XfhkjvhnMJnkEwMTz05GetWpRFMLkHcdLatMHdfKL2RAUf7c8MNeMn
1khssa7pWzIoMpC0cngmXXWIfTDnDLHdlCDNbCEhpf2u03dDecJrojJO2Rh6CkXfDbhhkhgDYeE+
6o3NlNVuYLyovuxk6mekmjaaKO2e5PfjQO5izP1f9z0ch3D2s9kgJepD0CngZ/fIZ6jFZlBeLfRL
5t51GO53AJ0RegoxhI6uwvPDFOghuEomqK1Mxqy/RqBW/ghghrWd6VqIZwiBZ29zA/qwcgL+e8Ei
L/0RgbYBzrBiLAxjLPPXkFZZ3gYROrbSp0I+5qlgdZeGjL9v4nICBIFGGbO6rC+j2l9EqhoUaq0K
E1lysrHk9+t7yOkuBAwad5EpQZ0OWOebuDR8kIJA7DaNHmvwrCcbWduC08gIArvx78jsVr1tWqfW
qZ4JyPwdZ+E62Mwi18hbLsayMPmDJasXzdJtWCrxpGK5VfGrSIxTO0nbqVNFndKX1yKBHBIEoTF3
h8IYm2Vs01yp0rZCEm6yyTNIRFz5NTtArPyG1A6mC2+yn7mTHdODKfBLf8Q9zs8ykEGYLxuQqrVQ
OT7f6FmWO6mU4YDB1jGHtoRGx98K2g2PU6H2iS2nLXr522runajQmodiTHO8WTKl1lwliop7Bamp
O/RuQcurKK0G83KDr3pDU4PLAh13GbQJ1TQobMxqh8++2TXPw1zg22lyQneqH4vu48UwLtaDXm+K
RYF3jvXuVZelhh7XqLTrAXIzpdl5IP9QHFOi1Ibk9mmqU4ToaezvEGeJ2hk5w5PYTrx/QO2J4Y6L
MQjFT9FnXuPwx3v1w/+uYaJaQo7aAk+w7xbvPVLUu2Gwc/uQ3em34a+/7zw5w/9z+a1uckkZrVq2
gF9gQtQ4+tG2999Itr1+PLmn4muVf+KJFQpJyj4mPVBo85hgTA0kG7rych2DdyRMyNGi+QtzoIjC
zw2zwzRxU4INAanZ8l7F7HtoaVvDn3FFFzaVfMFBuFgSWpkJZMwhqkaRAGPpIs2qzyHBjiQ0NOsS
DKfpv602OyB3LOIiv3DQCxACAWgnYzAbcrvn6wIHC7ryRqSosm76VlRWaGvCoPTipvuDYUDPF/Uo
GemocwyMYWdD3gIjN6FSjmG7IoZyoa7iRApSNpfRFKAQSYFWGYMeS5PjORQtJAwmzEjsGi00hA+t
pQXpTVcn5WjryPYZS0EZPFvGoCa3ekvCRzVUuyPt6lDgQy/XjB5iBLH4JYYKPkTmhxBtIOANz3IH
WoDeYCDlUaA7mth5/viXhompBHR8Q5wT7AwmYYG0fiCdZlW54zen3PgYQeaX5ruks/NKF1zml0Z5
DsXE/rjdSw28upg2ntAJhanTAo6lerm+HhEIY5A9IQ0YzQCCUkjQ/LCk3k7+Ou22THIg0LcspEcR
dTPPvoj2tTwGoJBMyto10n6XmekGBGK7v17KwsWjgFYVibeLZttJmYhfKnLu5I35HTf61vTNwg7K
QJAC4mzZGocNgNG0XqBZeYatZWBPLaVNI0FAjyjbf7EcDBZg2yCojIzy+dmSrH6SmsrArk1+D67v
gtqWUeSQLvL//hgrGKVb6HLBTIuAizGCoAK9QJYieRUZpZ1Rj5pow7yhReTS+sMoww0FhypGFa8v
8CJUXigp0N2E8GqRnGTZFAyMocd+BFSaps9lXb+qZbCJZQldNTlY/iVwyASWdx2T4ycwUASZaqzS
QC8HE1n2WhCn3RwVkASVN70GMYxhO7e+O6HoeB3pIhTB6lZIrJX4URE04wiklr6gaQ9tT57kE28e
P4gKMmyv+mvCqMUXQ70TdLtg9YLRnNsLAV85tST44qRuX0Y/LW1fBTMhXmmCy5Lr9ZcCNVSewSto
siOYMYFaDV1aTzXVOmhQW7ETzNb5Tfjh98PP2VJfw0xz1CK/V/RKYDSibWVORdoWfuDX2FZMttrm
sNHN23jYGOpbZFKvkd5NEUEO12LwBkHoC59P2G3tTL0jY5MUjmJM9hQ+jOrkgrmlFzFv8E4D1Pf+
H8eQmf6eGsoIpW9gYTHEypPxTbfmZapHIu+Z9QaWQ8E+XgYieGgsctY4elgXO75kzmC7D2o4y8o4
qmCh1PC0un4AOG4SFUW6sFzDJhFWndvjWKWFGXbwXyVVZXuSh9hL2gyMi2YpenTzFoO6myGjlA9v
woonIRZPpVQ1cycNSpuQe2FIdVnUwU0PFp0lDQ1fDFrx88V0tZwktQ9fNYKS0S59cjQz0m6kKb4L
ZXCHNzo5+OpwUiTpQGm9l9Tiparmm1INAiQZ4Gua8D7XwDSakv5QoITrS4jIAlkTkRldVmOWnwoF
CjxEcEixJ+c/dah7SmgSFuDlMzalku3kcMlGyOiiRhsJFF+rGFqs42cwEzdWAsfqRWxHnC8PgV0V
0t4aZF/xEDv/BU3pgz5hkhbK6EPQm3ZQP6JU9vfXI0AsZNXA96dBWvIcJEuzKiunAI4ATshv5K2B
vI6wq+tSFgakUMrCzEIhhXgZsDepPseqhWM5bshGuv0xutn3xq7R4FQ19nb6rN8ewXp8lx9PyR0o
RF+fpGeQEn+Y7iRYL8frLr8EXNloolUuw/ournIFvPYFbpLEy7sXc6pnzNqPO1DTgjOyczH5+aiU
aA0kjcjlc78oeMgWdMRwbFECYXeFcgiw9dj6Po2tM5bKMQ1nAfsQ5xxjiV8wbMSb16j+dICJitZu
UuO2DUWDX5z7Aw8WRIewTx1t1YxXgrj1nGQSvqdRP+r+bZ+/a8vgxCNt3nV91wmp6hZbP8tIwH7W
eIvbXz2W26ml/hTFhTNXblHfJpONdBLk/Ib5oEsflma3w4vUCyLhS766BRWBNsIBGC1kV89Rk760
0ECSFo61k9otfZC9wlG/4T1kuLqb7ftt8vnzr739GSKzTg0xVVYGuCbLTL6btOIwBuQuEkmg8uwQ
1N9oUwKhGZiLGM9iVFZkSSk6HEk6eXU77au6cZU8Etghz4fCQMCqT8FOjyFnxt231pCMdCzw1e7C
07jp942TOMpHcdI/Y1sWFWBUjo2s0RizR3rOV6YcaO2mdaWdsY22yrE+zrepjYf0X/OrwDbAZoT0
FO5KECMzezjENKwQz+OQTbmtNb/wdr1uCpeFUwZhWe/K5k2zJB04IAtHU+x0375jEsOWJbu1DQUy
0f1hdr5jzvOv65dA1XHjQMwKL3SFLdeCLHymvdHAR8nPCjloyEOmIrvgBGkGugYhI7s8aBH6nq/M
J7Xq1+NQOPk+vqM3z8ZPdQ/lgIP8lLjgvm9cB89CKXKvbyjP6nW4LLhfkJ7AdTGoyRQWvtbBZ6Fm
ktcGyBeQ4RDlTi9niJYNXMEs3nn12aY8MMO67OE07pCI7l1EhCCze1Y7O9maN8WpfjV21dHazwLX
8UcWi/WRa2DmtJESpN6Q54KL2n6MAJ7vMIcFr7XRnsCr9Ks8gTPK7QOQXah3sV29SQev65z0O/Rp
bLKvRM6Td0Wsfw5zHA0phpSRgZ/TNh7ZmU+N0x8Nt/TUp7Jwm83oQSJiV52iu+TNQeHw+rfmgiOD
vLSxwcmxr/7AoIWVFLCwyDh26TZrUlcZHpLQzf1f9eBmIglmjkWbYDJEdRJDYyA4Y/Y+7etat5K2
BDOQ7JgdVImHh7a4j2hkpzHa6ET9MxxbhsgoSioUtHMESYdzI5OmnlTIBhVOkvez3dJPCMvCUaii
Ht/FWBmbQuyJqO3PswDql+c4uaaUfhjJy/O7lg7zoLZO1pPRuf61LitVuGAXzh7wP+D0oAf/HCYO
zcDIhglH84V+mKfWNW10EN9DnGBjQEmvc+fDMqR8QzdgTBRg87Zyjc2c1yquJxDNAxvKjL+z1/qE
BqsjRjQpjNQqnRkjN3b5Ir9dh+Vt7BqVMRiaVDCYFKhNdhwxK6YKtpRzAEBBjEwUxmygAakzH07t
wBdOQ/x9qfZK2c5pYsf0WWlOYeKpwXYSTYLyYqUzQOa2KpPEastyATwa2/aknMzjfLQ86Vfjog1B
seVjI/Aw3CXiokLJDWHaBX1DOvgEUoSwTbMYD501bn1U1Qzrt2b+wDvT9hVzi/5WQas/97uhmRjF
MYh94byfW+rQ5xVoftUlhG93ZjBgaFHU5sC7+JF6wmFAKQC89+zDT4ccQIHCbeEESItL+msa7UHn
0CKLgZbf/kUFz8F8j0p/EH1Pu22P4EoU+fJWuf4FzMdMyNiPVa7jTPizdECvkXqnV+Tz+hG49Jlo
LsaUBsbj8YaA+zzfykwifgDKqtLpkicZRKjxoR2PrX4nyQdd/3Uda4kozv3YORbz2ZIhlops8c9T
993Ut7lvx+NJiW4sUc/58ofOgaDks/p2jCertUSBdeDbxYnsSfgXjR57iAYIvBYnnWZiDBBFMDCX
gG2Z8f/QcZ2i0Vr8Ml6RbUkdZUQJMbqrimJzfed4C1ohscVQyKZEUZgpUJTS5l2m+5vEir15MB6v
w/AWBBJVHQJPfwbAmH1LE6WKO5SbnKDO7kwr+DHW0Y2M1At67QSFB16ERjFGDeZA0zQQ7DKbBzEm
CMIEwIL+wLHrgvt5MrZmDXlrSjdJ0u5k7V6BLm9aqbY13qrKE0QiTkFD7Er7USeJYOmXnWNLmPL1
e9gtbqHPUTQdfs9M/LeiVzy9Vg6kzA9xEt43KCRAUsU1ka4gJjQFx/yvzyHgycKbay6zPGyReMBU
fTK0QYmCDxoklf2ogG3HSUEUtgxkizgOOfZEcdMjDWSYmBtiI4rZCKA3U0ZAmzGKRbZT+n3uBU5a
hMG4L+IXCdRhQuiRRrk9+9t8CtwKQ4R/bbJnK2FMNqjKUVYarERPtrT9JkW3YeqGsfffUBgvCYWm
rtU7rMVAR11wSrU98o+qiDeIv2N4o2tLjy488rkvpsocQ30Ha0kxr6roO/Cq2ZMlcCWcM44N+weE
nYAIx26Q53r59NJNrt9l5i6enFEkfH15rcCckcBG05iFqh8b+le56cejiQ2TGg0Ra7svterU6WVq
96nqgBJvqw6iqgNv+5YKAGb/kCnG0ML59qWxmdQWeiwcSsHcPlknOcu3Vitq5+BcyxCKQ8ENLh9A
7OBFlVSxMpUVbMFQbzCntS38H9et7fKeXNJcSxMTsjYYw2Fe5uHQdGqt4V1h0ihzhx5cREk4ZJ7S
5B8DBMfgF4NM4P8uP9j53byYzerBvBRNO73A3dwGbkZvY//F8iHUCqWp06j+fY1WXUTZlgKthbS6
vvyYFRjUAvQsqfClwojui/BN1ogTZ2BHNDGMk8Mdjei/T598SxTVXe4shFGBqyxyFCD8YrzFjHCn
tXTEx23k9tY3XfP87jDoH0Imby4Q0uzIuKE55qJwEfmK1jUFItSyex+Nb369D7rXWj3MueA4X1oj
VvQFxF5bTZGYJB0QGSj1u5ngYhINtV4G+JinxBzvkmBDIyZbj2r0fi7a1kAsNR7n9t7It1L4Vge7
ajiW6hECZX9r++dwjB0WAYTD6g5waTk5k7yfIdLtRx/SuGvjVHB38D4SsoeouWCSFbqgjMPoZ0y2
wp/gypdfWxrvID/1UGi1B1k+G+0qgojn0j2p8LvoZNJAa4N/mVNNpDYOiuU+HIYMSlKbgb745V/f
UwsGSAIs1PXQbMbcIEXc06kYMKjUFb/I9FjFJ7CNxiJHy7M58JMYiNxQm7vo8VQUdOZq5oKiPBg+
JqyHh+tGwHVGuDrwsvvj/5it6uSqzDG1WTpF7hol+qo/A/1Oi/dQF4PkrXMdjGcFOKP/gDHOCLnd
sIMWIa6NWbejZE/MB0JK25T3jeh9zjMBE/kijMMg8EVX9bnfa8FcBNk2bFyFkdS03loQqSahKCTi
ooB5WcfNqyHrxuxeWBcEVdoU4jbSw2RhPs96lEzRoNplGIH7YgXC7BqthoV1ECAzDmexb6JPCAPL
oGf6Fx8HJX1ExUgZY6TjfMfysmzMJAIMTcgxkyVph6xCY+vB+GF2xo0a+JngCHHNARND6L1C44LG
1mJDEuZgg8Xd5Gc/l0ACnLOVtJeG0m2L7fXFcffwHyi0n5wvrtfztomLAuYw7ZpkXw2lDSnOUDQ+
xLWHFQzj5gyfVF03AMZPPaP/1oWPZfR6fSXcTUMlxkRBC53uf7Li6ws9DvU6SrPSUdWHPt605CBb
Pno1HSMSuAbuYuB8ZJCtwDvoy/+vkELdLwctw2KGJtqAktKJ0+x9xOTe9QVxP80KZvn/FUyaDdRA
e27pJGBATWNnjLxJAc9XIajC8Fwp3mD/LIc5q5FhpqqSAKfGKInW0dd8DgRWJtox5qQieRzkKLiU
Th88kugusu7mURDQ8T//1yoYv9boVleRxZAbJdmEwbEDuwhmrEO9sHth4mAx1/PkDjzP15axD5ja
Soem0gEGqavEJkODnOq8lciH0VG3NTOvn3VQhHaxExf9Lpmt/7afbNRgmLHfVwHw4V479bnXt34j
yvgLvhlRz81PTfsooSUw0tpyzfBObi2wMwh8q8DGCeNbK6PA7BNEKRwlcK3W6+mGqAdTlLri2gam
QdBjt6hEsF3imjyFoQLZYWcoP/3criavTx9SP3BMiLVcP7ScnC1MY4XFmHqoDNFo9sBSt8qmO0S3
xW3xgirXzpyh+bSQWt13O/P5Oir3W4FHjWKzcEGxV1Somw0eOSXcqwzBWy/NfpkiD7787guTX0Es
XmTljeIgbSElh3UZ+SvNf4zK98RyevpEB9VGb/D19XAyYcsufi2IcbF+2KZKWmFBZWErka1+y481
Bncg3uRaW+3ndTS+eXyBMY4WLCdpMeh4TdeSZmtR54bj6CD+HsiPgrxex7qcacHTb72y5ces9jFp
x4Y0IcDkaZd5shO9gtHAM2/7Q71L9taLZFte77XQqdK29WPklqLQTPQhGQNtggB0CgW2NqzJDk0F
/fhG0LWraN/U8qZX/8WLY71cxi2j/S+pAx1oaq7/SM0pstH8tJlqoeIX1yV/WQyrq2BqQYmGQuxr
G3i1/0xy10Qn0hzvxs4tjF0R4Q4Nd75sCg78soAr54Jt/JyVMSSlAVy/Tl57K95b4zPxF0zMvkJa
WkG5pqoFEYjgG2qMby78uQmDBKDdUG8y9QEMnZDo3arNN9Ac2tnwed1oBe6FbQWR56RK5MW95B2k
28zMqdvyMYVS93UY0VYyLkbFBNncZ4CRi08SO2V7MDsf2cddODiTZTei94NoWYyTCdIylEYNeP50
A5GdonhWq6frS1p+8jXrYFxLX6VlZS0Q8/A0Tj8guH7973O6GM/cyUVXMPUDI+4BQMf2dZ6kR0xk
26USPgTo6JoMcozyuzIN3Dgz9v8RmnEkNVUrOY4AbejFq5Z1pzgNjqY5HVI9OtSW7MxlbkMI1COj
LLgf+PaPKB9CIxqKr4szWDnR3O+yTmtxGcWS7qTypxyH2zCbN8rsu1kd38yFIcgJcW0FAQRGlfBo
BhnQOaI2J/qYxsuJI4NnQDo8V3R7SETt+NyraAXDHGy9o7UVT9jTFtQEGaVOPUR3faS6mfYrtBrB
NnIKYLCeVeWVWZWBl1+kZ8i4+h9SaEcf2YOxr27qXQBBnD1uoEM82sq3eC+q2HO/3wqXWaZRt1ov
h8BVWsVus0XHddsWbi3PGCV/S3qBj+bv6leBmYkydRLPjSqhwOwXrxL6eelbU7gzOGBFdysvnF0y
8uDLMkxyMf9LjIZ0M5qvnCiS96NkHXH4H+LauOnDUGQqPG+5xmKOnyLlOSjycQZGNdmCWmaA6NS8
Q1bHsyQ7CBFrYlLw+pHn7eMacvlJq2OnZ0FZpRGW16S/M3qUut9j+5KEvhNKmnsdimchy+NaQXM2
5jtZ9pS66yF11S2OM9mYvh1GHyo9+VOxUVWXBkSAxnWjazjGILPC1MquAVyFiMjU92mo2hJ9oOgy
mq0TFBHK7FdnGAJYrrmsFsnaZZi2ZqktnxAdTeO2B0tigoYVQ91d30ye81qvbrmlVt9NK8w4aZHH
corhI5EdObxPJkGct/wJ9qJb8vMq6GdBukmZuxRFoi4wKvjHgha3fek/Il4QXDgiCOYuzQuppAU4
OyFI6Z9Q2fGqRvRQ5G7UMokKtXUwMrCJNySVqiincBQaxpaV8Fsjg7uHONe/Bvfg/gNyMZmERFhE
mxHOz5ymj7l9jiwweCDhO/5opKc4Uh5okgsguVuHhlcUdUHPCcancwPI0VJB/QZfJ5k+auteL93r
S+Ia8urvM59mlPOpl5YAMTKMHbWiuzBBx0BQSJ4//ZvcB0U5Fz0K6EUEx875WiD1GA2RgrWg8pva
gSlBLLprD1UoUsLlG8M/QDqTGu3MMVUTAiC5xJOifPu/eWGBS+Xv3BcIcwPLiJvMCC9ddOD3GNGw
aWxjFiUKBceT01iJcicEoJEEWXSK2S51VLxV2qMd2ZkeSGj7D+74WRyMGFohoEp9C7bjAXRObrL3
7fQg6gDm+vIVNuNcc6lpJ6phjdApo3aQhk6YRRgsGyNntkZw5Ka7Aa+l6ybJuavASojpaEJBT4g6
xLmZpDmJQ8y3oeM69SKIkfYP6D2sC1eyXq8D8XIV6GCHyDfabzEiwrb8JlOeG5lhoROQdJ4+ZVsp
nTd+gkH2et61+i80BdwSJNDiyTjFRNTlwFsn2qXQawxRekwessdhlod8iNEzpHdV52qpmnvKkFh2
lxQt+G/V3JXDahRs7sXRADkhclwK3D1mRyDYdr65eqUafaBEjaMUD4NUOcYAQp58FniVy51lYJa1
r+4tvc0kyBWFGBaZ9zXdNM1pHl4NyXCi9L2JX+RiR6p9NT9e/6AXR5JBZQIrqRyz1siwOL2SDsls
Hof0N5iy35pJ+nkdSbSNzLere7nIc4hS4Ca4J8rL1D+1/u//BMGKHsdd2uVmgMWoyeyoEUaltXkz
p/l//FRs48tMrZB0w7JpII2sDn6a2R3d1+pdT7xB+Rkrx0JxZSPb/7flMa4lCMdekUPABuS9BmdW
rzwQ9e06xoX7OrcH1pMQCuqUrMRXiobGKXuwBQ7SO6XDsSbqj5g+NTQSxGs67PosmGIQl/9f2f1k
JXWq+0CsqxtfbpHRgQKS4AhzMcC7AG5dOElosZ9j5A1tlIEshtGFt4U1QH7F0ovu81/sHbwvGpWQ
X0Uf1jmKnGIuGg2EQKkMd5Iwtnzjp5Or4r1QGXcBCEb+Gx6zc1kwTwm40+Axqsdav/OTTTKdYvot
8x9G46+lk5fPtFocE1WZcoTeXgNgE0YvQn1foyocJoLEA9cbrUAYV5sE/ZDEDUD8ofLAUOPIkeXI
Kb1rillgdlxDX0Ex7tZA34uayIAC5bJmbXzfa+cf0/ikqUepvbn+obiuD2K05A+nDubMzg3DbJup
RAUGrg8E9dNwUKgbVYVgQZfJ9uULrVAYc8h1tZTS5QKhN+FdvZt36LraZzfIS6mxrdpGYUeutseI
2U22kZEgvqGeKvh+f2ovF4d59RsYK2k7HRxWCY5A/3kHcbbg1bLpz/dnlUBwtHJ7h2xNzJZM/yPt
u5bjhpVtv4hVDADDK5hmpFGyLMnSC8uSLeac+fV3Ufec7RkM96Dso3L5RVVqNtBoNDqs9WK6vY0+
RYqpRSL4hvOiFLcOnBEtUzrlbYh16GdWOPlo02/TdesPu+S9/ogeNOAKuxGrFffyJiubFnWkO2dR
WaHOeltDLjj8TImVDH39O/VX8KvXmGwx2VNZ/Z7ttTtUOTTDzUVR7+bhOZK/ft+RIw0IwTRKDPn0
8cbKWfQSHACbgL2XPcxOfOuvg2/qLVCwwvfLiovkchd7orcV1QvsObgW4tlVyM0iuULucYEUvu/O
SAHcNGnQLm7ek+AaXDZpMrClfruszPqxFwyYT7aqtA20xFoXEfX0LDJ+a53GwJrDZO1ziWQHz2kH
9MSCvROYztdI8dHWkWJpomGG1L76JQXEydJdEGXA3/yuWwyBhndZSYE/+jpBR+JKpDSGaF3LuinA
BVTbVHvpUlGYJFJq3dEjKVlTEDmdIEVOPlrFbXunjj5o6oK1lyWiCZTt8PmP9fNNWFQCxDM6l1pb
GlqUbWza3cuGEw+904POq3R6YDwa3XMciloARYvJHTu1r2WJ5lCz6301uZ7AqBiJwG5FS8kdsU6b
SyVfXYsFKN3lx5jv88U3g8JtDADe6oIeGcEZ+MIzOdo4OjdxP6wbhyEMqXdRI5YLmGWyX9QBtanr
SUQcKrq6vn5/JLEyKymOG2xetgeAtHqVY3j90GGQLmPxTesBHlazv83eU+YPVyOjTIRluRkf/jGe
L3zzI/nUWtAnul6dUtq5oWEAZVVw5Fbnf+5XKBoWgAcO9CguBBh6iWpERbhhls99tDes665+jjLX
EOWSRYK4KIBOUl3mAQRVs1dHvxb5qpjsbHR6YdJh2yP/UYm76/VhzKOJQBIqmOXIEK1ltcFK0ZDx
9t7g8Q4OcYD98GPzc6LJSqanuF5aBfhiqW2S/WV3uH26/kjgTvAM/tDFBKIYuBLBrRzX8Lgrxhc5
DKXEMuTf29EQXDNfvT7n9vBHJneiAWQcWbUMmXFRv6QqsObyrKhd2cryndFWRGM1kbSFZXhqfMQ9
AUq4BHKOPM8AHVPEkvau9kv70U+ldGiIOR3kcareSBdl3wYpITdxDCZFZlpDvMuXtnOSSm+cuu/M
z2yUg+d+lud3YFpG4LuciDODTd2y5w4tISlwcndhZyBX1lENkUxlpTfGEA43yOCGGMnUp+ek627a
LqbgGCrJ5KDuE3+gEbram6lFd4vRkt+RXCegTQP2vq1L1E206VGujNwHRuajhmLRjpQqdRspvi+t
WBJs6OYZWMHogbVkoaTC3TxSoRpNrxZ4KCuvABGbgQdtaIykh0lEG3peS1mDzSNRXNCnN6NlSmAO
ta1E3WP6n0XmrrJeJRDUKMZ1GlXoF3IzEa7YlofGA1MFjjJBG6vKWWzdY7KzIDgT85QzYMZ6c5Ha
Y9nvG1qgPJbs5rx12k40vr21rmAnQdMpitFQnHNixTAY/WxmeJ6hSTczHgaaAPC9ahGQWTfiXuSt
m/VYHOfKgsigkjxBXCo/jFnrtuZT0gX/8Ig+FsJ5MaMxrQUcs7CV8neBJ1LqoF2ubgA+Ul6rgagI
dg4Og2UzcQWAcFJBrzgPgh1ny1hNVtXaOmZHsuDnaLIKLYdaAJrd7z3OX9sxq5iZNXeY5RZE6psL
Ci6KVToyuHyCIpNIlaCqhHeo+gvwa3a8vHSiAHrLmWJ45T8yuE2rc6o16dRg01BVjBd/DFXHSBBB
vKr9L9IKAudtjXQgxOH6BDAj70a1tAzpiJMOclUmR4ZL3if61z3D656hkfJ/hPAEoelIZCKlJcLl
sn1Gt7oHqCn38hUk0IMf39OrRSp6CXq0VexGeD3Wc2frw6/LUv5LkPyfW4fXZA4Wo9Fb3DpF6EqV
T6aF5Zh6pdqPWmaWdFhKIIO51iA6ZFvqrRf4/9zhvHqgO1bUvkSoUOD9qUwSC+ASU1F3mkgKlx+V
jKwAIR28InpeKe3tAIQXwe9/WUKAj2CeDVB4Bl/7DWuLpMUMIX3yGC6+PD4t1E/xQAxCP489qX1v
oqdY1J+8dapA5fwfqdyNRjBd3zYTpAbtz7h+jpUERZ5radhr6WNKRenSzYU8ksZdapkRr3wfkCZJ
r7H2QVBhWYQ351rsO4uAjoRwd9g8lUkYWBCSVA9Bf6datxM4H/ryao6cNuxYUdpj6KSVJHD4W5fY
8Y29Kn8U61eRlWVLhxvbaAJ/QfNrHke3/RjeNsb802jzfwj8AZqhgrZmrUnyDt/SOiuOE/jDQXnu
UlvVE7jdxDErvGKGzLlsnVtmciyMMxPkKhYVlIyIRobHQL9XzMpBX6+ZlQ419lH3twPn8IsIsjDQ
h1AAPp8r5wZ9URmB0rdA4Kn80GiALkHdIhVcWus383ZyLIU71YkMGhtwbyBRa90GgEzSDT9V75NM
IGYrpDoWw8U2/TgtM1kgJlyKXdYRvx161mimV6UqyMhW6uk7WekEG7Z10o6lcrellQahNfarVPXV
6j/V7kq1vl+2CdH6cfYeYyK4VRWI6NFkhAZT1D4Aqvo6FeS6Vb5dlrWpDiYUUWhZZ2RlznEURpZ3
Axlae4QloIKLUV/62sR/TceyGh7S/19XPjH4PtCqK5NZ6SGG4ulmT6Z131fkUwtLPxeO4264CyCp
g4Aclzz6L/iCd5PEQFFPm8am5u5ORU/BONxqsWiSYt1nzshPpHAHt5hJGYFhpsH8ya5aOtaIwrIN
84YAYMDJ8sqKwofusz7HcxpAAE1bJ08MtijEK/vvS0OZHEgfUZuz1gwEhY8NfwTAxZXVz9LB1s3P
ogCNQtfCpmvs2kDUBOTjSScPRhWxpDh0h4omD5ftb8PWT+Txd0qI+n0gQZ40eBoomdpyl+X7pU0F
ep3jPplAoT1SjIs7i0jXszaCIAX01WQPVO5O99PWTa1n4EqrdcGQwgUvGV16YK6DvIgs7LKqG0ft
+At4iHA8jEBaoOIL5vkmm2emmrtUREu+9bo9EcJ5+DwEKviy7l8qzW4wgaQxATP51B5aC1DhRuL2
8CaYAnos8eQRKPhfhANeAkC9ANOUuTOBZoRlHtW+sTUEjRTtgpIJLrGXgjy2QLQOjD0mccEYKRC7
eVAAmv+/UjkXJlWZOsoGYI2N3sOcVqHaeBx6MtikS1blKLGKxqG3N/KPQM5mx0ArcmmBmk17U5t3
1mTXkyChu7mUIANQgHEBYpkzRpSZGEEVViPMVY6728mKJkeu58AFakLuTFYBCG9d7ZkVoVpEyaKz
gZSaIO7a0lPBqQGFKoblEQ6dxl25DgKkdFwaO8TzNghVW11uo/Ln5VOx5a2PhXA2I2Xo41mGubEL
8EtN6Y9M9eXAsQx7bPzLkr4KCrzLPhbFGUonW00TZNBHB3e9DlDjh5i+RNXj1PkWJt/Gys3Smyh7
12R/6XcjyD7Bjh07qvF6+UO2fN7xd3D208VoYkbzFXxeHtqV9lzIs4PYmiXoNrssaXMHqYKnNsa6
0B7KhUjp2gkb1So0BnwIupNnVcLImndZyHmbPlwr8BD/I4ULiSKrijKSQUpCc0dpHUySmPLVABbz
2gd0+mDkXqAe4vRGMQCj80rTz2B5byPBZ2zdXMdfwVnrXMny2PUKnE/sGkBBAKgmRm5ZF4Ebr0He
svuX07FCFyqEAGKXh7bUTSPAjBHkLYtVOVlLUd8x1J+0o6JX8hfC3Jnh4vGK7j1gY5zNjmOwA4gI
ERaYMnChuZNDGSpmNtqxbwGXuF8YuEnd+Aqcitlns5u9+JC8/K7c/E69jR3Fx2X2AtLFg7wTNdZu
2tefD+On2pBLrftpxIfV5mMagN1o2aea4M2y5SBUtELCDxrra4zb10Ub5ywrtMbOm+daho9Idt18
RRdXUUUzC1sx3bEozhfFs6VMiwZ1AAUro26RqqKyoEgC54LyusvGdIGEEmQyrQISb1E1afPmOFaC
8y7JNOUxGSAiTva0uY6IO+Y/I3mXELeXAJ1/UESz7VtWAHRutLIgxMd0CadU3xT5nCirFRBPNt06
PlgiEeeMDPAxgHrGi9wyEBLzGDsBifBySGAFIJm8ar3Wtyyn/Yj9l9npPbDYOIEdMFQicyCy7kpX
EtzHWy77WDxnGQBlBAT5qmJcNbYMP43I2CBXsQgSf1MOYn3A5YJIA/Z+euWa+ogGpxhqztNdDPT2
5F0v76j6eNljb27YkRTOYcuqNFogWoDDBgenDghygOq1vXdZiLJ+K++1AOKiYdhIVyn5+v1R2mZU
sx6T5sjTW2Z+K8l+M03MfA7C535hGi2vU+s+h3xielbmWqKTtiUeOElIARPMu8uAujxdymzWw0gp
Z/T2TXctGZ3JeDCiFwoa4uK7BIjpxUHHi4lDod2pf023ghof4qV1Gg8FLYWnHWgNvD8Vi6BDUpZ+
mVXthC0VTY1tuBI0VgMxABDowBXhR/76dEDfuqUjd1oNFQMblkeNVPA627hTAXSJLDpCB1QfeGIB
eVTAtD5EnU0jky2xuwD/pzE/+9htp4bFpsBkNqz/RBznuvRozuV4gThpTLxAMm80aWLNgJieTrvL
1vl1NXHWCUReBJdAc16pjbj3YGSSAQPZGehGr0oWeaMNykYgDbHU6a9Kf0gAYl+67+iBYxSUHxEz
7ISFzkcOSHvNlpnx2giU31rrow/i71LJysi4EHzQ0qMT+vcMoDe47Ah0i0N4UzXzPzyIsQBA08Ro
xUqczbmaIaQlMQrIUxRmMcnOiQOtP9of0c5KGSa1WWmwVIQa8zWMfb7uf8RyvkdtBqQnW4h9zt1J
ZmHNeh8Y9CzYk/v4sOwsb7jO2ASYAesNKfqc/bT2P9tdEDKNhV77flsuTufNtpCJfcv4gEUHHDc8
XTWMZZz6i7CLZdQq8WHBk+RVh9DpPvoVXTs4hK7SsIqBZtnO96KZzK1jfCxWPRUbhJmkLBrEhq3G
FG1g5stlS9/q8MRG/1GM22hNHukA+i6wuHwMjrYj7gr6kfxon2I7eKTIAbPwkfzA8BVDO4JzFbkp
+/w/fgK36XmV0jAL886e7Zb1bveuHIhTPt3nNx+v1Q31x5fAxk5LDqZfnfnatAXy1707N7o/S8DF
kBZomVBbxRJIu5vpLv80bcxmYBRs//Gj9GWMGYG59o08mo+WbzzM7Ndl8VsPz5MdWE3v6CacGvQR
kRjq07s709b94V1xJrSbhg8fio1halezm4kJCq1bXbWqZmAIBl0huI14D2elQK/Nl7Sz+8BtKyDX
xMiOg41Gd1AYlbsbKbxC6VBObLOz5bc4cidRIWDzDta+aKkAugfsF27d58qodGPEui8dHtdah/lR
wuCUMbvia9q+tO7MloU9uoSK28W8Bf3J5ZXfPNOmArQ/ZaVg5e9IaVKXkvSQP9JrM3HCZF9YIfLB
z/83MdwZHnVNVlsZ+xtIcGF1eQCz1IfURN+UTkTeeM7HjtBCw7wC0J9V4ILyk3JREXUKXW3Jugvs
zon84AHAy/vpO1DzfW03XE/fgFr7+Uh/IerwcJV4ALZnk92+iE7V1rv/5FM4tZukNcZQwuqC5og6
A97AeJomXg7KMQicGltlgy97y5Wxv7zeW2+cNeZR0EhmAXieT/FPM6ZqFCDb21Y324sx+ZJq2V2D
rZ1yzDrE8x0SrD+7TnPVdhQ4ky2HjdQ4QfcyXuJnpYxMarS6nnGs1BDTL7+H4Ntl5TaCczDrrlEJ
jgweU9xrSp6pNYbrBalG8zyB0LQ0Qm9SQkCstTmIFy9LW/8a5xkx3Yn4DlljQPbyYHHgc4sKA3iB
NqhHWCdZj3Vj2jHFpGf8NlSiLPxGqvZEGucIm0Bp9DBee6+K0C6ym7yxg8AAGM23FCBlaXtDNIGp
bEtE4gXEdGsxnvNA6NkhRdrC4WGM1W0bvBPJS5Jj+ivXHsf+c0XZGlJRUW2r2GAhjkBsiWIr+r24
KzchydDpFM0hSme39FZtQ6aqBSONK497NXOlJbOJhKL5T9qXrAGwoSaIbzf29cSKuFA6Cet2ridY
ETjd9yAR8rpWc2dzsNOYgNfy9bIVbZ4JmCy6PWVTQ8vn6QXXGko4Aj8RE51ADUarxWGShWRMmzLw
JrbQwfGVGT+VESblDLSVqrNL0BXFQwnAdPT5N6abBuX1UBRXwbiyUMQ7oyFsaXvQEYLovtFslVIB
rI26da+gtxUgpbhaQBjG7a865KE29E0HhHDTrUBtQKzgOp8zfwqmnZKpXlFknjE+KqVu57LmZ/28
L1SF1WbFGpocgAIHUIpyD9BJ3M5vSfEzRbGS9oAwSrObOTZHJnUZCueGwHltek4DhT1US8CAjjD8
dBVTokZSKOPLlfqHAQJLi6nda2X6fXQPRNepuNZlEQfEVgcdhrr/yOROPdA1G1luITNsUxaj66DQ
JDsc3VyTPLm8m6wbJcuY1aM70ev/IS18IpwzzSgL1CmZIbwfpSeAiV7p5vdW6VyAYrIpqBmZ3y+f
hc1o71hd/ugVJgV+wqpuhV5L5Pii4jVFQlonjh7qbKwdrdnJIUaKCNIuHctkP5bgDX+P87Vh/RZ8
zWqKnIM/0X91kEexJ+piWShP+BojaR1rOnx1DFNHndwlSF0juK+LHzJACor0pc5+S+ajQP4KQ3Am
H8lbkN8QjLnzGS2aKk0NFnisv/q9QZRLomdkX1R1T3XWGJ6VotdQVJvfekqDMuM/MldXcqQziRWl
msgA35s9RoNnxlezpDNL84apYmUoyA1uOKYTZ89Ji+ZRk0ILl5pmlD8KoLTsrU5tBC5nw5+fCOHO
LYlHKSzXtsl4CPdhGNs6fWj0GEThmdeRf2hegzSU/TB6CwfH0ywYCUBCpwW3phXLrqEuthm/KHH8
vStNb04QICgi9JT1+zkzOZZIOTQLhG1KMvRrxyb6eSs12wVtaKfZP2T4IQb9OytCB4AXOG8gAb59
LBM084KOF0Bk0vImyz8vW/yG8Z2I4I5/oIKCW117T+Wk2CExyvTJW9sOitCZothWRSSZm5YBZiJD
BmOxdYYkoU0xGsjKGioVbJA0rw3umtg3QdddzM5l1bbjmiNZnKkPhTU37QhZxlLK93NX3VixDlwn
y68GdEdrqvSokrhlCjLKAHjK5vsA+R63ptFVn+XJXWfm+ZPgmzYcHOhZ/ujPnQxrqMbBivFNQZ48
a2X7lsvVbZalH8H4nKMAmAaBM0qBT9OELaTAYz/8UPVQ5HM2QgLLQjoWr10w2gLF/tTnVKGGNvEa
rXWl4o/1z75zrPQlB1ySQN2tgPZYDp+molYdyC1G/cEdmgGaM94FTo9iNtBbqf9Tupmd9m5xcyd8
lA66e1n41iE9ls09+AZrSGajXGUD04tmiYeK0D7XREt5HqQggkQieKXbQi4O5YPTtSR9l6plLWd2
D4TKsv459E/6ApwGL5JeJvUmj2Zb+tsIdhWJUgG6ntC1C5KjU5HATQ/TpEHEmI3IRebtAaxtAhd+
ZiGrCGLizb6SRaAZ7lSEEijpgjENBKXtQc6uDTzUVd8aHy7v0Zk7WKXgsqW6CoAZUDacSjHBzgDY
YpLZwLS+x5AQkIfqx9mM3bDvb8EBL3AJ64k/8durOAMWj/oOxuH45mq5C0ewvGO2V+vr9rrVS+ug
L+bzZZ3O7I4TwtkDRiAw9zRACKUTjlXNpCR1alXguLfNbm2CBAXvCqbPbVAGWoIiSfXMHkj+0Iyg
l7KqfTxGOylYgd7AF11Z1yP9bVj1X4flq4YobRqqDOPTzNXJHUUseCtGVhBbGXqYNKeLXxXEK1Gj
egPQ66Y+93P6NpaTH4IV6PLSng8YQDKmg1S0+IA+XuMTACVec6BYXl2JlHuk8I3lNQxuyex3bej2
zYMqfze1T0v2LsvdsptjsdyW4jWgmbkWYEuT0pM039QngWWe3cOrYnAj6zsHBWM+/dmESqi17QzL
HAtQE7vK8JRIPpF2PRrCslhUb1w/mD8IhGKiBXwfSKZQzi/TJcDZj3C6FQWvqtFOOmK3yVspxe7f
r9yxIM4JY3S/CFsDzpFUxWO/FN+14q87FbF0xFAwKwEOp5VY/NQaYxJkmjmo6Bnpfpj9PqnvC1EW
bWt3jkWs9nFk8FTusjpHiRioNU9w7AYI0BRC7T60u/q+VgRHe3NzjhTinKKVWnINwqHMntMrpRls
gMGxEVhm6Pe8vDkiQZxZT1Ki9kMKtZIAmCFPQ3bTtN+MaH9ZypY/RH2eIN9iUHRWc45qShZz0QOE
eGFmgj9Aeq2qejeGheAq2TqjCClxTHGXgDSVM+kgkulCDLgGM03INVjLexZ2SvJ0WZnzoBLWhqQ2
hhLwP+asuc2Ru8Qo+rGAKfTSW19rPuB3mBTL9gyUw3GKDmP7ro2oxM6NZ/WhG+JImVVoZ+jSFXzK
qhF/iE3kk9duUvQb8UD1WqWPmE/NM7tZOoKh3WFi6ZSwBiwNJSixRozclpg2tqqYtclil+i7vPwF
Z9Hd11r8+QDuWOhWneUGkke2jhuu6L3UuC4GL8NbOcxlty9Lhujrssgtkz3WmVt+GoxJWIVlZlvN
5MXdexv75ag5S/d+Wc55GojTjTsbFI+H2FCg2wxoPQxnFKwaDUc3mquwQzYEr1DH6N4BZeyPY+Em
KFdlmpBFWbTD3NEh6aCCYQgf0ebAElR9gjo3MX8v9KPW3+foppt6O8UoSS8I/rb83QoLCZoe+FN0
9pz6O1Obo5RokBspyS40LGaVwUFNHjvTSfT3ZBBcfqsa54b8Rxy31nWJAEIiEBdGy0sx1+5A9Kuq
b5F9BFevYn1e3ttNG6LIFKwlBMSc/IXRxYkFXFIgvIBgZK6dsrpdZB9I0f+iFh4EoN9GC9hZS1EU
L2VPYsip88f1UAy1j8qIY9Y35l+zrK3WaoGSAyERZsH4+7xq8khvkhquQFZsOdxpEtjYvTn4GWv3
lxdvyzTQ7YXORgAJrzHLqWnEM7DR+7lB5NC5HXV05WFI72R9tA3l0P511yrUOha2fszRvavEaRVG
BoQVQ1ugzUWR0aRPur3aa389KcWJWn3dkag0XWqSKxCljbfG/JFJ90DqFxjEluFZsAQVMFoETPPc
FaW0Zi4jn4PXDno10h7E7KrKKhUsFf+kzZEkLuxKQGO8WCUkhV3HgPvIlOB2GASv0C33f6wOd46S
eiDAXIQQSmKQ+H5r65gp1FeU7/lcs3a6q0X1v80FRPMYUhZI0CKeON0kXDZhX8wd2gKiW1J6lbyP
s++qaGJCJIWzujkfrH5C76tdFYXFlFB6W7LlKlbUuywKBFfo1j0DLHXU3gj0gUPiXG2kgYcmMdG+
D8xnt0HCZwTDm15nrCefRibtiYb5wGKiV2E/7ANVwZyYCHpv40jjE9CwjNkJ4J7yR3qq6nmu1k8w
yKdquEPjVHQ/lA2TjY8hkASHYMPZg1kHXhdoK2gc1bmDprZT2S7riyCnQPuJJQ/5ye9En3aWVF7n
oa4IVpjAJrjLZV1YYCYiP2wahLPSRWmmXtOwm4usu6NuumjOuuwS1y06kwDUWGTw0XdI+L7DokXq
sNEG3JbSWxXe5qiDJ5mgP0Ykg7NJksWykdeQsYyoSJlvqSEdFHPyLmuyYfnmin/7v5pwezPGKQX1
CyyhAcacBrikeh9rj0onmhG4LIfyRHlLOCAdtEAbmQyslO+ieN+DHTJUBNHi11XObw1yAisPNzDI
0Rt66jBUjAvVWoNn9dKgPYX1zYwqV4RxQidQpjhyQBYalW7e15YbyDLZR+M07pPRsA6TWeH7sjFK
nQXkiP4SRYkHGf3vQk5lNCdFdXFvdhb4CtMmQYYsnpbQYGC0DEa3w1kzdn2hZTIAmVDLTrNKZVRa
ppdgXOTXJGzDgxVX89sUZkbwkPaq9kr6Gc0FkRQ1DBNiIZLiiv4riNPlHpxyuepI5lD4VVUVwEKa
whE9n1PTB34TdMZwsJpUqj2tBVKAr4QhGF3pML5ITa1pdlGW0Ws1m+B+ksCvWKDurQ67oFILb0ya
xBIc8C13oqMmDEBxtP2QM/TaCpdfriCnFxSdAy7yBkFrRXZTfaiIm5vfLpvs1sE4lqae7nCY9PGc
qJBm1CPrMfopdRFwiUQZgC2LPRbDGVKbLjCaGWIU7ZeSP6TBt6H/qEvB0m3lt0wdPdJIuOLvncG3
NAGNLC3SEfDXH5XmqLmvkbs0SmytupYS3yjvrPpe1x8ur6FQ7Kr9UfAzdlGY4RWAXKL2axgoK/Nv
Garf+gCciwHDpXet5HaxLfV7geCN3bNA8Q1qdDhmmMv6+yPBZr2giwfQ1DaA2z9I+bYMk0fpQzg8
9Wl7pYeza+IZEKZ0P3W3S0ofcIHulwggDprhX/6WjXvp5FO4NegaM5M6BZ9C0EfOtJI6Eq0conUh
yHfTvVrmgs3eCJ+gOO4lEJOCW53Hlgn0oABfzAgYyFJ/LLPSNc0qtWke3PZS+YkE+K6d28eKmL8u
K/rVNcE5xWPBPEoLzZV0lJQht4dy2QfA/VdCMwcmnUS6G1kfphGBT5pcg+fFKK/SSAquZSOLY3uo
2ugzmDVZsrtUV5D9zYd7WZ2TXZKbSskAYpMBsqsPutcopdPzEGK+liUkqq+icaBX6IjJ7uUE13AR
loJnyZYJIxZFRULDdB+onzlLSsKl7aIBI8SKNAx2YPY3stlSeAXyCpz31G2a9DvyMPc085c6RfPy
1H9eXtdzgFYVVQU0bmIMHtsp8xh8RkiNdrL63NbnJ1rJXqTkz9aIOmeSPVptxEJTtjNpsJW2AR/G
dI/iOOto/Nipj6RPbgLl+2RUtqRR0Sk7TyOs446gd8Y5k1XCr41ZBBpp5DrHaKwVIlLvVDs2ljtk
lFhQRm61yCyZ36ch97L2I6jp4+WF2TrkaO8iaM9T0LjHX8IkMhZJi2Xwh0r5i6ZFvtUaz7oiKsRt
uGi0Da+5MCRf8ELgXlfLmEw6rWHW87iA9sUbKDApIj8HzdplfTY2es0zYkSV4AmMMggnqVVG1LLM
Ga2jwLnAe5v8GMC3pDj5gjnSJ9J7Qc+iaKeBKiALMX2l3WXxPgp3Mtq7/p4+AEHM/2f2QaPZSptw
6kLlLFkkHCwk4WgOsOldPxd2NgkCqQ2fgZ2DczVwKyGRq5NTKVJmIayN0AjoeDd339efbz5j9pX9
OLNdxHY7Qbx7vplol8WcxwongXPNd3710WBoU40bCXApIK10Jvqmqs9T93Z5K9fPPnWFp2I4p4+g
UQPxDcTkEygqyS3Q4gXGcn6trBLw2gH3OQhDzljiszlWcgoJpda7s/wEYoe0yPxscYNCcM63lAEp
yUqfAQ8EzvjTPdL1JYApwP+kVtLdd4BMPqDcKQJv2ig8nnoTbs2SUKKD3jU5ah8Yf6kHYIlJM9OU
6HYJPhuwOM8SCdmCV8QkytxtLSaqVrgucWnCyXMaliUABZaihYfFQzkeblQMOCE4CqbrJRWVlbYs
8EjW14znUWgSjxgVABlCbmsL2sEUDGFM11p8bYreKJs6raPCqP1ZaHHkIss00pHR1hF35EjVKICo
MjKvn2+z7q0Q4eBuXJLYuiNZ3CmeBtL2qQFZeLIiJv8tK4jJd/pKeGK8L0hrxwBtWRvPvl8+Zhs6
4gFmofANnAeoyF3OqmXGrUHKwh7zz7CQmFrgZiZMTq4MK3H/QRaSCzAP5A7xc3oKpLHJi6SvCmAZ
o7WH+CogGipqRy2QUv6+jKpgvgEVacQcQKHhw9eqm2s1nGvIan1duVkAZNZOClt6wfptVJ1OBXFn
rtLmRs8mCOpzgH7eLJU/ab9U052QGjV6NhTXqLTI6nNZ7s3W7UWTleu54twk2m9Rwfvq84fGp2ta
UCsLEYwWdkBHZ0Uj7WLdHtcqqPGIHkJb1X6l1L+8jxvn70Qmd69p8GZqTiATY4aelXhKHuwM7Yp2
ojqaSDnOqVR1R5NqalB2B4Uh+D2g1AzGnw+FBk5HBjuWvdh8vazc+RsZ+/lnQQnXfwUauxkd+VCu
MJBpu+paZyFvS0vwyAdkQLP/e2kIS9Hdj/CAonHjdPvmSR4aJM/x8C9jV5trO20OEvJ7aT15wHpl
U/XXhFFrgvtIIrd5lPZxMRoyyCCUym+nnxJoKUdT9+IoZ5IwOtlyL3gz68AFw1sKgdmpfmjKSiKM
MBd2N5XOXBiM6hKoAkpHDZ8LSfRIP9u7dZQHQ5cIghBkIug6lRaM6jj0vQIGBjR2YWgiKlikq3Yi
35jJA15sl/fu7FJfpWEqGw0vCO/OrocoxmBGFkCaZP3ERI09EkEIdA5WwEngLoUgIl1dJqhC6P7y
Ee+yvbfsfmu+dFU9x/b7wFJbZ7KDxfUiwVTv2cmDZN3A6BDmMBAcqVzuZihbI64zQ2KFjJcQsg/d
bVs+J3OCOjbAEdpdNYpoikUiuc3L8hFPURXmEc5vGWqbMlh1wRKXeZXyczCpbQWCs3f2+OF05FYX
KNrdUCBby6bp1lQ9DdP7Svy3rpKTwV2vwRIuuRFBRgSXHIQeIP+YBNxsEZD5li3icYVMDRKdsEbO
j2Ccpo3UGHKa6numgbm6Etji9mL9EcC5DT3t5gX0oRAwPSIjoSgP0SQID0Q6rAZyFNZ1dNbA3wkR
ZhR6FJTYCxHZmEAETxNWKgmyOusytZHOSPgsW/9kUwbmxNYo3yBcNBBMYIwDuAl0SFoGPLim+abq
3y77nfNp2NWoTJQpNQvYaGexzahHIIcboIX+pPo/Bid9zvYjqO39dF/47U7Ea3g+n8nJ45SqC9rL
agV5g6c8Kj+GH6r9LQUeraPeH8aDejAc2RfxMpxX3zihnEWTbkkjtJVhJcPUCWtqN42zWNdDbycE
SEzGXSQ1rO5jTPsB0UxwbDftxASKnGVR5AHPWmzDVE+NBhobwU2dY7j4b9/QX8r9+fvcaQqHYUj6
HH9fmnWbaAMm6pi83GQiwl+RHtyRqoHBSOfVxZWAf8iVHVjWbIExngWDp6rwaIQN6aVkBD0pQ54D
JFdv8cNyGHYfLWpunwUQGHQv96qnWrCA/8Um/7OCfKInDqx4mUaItVR7/vaQf8p2zHJEhNfjK7B8
8v2T5eRUkDE4pxddlcU/BQj8CDP4F8z/I+27diTHgS2/SADlpVeZ9JXl7YvQVV0lTxnKf/0eFRY7
mUxtEn1vD6YfZoAMkQySwYgT57SklQhqSRLUkkEfpH8p63Ft3VQ/jfcEXlpnvI2wF0IPXAjPZC9C
zV8+7znr3KVc2QxIiABbYgR/V+QXL43T1Gg+86W18hoJtsBl+9mvNQgEI9UD3AqPNCryWC6mOQRI
DtVP9aK4SIfvja28Hh6Kt2FXO0DP7FOCjm2BR80R9tmTBoZnHDGo6vHnUmM5mYapHzDMIS0cQ/dK
lBmSIxow1XFb6l4SHCtR1XNxsCYK+hrgibhE+WcwS4OuLSUMNs/91ic+bZ1qTff6Q+b0h3EFaqH7
fjOsE/+fEQ3zYE8Mc2erwaqm6ggMp/axIc4oP2lAK1b65vqkLh0Ep2a40xRriTqBAjNEeTf7uX70
fd3AYqx6aoE70iQzCJQAKE8HmUj05e3KlXbXOE54YKFnOJbzzDZ0fa9u9TvRvlg4gdAIgXoxetyR
yOAb3ZWhjPSphupixZ5l1Goqb9S2g0j/diEAghVcBjNAYiZjOo9O1GTuTqgnnHOaT1E8ieoURetI
cJwurBOSFqC4QG8H1HZ5CAYJalNtKWjyE/vZNu9JJJDI+2WqONtcyEDqeI+hYQyswBddXp1c6Swq
8sjdD57lhhv7VnWsdeIFq8ppVvE+9Zt9fq+hIWhwQbfxctev9aOBlwZ18jt2i7NmH/ja8TitqVts
FVAZPWeCObiYae4T5zk6iQMjK24kwHgjdLYf036fGr4a/Ot2gAmsIR7cNnjM0ex2bgKivrJd9xQa
OAlaaB60f+6an38fNR3jV/kR4JPz35c6AnaCHvqSjfoj1499s+ujFe29SCSheuH7nCFurkI7wL4I
y8hVisnpg11sfmiZT2rBkvzKyvBu8xsLgQjbBEqOOz+yCWlJtWgxIM94GRzTLw+prx4/Sg/ACjdc
N4d414HVCPzOR/0+e0A7l4cIYC09Fb6oaHaxRwBU/yVig/AHnJjvvVRzSvKa9pErKz+gCWg7ES5p
YVLPDHBHWd4kMkizYUA3b6dgFeXbEjhUEW5hnjJuSlF1g+/pyMjMorHnPpIGuRzozWyluskCSDsp
m6abdbxRUfGuH84LO+rUFN9TKA92ocoDTA3TnVasW7brLEFAtjQaZENA3aCihRLVrvPRZEWkgc0e
qlKy9qWVjkX3AUN/FUqq6b/vXZSS/7PE3ZhUMSagimCp0FG/pahiC/mn50CKX5pTE5y329QipCg1
zBc6Ex30oSp+4JU+C9ej4oBcyp3+Xl+gyycdfPrUIudyoT0wORtgsZZW8YtkO5pbuXQfHiqEWtqX
brkiCPRl4pozyflfI024IjSYbHdUuilRMnW/bXdwyVucu/royLkneeP6+kAXPBGZavg7sIwAl/DF
w6bvu1RjeuTmyNClz5rhJ7UAb/BbTONWDzbQb6TCFdF6zrmiKhlTRwcjcjuvOoaO6Vg78zZ/GJzY
7VfJj+GFDvRxnfRAjz+q3ztHgN0c6wjesF6okHr5YoCA0OnHcN5q1TnTm8KMwFiWgHbXjjxtdBpv
Omhu9Nn4wYo6Q+UWoB391ekNBPf9wlF2Zp7zZHRlBVYTYC4y9dvSQAKkO1XyUIBH5vq6XlahuXFy
DpykhVKxCYZGX3UgKHCsV4qfPRVu/tBs5M20fu5cbZU5qq95zdFe27t2g+KMgEJhcbjgNgYHEYjq
EFifn0JQK7cLs7QjyNd4ieomCD2t24kJBrtwAaFaDJSzDuYmFZ2B51baWFViY2pjVwf9ifQUC1vR
Fw7TMwPzB5xEQHWIfF7cwEDzxXDI2U62jfehb22jz+lIbvV16OaR79tbeXt9GS+53ma9q5OhXeyd
uFKqDpaZX4Aw8k37adfTLfS+gW6+kT6qA4txr4sieNGEcpukU1oa5TKslumK5XdN+XN9WJduAewR
ah4YHJLZF+FeHPW2yuoQWNNEaTZ20BwtbWLbpgB8thoiEXzs8i2EgsBcE5jZKWdsDTceqAyVadsh
IRKpbu8D44/et8br/0yggWxyv3ZGCJu+pE9IGYTuX4Iqj8BD57P7/AjEB6BtAuc3Olc1vhkXqpBS
CtAg8vYxDpv5tNNuw7veESYJLlfu3BA30kpLMujew5D+mB1MTLADfHy5j7e5+6p8KSsLTfCCWHTB
R89tcmdamtNJZwZsArz6RHbE1d5bzOe3dRu7AOg6+ScVmFyaTkSaBFhIG1uPJ//qTAW6KXPHmQ4e
CC3xaQTphDtAIEniFU3vBCKg7sU1CcgBGgfRaWpBP+UinT8BbpgM01SCuCC9n/BOiUNznw3/ejlw
VrgzW0kHkKO0sGJka0uFYs9dTo56J4jXLteLM8MHGgAxpGh6gX7OBAZeQNdJ7RjRsSr9oXiZI954
n8fPcbDv2MMIPK2+skXwisX5nHNK4JAGJoBvdO21BOGpQUoXwjOOOhz08cMQoW8unGQe5okNbjbV
oUHjcSiXLmEPkerl+afZ/GlALx/8rTS/KgTTenGmcea4WWVS2JA6wJA07U0fv2TlybD3pb66fnJe
7O9fK8hHoLiEsI1PhFtjphd0Xjs2Dm5XfUaiAGV5Zf4zwM1ar0XowzNhoG7Wab7L1e9Q1Ks5/8TZ
YYgxAImnzozyNkJa7roGv7YUWWFfIn9Y0Icyana2Psr+1CY6yvt2fgyJlq4VjeX/gyVCoDv3bQBl
dgF8VQY0B9l0KN3MeDDNeykB6cg+FfGjL80gGikAb0UrBfgXOUfolUYqq0idt5fiBTHZhvrkSVQV
RO4LngDpFrQ8oRMK8Hc+tGKAxkuxBbQc6RBZkSggTlZWmnfd3y4iH/QunlqZv+Ik8unsyhxaA1Yk
fbwr8SiJKhDgWfEjs9CTBy226+YW5g4t6bgqESxCoZIfVNRkGe5K3Ftmi3x6zb7UZoBqMRGEpYtm
fmXEIIFjAaZ5PirU2WWSD+iz75LyjXaS08v1nR0JnuCXLzpMHh7fqD7C2eBz82ecTJ4ZG7muRYg1
AovqyIOmyQMxorcpDRM/VttDHpTHNDFeC7UqnW4yboIwh3ZqM1Uzg529TZmuC27OpfVUgS3DNyGd
r+tcfJDrpRxPVQRAuxo5fQT4wHSco+Z0l/+z2h1GD0NQd/gFLvBPS5rEZcTSJHfLvpVvkjaEkgNt
elee+35QrZQA4rvuPUtbAq2iEIeD8wNVw+08OcjB4SoDh9h2A3oxEoOtm7Jggo7vy9oEBgbVzXnr
AdiMhT1fVjKxoC5GQAPLaK1AD6f2I/uGgmgdylQZepazdU12Rlk7TPsKLD/S3qN6G7R3sah6fvmY
5b6Ec7A0CeMwAY2Mm76gA3zy6s/Kq9zJ/W4hzOhI2+ig30W+5bcb4zgKvHvJk9A2C9oEYBJxynGn
eNfhfdnNnmTjCsczb3Jog45Ek9byjH1D4hHTf319F02i08dS0TGAVCO3baPBDCsq57k7DCCM2IF+
Ev9+jJB8K0V8H5e1vXnvnthSzhdZi40uMTTYGsEkm0cb2iUOAy3fdGwmT1XvR6ig1ZJ/fYCX/KOc
VW5SjQBsqGzIcqA/06wDQtJMbhQZ3GdBYI03IGFVb+XA0L+DHk13q7BpGeTtDBJsQyJ39xDUod40
KTM1pTSQrS134ERhNbMqp1RboL4yyZYhMBiivTMOcUU1/axNlSlquQnSOHyOqDZmXoXGsFUcdLoA
s7IQImHj4DRAS59OwBJzPqd6NaH/34K7SknpyvqmLLw4fLEngZml0x2JfmA+AIbH7TW70cmxa/dZ
NcoFkmZGLkOcRF5ZLPLHQBUs1qKLgA8OCX0Unmd827mdUDc61te4E/vRzjofeCn9R+rqNnXGQEmC
lR2DoB1Z1+YhwxFouh3FqxgdWnkk6mH/LYdyIdXMRQ4+FxtgO5UvU01j0ulqGwKBvZI0N9jKeGNq
zuB/yR5EDlbtfeirIIXHuxfqhE6ySyB3UPn5pkMmY9iPPl23oO9/VA7VI4CzgmN5Id47/TgekaDK
RS9JFT5u0ufm98fW3uIjI23dmze0EwDllhb/ZCZ4H+tDHFjSPBOQGwJlQC/V5FvuK+uhleLs/fp2
vbhvoOeGIBxnILgXwHPDOZpclGWchwUcgKiv5sjuGSKXfzeBtK+NVAlYOKA9du5jZOjbwU7RPxOV
IANUKwVSB6Eof7YYqJxOGnfYQU3ANPJ5hYz7OvLlveJbXucCywNijBU9Bj7xfq6PS7RM3EGHZnZQ
W6azw4YPjbYt5XWQCqbuMuuDw/R0VNw9remFUbIeNszHN0jcbAHM+lDc6PYgu3fT5i5w8sjRDvFK
9UPBK004odzRoE92zYB3RyTyYz5Nb93t5+DMem367i5fD24qyi8tTyfOOqRa8arib0alVNEZ1OIy
zvSfgd4p7T4WBVeLJmbyJOSoUdbnq3ytXSRxXyOYJfq4ToE2BdDfT0shY97saxdHmQzKTVAeyGig
4jwD4lKp0v56Rlw446h9hvQrb7ODwnBEjdnfGmKDkAhA92e6mUok7NJYULC4LP7MjnMSJHOrl2ak
kWt1ds6mt3wzrV+JLfUr8Pd3bpWBbC7QtUeCLlgHaeH9oMfSO7iOH5AxNXx5lEQy6UvXJvjIMSW4
1eY0OncGWLRP1TmQTtTvRvZ7FY2J08ZoBftFZIY7BII2qXq5hJm0OAaJVwY3LagNRl0g+3cJJJxn
F3pvqPeDFOyCA6LtszRmVYoqNWRrV11ZAFuRHJJxfLLb1wjiAXXWuhWJX1tDWtFs2urK2/XD57Ir
kfuE+cY6iRBkOYnCXMMnACAXodfVSSIoLI5+5d8C3P3ag2RVhozf1t52vZMIbqilKBZgEvBsaDMR
H0/C14Us7zQdkWWj/bWsFzibMxTrOv6b94Jn7uLFe2KJOwBVpWdxOcewNeiH7PQtilrAxYkTIfkV
t/22DHrB4l7ciPPEzuUKCJjZ6O/lNq8Ujl2tzvErMiOApafD6NWtJso4Lx1F4JWDZCZ6/3X7YkOM
sdYQQue2Oi9Jn8FHDLCmJ/CRC9QbhgKFB8irWtDIBUjn3EfQbm9qlYToDtKUfbEbxpfWWtXTwSJQ
+Elc2fRMkULIol+e2py36IlfhnFQ6JINmwpIl4vUk3HUlH869agCDqR4k3EbVejZXenSW6WAcaMF
IwgKGFuj2NqFKBezeH+iXgHmKgvveOgznH+NTdmcvZ3j22If2o6ufQfDfZk4UuD0yqMBPDhiS+oZ
9a2e7lWUTC141q5t/bJ/z2K/SAS36tIBBQ4A9BWhQXpmNeW+ZyiQR8nwfNDJ98TeoEDkgozHBW+Z
IGD9RYXzdxDYOJBiBSAL8CzuxDXtIIxqA5aYn3nFRlsjfFjJXnbooHyz0VdvvQNqy9vYsY+Arq/b
zkFvhPse+SpAmZYz7GUf0O+j5fWFs2neRgQZ3cu0Dpz70gtuIv/luq8u7QdwmaEcgoZ1ING5hQL/
Axt0EN65Bt588JwpvrOI4HZYtgE+bqAiAMtUuClhsVW0cQVnoKO+MQGRMQt5I8lMcDjOKRp+5rHx
5sQKcqg4TM7XuE+zIsxs5FZ6Ru0YrbEyue1on+zmpnzoKzTkvmuVdpePDTHcMY/o6/W5XH7Vga8X
9JsI7y+SdrhopRppMjxSN8GH1DrDJ4S19HolrcDDLqKIW5pVNCWgBRlyjzoS0+fDlZOmNYMUjfhT
v7LVD5o7BILq10e0dAuc2uCmNCUt0tHTvG1Cb4Lyn7JRIJEBdl70SBoiWZ7fL+YX8NQad+eA85tG
SYgRxegG8GGuAuCje4ccW+6EjvG3WEP7BOx7yCgfJnen/x03oqL50iUE5SO0tQIsjQwAd060SVAg
R4hPqNGy4LTQA0jaROAmiwt3YoM/qXMJHcI6bATWVK8JcoVbhUWfZs5ESa8LS2D+Amc6GlhQlMG+
4yY0IpJmdHGH5s7AXMdy6ComWrnZJDhcL8xg1+noX0FaDcI3F2SFOVXjyWix8aRqG3bvJFhDcfff
HfHUBBd1VWjNRZIcJio8vKTgMBl+PHlhR9xksJy68K+bWxzRSZqWO7FUUJcwq57NdYqr5fZNNOj+
GE8P180sba/TbDC3hduqMgAZx/aakj+s8MwapGPSq8GebGlbmoIxLQbPp9a4zayEsTIB2IfIFQiG
7G3m0YryZ8TOUfnaWH5RADn1TaptlohW72I6AeDSwZyJCxHBwEULjhpnWtPbRo2pvOvTY2Y+ESKY
ysvMOmeD8xAs2cA6Chum4g77aic/SG7sG9seCg/37bbbgXZlPbzLf/+56jkbRjxJ0E68kMnprCy0
0hzCyfrEVkGXIvPBID4dBILrbXGE0JVCzQ5xDGTguHOjmGSS2hLwwGTNHiyAUbq9jCYOSIhtggNS
Lh7xyN7cKoKZXVo87GmC8AnFNSDQzu+ZPgy6vAezjRtX1msc5BsIWN1YkQjXevlyxjye2uE2g6wX
VlVnsBMBQcCq5xi5PgMZZaaMqPa+DhM6Y7r2kcW9H0IYrgRTFkraz9d35EUMwX0Et0c0M5djZOSw
mKN62wYAa2gMslDaQTJClJotX+8hUgrz182K5pg7qMEOrg8zhR5axlWHgUChlE0/N7bXrYgGN3/F
yRNBjYsm7GxYAf+qhWEMzyoyWOobCGyzdB8MIlKW2SHP7nNuMjmHJYWRVpE524NmceABUEjtVzIK
/HPRCthe4Zrg5UXZ8HxUaC4giOigLEnVAxnWiFT69kaV367P3SXyZR7MiRluicYJULt8NqPdTG9m
66ifCWhyj/GueTW2zX35YIBD+VtE4/mbfbuYQ7yKkS3+lZ/g4nNghRi0NjCHcfFSawAw7+of0/BM
5RZqdybw5d2fUQRHmX/zmk3uKA0hC2iOJWzKwypNfgYdpD3jq50cm0iUGby4ATGrc5ACRAdeZzov
r1FEEJWqGTa9bt3U9KaNbmrttilf1Om+E+ERlhzl1BY3rFaRprEtYEvLInAJ+GXgaUXpSL1gm4nG
NG/Dk20Wy1pcGNF8kLWZXyA8qYq/MZiyEto4BlVdo7X8684pGJk+5yNOLE592FZ1OM9ieVuE32b3
HE+JYxPvupklvwDvFwpwaAxAzMf5Yk0z0kumDjMmROyyo9HvJhAXBs1eKdfXTS0diKemuLUatGwo
gB3BgZhsg+IPMbd6+P2/M8EtE0VTQGXrMNHLA8TV76TyqxpEWOrFlflvyvj6lc2QKQzk2efiVvMT
QmtPZrrsxIFl3Mp2IHpqL/oeWtpmzDR4OvhintGUVg09BdgblJcpSUJ3gohKDRVBklFnZOorkPzu
9YlcHCNEh1Fj+pWp4QIEW4vksO4DCKEXtZfOFwk0vSMv0x7/J3bAmosswixezS1YWMg12j3NGkKx
/TZL3QTqC7YUuqWosWH+If78w2mOblkAf8GAzd2TMSCGDPj3GtH/H1buwd0Posr1kM6czSr15UHg
7Iv76sTePMEn2zcvadgrA+wp06boHVXxwubdlG+oiPjhEvQxH7fwDfSzzeTDOr+DlbjHyY4p7G/s
IyRw5Nd0U27im3qXPcsuA1/HNrxD4fnbbjfpp7S6voCLl9mpeW5XqyxixJ7Nd6vi2GZoX3DoZ7aX
1rHHNlHxz36JCp48o2zAiGVeND0ruSRnECH4VV9jpt83N8Hkjcr2+qAuvR9W5q4QxOTQXuXzfSgF
6Mo4ZRApTDaDfjDC53rwJFHH6m8fwrlPqmBjQ5oODw1U6nlk4NjL05B3IIsedyDd8RX8zdbyXj0q
O3vVoAtmzQD/WiWAb0BaO/Y05u5jT9Sqf+mp+ArUHYC9VdG4x+OyQHyZoFKF385qLwIyESLt5Soq
7sr6X3EYCOZODXFborfCCBK9GO6gfoXo5O48k31eX7jLNhfOBrcZjI5YjYQOJpfcN4fKNbbWSl0D
OLNGr8amXYVrtJT66RqSJOgTS9D6SNaWr92I3lcLkSWoC5GBBazFwMTyMZA2TkFPBou54Uv9hSpg
60y3xhq6xd+mTzfJq34j70ZBeWfhtXVulNuKsW5DI3I22nyN6EcznWlTH2JH27KV9FEfx831yb68
z8/NcWe3bKUkkjqYS8YDk3+M7qvIBNGJaB75KKgtlbltCTZeyq11g17WewlMf05weLV3oH+9kW/u
/1eD4tvIQUKbNspsUBm3ib5VyRrKz9dNXF5FZ/Omc4/iETQ9QZDBhPmoviJ89EonfoIgm8AdLus1
2AsnPsjTIw5kapJ2nNdnW4M66dClrrzKVtoT9oJfbMdVu3m2fOqE68wJ4pUlOKove5I5+9zrKjTC
QGOzO/Z+4EYH7diskvfcx+tqPzx0mwZ70MRehBLF9vgz3Cm3qGj58WcARxXVsoVzwV3/BaGJGjT4
lvCl9VUvOiQrCm2ile2nh+QTxaMXaZ0cH6MbCLqtRW+vhSzP+UpwJx/g7Lqezisx7gw/AD29YwNk
JW9k5/ugONZX+i7dWxtRk8o8v/z1YoJuCrfLTCfA94SXUjUCuGAhexaTddbk+zosBPmrpSPg1AR3
4oRqQoZphIle6jZlGW5i7JaqpQKI7dIVhcsJDBKATgNHop4HU6YKcfuiQTRa9PqfNAIomuXmcFNE
+kPfN9aK6orgIlnao+BvMoEaBKkELudzi9oYWEoVzO89GVCA8DjZxrrr/GjaRpE6s7rkqeDgWYo5
Tiyq3HsP3NFkbLv5dVS8hEXlD1X80dE5K96JSCzmVblwDMiT2mBvsUEXwF2SSmulcTA/KCAuuk/D
5sHIkeGUKuNp6IOHlnReAR7u64fe4h5AruX/GeVchZGqqnOCONEMp7uu7D0jt74siKvZ5seIGlAa
gv52xtAUo3RvFOwIfa01MZ9JFni21u2obq7KNBQkmhY8C50naJsAqA5VTP75W+hhbU1JDAFs6R6s
uAnYzc3SM/Cgh5KqYAbmNxM37Xh/ILKcNVRN6Aef+1RdIAYrSsSuURK4yfRll5Ind6VTxuMqxsPe
VAvZIf2ItND0QHURu+viXj1ZAM6lK5AaB0GOBZCbCTTb9XFAy00RVYKFXnQujMSwUBcAHINzLs2K
29YacCTkw4fRaI42hlDIRin6bho2DPwz12d1YQHBGD+/U5Gpx6Oce6g2pJ5IYmFUWf7eqHRlydV9
Pv3QTkWzlehKWxzbiTHu5q5sIzSrDsYClvsWTTcp2xLbNaI9a7ayFQmin8UVOzHHHXt1WMd6XWMq
pwAQi673E524QywJkPuiUXH3dCsZROoCHAdDY0Px6k8UexL5IyevIKEwpb/X12vxmDsZE7cJusGu
bTAa4yiH4AHCVa9q/oYD3UIlVOAZIkvcpcskWsdkfvEb9KdI/VZSQEX3RK1BYGd5lQCyBMMoSPT5
9jUIkmhmAroat1I1ByjjYzNkDjpdNtcnbvE2n9Va/68ZbpVAFYfncIk7sGxS4gVFLG/GPhSB2Jd9
4T8r3PJAVoMwq8VgDAZkk7lSzbcOwLBmbUhuJaLyXV4hNOhYM4oUVbDzA1Ef6GQHEvy7sSQopOA9
aDBHrVDCpIogUFkcl4Vugpkgan7Un5uqjEFWIRuCdEwMmU/jQa1eTbA4TcVDSmVXFuFvl04lpKXJ
rG4OgAzfkEzVCWzCEY56WkOYvj7WUFIoyvuxe6u1f20SxsShCVkFOhbXGEQVzkdGoX1kJRS5iiJE
C0UHboJbRUniNS31uyxMmqd/d0N0F4JC3iaAufNYuw6KSFrehMxV68TPlfA4hiIpLeU31rm4KaGZ
AA16kG2Bf+d8TElh5dCETZlrIbm105MkejfDMfXlpicT2lPS9IkGUu8TNSy2UqzmX01hGehhC4rH
Uh/IUwwI+zEcKfNTKjUrK4l1JHIs6dCrdXdsG7kHAbcOBPO6VNPqa7By9pZmg+rqTC7foG1ggVtG
LiXAOYrhk0iSDok+yzzWmR2grwv9P3IXDt9xa+TqcQi0aBuac5yWQSntxxiagnlqFinbchokvw+n
bDuRCDiNxk71YK+Bef+gl6gnOPmQ66Do6xpl9MZhNEBPCDnP3kkhsA7ReLQTlk4w5VrkJ3IJlVRA
8BieEaDi9TMIzvh4SXY/HXoCQAEBKufYtZPWVl1IZdHtKKvDPpGl/MBA3vtkpVP5wqTqGUjnO5jq
NkNBzcgZyTR1TmPa4AKJlDxz6kBRV3HXZx+t2YBLRy6zhxb10U3IbDl2R6WLIKuHivFMil2Xvmak
AEKPOTHWmp6pvpGQZCtnFPwiMnJ0hjqYO3iS5NOuZlup7sDM2HXWdgTOpUPNYYj8ppPa5isNWjnc
aRkY6vDVpbWrGyMu/EoD6RoIugYF4jlFbqNB3O4NN89q4OYbdSwftTpOHhQKUIw6se4pL2twuEi2
vRo69LY7lWm0jqUx8jGMCcp8bVaMhqfZ4QAO6iRIVqaqoQOpKrsQQtussR6zbGhHt9Op8kr7Jt+U
2lDKrjHl6aqX5fEvRMZSL6/lsvRzKe2eRxvL5ck0MApo5GiwqdR69ApZn8raaWFlPyHozjcjGrQU
9BlUgXozAVtvOxZgPtaGym1zGEDhSncMlQXNG/HffVqRCHrEthXojkqbEXpv1DYnp41LJHfUvuhW
LaXaC3pO0sBlGaU7KSdkU2GmVg3C7L91Vmp4K6WKSZ00DJ70TpW9biDNTYtG2lWE42vHIlptAqmx
D2oPCkJYDdPEM0kTbpqsTx5qK5i2ao8qqjMNsewXQROvNSi2gcrY7kYn1PU+9MrM7LYdlNQoApRB
9ubWrh8VMj3okutixBSdMgSOEQ7BQZWk7JGYRf9tg6PFH+0pvR/7otmAf13+RqNaCVr1xJr2KU0C
Lw919b5iMoAfOZLfjorRrqBVA2LLSQrrjzC3Y8Ux8zJ8V5IEBawyhiDjXUBpvquDTEJRCxLk91rP
7MdGqcK7XKXjez+y0VyRVLXXU68EdDOZEjtA1d3ErafHoZ9Dpum+KzPSer0lZfKhIVn5oEsN3SuS
kfwUOiImp59s1P40jfW+FdLWdozU6vrHZha5TpKq2RmTOXrAdid+Cs2F0b9+Fl+SrAK5gT94p0IM
ErwXXIDY22auWwyiAmNLiSdNBToh0aFo2h6ak3xcdc969a1lNWjWcWQC7L37HMPCo8WNToZPwcfM
wS9/aJ9+DBegMEJKFqbzRZSFjoZdSHMvMT+GARrTbfhTVF9VqB+iADFY04C0S/SqXahEnM8GF7tk
spRZdJiz9sCHJrT12oqCz0Jx61wDvkzeaFrjG1nkoX3Et1T7VTABS+87LAZSFHOzCiRJzm8t9LQl
6JTBrWXUn2mkeRGLViplH232WqBxy6m7wm+MIvQyaO3ZpUgpZCGaQtshAA2IA/EY4vP4GtSUh8ys
YL6pbvWg/cRW2XV0R1GmFoz0Ags/+92JKS60LqR2Mpu2Zi6YDbzYBs1K5SOp6dTQcu9ejHg9RLtW
EQTACyGcDMocPCkVFUwKfKkwJZkWoIaHmAqXnz71L7pibqaJWI5NTbes0wdp/HN9oAth3NynDwg+
FErQm8LFIVEoSVPWwmSMVt9eq5xQmamrtgHAdqIO44X4HkQHFhK2MkL5C0qZjkZMAyIS2QH1qwl7
xxQ1hS75x6mBeX5PKpI4BpWqsGCgbarYDSUtP9I+eMuSdMQTKau863O38CyC1gPIOwwkO1Co43aD
pie4twGfgwD1Y92/RMlraAjSgotT9p8JnjYxgnhSKfUwMaiDZwzMY/X6fzUIPtqlAcCVhgILbf1p
dZvWfP4fFKbVX2UhIOlxeKAN6HxZ1AlMGmkqI6CeFT4s9A4UFXMkWX6jSnnoouYe+qlOWfUiGMPS
foIYxywlDK/TLG6BUjUbSUkU5nZMdoL8k+Q+AjUpmnyWPQ1EkGS4RKrizMA9BYWCOdtm8NtXyodR
UhpU5owP6jWKk93Wr/IR8dO2+Fs1joiOYMnbwb0KsTmQNIGiiZtW2lYtU+erMZWfqsLPpk/J3CMu
uu4fS1agHA8OGRvnAx7654vXRnjlEcScbkJvWQ1ugAENzQgh/h11h074Ezvc3tVLu4HCMMFoAJUm
hblhU3YoEKJmlAiqtEubCl2doPVGm9NMAnk+pEGqez2J4BYINw6ZNR1GdAhcn7WlowHkWTgV5jcy
XpHnJsaOaAgV4ApSa4ZOZ1DTq4Y4cKmCevt1U79PRT4qAfwF+wpAtFkYlrNlK5Wk5zaiEn94w2vH
yP19s658zZ325Sp2jcdgZfrmM4ruzlg49Y4KMg+Lgz35AG4+e8gLZ5k5f0DGnHjYUfqdCpvT5hn7
/48SFGjno7T7Sh3SCUakDRqyKv8m95tP5gbrbGVsi6/gid31r/WHiBx9qeIMDmx9FkYDJAM9K+d2
dVNrayqhsMVq52PamLkTf4CKMNw+VsRRNpAuEuJNlof6n0luQdVwmvo0wFCJ223lTdh6xl3XOLYv
u9K7sdEekp1ylO7IRlS2XYy2Qa2Ef8AJTGy+CqXo5RipTcBcbT0clGfkjRIvXgcbgAnWEGutnPix
Xvf7l+sevLgfT6zO///k2h7lDBLbCdSSpOEuJboTKIIezdkBL33nv2FxYfNkdXgVhzBQH2jkdPvk
h77EK7t05L/XR7J4BZxO4HyangyFUoOlsYYJzCGgdWze6CH2JaApVzroRkEv9nrd3vLO+29gnHOG
URh3zQhzIRB6oOtwNOhcZ/3TdSuXvf242E5HxTkk3selKXcw03j5UXeIW/lvHRq3tsEjWf1hm1gw
rMuONM4gd6JoxhB3nQmD6hdQvPnNRFwFAt5v7CkEFY1oeEuxPrKKeFdowJgBFnW+aGBNkBOzgnsA
tt+8sbXyDgzLjXWro1dLMJNLt6kJ8Q7c2gjw8Yg5N8USVtlTHjYu0mkP6mPnAd7YHJI38Ko+aJrf
7q1V8ydZ24I7YnFjn9rl/DKmhpqGqIO68lfqRy/Ui8FFjOrEA0DZuqsctY8Ewgzr6CYXBUXawt4z
VRVd70i6oe+Pc1EjjquoSA3ElwmpNoymyFDrzTh6UpSArqnoMfypQvWnVKE97YaWljxOFWHPRW/K
HhjKh00BWc+bsi6JqF9K9G2cXzeTVVP0rONcoJ2rhMO2AOeBYMUXnQv4zvnZY84wxvMVr0gSq71l
Iq6Z/g9pV7Ybx64kv6iA2pdX1tK7WlJrfynIssXa9/3rJ0pz57ibXWjinjFg+MFAZ5FMJsnMyAgV
iT/lJJXvvRys47SDkjYgBemfokCLpxZwshXLg/vHMCs0NXNY1eGIifcjyesNkP9LyYozuEV3/js4
i3096sj5jQkG12+LvfS7RvoFx6T4bELP+s9eOEyfybdIFF5FdCmeI2v+f3NqzXmasyjbTHkgFToU
nKdMfGkKeU39ejWB4bowVIr+S2qbpX5fF+r77fEuhdtzu0ygSJQKcB8RU5oK92XyqxS2RvF828Ti
jKIHH9c5EO2gCf1yaFk5DqbhY0ZTwAiQv9SOOkDk4tttK4u+cWaFcfw2FNQ4H+d1C3+bxabl4eAX
b02o5M1K2LKJchTj9RmINcSQ4takHDEIu0RL7J14Xzr6V+lZm3bNpRteHBFaLWdiIjSa/WTOzlxi
0jNcw3OcGJ38IvT7WOTs48Wl10GkDvgoWs7ZEmiFBgJjkDGgtsqBOB7IWD50E4/ebtkK5OEhwwls
Lkvn1/cBImGPUYz1Y9675XhfxZyAvGgCyAy8S5C5EFkHo5LZdE2Pw64cf97iID6BwHtf/xs/PjPD
eJg5pfjd+QQvo42mxmgsXKv6i5hynh6L2+XMDONnViIiNT+fp+O4TiEIYmxawYl5j4D5Y9n744xm
+c+cqczbo7fCbEoorMgGel73YvWRGI4lbczBBWnK7a25eNkCIBs5MnRnKlcyFkKidWpfBpCV/jRb
t+zcYWuiDX+VbEPHdMHJZ3bOXAbixLblLXtmd57qsx0kZRU0R6rZ7rZfGUfhEe+5Q97azaFxG7t5
b9e3B7q4dOiewh8gxNGxcGlPFVt9UOqwsSNpH06arUXxJqp+x0LBKR8vXsqNv5bY5dNQ3jFxDmP5
RrstPFPfacWrNIJ5ZxNnOZINmyZ6SAtSUx68ZfnedWaaOSCVSoLQbYtBWl8joBOvwUl6TA8xJdl6
sFFSjAU7OIi73BF5zcuLPntmmTkjO9QmaJPFjR1DpqR/TJu90r4M7V0a7YeS12K1BGKeBbUN3O/A
HQMSycvFFKMAvIAlxlkbTn0Qtz6KZNvJHe+NVbFGsfGgoLf4yMWgz9N3tTFBqIxaD+CfMutDSp6V
sTbBZxune0XsJ/6Jbt6Dg7We7m976zVRDZ4kM3fzf0yxThT1pkX9CSMs3lpXX5V32q/4T34Yj8PM
pa962n3siR/0HX3+nKNneWeemWadaOyhezSPsnMkYpF0leyMu2z9/uzb+Y7rOMs+e2aO8Rypmxqo
jM2T6kHuen0PketDRwxbgRIdtY19ckh/8dDL87XmxkKyx2si4lTP0FaJVttjJUDT777qiaADBOTe
XsfF42/OZKL7FJxcrDIL3sdRGvlYxtBCj7Yqkd761QWb20YWLyNnRphQGutV01oRAo6g+UQaHlGl
vG1gabpmqI8kA3iDfjnGI+KiS1OIkkIdDdWaZgzsiSaHfLBsWtSrzKg4VYilUH1ujvEI2ijozytg
DkQjEJ+jXlsdhMJLeT3RSwhaXHv/jou5YMvVAH5fGRM3eMoGVGzlWiODM+x6iVQ7IOq0j3YnrHuS
PQy8/c2b0nlNz46/YrASZNRhWl1BVNPFuTA5sWu56rEqbOsBwjEruplc3814rxmeZTZ2grFDaVPM
rmV+psEWNBNjAtjDuuWxSS35/vnsMm5ptb3WNw0MacAkluBvApkzeCZuu+biUWCBQQx/gewAF/jl
RIZ12prNfIctM5eC2sdMdjR5rdRN4pM22onBowCe1gIUBftIfooz2w846b6lCT3/AubuKfp9YPRz
FrNJj8l4AoKAAMWCoiuxopAz3KU5BYgH4WQu/EDb5XK0hhinkzngahiOINL7Xaaewiub8kwwnilU
dScLs4kxlx6yCAkw3fearrA5C7d0mJ4PhfHDuMvSos1gp4E2UvLZCm4luzT/VrQDYMdOMNqpdRx4
2hwL9xS4ycx8BQLz+YC9nEAo6Ca4d8OqVJVEkn51bQ0FVKJKp8EHTpwnVbAQyi7MMaGsy6EUA8AY
Hqa0ui+zzFEbMDKiQxaPO86ELpwCF6YY15jwWjR7fX5pdRDcaeItrXmqRbzRMK5RdYKhjA1MdOlx
kl5H6WROp+xfPBkxEDBXzjx0WCrmpl72qqXn84Vg6E8A4WjhJms8jvMtpMnObbC9IZLQgCm/wLk8
Qn0Q7dGORVOChtL3xsiJTEu3AXHSFA7rMhwfOLbnNb+8fACcC3TpTIGmzDIZly4YJZDorPuusUVF
fBOSzI5HcPwN6jbUUV5KUXFpm4jIoeiWyZ+xh9h33vIYJRZS3j9YU3wDQBgg4GPCZuJLQNX9PIfi
mecd8kU6aKur1mvlkQzAG3XjfQSdKCn4fXv41+Hl0jATLetSKiEBhJkfaAbg3ToTIMM6cG5E144K
I2jtB6QGGRTcWS6nWCxQI9T1+UZkrCZ/JUYrU/+lTW+3h7JwU4YZtE3jg9HShGhyaSZue1Vt55ee
RO/1eLLzEZrccbLupHrTxc061MaTXrzHEhoOKPrIS2krZ8F/fVvCR4CiEzENIo3AAVx+hCDI8gyq
aey+AWEN5AVzStLKRdXy9mivI+eFHZakYciAY8/iDA/oLHpUwsgtpeJj8kWnkynQFL/HkEd2NH85
u1FMbAJQc6N2YbEAB3VKk04aisb2QyVyVGVK11XuJyQa/HtFyQ9DD4CwnAtQEpTknDOt16c6Sva4
UKhAAaI/jhVKGYe0jqoxb2xF+xX19136B3qoQ+0BdvbfzyvoP635SMfJzsLNQ2kQaCw3DRqkXot6
E0XvdfgVF++t+MWlP70+czEoVZXBaQAkAv699JWoz9pR6yvMqJKTtvPGHA8fTwqOkoY+H8/E9b6Q
X+WUczQtJJku7TIHxxDHiiB2NUKe6v0e7AdhXVee+fEovJiVG9Zu9cKJMourp4FR1Zrb8NE2cDlQ
fUpMoZbbBuKyk21qexVlAelTjJ6DgeMnS6EG8P1/LDHxLNH63AxnS6iHEUsmhfjZx7bK5TWbl+Zq
M5zZYbY5HQxlMGc7WeNqj9IsLECyrfIAVoPaKe9L39aebjsmZ2Q/R8jZE8Xvo//MYQj638Y/Vvlr
DpCwlT7etrPwDIN3QIUe1HBg3gCT4+ViTbWRd2o+zG8h3UYP75MHbQWIdB+lD3qa0D5c3hc2IPzT
+23DS0fRud35oD4bYJMApJ2bPbyy/kUBtqYHanEuGtdsnejEObfB7LhOhIh0LMBG56E9S34pt74z
bMxN7fin/EnqHaRWIcaqOfQzsXcVgQAeJ74sboWz2WX2HngKBUVIMLuTLN/Hk+ihk8PWoweUI++7
strcntMFvojLATNn4qgZzagPGLBx0le5K30JRz+GuC+9C0Iy9g5IfoHxEDcmCBxGor7R1bQ1v8Sv
4MX0QofzMfMKXm0a0OmDqRQt2+jbZlY4NKg+BQji4krz8pW/gkrjLKHjSXelXUeEQpu13it/pA3F
blpFK/1Z56SDl53s7ycw0z9M/oimQxybbbS1ZFcGgQYPU7m4UdFAhLCOhm4UKi9HmSKvVIr5PMri
d1t9o7eXhNNJ775vz+aiI52ZYSJdPJRFIJYwk1ik7n6JPTinDjlYyNEUz/HZ5ZBgQEAOCEAUptg7
cjzFwxT4sEWHaJW0vydV3zXyZ0M1W+8BpNF7G+zo4GCI/6CjxTHG7mBptTNV6kGITE9I7gcac+Lh
4p0ZnvTPR83rcBYvIJeH3iCxxKGiGC44oV0BIijjZgzxRH6byrUp3iktx+jsHlcejMyGAgVpTAar
Mi5W1pgrMk7O1BQf4lQ/8XlHly52AK3+Y4IZlhLEwjCWuBTImeJWEZi+VmLsCAXdjMI2yHjxaHFD
nJljvLVurUYIaphTQhE9uIUdAMY3AQr+L7z1zAzjrb1eSEPrY+L0GJi22ssj0ZEUEaAvp+g4QW9x
SOBuRZTBTRNltEvHoLiHRl0Bx5DqkmilTtAWMXCZaa/frMDIgaN41psHxJgtpepZlTS4lTZ2JX1D
brNOoC2tQkUKad+OpJEd6ETmAUuX3A+FW2xBIHJRh2aOZmMa9NLUsFhFCi2rSrlL+ooTIJei17mJ
OYaf7SqhlA2zDDEsIYxsITgmoLuiOlF4UIel8HVuh1mksIwxqwXsZDMvX31EK+M0oI8HLSQCxx94
puZZPRtSKedSXKswFctIZJmkqGS0B9hVs0/Cr9tu/qOFxwaI82Ex522VxToaBfF8ENYtevRAfnJo
Nqpr2fKx2A126iQELDXutNqax+DxObKfqcN7qC1FkPNvYCJIWrV9KzazZ7aZm2ZuP+Vej+YtTdoh
tSLwOt6Xttu5OSaClN0QjrkJc0BAPQkyLviRGqLZEGoNtyd30TWRbNXnNigLzCWX6whVq0kRWty5
1dKblH2hHkz6OfG8ZXH2zqwwkcqywiSVW+SDwnTVm90avbFgPtwNYEQozHvKS0ku0NshjpzZsy5H
lZVlYfgdRpWPxPwGXjx9UxzxQXnVQCDfkYLawsvoiGv5rvQazz/Q0+1ZXVy+WUESPCHA6bFHWqdo
whCMGK8QdWiiDJGaR3M8B3eyGLjOjDAuSUc9EH4mFX39jii/hi3vgFmo82MeQb9pqDNTIHqMLudx
ilG2HPz5RSYcy/w+o+8VXRnDV6j+rrqjHkGh8kCFVSw+/Yv5O7PLRBdflsC6P+/4GurSUh0QsBgQ
ifcqm73gKq6cWWHiCpqK027yYaXM7tT8jzru5TYlukpogdbXGpyt+sftcS3utjOLzJINeVFaWTH7
Rb21oneQx9D6XeOd1QtWoGsO2WAQVwJ7y1ZQOnToTI0MK4Uv2JGheAkkRGLz2Ekh5xRYKE3NEup/
TTELhdZNuTfQ7YzGd2KdpA7sceFhWgkH9R4c9umG2uPOepc4pcWFcDJrJc40REigA+ly6ZZFLbQK
7ZGUbIqDifYZvUK3KHTYpNzuqdvy8mQLu/nCHDPIBj3ORh/DXCHvU+FRitaS8HjbMRbAEMjkng2J
8cVBL/r/RdRUoKcCbr9y0u7QJsAloZwXulL33aheZe5E86Hqdlp2X4fHmjotAlvAmd2lBz2+BagT
8JKAi4dNLUu1qAnol8B4HXoH9nOsbP6p2o/hvts36+Cx9VKB+Ot4n93pZBs81zx02MLl4uIDmG0C
moYiAZUDvMr3/MErAiew3jvrrggM+/a8c8fKnH8VNMKSUIMphTpoJEKvBPqQfwfen3j/FXnRay45
IahQUSDft2DcK1afvOQob7DM2WiCLMJAswZez6kDTnmVQoUXhHf0Q4lebg+WZ4k5FRMDgsOZjrGq
oCnwd2WyHZPHejz5Ie/gmHcEE1nPF5BtsoQgDsgRKliq5H2lfjQx50K90LaN1ncVqploQ0SzBltA
Q9er7KsqKgLjgLblI5gshsQrFW/KduPgYHAKBYRD1Ti3JXUh8oBwGJtCUdHAASLWy8gT0LoukkEF
sqBRnArxbRhAVLWKQIIkg13D9EkU29TSAZ3c0e4gBLsSyQNtpyt3vfam9w8hGARlsFv1dBX7TpR3
7lSTXtzFk9dD+GPCy0cho7qJTH/X+iMJgYjsas1uoA1dDy9dULhN8ym3cxXNNtKRFPFurI5GI3pD
YFt4MFFww/Mi4ILnAD8NtjOk8EFsx54oSMjkuTBpuAcgAlLwMFmHOLYtlO+0yrntpEszfG6KCbZ5
rwIsJc+mwn2oO+j4V4CoCAXHpI5ecDLbi8ZklEkhMI5DjK1u0alvk1SBsaSzyJBOnijopJHegHfO
27uo4BVlF07m2dA/9pjA1tZjFuINileT8CIapaPITyhhe1Pr/otJPLPDRDXJ9JWi1udxAS6V1inK
Hl+5tlKmYFUY5sacEs7GWJhIBSLJEIQHZhGtbsyJLMiB6cu62QJz4Iq02ITTx9gchKw8gv2DJ923
MIsKVB4A6NW0GZnOGEszo5wsarW2rPlQb3se/QmZAa/nMUgunPsXdhhXLCQlQHOC0c4QuiE+JNJT
2HFC8kKgvDDBHPvKpFihUmLeGl+1ZaW3dZVzRVscBLjSkWBEuNJlxhXkSdFpFmCy1KB9bbLJ6Yrg
MYs4d4bFcZxZmf3jLB3QSaaghyKsxIhvSpOSnMeHyhsHc3hFQmDJxQQLJdp7SlcZketCmvT2vuEY
YTET6FtTKDZIaw9aTBpt05sqIi+HY5czV6yOjpmWnaHmGInYakdw3DiKxEUPLwRsiM/+s+qKfLke
VRWXDSptrT1m0yHU96ALgAIjOuNGxSnCbJ82KAYEPR7jImkmA4VuwIsDyQm6jGi9uPJBSBPz6gTz
EjG3gouPYvZt1kH4whIwu2n7bOancryjdJfUO1SlJHDqtw+3F3MxTJzNAbN9I1/sskiefTLsV10I
msLwNZGhEc0Bx/HWk9nDbYe2sMKa93Ac3bdVuUuzp9sj4Vlgjo28pJY5iLDQq29+tpIbieP3S3n/
i6VhooQeJlMWV5irRBOfzChCT8TUm6S1xvuhE1wrNr0BUspN/WhRHk8B1zgTPAI6AcDa+9gQ4lPq
VyTAJm+P6XRf69shssATvMtAxHh7ThedEVkvHP2oOVxVHerK1KkqBJ2dImL5mRuqEelLdIi1JPnU
H8Xmz217S96I3hNoChrg3AOK83JHmoNaAxELe63VfadV/jQgF9ZC+lRUuBM67252o53bYiYU7MZy
WsZhZ0v7OnUqNPDti0/j4J+e5cfqK+fkoRbg7YB4nQ2NCc2mrwIAmMFc9yXehS/GKb4b/5QWKXYG
FLtcR9u8aA/UuT2fi15zZpVleS8MOaF1Aqt4nbr9N7qntYO6CUCjSYqIY4yzeCyk0pQKkIGjg9pG
odNBKx7aJCFI82iqq9uDWjp/zsfEhO1Ai5K4iWAnVaB5lqi7oAeH0MhLEPHMMIG4lYJKSZvZDLhh
zX4bIbvGy9ovIcfOvUKbg9rZlWA0R2NsZyPCGsWIVfUWPWV7ycl2+Zt6inQScsLwUkH1wiATh01Q
anbxvEh19kI/DaJ/NA5Icdxw1dmNBhWFYic/dRWxHpKX/9+yMfEZcTOpwgqWFeWrN19kpSal+Hzb
Bnd4TADpxlgS0Prc2fpBAbrpQyLNLtxqmdP2GFL+Nm3B9eBoBZFXJu+5zQkoGhNQcGrrAbjFu7ku
Ds5d6aiiEE/0guTUfRcBK+DpECzAqX6Es0E1pEILEFrNl97jj2loFQ0YjtQixNv+mCbbOHITxZHT
2gmj01geMn/dtqsSfe/lXRRzduJChmH+AAsZhlkvFRXPyw+YQFaI/gV0sls9iCe6xEkLzR6BsarJ
CCbuaDNCOWzy3bRweQs9z+Zl+L40zeyc3KSAWxnQPIn1HTVQk4RSp7mO+00YHwTrmOb7qnzLlVVl
vFga6WTQsOeuIv6RpE8dbxTQSQzxA+ChxKKiqzRu2B/M0l9P0HIwiidkSWThbZZosgCgrAvQeFYf
QyDaTXOkE0Qki7Uig6yTbjq19iqkL+p9PcUo1HyYk+AKjWoPoyfJ62hyi3SjldtcyNyy32QQGo82
ejYRqIlP5kofV1V3ioeDrxw1IGFpRJ00+03DHU1DAmpPK80da7pPomMmOyCcG8FTXKyH7Bilm2j0
xAb31ewlNW3RX0fG2rReQIerNMgIZLtkfEhGYkixY1ZrozyZjZfGkEvs9pq+jSjI4PdC9xwYrxYK
/tM+rna5kthlvDHyxxRaLvWn3z+hbpJZJ6Nb5zoxxlWsHDPsH7GDxnD4Vat20Bz7yesM2Q19oqZv
Yv2eG6GNkgjBpSjWD8GsHP6cRSch/wQNm2P5PcGFpdEppmtETU3d1oJjhV9yrtkqfRdHdAsehSJE
0zOFimW0Tk0P7mdH+bNfrlPfm5rvprQjay/6R6SxuvrZjH/1aN0Kyn2HDhNwSWqTm1mDHXceVd1a
BDtqW+4bOq40+ZgoPRFzc2XGb0ALeWnogsaId95fX52AptYgOA1ieJSFWKLiVKM+iErbGYxjSxtj
U3mN07ohSfY1aUQi3isH47ly4WEnkRJuO++CeRCvQFXdgtTA3NJ7uTPLRMvbaoYJRvvEke3eju3s
WEHfhbye9D11su0XCkevtcsTPfrBjjIb88IyszF1MMAaFQ61H3iQD+2lkkyvtCQprq72IxihDoVb
78d1sDGcwolWaGoXHerwToKF+HDxGUxsDLoa+p09PkO2WzuHaUhqrhCMey9/e84ITjjH2Mfkzfp9
OzJd34JQoTibeOaY64rYHEUD9bKBOkH6UchuXRSkVXjjm7//1jQzJx0agPrS0FC/Skl6p9rKLvBi
jLN0ulXj+rt63dq8lNJCIetybMwJlwZo0mhMzGn6AuWsTeaVKqlc5B+dz+Zwl6w0u+dsI94omVsz
qC8S8IzComFtFW3lD3eKsL69YEun6NmKge31cqsEY2HqcQUbkU5/idp6ErMNxCRI3X+i4uRYyfDZ
9GDCjYOY+OBUH6We9GH3AG5BznNLvu08KNpdfoplJTKof/EpuAw+WAFRvGwTOfGd7/yKV4MzPeJU
IyizkNozSWf3HtD+Dmi8yen2nFx9h6UAHQ7AqoJuAoDfmc3TC8GYiLKPa9RYebJZ2iWCa20cZF7r
5dX6whDYIACtmKnkwP7FDBiM1IWuhj0SbzIab0H4JbgKj0vweoUZK8yelDtlSgZIIdtVSMyKTLif
kTxaZWtgbzeKnQ0kR/GKx0HEGxuzQ7OiTw1aRr0t5A9N9FRoYLi2b6/T/BMXQYAZGLMhkbEUavT5
w0QkilB5LNNXWVD0yB3yMT8YbZR8C23Ea1pd8g60LqH3XQeTtsk+9OIIMJluSnqUA1diDSYD+aWv
drLydntw10/mn9H9tcM89CZV7sJixARauNc5kNeFztsWLFnoN96bp+yx2GmHeKOh+Z+zD6+fZbNl
9PUDawmmVYNtG6DGZIF9I+7tZINdtzFE8lqRzlVW6Mtw534lzjpyDTIL2dKyDasWBvVDsw+RGV5Z
tvZgfPTesAq25h03HTEHtSvPORshE1hBjZqBnAkGS80bnNzuiIxmZ9zUvMyuKW8+58+/Ye0nTXH2
zG2zJO9GEdYGRzqaq1nPjtSjK9vz+2xa6ccaFyO0lH/Cm8Y179xa3Ih4C4C4CcDJqy6wUcrzTJ7S
HsAqQFq7NRRLSa/pvEEubotZMgINuTIkj5j9rjemUViYVly22u92Jdq6K+zLbfHLvzfcCumQu/Se
ek3/r3wHYvMoXcxXPfbQaE2QgOsm7KKw9KU+AFjv+U7yS36abM0uj+0vzraUlxbzzN78/2eLqQly
0gRgULMNENevwTgO/KkdrtCf6PQiafH648zsNf5g3o5nFpVLi0brJ3oqYITmBx1JiTy1l3lCRyJP
d8CEUx9Hx1gJGzSIrL8H2/gotsI+4lD+zNfWKxeG9BI4Y8BfBC7yy28A4X9t5socjJK9Kn2b7Z/b
07o8yDMDTAgAsqwHdQpieTNAgsEEC4Ea2ZFoPmYt4KltYQHvglJ+hb63UUUKOiCQDv6U+2BNi8gG
EzKRdZ9YU3nsi34TmxDc6quTqUFTohBC3gPj+po/r8nZ5zIBpIvNuBTl+XTTN/pH/zmRXPeCU7F+
BKPN2vxKval3oq2yHWxJdwZ7dE7/NQLm8hNYqjlFUIcq0TBj6bQpxQ+hfTAh02G+Zuiwub04i4uP
BIs5ZznwmGMWP+q0EtK4iF8Tal3ZVNwNg7i6bWL5tDNm/gIwwKMDinHyITPwPJ0j8tQCMItLfXvn
aTslJeN7Q+iTBh7PChhJr/JuG14MW2d2mfda5FexEjawC7mHjVpMe1SpbZqPbhB83ba0PIt/R8hc
9rpo1KaGwpJpvYbhi8rTgVs6ZYByAeRl7ulW2XuJURcB7WkJl6TaqkbSw7+3hsc+W0lZcpfy4B5L
ozm3xoTBVC+moE5gbbReW+rlDQ/zxDPAOIRuhNogzQZ086RKvxseBcLstGxEQ74XrKAzsRxIEC4j
miSPiqJ3VW93xq9ac/JmVYceulksat9e98X795klk3lh5QPaao0YlkJF7KAyECDjHEeHlP6mfuxR
WQG4NGmcrLNe+xC6H2LWvIgduhk0M7/zk5rj8deIXQQOqDmoloTTGrdYZmZHqpZKl+F74m+JSJbT
AFRUk3x/B5ASEiINj6J9aYtZJgBAkCgEAabFhA81hHpAUNa9Tf3WGY19oaTornGhZXR7oq8uOghO
SMWquIFAO/SKLVBOG2Xw6xoSKYm1VdsSuTXjkODZetvMdVUJkEdEDBHYbbwQMaZLz2ki2oHSYFa9
DR/N7LPoHvLBQQUGkd4OMrcWBCgDcYxezeFs05IhoAZfmXtEL20K6EkOcx82o9SW6lOId1wOBu7e
/3/amb/j7HZjyG1ExQytuyOSyu1pzDxjOlbq6+0p5I2G8Ygiwv0zMDEaLelIAKK9VDqp4uMYPd22
c+0R86xBUQxKjiJcnvH0MkTTo9jMo0lOffeQiceSV467CiM/C/PXxBzGziYs0AA4AYl+bA/GL2ps
pMqhuR2r31O4uj2Wq3gIQyYYANDLDQZ9kBBcGkJfiSaM3QBDxQOtrEfU+jnVsUULs2SDArYBsAcz
fq1IUeCHvhgj8QwZkldV4dwhl1YdvINgiACXgXb1rGyDYqyHRsa+MZ5rxYOoGon9Yxby2iZ5dpir
pDxkgL33UmzrqUNntKPxTJMSF0rOeJbmC131P9gA6JCw7Kdtk2pxAYpnu7KOcv4n6WXOyfHT33lx
RqlAZCngNJPAcQQtCMZ/dcEoxKHTY7uArrS++QDFBCQNXP+jXo0uqMDJy0HeKp7m+htlIq+pI//u
ttRpiEkEPPIi8um7FFyH44pLQrzg95qIRVTRcAsN6J9PP/P7SrSibMw0OAvKIfXwJLY+gRIdpLg0
UuUHy/pW5+5qpfXi6AGkB2tBFZ5aGS02oAHRKfTH9JLHzbH4TZDLgDLiTBjLbveqTfzakI3Y9vVk
50/trgqllYIn/ohtOU6c5Ox1tRWrAyDjLPw4nzssBj7PkzgGXTbWv56K99HwY5OAl8qQIcmQgCwg
GiUVst9tqYHeJQX9pKp2BsTOjH5LS9q5Vgt+BijyjTPoCtq24HCOUMzxCzm518AFwOtPW4iGKMUg
06iB2E++umKjg3ZqFKFP7HBaj+qrGO2r7PF2kFo0gfABugkTEZfVbQBSTaogTZbY3XAy5M0Y762O
symWjl8gFf/aYLb3qEklINawYVVv04eK1UUvhPZHDj/a7iGhFdFaHnPH8rB+1NA0AFdZZy+LplXz
sUtsrdpQ+h1qrqp83p65q9s77keIuYju1o8J5uD1cVdLseiJXftuDzjEN+6kUQZ9cFeuOaV63miY
k8QaaRKoLUxZUMWm0roPP7SJc5YsbMWL4TCLFLdgbJJE2ABzFAkTohovo5kSS9opvCi5EO4vTDHH
lmSUlS8VMNXnX5KwTervAiyvdHV7fRYGBCkSdCygoqkBBz5P6lm88ycoPoYqYssoAf/oQypXmMAR
HOb7QWh+ZyE3J3qVokR0kee4L4PEH5dNphgyGoExUNOMbVlA3h4gY6dX2r2FPiZjGp2qtIA6SD2h
7FeVyuMeu0Y2zMYRSFVQ8mi4djLGhylG/9Qk4LLRWU7Vi2tBtDxDzG3op3jorHqekHcIi4pIgMsU
9P72XC8crBpOVWn+AgNc5sxcZ7hDgMnawvWQ/urROCzXvGzlgs9oSNMjihimjuZLZnwJRFbxBvJj
2/RdiKyW0m7I3DZ7uz2OpVB1YUa+dBpLbwVRqDCN4gsqofRZ+SW+j46sH1TUvDkOurCrL2wxd4Uh
C6RGo7DVodo+UBKWR4srVTP/CHshAQcDlAhx4gFJxaxMXU3hVNU0sTNt8OKkLQillmQbjTSuoEEb
k0zrYyfJY+oMUTPcgYykJJ3Ua1sQVD50zcSVqpynkPkinL7gu4cKk4bHLPNFU9SDQK/FaTCWIA7V
dTIZUB1ru51R6rYvA/hhFXeGqaxGzT8EBn0ISk7D5lJkwG5BqUTFqaqwmSsl9JFRL6IEjUzfiWGQ
1LzzReG+tfpVjochx6Vmz2TGC0uzgDHSPKBZYJZZ6eqkjjSEhULyFQKk097ywcMRlHn53oV6hEyM
eGzoZNyBZOsA7iLDiaaYs0F/1vnqKyykAiFRhujAcq340DGGBG6Q4DGio7PT7FJwSlA9VZ8EK5Kd
JgZ2hVhDnAW7qiyxycIo7kH9lkkoJxlR9TQocQsQkGCon2ZHFScWFCT+SjWNt2I5ZoEbT/glUjd6
/ZRboeQUfhFUgO01o0snPX2W9QancJNLT2KjCt9lVpcryBnJL5oPlEzSjBAJDVSk80I1fRFa34c4
Rmom9y2tuDII11sPCSSk6DETKByLKrMmYmiI3SiF2Hry5Ah4kw/DB1irOU9znpU5ap6fQFaWakUC
KyHQDtGp7UMChcXb7nUdFzESHDvgCwNpCLQkLm0UVZr7E0p/qIuRbALC26SklUgQ8A7t601zaYi9
H1hZ40sGDA3AkanCFy0PQGFNFSk77/aQ5uP/0lXB1AzZUgUlBOSE2EeB4LeJNRkIWSHUPbNjFzqN
ceryO2yVGImvlNO5sXCPAz8IQIF4gRjIDzEzGA8zbW0HnV5Tpg+pbNxn2hdoYx2wH5LWVLwh/317
fItntQrvm18h4D/8eaac+UXU6WrfGnlit6NrmQ9oUs3a18x4CrrP1noIZUfFecMtal57I+IdPAX9
XOBEuaoq9okMjqukwK0raNaDBOxbHR/1SuVM5/LozLmNWwXtNspPlx4ZNU1b9SpGlwM3F6e/6pFY
/g4YBjrYpurKxrZLa1JI/7XXYHjIk4KcwULukqWTNNXG8PW0TGy9eZ7a01BsabRvBBILz2K1lnjJ
neucLC5cgE2BuHJmtdHZ+lqbtwVE76vEVpvntHMGZIFjB03dTUyM6A2wRAqr+p3J04xZumqd22X2
YSQHmYCucrhr3axCY1j3Iw/Wc73VMTQklTCZ+qwozaxg1fSNnGRYQRqtwexY9uuxTG1Nt3N9+q9D
5KUp5r4V5xTyRXiX2yYFNIjqkP5OiJgmHOfgjYiJ9zQay6kKYAaa6qQY7of4DThV2x9/B23OGdJS
PEE5DNJlFgKK+j+kXdmSnDiw/SIi2AWvAmrrfXFvL4Tbngaxix2+/h46boyrVNxSeK4f/OCZqCSl
VCqVyzlifGN1sdYAPAE3rYFQ5tFNXOpaD3X41KnIoxSS8OIcRwd2aMOTuABxsuE4BfelcQVgeMYS
4MV0xgyRWz0BWSZKAoU/NOGL62wV86aLfk4lirQ7A8/U6jbGaIAGbNn+SgXmB4Bs8+opm3eF7bNC
hsextvTH3yfYq80bI7UiBB5MO4BCp582NXkwms+WSUKcc4LPZSWQSQLCAahSAPt06niM2mm02MJK
1EunM9tm030WUx7XtE0fuD35sWbQtC2CrIRnzz4q46oMvYz/soxDOr4UDjAnMPhtP4zSgtJiX6dX
2umnCWbe6WBtG5dF4PnVpKLXPgmQS68T33Cfk3xjJ36f7krFz6LcL2TtZGuO3/4G2kV/LwaVl/9+
dN1wjiwxUveZN6MfvIxMiqnUQUbJdH5pQ8MjIUucciQkbSq3iFIIGYBF3VKr3RJgvMfPg4UG6Dtd
Vkpffu5sQY/ECVbP+WRFbII420oAHkxN43YENKwre3auWS8SkCoaVRBdWeJl1k0KTK6EtzXSHpgA
+3p+jPFsMbWfWSY5ySt+A9clktIm6LmcM1BmEppJzkyIwiCEjaRYTmoalXeRRlPDK1NJ3LiyXyfS
hP0aEj3KlBHS0mQ/8xL8HjFlsUltnebmhxFtBgC0Xo57VuzwRKSwZ4ll6oXVQ6ReG4Hadv5Q3qgy
w1jZsBMhgruZhwQNAjWERENOAYaBOBjLii5Kv+eSSEdf3TGcp4UeTMUAoKBQXiRmZk7LGmZPbNwP
7LZFMRjFWQv4nMUzSzBs0P9uit+Y1Q3BiWvUwAIBQpy6wdQnY/s22tRh5mtdUKMSMWYdjfsNIorU
BOfE3SDDdF1dmqPPFZYG/rErdIbfr8GL5dYRxvq3hH8OihMQWYgrWxohxVc7gFEDmxQuXP5ZWn6j
vDLUj9yWpvFenYKabSrj2tUCvbxv7UM+FR7XH13rLcsBZiC7gs67FZGqBZ7R/24UOoRPnVOjZuGg
qvgaF8sMkOPoxuo9C5jATY/RloiGw1tXj1vLui8A14JBkMuGv+KsIB6dpzYemwgahcVQkBNoxiU0
Dfn96D7rmDME7Pcog/hZPV9/xOiClsocKm7DIKZo3lg9+FG1KzBcclmXNb9xnL0R/EY1oq+sB5ml
Zzj7fvrH7p/RDTGRA48+SwDhSruMVrInCxD+glUPbAhDLKj17hyPg2bhrYRmIsBBZewHAYl7eBjN
mY7uq4GUSosQR6LmOdgcAl/gqDtIOGo6KkbCpUlyZarD0s4wrtC8dD/zwPg0/Pg3sKgwVbnHGFb0
O6bla3vjXMla1Vb2EaLBbqgv7ydAtJxaa1q3PCQ1+a76OI6ft9t+DP56FwmgAdEhBsIoF3x9pyKq
nFSY/FNwfXLmtc7GBqctgKtVm1rMhy9KSkkFY+UIHAv8zrsehQe2XtRaNYYwG/SyZklFZ7afu+vE
kJT41tbuSLHvx+mRnF6NIsfMXbwnFLCbEiSTRtrIzoBMiH66eqTqrKKA5/biAbF96BloA5JxSa04
a4K8DrrVkZKAJQh3S2orc26ksD/UM68b8AsaPLlqBxaUeeRFfSJZtxV/fSJOuBuYgieEosLmMv13
yhlIjzWaKQF3Dg7WUtbgLJMmmF9tdcCELiBNt/06+Zmg5dOsdyMGXfWHtPu6bOsr1zQyV0h7oJ1p
OdRi6pNYmctb9PF5VyjKb4Fn/lxup0O9bwJnjybVH8wz76Lrgia3ygeadIJqm1z7cDi0CWTz7eeW
c/opwjKramgXHVESjwBw1x4PrdnTotxcVvj8rEEIiulICKKwftZfbc05KkGAkfZ0lLTNzucKQzD5
SGT4n+dXAeQYzpJTQosI+hhPj0EyR6VaMcjRtK+UBEhjzfxVLxLa2w85GbzYkrzwvgFOTqP+U4nC
8uFdnWhhCInG3QfzjLcmeEr2bNsFz79cOr+xx195EzAPPD+MVi01fXZd0exQPkWbOTACpPa2sgLL
+Tk9/STBlDN1KLUpXxY7DOpi17uHpn13Lb9oJc+DldLUsSSwi5wuN3p0qqFYzBiY4gaSvGHINqQN
AbNiJMmGubmFyKkuf5uxHT3GmhNv7c6VYomvGte/m26IDyJ10qJhsPEVGE7CqyEAPFnQfmYqvZ/8
inKf4diAe45ItF9dZlNDDACANgvtxqfKh7ULcAMV2eeW3zSgo8r0B4e8j5bPa4knXLXqI0nLAhzd
ILmVqGA7h6R0wCwdGhW4jdFrTFyZu3h47c0Hs/3ruxEbeyRROEeOGZqTZkCiQbZgM551gnLEXVj9
h0rUIujfqofYLmaOcTFOSz1CJR6zPUtraI+xaOQC6u4rNB9V9jy6t5oMZ2N97/4VK1KChpGaRHax
6Kf5aPSktXJvu5h2DtRB8iJbda9/FBSL4FpU201eQpJiBlZ2M8z32vR22bmuH8MjGcLlrylKRbo4
Tr0G/b5aGeRIZrczupBDRq3+B4iHlWnfyzpyVzRD3zNaZC0kuJDfEmwkiY2od1KG2D65Jtp9Zr3l
fx9xIHt4JEJwrszGHN4wIUeVFvetfl/3P3jpzaDr6yRufCVleSpJ8JkjRycSSoR4iL6lgCCtC0zk
9C+AT9xE18YtRQe5SeOfB8Q8d83BSOjXl/qRSfIf57PBwJlEJxy64cAsBLotwaNMDt5rIwYOcXtR
o6Pm1jmoPzlAx19KEMcWAJo8jF/gTZKNZqychhO5gn/hHZKUpIdcdPtn6hNgZxxMscGhJ9Pu7031
RJRgNOhdw4QXUKBAJvTVKm/2P/HglRXmj7objb9oyQ3auyXvppXr4USkYESZYpoFkKbw0o7poL3N
6rZ2rwtZrWf5FSEOOJEiGBBQU5p5cqCYq/2e+p+G4ofuI48fM7YLdYlPWdUIPAJLDx6yy2L5Xu2G
Jh4GZBpNJAp6VOVY40UZWKIlu7V6wo/kmKf3Tjr0upG2kBPNd7rlh9VzL4tVlp8Qlw0GDw+y5Mkt
MWArWicu9RDt9qGObk71Szq4vC4AbG7fg4tnlGCGg+wAmTPooBmBnepPs/XXUyw4tksn5FKZQmOX
2GSVxpo1QOnFS/0uq0c7+i8WfCxA8O9xq+njXOToHMwfVBTT9fSOZI+xLJxb2+5jMUJFqk7AdrmQ
bHpxs5+LF8JpEkosas3THIsQLAqwtlE8ptDEKV8U9u6WgaMgATelNOMSb7q68TagZMEgg5kzcUDF
Sc0BANOor1ns2mwrr8n/Gnx42fcjCYIyKYKVslyqyi2uBOSBKksSha1uyJEA4T6o2wo5PBdtAEr8
g5nPxjR6ySDZkVUZwDYG+tDSCCSWBkGMDiL2ESX4crxTAH5bXhv512WnvxK+2vqRCOF6yeqoSc0K
Iqrptl2w/nww1PTVDQfNRsX9grgSj7/mi3VACJvfc6ZnbeXobgBMgoGsYzxtuN34eoknF+Cb7Gv4
Z9CIS8StGvWROEG/1nJBWrykcp36etB2jLwQw5/qHRCTLy/k+l790Uu4PIfe4T2bIagbP2xM6qLl
1pSY3KouKGJp31Oa5y0L3M0xCIOEvFE9D9UPFu/NCK14T4kMyFUiSKTA5KA5yXMOx69Ouz5/RtSa
VV6PvixbMmCxumh/NCJC6jICoVmroeHNs+NXJStpXbPAlY1Xr93IC6wzQIIRr4KK9vSmVNFtD8S0
xcQNaroRUAB8tXsJ6//i047ECJamtUmixRHE6OqDorxxxb9sYGsvCUyjoUsAc/5AEvmuWhy9NMvE
TopwaRTgcx5woIo7SeobTN9p8XClDrdjUaCXRC84LdxG0u29UhJBlgA0D8gzL01wYt9/UhiMOO0M
V3SrXeVbpHx9VaEo3G6NkYYBOslGicjv+oMYfhyLXDzJkb7wFCCObyBS3xZ79vhc7IGKr726wACq
vpA92Ma32oP2YXiKXytURr6zZjUGwh5QM6PtFA+4U+mtkbvGDCoqb3TuyjSjVrIbFPR87S/v6toJ
QB/GEqAgM+uYQmgat8BuaRycgFLb6uE//XQ3EVn+eaXFCpv3R4iIklnnU8dzAiFd5aGFxtedm5C8
m2TrWp6Gem7xmLjbJpMc7rVL/liqeLgnA0XbRWpTXLG2pNXfDxlCLfDUYY8A0of+mdMtqvV+ruYK
B6IdFRvY1iRptsYU6oDzIandelanurnkFK7dlwY6J1F2R5M6yLtPZY7GrKFEAplhaxbgdXQGkPs0
lQLQWNY6W2vQdb9qKnYD5m3k9iYgcvwHg/mjtJgdQQG5SZ1FaV7+zMmeO++dlDlpSQ2enbwjGcLO
8aEPeQUEfsy77uNGo0NtofnkPmvvZ6SIm9AvlUDVg8uKnZmLgzk4jCzjGOCtAfK305XNMBJbDVZV
e4M7X48peUyLTrJ2Z5u3iEC4s7hRPM3EIt0w6mNj9nXtFY4GGII4oWUVYTy1ApFi+Vli+iFMnD0C
O0kcd3afLnKXcWJc3ejpFptuXXdQeqPhkKtd68wrFTwTgLKTZLtKlU3Vn/ktQZbgNXPAIeWkxzJW
hHe0A7XBRrHV5zbj9WPjKobES6+JwwyHg9lFDY9e8bkb5XxqMtLUnuWGnwBTRttmW9OmxtzbUJLH
yyYiE7aY0NGNMIF9gDcD9k9xUz/HTW4DkVJ/DmPZIp7ftcIqCq6FqTHGY0qsYgxkLYw3tUhPTMq1
w9g/aZzdYHYHyV5VLQKMUoMzhgz112VVz+4FfAB+APhT6DbHaKgQtJTTqFdZiw/QOFKu+J/LIJyG
z1Bpesm5OwvIvyUtxLHAUsQA1GK8R4tqjrxMWhPG6ZohoEV6YCnzBAQjhkkXAHxTrTmtLTJJHOna
mUAo869YwU6TsipDQ4NYXhNq9gEjvolrNi5CkLNtLi/mmms5liXsZlHXjZUoWEwGKK0McGiskpzw
9e36Vxuxl6KqK6VJIMdjzq0dt3QYrur087IWq9b/Z8XEOr+D2wxEZVixqPhiiHhYrCMrE921vJc8
NNb85PGhFo1PR6dcZ0KbFMg8pAP5DHrLVPdlNiavYel9XlcAhOUSHhaZ1EX/I0NUbRZboQlXwpPD
kKl+ZV/zJKWThs7YHDyZm7jNJYaxaoRH3kuwfTUeiJr1EGmCgaEqNcq07iktuA/yKzRmyWaqV3fw
SJxg86yre8dxIS6zJmqEe7t/4A3Q0WVDuqtykDEAMxqABDC1dLqSA+aNtWnq0D7slldxSDyrzwOl
SqldyDI5qyt4JEpQKbdTtwdKJ/xUg1v1pz3uWDp65lh4tR3/l93C7YlXCGbTMDN5qlanO0OVFzgA
ltE5dCp/kjg7cF2P/RwHujZHyaE+j5sX1/hHoMgEYhGlK0CkV3u6pu7VyjzYrLlqInVfdG9tzO+Q
N6VaDDPNVRyTbH/5vK/6FMADaA5xNGBlCrvIx6wMM45dzBTgyHKDhvNnaIUSP7xqK0dShA0sc73s
2gRS1Jj5Stfv1TjZdGlJgbArOeCrt6q7FINN8MmRM4wTMGQMdZRDltIGOtC0U6BWJ4DvjfyqNim4
ncYIT/RScsGtriNIggxkBDFpKz6x9M7meTYM8CtTuBm/abWNxLeVVpL5X/Vff+SIr6wpxmBYrvQg
xkpdLzM+GhDEglW6d7YJkEat+heG/iSqLZtzEqgvBnokUgjURwcdsooBkRk2zI193Nd97jX8A1QM
VLUl+yeTJkTos1OB1MLBQpoD1cOnSHm03ZvYfAIkTiSD3pAtpvDOGuzCNgsVsuyeB7PiA6emnRGM
vBS9x0fNT6WZQplEIbhMKwXIZQjkPG1KNq3V+4kbgeFX8yOc7HDMf2RsvLO76vflU74amxxt4WK9
R7ceBiZZ75QQu8wGoenTj6WEdSu8kjAThJLAUDRRBxF5u/WCwLswIKsz5TruX2r+1jYgx/MX/HYk
3Ypdbm5m0IGFyYOjxtRWvdG6It3eqLwavLWXFV49jkcfI6xzzfKmn0Cv7fX2Y46JNmRige4jEbK6
qkdChFUFAnpiDRwap+nBqMeAT7KCzKrfJPqCholBdgTqp/tGsFVZ28/wZVhCDW3bZkjVgjpo//gP
63UkaPmQIwNJTSOsEowjoZO0pWWfeJHxotkS33W+KaaKP0vnIGhwMHZ8KqTOND0j7uJIAGii9Gxb
duamxOD3ZV3Ot+VUjOBBFMIiIzWw946u90HhqGEwsVY2GXG+NadSBN+hWERv+xbKOLPu58lLnTHK
w8/BksyFr8sBYJeJiU9MpwtynLECVYuN2Mds7a3mmLvaxaCUMbTbwdZlqCjn7glKYchumT1FGlsc
stOddK5GAEIih9fSeHoyMMdC/BidzFYS4O2BUysxvNXNOpIobBbQ0O00ylTcZ/Z8iyc+bd3o4bI9
rJqd4yKL9w2v4wq23ZOxJPUEpRQj+yyKwXxNTRKCncv96zkPBwWnpYXDAOIGZneFYCqrAOahTWbt
JWl50ONd3xq3ZqNT/g7IpctKnSNdLrIwcwnkaCAMnjVkd02pp05uI2ycPO1toz6NVH8overK9t0U
PW/DW+R1n5qMt+4733kaDZzKFTZMw9PMmWyr9gh9dg7ZNbizgvmu3zxoXoZ/60DR0uGfwYTu0mcr
GL3+tdkqgeNbQR20u+RF89C75rteeV36bTC8Gr8vr8w5BqywMuKJKcu6w2gbvvAu3sbP1StwDTzH
dwN8wVUVDAC2mg+AA3ksQCm8NWhvSRzQeQhzukSLzR8501nlTdeN+ABMF9b1q2Y/I/9t5veTgZtC
Ytwr4e6pMOGKYKoeLYSpsAMM7Zg3hhVEaK1VnU1fb8LqqUbZpJK4pPPn2KlI4UBNA+j1GIPpLbh7
RscAloHGipL24Y7IbsC1tUSFRMXoGc4vSuGnaxmpTtiXCsGRKumoGJiuCOnUAwc66v2uvspfLxvP
ymvMBCbUH3mCeReMmFVCIK9If7QmzdTbvPrA689zyxtlQg/kMibVuP5lsWt+F9nbhbMNMDK22AQz
VqMSpxmqhYj+wGyjgEIwiwItdmla7XT1h/P3XJ0AmABj+5IrBhKkOP3jMvDsTBwC23Qz1B+kfBlD
yTk8r+bhHB7JENNV3NIrva0V3Fx1/TSDD7TrfvYp+zCXpOqk3WuVeVVZma86w5aDxyadX4lqSM7i
+Ui88BWCASUZi/EZ0HQYKq+yPnlYPORjudHCwmP6yzxEeMpcKwoDhVAHWLVMkrteOyzHqyAYVFpq
Vu4WWAW7dwNeYcjEfJ21ayu5JzJKgTUrOhYlOL6y6CtOGqiqIttZV5jUJL7R/TYajNJ4abMj/X9x
PscSBU9XWkZCmhkS0+k54dsxB+ZxToE36Lf9j4ZEAYZ7a/XvM62nhiW4vLFGQDIvUkfyo0QxwJTF
XLKFFByck2sW2LchoClmAL6YQNodUIADT3RvgP/KCF8KpaBzYT1edgNrzu54OYX4QWnCqsIQLtyA
Adje8clMW0pa4lXxP6ABY3+flVnWETmSZUzUMsXQcm5R+c6ALOVF+dfQ9kjGoKjv59qPy1qtxV/H
YgQj0XnYa2Q5Ae2c7MJmujFbE5U92eTrWqB8LEawCou1kdoYEKM2jwVQbWYC4pfKI4m9u6zP/+FS
/qybYB4GD6ckUiCpjitMyLaBxV7t2dfJ1gDwuLVZnvAWBtt9lCCpRPbirsTwC3VoDbX8b8QUwZ05
Y6OVsxk13pBZwz95ao5bO52TfbGQCdMuD/tHpTKb17k3wWJUd+XBRMUzqJNc2Vz+lFXHpunoKED7
PiqOizEfRTlGZneM1HHj5b3px6BmSUGVkASmGRAmKRV8owGcaX0kazmwR7LC0epZ2kBrUnc+G2bI
hLA5+cFTG7ip77kx+VDzqrXSLdftd1LFVFUxcjMO12r/pTj5Bua/z9RfrgZSN81FQ4myTVj4yGtM
sDUleLZkTRey9RG8sRJXKeD98c2K+s9Y7Id6UylXJZK4YCr7/+2EcMBc1LqTOIckB6jjJQmK6rlU
3yIeB2X11yP6y3V6tBPCKYuQwDK7CrteZJu2flJAoGtOXgFOsNxintK9auzlsnarEe6xSOG4IXpR
yGzjuFlkm1jgoAtUE8C0wGXD/Hz34E7IL8kabteDlyM9BVfs8pB1LcGaGtUDRiuoaoE/+jWbtaDR
ok1Rt7RbUoYPk0Nr95BOksN1Pgnwvc4YK0I531VBgndq8RwtJqRp0dZtade48LzBxjhAvJuTWxzz
qv5w0KbUj4/a6NnD8+AebPWVSFFj9HUb/vMVwtKb6dRVg46vIHd39vvkxdvaT/YNrVUKunJEb3Tw
1X3p/apoTL9QLlQ3qa9sssD15/fLZrB6Ny5zVv+7IMKGaHzua3icxkMbTkr14QNJDBDAF5PfqXxv
mY0/dhaRnKzVtyQAh/6VKji5DLiE6E2BVOBl0mITx/SfD/cWNM6/YzwjC2i9PCdtCuCCaAPb3P09
KpxgCILrY3qellmML0hranAYQuyX1SjR83yI8VSKyAJSIgGegAWk8dRtkwfdTt+CN3P/Wfv5p0WN
35MHmsnXUKGOz/bFoQ9aCnDUd+PxlwYyjXIPhBU/9eWHULLpYj6qa1rD6ZfPqrqUNACQMzFGpbBm
F6LnHrAx9fhD6R3tEc2JILYhABE7NB0DMwLgNbp/TC0xTYCDT+6naroJKC4190ZtcwdUIIVrTg+g
12zfyz7l1+gPDdGSTKzmEWAG3WaKkybe6EPq+iVw34KWjUpH26pygYcR8zAKgALIgeZltTt0wgC0
h3CkZrmiPYxqZz8hBQEScw30CbswrpzXvBnCQ1pHU0SBtg/+gq5C2tsY5ls0P2fbRBnRG1c0JVou
wT8+ABTjOk8a4iPDDMzpvG5/ZOU0HELbjYF1x8H8FLpOcZOh1+muNGvy00XO9Sbv5gqjjuiGR+Nk
2RN7E1pmcTDQcb+xQqL6BXDu6cgUYO1UjfEOxpLuvoR95747RhWK0XPhz20ePyvAgwOZVO7ct1k/
EWqYdddQe561XVs5FrAi2sn+pWIBr2IeFcBuJJ2KYSm3Ug3K3XgEhypqz5aSkQG+mreHznXrF2fu
p2cw8fJ7Zxzju0aN0gNQgDQwzxAtyIZe/WJcBxNCWavvfau7+76I8YtgDMw31UT4hOEvrd3XqEgd
otRUH9RwAO4jSlTOj17t25uYT6Ab5FwtfoczUTZhbHdgYkFTxU5z8gpo51FWm4cOqNo21ePWLTbI
Z5kdrcPQylFxSruRoiakT9RJdO1xGpvowQx1oEaWVRbeNq6t3+O1DmQCmzv5B6mjEKwXSQTy4IbU
CpC4OXF3qlmY92qYtoc4N5QbF818rVepThLUdjh92Y1teuWcFO32spf8zqGfR0r/OixXP703zBnp
wlTFidFv2CMCwo/Ev08Pof+roGyr35V75r8OV2Q/bWKqyJKD5920ghsRYp48bkq3X9yls/3skFnb
xU/A65wfCqq/z4ETJA9AeSHX5C68RQNqTGWkGqsPNxdjODamcNC3KcifMhxrM0qhfVuatAV1s23O
ThB2w888cX6BoPKaFNg0q5z2lxd+NXGE3A3GTZb2QkO8sBk3SF6NeeNlWrMJjQY8oo77M425uamN
HteDrSDyRE8ZVTNgGSgaskmgVJNkG5YL+Wz7j75CuLBJW5eOiuKXh8LUbaiMW1PZz/kWBIr+ZX1X
I4MjQcJ13ANFUkGFrfE63iHn26U9rZLw2lKV946BVnOW2dZqGAiuALSmm8BdOYNwVLLUtUYzabx2
uDJw7UyOX5MnDb65jfC+8fvxJiHB32tpqY6j20sAineycJraSe+yCTLV+rMguOytV7u2qNO9WrJ2
mnX9kI7D2CfApEF0cyorionaoqWx8dBICVRKY7zCtDBuHd9BxxoxNwxz7JomUXAJI0V7AfYPAGcX
YEVLrFj0Louqvi0aOKMCiPfJVdyyoMIb/fI6rooB1AWIv4D3jEqWoFs35bwPEU2X865OXVBy3+jt
12UZyyvnTJUjGcIrCA9gAPXokBGRim+0uu33PI1CyYKtHTBgGv6ryaLp8Ut0moyOa5DSDzWtUk4H
YOYNug+sbO+yPusGAYhsNOeAeOYMe43ZRZUoCkRZQx3MA2Jt3CEOnz3elCBDb22gdOQ0xqSJWRmy
47a2Y5jFAPeCuRS0vt8nR3riiRyBmKEFKT26IVgdMMDwYNx7d1nHMy+C3jGkvTHwAX7cBYrqdDXt
rjUbngJIqZwyMlJDA6dEOjDtQ09DuEtu8jDb5mOXSyoYZ7ZiolMa0woEdWi09FtCUA34+SK1B4Dl
FLG1L7sbEnLJRXy2fvhhtJDhEsKkGXrkBM2UDAhmZsdyALCmeWDNauzbdYMpFkb+ubyGq5Iw7IZE
DII8V+w8mivXTlXFBV8VqLAG/aEj20rnwWUh5xkY6GPpYIQDxgfIJcQTbHdAiszBAAyQbn8KzJvY
1/eGX1xNm8x3/Bn1tRj8hLQswJ/gF1v/58FzAklr0Ar+1elHCEeckcqqTXUCSvs26bxxo326V6Hf
3LB9uXdvHMp/p/9c6zS9q3zn8fICrFnMsf7LLhydB2124jqtob9lowqEkNSQzWF+L+GJAxOWWLi7
DV47eMtAO8xEwOWbHx9g63n/ZR2cu3mH4PsBpLYf+UP53N7OnzZDXtrTgvDnZT1XTuTJPgv3Opkx
nqsa+Ig6R4vsfaJuNGOX59flJBuaPCe0E/QV3tao+hcobEMU2qXfOfpGR1p95j+u+xfly9mZj20K
cJzL2q3uIq5y4oCgCokjYRfTYiwmMMtjLlQDB1LnIrP+67KE85TJotWRCHEXGVMLZYaIEvXYO05Z
vm19hZK754TQXyqNv+zn15qCf7kOEJj5gG5zYtpt2Kd9210liuRlf3Zf4XMQUaB7REf3CJqITu0W
HWwEl4MBpADtoA+Hwgwm56vES+ev1UbzKK5F/I3ENAoKp3KsDF1WTHVhvAkrN26Hq6Lo3XqmpLDs
yCdu7NwwNY9vkVDpSr8uc347DBkwKmeDHbJcz8ttWGvgm+K8AyC3HWZPuuLwaz0Zx4nqmCDYYYDO
Yh/NMDQhTcpEYYHN2KQjRcesp8xVEnQWNbq9TxqMwVAl0xQZsPHZ+8JcWmTBewjUP8Bri14wnBBQ
1DW0BHywGkxDEXpm0yj7AR3zVOFgFdD1wdxaUwc+lZ47kpDg3NVDPJifTA2Y4hj8Fg4n8KsGllZR
jsKlzjctSaM3Z0L/XBHWxebyhq6Kwh0JojiMgp6PoLmJlhTIKntZ10+UaAXbx5WNZCdS6hLbWROF
nYN54i7GDK1gOkllKOWQNTmGtavmqnTs6kFPWufTqQwA5V1W6zyhZ4K9A9ioCDnQTw0ncGqnI2u7
oak4rimveEbuZDf6luZ3GcXzPaHpdRuEm/Q62i79KlkAR/RaoEXk8kesKHzyDYLj09KuHaIB39An
15b1EpP3tPgPi3oiQ1jUKVWjrnQgYy7uwu6ujjcJe7qsxrkzPVlKsXG9HuemVWaIMOdpo2nZbopl
XJxrItwFQh/d3C7ICpeVPLp1yWAW3AwhQknIhtnkfihSiRbnmX5YxLEMwWFjrCArWgUyeJDFQXKf
/3Cu1b2O9ouDu40pOqhm2ebI1BKMsGEkRuQNkdlcUxdIwL0kvv1u2z+NJU6VEkwsUk27VBYJ9TV5
igFujHy99Wj6Ns03g9/4vefckUPhqZJK3XkXsLCagt0h38fcMa4Lz3nI7ntfQ8D4bl3p98xz9iTI
IN590V76m9CT8dItKp2pjKclSItd3EBiAsbGgEjLOCTbJYiuiufkrSQpqug++AHU8fOy7a9cBAAW
BxKmDkeMwFswTLgXN+vqtsBE9d3UA3NrjHzkP0cbfMnbKbS36Gi8LHHNaWBPMZUPvAIHHG+nR6FL
4tKtSqTPCoR+6njIk59dI5FxHixAwpGMxW6Pjltt1AreMpCB7gb21TevagT6G9mBOx/8dQm43xfU
PFBS6t8H8khKY7UOWsgxvBP+UA/Vk72Yhb7hDkVcL8HLWNmmE1GCQvGgh2OtIAWZW1eKndA8frJr
lLFcqtlXmDfms6TFeWUFcbTwfrTQs32epMqs3rWbHsyBVXXHDVCNAFm2n7Zmpfz9VqkYcMGTmSAb
oYtguZFuc1KkmMMwQ4zJMVAszAwUCkPQmPzxsuWteKtjUd95iqP9CiuzVOcWoiab07Ep7lC8eL8s
YsW4YRE6gFrsZdhEfMOCsAkxXQURQx/5eWjcp8Aei1MZudmar0elx0AGccmQQ6tTA++YqwxRNuXe
PGy6+ZFlV0ryEukoH/oOA0gev5pR10puq+yeZ8+XdTxPzSN4BBGeriKhYy2MwqfCwTRF0jg0c09/
GJD7peO1sw/SbbpFYWui08Z9UPCOHSgYrH4oWxm87douIju/QCsv2L3i00dVFIIeCgu8z8DqzTsc
CfYfQkakLS1Ndw0baD+CT7Q6qwxtPC3A6PeCsa5Zf5CGiitvRqwhQGnwqsE4BPBJTtfQZP1k55qN
t6l1lQ6+i5psT8cHdjM/tBnlyuanvuM7ycatHWqAh2GmzMFYGab6T4XOlVW2FodigN2m3QEIry3w
ohl6nbFVOb3rfX3r3lY74zbc1RMAfHMv9YhFl5qw7GPWLlj1+GP0049JZ8zFZg0+xurAuk6TnqK8
5ae0vU82eE6qb+SRgSKdJsy7/S1ZiOW3hSv2RLZ4BzkF09ICsvu39Gs6+FoUcGred++/nN/zdtwh
N78brm1CkweghqL+6VX+5U/4NtNLn7CY+ZEz6jhI8uplL8rAfTLeeso948bawui8MVBuHvSHSpK7
Ps/DoqADl4R3NEwblNbCue1w2Q9RDZQvrd1OsTcFzQ3yXndNE6T3o0TYiiNcXumoOCxlJCAenKo3
RWlZz3UFR5ju1Fyh87xjugxmcsUVLA1baAvCQARSAoIQxyo5qxwNJoSx5y4NDFPWAb+2TaCRXDjm
kd8F06DgC8KwiJuiJBgTvG228Stm+cJrvaPq0336FgegcEJCoqES21iJAE+ELuf4yDZ0Jc4LJ4fQ
wWu20U6jDuLfXfOOCYAbfaffWQmtN/FNfqXB+0kijZXcJDrU4duRFsAIKOK/U+HEnccqzJ3ca/1w
y2+SvXOIAG7wqd8jLHwoXphv7dl7+sqeku3/kPZdO3Lr0LJfJIDK0qukjpOz7RfBM7aVMxWor79F
49w9arZOE+Ozsd8GcPWiyMXFFaqo5PpccVAW1AhQJrCQ18b/p9hFo7Z6HMaIDcubML5Nmhvb/TNq
Ej+4sm24bi1KYeCcBEup4AbB9FrSrMzwdAZPp/HNklH5rOx95BnAEo7kHMi7xWJA2fWUZUZZotkD
ZZUs0Mo7SNVe3iP8KwjuA+8DVLuQ2IBMsijIpuWhYY0Df+ypO7V4Hp1dZb8Z1oGYjyFEvhSrlW3K
1WgXFxbqOGA+x3Dk6bdJioEp1gAtEYqJrU3kKT/dIQAti1dKX0Brpw6FlE8s4QAocwYlthZYJcjV
b4sb51e8tYJ+q221Oz/24hvyTmQvzZVdcYIphFTQIWLaqAKz2sTPZFfhiowDqEvCLce31DuCrfLy
J5Rayd3A4pgrRJ2GtIdeiY0L+IO8ZpFPPXYAhSxmfMInzCEd+8PXub7xaFksrXC8x04D0SPjZrpP
s3Jl1OjI83VaeCWTTZGtRalLLDGxUhWDadEJWHiGdRsCw3zbN57KK/Ry2A/dUxRcXtGVgwepIJTD
MLJm4d0iHmxjKOHVCJxlj/4aXDep8dxMsu92hoLiPQ4clG01xPjwVaefDTIDZMYjBQoiUCNUQa2G
6XFbpoAoAxH2RoPhcRpOADFD6tGwQoPgP3COwRKIuUGkF6lgnhEWLFHHyZomsOKmGja7Hoxonbr8
Rc4c+l8EYBAkmdHOIiBQdIclgwYi1qlxAzCFOO6jmrs+eb8Ms7JaiAAgycAVODH3yf++OElh1dZ4
R4JNsGso+Fcn0A+9RV9+Fpio7aKJlWtgQppSXC2lq2KztSGsXsb6g94PgVmChS6S+KE1U5Yo2qkp
mPUOezAgAEXPDhYhOzXp73S72319xQwd64WaioE0vOAGhglJeQtDQv6Qm9d00m9se4B8soxDbM0a
qLvhxgALJxiFBRg2Kxr6TFAX71rdQ0BjN7qnZJJjfxYu4cOApwy3IMrTKm7c0yXTqqZERh9qLshn
bEcXKi4z20HuMujy9HFSxoA3uV1evrPrV4AUfEDq1I09UWisQFTOr8gmqX9GIQ2yCRm7fGu0OzOR
xGX8Xzy58JE1RgEDYSgUie2ztix7rqzapKioOg5mJjI8TcZ6Y2b1zpqdxyEsJDHSeRsYx0PEi8QW
uECQ3Tpd1DjU+7AvRjTEoqWgzzc1hMTcXZWiL/8ly15V9SGOv7mRpDK+ZiV4jrlqNBKfYHk8RUVU
NSZFi2Sr3h6jGEy+1OuSq25yMcsvyfCuuCZU9xBnQ2HWUvEoOoXSyiyHNB+gEAQfCj287vOsR+bk
T+/Sh8u7ZQ1KQ0BIHPTT6bicTqGMsupGc8BuMa0Bsmhq3d84MaPXddeAFTRi/+CpIPEDoV5whXN1
UAFv1KDVGWo4EK1mbSCC5Tk2ypGyRMzatwJvO6JcJGPMsyee62YMuwc1xErN7CCzI9ub8/IhUXMo
7EF3h5Xlt8vruI4I5WqMmOJ2FwPrxm6HvG24ZtJg/s7ZtNNAvzxHLdqknWzbWTIqUBkeDxkX10o3
dbSyY+DVRfKHxBRjdNOR62x1kH+1Wlm8tOIsQYT/aZ5wizG8Mxs0B8K8csSMzTOIDbZVsrm8hqsg
eP2gV0jjTyzhzVxWzHUqbsOUaYdGf6CDubFU2XTN6o5foAgrx2mLspT38kyxtiVt+K2HtIw+f0RJ
K+mEWLMHxVY4RdwvDmqvp99In1mazimDJx4e89H1Mc/mxTLnu3LDIDuNPgv8h4q5ePUbqQG9OoUH
lEQNYvJGkrcQVdYy7B6aBMSiEn+xCocuP+jjWSZGhQWb2BQTYmCi2O/m+mhn17n+qx2bjfW7HqPD
oD9d3hH8W4g3i44GfrQ8/OWGFXxuS8aedAMijsx1P5Tc2ehlIskGrW0HhGdomAQ7OzrghZ2NQwTS
9g6+FmmcA+nLoB/ZD9Q0PLTmSe7Jtf2A+MlGaYmX/MWCVqI2eMOBp85P7b2r6xh833daLrn+z9O3
uB2XKMLlYRlJUboNDKK5UfwCbYF1DCe9va+0gb2oymyjcd6qd+hayZGct7urtEat3Cvb1L3T3HF4
soqNNg6Hr39JLLGL3A0Eylzxid7n9VzmscFl7cJ7Panvp+blMsLqh9RBCw4HgjeWyPOsRWbpspYj
JE2WHAdSQOl60tUm9tLaDH/SeJBlStcgkXgzEPMgzYctdHrAQ4ox5c6EE07y4ttI3uZMf6hRT/dR
Ztletu48Qyp8VuHguQkzMWeBzaM0+zAfofG1sSD3bYLlKQ2qRveNeNfJ7tG1046uJlzVFipG4BQ9
NVBVotaeTXQ21S09JJZ+mJP+OsynPYMrC9v+mBnt1yNm3kj1H6SwpkNlsbCMAAkxX48aljc5HzSE
QHa4QddlmfyDP8P7krfg8rYqkYpwYGwwIgX+jEI4vLfJt5LUR5AJB6mt3VAGJr1C1vC+tmv43ATm
i1FphtLn6aLGzTyZqYuQy0YBzpjJlhXllVGhzuKYklTcaqiM88b9JwDPCcPsNDOrHjs0ROlGz0bP
wPVqR9s0+5hsT9Fvm/DJ1raGLfFCq64OOwZ7xkC3kdiqFqNddgbhFc9A255aFvctSDBC0JhcPhVr
URCy6/8fRqS/6BwWaT3fn6SNNhF9VVC0aKptzGZPqpS59tlMUE6jOwxqJ6b4LI1MRU21nMeUUwii
gtD55TajDQbEKfaYm+0uW7Z63pe+RdglkTs4aNjC17J6/TZpHyvHrrysGne5GW21Of8+zea3trhL
rVhyI55fuugXgKwHCoz8zSreiFrZlyxU09rPQ/RsufP7yCDqJDFvFQRMxegR481vYlpkmM3OKvqs
9i1m3BdDW3hAo1eO6pRHBZSnnjIp92mU21dqrOi+NkMtVMutnW0NmZdEaK5Mv/7Ag91IWxu4PVBe
EK+ommmkmHTYPZgfZvOURVmARsBAz5mHmUBJ9un8gJyC8d22iN/7Sm9JbQFsiqZwVyomgyYqxl6U
mL1fXurzfABHQtBBcE0Z5llU3VSQg+zA0tAyjFHkcQQSiiRRApUph4YlJoTHXdXDg+I3narny9hr
VuKuR0Eekz28X+PUyjIOHRrFVY2x8vhQRrg7yj5Ab6pkN8lgtFMYSy3ZXNkwMaX7ViugfQpxQ1lz
0Pn5P11HvqMXX4yWrMebH/opymz5SOTaIBqm+kbKcnru005xuLELHJa2it7VRe1HrLu1K/CMoTsS
1LUgWEDf//7yB1rbHGBwRUcIEogEciCnYDGdWy2HeJffdx34OHXwuBrEml6rkpoeBix/JTk6RKp2
SF9I2xdfznOgRwLcxmjywu2E6s0pOp1Q7uonpYL0Wd166dzSe4zDYAbLxLTUPE+9BG9tafHsB1U5
jgHv0jjFm2k4ROAmr/2mYN7Qv7rdsQ/3anSTUMnxXnHfyCl/QtlCuXCuCsNMDPg3YzJDT4XsPKvi
bya1/EwL37K+PRDF+mC1dmBE2vW/Zufy2AkP6Tlz5yjS+bG7K27zO7p1vWRzX26RsprRk5952X33
PtwgwDJl2cfziFEDd+zniRdOSTlYjZUYHJrdq5qPOWOKce/sumD7QjZYJ8MStk8+NOo8dcCKQEFS
9mAIwBShMXSbIY3v08HFjI6MvHENcvlZRYfWmRGkxrGD0iK9H9TKi0z1TqlAzjTkXj3bNpjuFEka
Yc3x8DZIRItggXHEAUknbZx6JPyM4n+wTCnhi5pkAYskF8WqbQscwYuGZtMNqQ4cJxyDmzKoyggK
AvdKtnVkEiGrULgVEHUjo4qq+ulBBB131usmHDbmvf0I4xtI0DU0oK26N40rJ5eEwatwPAzGGuIm
FBv5QrMuTHXCRsH8fLJvZkvFKyrNPVZU7BZaXGqQJ+FNnY9fr8fBCyAljjw1+uDBOnxqp95oYZuw
BqRoxR1/8aOBm8im4FaNW2Dwvy/uizQr9ZCMwJhS+50O2VWYJH7voEjrWgc7BqOFIivUrkHa6MtF
fhZ1GrwtTiGHYmwcqK6gPqs+K4rvRt/t+dCNz8Wo4U0RfP2KWoIJHqXqtTC20wQsU1nqx8MvI0WP
qQq2GP1nrsReOF4lpmTCmzuO07QTlM3RQmjjjUbw7YTtWcfJQFIOqajzdlLpcabJth+t7WXLzkmu
uIK6hn5MFzSB6EYScOYemisNDwK1sfcs/QkUzYOD18vWMMGl/qFnXl38VjAmUUyS+2nt3keR2LQI
Su54/QobMyUpiN1rnHUoXCOySDZF8kLs1946RvYjJMLAtvB82dg1L/b32YQKOG+/Eu5eq4+itFOw
pmqsPfWVeuwLbRObE1SAZfNYq5fvAssULl9nigejzLCuRvYrRo2/QK+UD+ruF5Bgb5KyOmh0ajxS
u3cOiV4v27l29/JCChK/KPedycaWfTx0PcHF7+YYAAgfXYRUJcE7Son8spY4NhmYcDbmeTCnVAXY
oH+40U4DA3OevjXNZtK/rMPJ9+rCLuGybecuy1qbQ6mvWv4zkk2/8p96duaQIbQwrawZltgBGBEa
ObWLf79ziyc1Ht61Qia8tw7h2kj3ItZFUvnUbdWkhfpOg02PxqccFRlSx5JjdU7OwVcJfUj/AyEm
JMqaFCTPELzbd1Xi19fTIdux++absbWeLO9n/QfTpJtq022cnTJ6+uHy3lv1W6hp8+FLSE2IJUqI
ygxjSjkhH4FoWglpF3Q2yObJ15y/swARwgTUuXSnHQGiuy+NfSgg+zA7Pg6CX0x3xcdli1Y/2QJM
uGmQamGNWQJMmxSIrvMRy81lhNU1s3Xbhcgskpwi/ZFSgo5Wa8EUxCLV8po0RGdv/qKm3T/hQFgL
TgHlBvHboPkehxVKVCiSx+OO4IWzyYa4DFS1k3E6rX4hF0kVOFoEjeIzRyFphu5luD+XgA7aOqbo
i6S/TcjGkPJZDx8vL+DaJ4KrQyIT0ofI5ginyp3RwlCClwXCs28UqnJKL8lHrX2hTwBUdE+PLWtm
p8jBKwQWtp82jGjsYyy7MmQYwk0cW0bVlSkwmLV10wfdvEWgfXmd1i7ApRnCualJT+q+A8Q4XMcp
EqOHug+kDboyQ4QDY6LLTOt1oLSgpC2abMuo6xW0lezmtYtn8cwTX+62orl05E6Az8g6Xuy+ZBiy
zqyP0v1zedlWDfp8UNp8WZfhrdszhNZAqtFtZqFToLB2uVQVdXUTL1CEeKiBUBarRywbpH8fTEfx
RvAHlbEaWEb2Mqg0iF2KD8d8cHIHBiZ1wAuSbPM8vW0bmV7q+WAhLpHl4goRfU7yrjT4870/Knfu
E3vAjB+mnDzV9twdOYR7FpSb9MV5k80+rwZOS2ThLDPD7DSWYrEnx30dkV1O5mqbo5XXruLjBKI3
OK/dDCqWuEh3l7/zmtNaQDvCKYd249gb0JDGc/Bmmt4b9NmMmwmjAEMwq0+Xsf4XOx3kvUAEhBZD
wc62oRWYuQGmEzCo5UwHd2kffbOL6JBCrsnD4KHpZ2b6VLnukTSs3l7+ASvG4vGE1xPuaLQTiQ/S
wQljvWopjK1inM6PsXKwu3xz3BnDUcpPsGYu4AzLwjCbgduHn7HFGcqhxu1aKdIHTqzcGiriYpMi
55X4FN2v2TD+YrG1YaTzwPuxv2zpyvE9gRaOb260nHAJlhbqDcQI8+a1/LLcPR+0gKQPZDn5RKBY
SgAvagjmwA45meYh7QPF2KTuNhyuqC7pAFu1BRlLtCIgW4kxs9NlHFimmomNZRysvcaOcfWajs+X
l2vFr0JX9BOC+6nll1KsKAMrKugGkk3a3zRoIlKmzTztXVlBni+8EG+fIAl7Ym5Hd8pqfBgU5ork
yOofU/QwpO+X7eEH6QwFtAN4CPHRHvElnUNGq9MgeAIqZWjreK5f/tQ3PfhjZJXqtbc01Ovwajds
jN2ApOd05bLEsvIq5nv7hh2jR3ab7NiHcogOBdB6SSfHSpMF1EA+0cT2cRtzwiRWCGpk1/Euva6v
421yg5n2bbSbd+aulY6frFxQKAugmMob5O2z6qOdlW082zDPxYTNkEUelXHjrO3uTwS07woLqGGo
XO2BQJT7AXOT3aGQkaGvf6T/rDgrfTvoPhnBVI4w62EO2G0OsZtf7YZtw7f4h7L9h/ceGFnQeg0g
Ax2bwpbAeA2EpfUGXrYgU5AWqN0iDJfRsqwdpAWKmOm3awyv1SMeEL3xjRp+oV2V6Rudv349Lm0R
k8BGWPRKnMCWFLIVJboYp6s83Srpm6vflvPD5VO7thVAZYPeUxCH6eiQPt0KTm+3Rda0NdhCWg05
N6vzxrmON/bsmN7XoaDjg1kFPsuNdt5TqFpXZzSmwg1V2R7lXZb+6GUta2sfyHFB78aL96AuEKyp
p3EwOug2+En8qwWPablNoJYDbdfLlqz0WuBx94kjboSIprk25vDdCduo2whaTh6SavdmyElOrutS
8p5Y+0hLOOHJUmdJYbYZzCJd5s115U+jX8hEU2QgwqPFpe6gJS2/j8anZtzn3WMaHS6vmwxCuFWV
Ko8wFw47VBMGoDcXQjAYb70MsuY+EeoR9GGiAnA+INHjYY+oj5fbQc0x0ytG3H84oSiyI31lo+UF
nvp0J5tOPBRaiOxSjGasOpzAt1ftNGRu08p9MOJ3Ry8kK7cWLDiYc8eYPRpmdbG6TvHQG8FAg3Im
1H3p0Hia8mjmkWcyaAqbkle4DEzYCY0ODtJc5S++clP1vc+mYzenW6aiLWt7+WPxlRKDhqVdwo6o
lNpxshBQw3RLWO1hLgyKhpuiCLqQ+nF7r+DJeRlydRMullJwQ+2YDWygeP+VZXXMSvcbtbQb3Yhl
fS9rgT/2CIpQ6AnGhKewSYYZT/FIwWUxUdXTstfGfnUNb7QPagISa0kZY30d/wMTk5EVLVhlawCr
o3g/5uV1zPo9ZrcOiVFCQGb+rVlT7znK16XrEZEvrDwb0CDpaKUZLqvKdMDh/zJFmjcnN2Uoq6+d
T+oLSMKu7EM43YGbOGr1z1g1oG7dmbhL2LVdT5uC6EFK4rvJ+U6sMKicF4Rsu7TTPGqNd1oNDlgD
JVVwvWBk6h82FDqy0VKBJwnoSk69QakruV7bOJuTFe27DnFBQv9A/FHidFZPJeoMvJEQ7Zli9lLt
0PoPPRbkxshzFz5R/a4td/OviL39gzk85FVBPuGaYvZydJtBaWb4zyw1fIb0h2unfidrVVq1ZhEM
CFdaA4IycDkDhVjZA34LKBrTx3DKgiKvjlSVxR7rN/YCT9g9czXPcGW43ZDE0SC48GuOf1QQWCLQ
zETV82ZW2XNIXiCZ6Fu5THB7NSxZgAteLpuUIc8i3Hsaya8c86kg4VMWz1sbK/v1jwdGZ7z9cShB
sSE4najI+lCvgFQ11+hmbZvrWNbTuppi4LRG6CRSCeheubWLh2tSo+xhTwS3n/PRs2cwLXvocvVj
47bHhplST0ufnOIfilJ4V36i8g21QMUDl7lo4IeHQ1smJZBJlyWGV74SDEKKCK3BmK0VG6QatC/g
I+GAGZP2kul4fCV69A7lQbQrUVkf28r+R8OlAR5inDREEsL+H5k1W7TD/lfUX5DPCyyWHRSobzhm
5+npx5d3xQmYsPntKVK1eARYgVnuqcUl5I2jpD65unoLg4Q9jqb/WYfsQ+3PaPKatRctf8y60YuV
X5dtWbnpTmwRru+xU0hX43+QNk4vfWNubYp+I7cJWse9Yb3+Eo3lxkpl228lajiBFZy8NWvuMBb8
e6HIa6GhpKjumKyox3+7EA2dgAgny3H6SK1b2BYp1aFwQNtAZX1xMjuEY9SjYWvKI9iRTvrVQCcw
ULkwRMaJshL8nFjC/744rTHmMyqMpmI32DuLXjt0O7UaP0+eSUE2I9kT6+tmWxBwxQNTE599tFAL
0+3g3GtWBXp31SSynNM5mzAnBFH/gxBffNCixdSdAghzq+9HsNYYPoQtrpSXW3I3fo+u0bf8jP6b
m3oXbrLWy96LP5nsR6xdYic/QnAaZtc6ZcOTu2jS7kfPhZaR6TuVD/GHesq8XvVRmrVksOuu6tN0
wXvE7qBQtQJq3phepz8Uxfd6uh7iyYsmiRORfEhbcCL6BFmyhqddLShgjWznKLKn+7r7+DSG/4LF
xqyUoao7lyPgpeGM3gS9+HQHUSAvqoNU3Y2lJCsuWz3BcYBkO5vmAoBzE8xhMM/3yZj5fRKM+pdn
9k+3qOA9xtIt2oIAqSM71iOrp3qlKsuG8tTguYv6XD/BfzRG2dE+QYBBGLqjAyt5a8sfVDW8gfwo
04Bp3jDtLnt82aYQfAnGhzDBAJU0X1df+/CHNFW57hI/TRJiJrUZQB0w4d+nbvxTYSOYoso3Wpvb
y2asxU3L0yuWvahVx8PMN3cNJiPF2Trpvov8XCeoPt5YZVBqR1PGO7yWvT4BFVxG0lpT0VtwxNjo
ziHZkNpT9+VVcoD/MDS/uVOe4UNKmc7wajTAGYExU4Jmb7FTwM4Q+YQaYMH1FSQFOehIVNjKh53L
+nBWd8d/SGe57FYFDXbfA4m14DxvK6/u/uVcLRCEJaxsu+8Jv8taJ/Ps4QNDOVCRuLw5Vu/LBYbo
Y52mS1sde8PMv1ugxIlu0ZoALczA1tFBLgFbdUka+nEheYknnlgjVJXRbqwG+r1Ee9BVVGucYOqu
++SuViRHd/VoLZAEl0TctO8zg3uL7pGYAUi+3VrmkdY3wKc1gkfSIy2pZq5GPCpcPmSj6HRTahu1
pl4DUbN29ArHi3S0W75mBeTJ/LGXnGzZLxAcFKsbxNYUVnbVL0v/wNzL5c2xemctVlFwUHPuzmEx
cQvL12h8dCGaqNyHPQ5uUHTpBqW9/9sGEQnQzLkMjRIztD6Y5VDS9sPZH6OPyIgh0/Iv1+OnbWJW
wxpbbe5VvheROFL49/qWsG9DdjRlrG6SXS9KeelZRUe740ijgkbpqwSKKCp0IKaPSdZcser9MIOJ
fmkHDXpiy0wzMwqlFZxm4rwpVPMi652a952sHXz1dC1gxNOlJXkX8UzNbP/E1NoArshQkldc3doL
COFwUWdQe5u/HEfnKaZ/2JeF03lYvfj3haNjpo2lRyFWSitTj2Rgfe53evjn8vmRrZNwfpjROOPA
10kbrKDUwSmY7PTo2/8JRLzdi7ZNKfIEeJfiHko1iJma4OOSKbJJTBHTBu2gp0bH01iq/RIbP5Jo
l0+S1odzTv/Tb+IIdxFoNMH/wS2xQYO8HwvPvPuh3ad3zr162wTpGzl0QU49I+iuXyKodjZec/Vl
NWThNwgPgcZBBzIEfxC2QNnDHF6TofHb6jpLrlV38i5/uVX3+rkHHX4GFk8CJdHizG6AFdU/Q40F
c5O/klQHOwTZUNcNmqbYmlbx/TKqdJn5p17AxmFVqrgeEXZu1Wt1G6Kyt9U245/Ch7qcdZh31XV4
1W7KV7J9iN674+tlfH6yzgL5hdWC86BUtfKZv5mj8YdRvyj6vIci7DZXwSNHoUxRZplshJv/k5cg
BWdSxUM4OjzIoTW4hWPPDTfgUPYU2eSW7JAITsW2yladuGkaOzhTUIxviiG5kmUQgkuh7WwQ3PnY
n+7Wnh7L/F062nAufXN6BsRbmOl2DbFUmJFeQ+ltpz4mHtrk7hGEtnMQgaW3BCHwm7YNH9M36414
41677X03eNF3BVi/JTGBxGLxom5KR2F99PfjPef9vds9GonkslmHwMQIL3Pi7SDsD5rrY0P4iWAg
go7TfRa+YML38rZfjQI4W/j/YAh7o7dAYa86wEhy9pIU1EsmY5tNoVfX1ffSkPWlrJ4yNKRwdRk0
64sE201rYkhZR9BhY4ypsSoPYrhDmwRNfYzTA5HV8NczRCh8G2jPxtCXOGZUWGVXTAVDpvexe0WH
NrZIco3BPtMr7o3bTlaUWz3RCzjhqmhDzJ8yG+Yl5LvBjk5ziCu/cA6Xv5kqgxFuA/DDlc5YwSpl
7zywDblJjnoV5G/1j9ZTD+kuPWb3pi/TJlzdjgvjhHvBzHJ0mZRApfo1+hnJ9BYrEsu4mzjziJga
BM8EvtYZnd7Y5ppVRChq5BhPJns123Q9VHOnoIt2BhT85uzt8lKu2rQAFLx+22tKpiuwKXeYdm0h
JPbD3kQzDmGD5KSdfTQMx/D5HrS8YvQMOian91tVQf/ScesOdGW3g2se1c7wwunV7veXTVrHQagN
MlTQ9Yl0bDOIsRPGcZLId8jOjrJDRa/cTkrLc+Y6/hr0CSTsB8McpkTvG2hVOh8k7ncWo7NXhfZL
FJd7nb/bHYgiQ3aRUbzL3jptuO9N961GZKuW2W3KSJC4ssaQMwcj/Cj+wRdRRNW24URi/Chiepp9
bYAxo3N2hf2aqMUug9TX5cU+2z8CnPBRFUXplVbDYvdsM880mIagQpvaZZD1L4qvyanhkNwT7oGR
TGU7pRDLRFtBbNdbREoeODXLTJWEuuuL9wnE/75cvNQKB8jRQgy+/GWY872dPPTO1gQxGPvQw1Fy
2GVmcWewQGvHuEtUkC/4na776E0kLnrT1PbWJZLg5Myr/P1I/5klzkRWhY37tWg7P06+d3Yc5CQo
UHWh5lsTB7aTXU3j7vIXOyeRBiQmW0E9Aq59iHQKnywL9ajqFU7lUEz7CdS3KvTey6T2cqO6zXQM
nlr11jF/9f0fs/ytQeh1KCLMKLmB1ReSH7O2R5e/Rfiqs6k1WVlUWOcxLb0WpH3B2OhxYCRxtr9s
99onXUIJnxRKFrmTYp7Iz0CJlw+qFyX9IZ0hiDJpX42/TldY7PCBSMykTRqgTFW5qRq6Zbq2t2QN
lOf5YgFGSHZi1+SVHQImVPIdqoVvSpX5mkk3SgQWO6r5mTp75mjtJrvFwEa6sZM56DAukozO5vLi
rp1OeHX0oWCwTTsTJ3HACKg0JrZxF41+XrWeRW2MjJrXI31P1AlS6LOMUY9v05P7+K/1aF9H3xYo
UsQe9jGrujZGLtbXmf7itiCx6qoUBIguSKPBmMKCKFIlh3V9t35CCiFUWIdpFOaAxLPbRuEX+upt
Mk5ePMja+s6DQ24dSAo0nFO0L4o3ZaGOSmLrWNCCWjdJ9AujL0cNCRcSZ5s0+2OjiUMxXM/W+kNF
ZEMI/HY8W1oo5VgYTQFNpsgm6agpWHUbgNcs3Sap+ZgNsyQVvLqUCwjh4EPaMiXVDAfbW9nWDtU9
yfOgimvJvjwv5PB1XOAIp14v8ZVy7sjT/FqPX0a0Dk7WQ6cFWXO0MO+Xk28KEiOXT8OqqwG5E1YQ
gj1nLOllA/KKrsOlaPWJbxXhtkz7nV0haerImgllUMKWRDzIWGQAKnasDZcLTdkIpUr3Dh3R95et
Wj3j0DWB/Cfv3hdLEVk+uUNkYikVNOynr7TclkPnIaZqi3dTqnWwbtgnGv/78gaOss7IeWARqjeW
A8Hx9ODGiZeZkrhi1Y0srBJuQ4ysEDtnsIpFxW6KRy+p/7ikO07x24Ac9+UllBkl7Poqrhotr2CU
QjdJ7t5koAYJx7tOtu3Xogp3YZSw67USQgNaApG8gSVIikVIWIUFfaD2+C3SxtuejRinZsZ8lVup
IXtoroKDWtcGqxmG20SF8UGDkpBaANxMMPZVB9P0oXQHrvVYdU95/SdKt5dXdT2i+UQUneVsqkNR
QtzUz34aG+uobQxnYz7WmGApH5vaQ/dDvCNXMtXF86cu9y0LWOGREY2cV7XmsK8VBDQDZR9CHnx8
NX4Xu3IPgmHW++2ftPNMyUlcdZ6cDA9JA5Vnnk7PBl6nSRWGAHa0G1elXtgEzJYxfp5PBXHzFiiC
a1E0muhqB5QU5PTdnRkxv7D9ce4C0gZ1VG0itmvwoIAXdYfny5909aAssIUsQllAsa1WgB1R44rl
ACHNda0kuzax9pehVh3AAkr4ikVekrSOAFUq404p5h1Gbb2mcPzKyj3s8ZfLcLJvx/++8GtQSqr7
vASc6n6v1YeKZZ6U30i2evzvCwwzB+NuzPjqtQn82UNB95F9dGbJNbdqCljcwTcNsQ5LZKvpqE5j
JyNwneVVrgRt/YG+0surtX5/Q7Ec3LMmlHDFPGODUm3haAhFTPqGXOARxeM2GOfvs9LdoL1sM8z1
t1J9zsrq6TLy6m23ABZcddJB7qnit12ibzu38asZjoSG3ohueXADbVJLxgq7uhEXiILTLkwnYZbD
71dSm96k2dvU+Q5S0we1UfzCkOnVrgZ5n3CWMFgYlySOB37BplSB7lT0c+Cp3MuLKMMQHFXZgsSy
4I92A18N4Szou5G9koCs7vaFIYKfYjk1jb4DCNLRASiikF3UnA2mMhEzVLIb/FyhiHtFB7vdwTCF
fqa123RgC9cYlq1J99W8S6r7NPwedtdG9Ex1ZM3Ym2Ye+vS+jg9d/P3ycq6/ChbgwsEeR1qVSQ9w
I99k5pWh3UTWm5nu2eRBTz5urtGM7wyS22b1PkfrMxS8CB92FDzW3NR2VyUALZXibYrVnQPmklHT
NrVpeF1neTVa46HYt/0XYxe4grFTFzsTsp7IUyTXM0PxybIiL3TYZqpebWimq+y1jHu/cl7NTJaW
WV/pBbgQFvZdrtszD+FpNniKcVOVt7b5AeWAILGPYLxuwiBq96HsTb+6lxewgtdRojly4wGwioZB
ReehAX2iGTZb1X69vLqrvnsBJDgbsKyNLY0BFIMCluEF5Cjl1sj+JT3ofsL8de+LmyilZjpBhAYw
kxt6zYi8vD57Sth4KobVLpsk+2Z//74AizMjqrMGYKn2R61BtuWH0SGMcJujMM3GLem3U+cNOCMS
4PWvBuVjgq5jjLoLbq4qiojaESJeig6maAj9DJrYRqrsMFzo6W2110BWjHGFg0HSjYGFxsD1U44u
4Nx9ZfrvuugPkl/EEc9e8O7nLxJ8Yt0WyszaAQ+A+gFTJeNwx/WhmvhoYnDP1ncKEvwW3biRJJj6
O2F/CVgI3Lq8NkB2g6WYm+9tpO8wsOdNk3UHPmkfyc5NrUSemj5gBu44OJNPUnIw4+Kgkyc9j4+u
GT431vvofC87DfM+GrZJfBxAMeiNWryjlfq7y9tNFIFuqFKJN4AdyAM3pz829uPlJVy9jRcrKISF
aFzPTGbCkHy4H+ghSj8aTQULbxBNTPK11h3s58cSHGwL+WcXg+S4UrQrqj114bQj9YNK7wy8KRQb
tYLny7atH/5PQMGzRi3JLWPE7qiN0MOh33dE9aHrtrkM878cyE8c0YmWRqUPAz8XxZ1jbxoHxCqF
FxF/bA9ZBinmPhhmb1SlKW6+y053oUn4ULHpgEgRCUlhRWu3Q/qTIACuk+suTHahcbSw4/F86dP3
DLmYKfWH8noqgraHivAoca4rD1Lgg0QGoqHg+LfFqghUL/VO5y/DqKGeC7Ehts3IlZFoQdg4QQFW
cbu6b4nf5qU/d48m2Dnz+I4wWUvx+SY+/R3CdaIptO3jBr8DjNL1FhmB0UshFRMY5f8j7cp624aZ
7S8SIIkUJb5Ksi07juPsaV+EtmlF7fv66+9RL76vDqNrob1A+xTAI5LDmeEs51R3fh4BS0k3x+31
U/+sXJCJkSwkmOaWYipZgH7SAdFuEIRj/JRQLyif4jV47PmzPx3vTEkNejgcsSXpVTfVqN2NDLkh
hgaELtipRr5pLYp+aaG73D/WYlxrRlha1gwNBNRYCzlnGc5G0YFv0lMsaxhPrMrsdNwGw8/rW/c5
XIYHuZAh3cuB8UAPAooHlXAsBWqD2aXrEtZWIe0cQG8Tf5gPJ0V/KBLL46lM3q6LmD9SPpzLRUg6
1yIzwBVgpWPS5U4BT2nib1hwbNawwdbESAFMj/PQ5msGnshbMrzn/auf3ltkZbx++URQGUeWBW3w
8rRSOrI+GBOcSKv34F3bxs3KkS8v478C5FklPxytUY0hoBgfq2ouBgv/Ue/8lXP/7GKgWQAOAZ4H
uBpA6I5DuwiNAjNklM+7Bah1AmpQi8LwToVvvAOAKnsFi0b8PtGieZr8SGByKIn9lVeEvriVv2kw
QWBhAsX34ydMEQgZxylonGqbn8qdvw++GoGNsfB0v0leMNfgsNPN9E4eTbd/s2xksp3qCHjJ69q5
UDTDToBmHIgjs3+QuzJJSSYWFECWp0DIPAxu+JV9abeF59vpEZNF2YY/KcWK0OWl/5Gpf1y6pXRU
lBxscHBHrHvS/77e+HFN0ulWjRJpkY/fF+RYFR7jzzxyr+/bouG42LZ5iRcKlIa8V6gFEcw6KcY+
QGcbrVdqQot3AfjVJrCd54SPdKU7K5xUFkFGWlZOkH3D83LII7u2ttfXsiQH0GQgqwTV4XwpPq5F
jdsBWh43TtuxZGdNcfeY+ID/BDx3q38fYpH/9QQxrhxStYCtUzG1jBfCR4l40cekqZQa6MM5Qtpf
AVPtKIfWg0LVoMPr9fUtqRvYtsEXhtlowHtJ+4h6WNmTFjaFDvkutRhePX/NczgvCNDYKAMBNBrg
Kh8XZE5ouk0ZPLCGBqgMKHUGOh01OyU/aPN4fTW/j112KAD7RuIBEzDW5+OqiyhJ6gbavede8wYA
EHfI7eGtP8WOL2z9h7Xvt9OJ2c/ZLbsbz+PdF5S7Pe6ZNrEbkHNf/56l3b38HOkyl/2kTqLA58yH
OIBnWR1frkv4DcRxbcXSfQ7zlOh+AxFka5z823ynnjFd5Jmn9NB+UdzuUNwyO9mBvMJLj9mmWYPu
W7ogl0uU1LXR6xI1HMin4DlJkqMVnvxcAVCH6Vxf6ZIgjTAoK64FuNokNcoi2qs5habqoG5ty30K
rlPwYKR/PboAdUUdG4zPHHyZVIbpGkwwi9STiSyy+Gp1nW35YBlg99cXMzsw+dQuhUiKwYSplM0s
hMKohOepf0w6cJkkdtvW/+JQLtYjKUge+FoyUYiy/CPjySZr05WTmXf+2mIkFfD1gRVKBwk9fUtD
bwjvECtqxXPNPBq95f2K6V+K6GGQZ7ZihFlATfpoT5qhrvIIc+HoHXkCjbWt6MSuxLsoflDza5jt
r5/U0hW+lCYvzudJj5wQ6vOjVybflTX898XNA6kTjCOKI6ZctIhJHPRBB3NvdK8N5s3VU1wg38K/
mPQtGp2y/3F9PcvOeWYY/9/Qav77hXPOOnVMrTm0ijq6KZH4hsncpGTtNbkmZr7NF2IqM+VpX0BM
YuwpD2yYa3sVt2/pbC6ds3SLppIESpBGDaDNXrvioPLn63u1ZHIuf1/StCnWirTT8fta7RXdrx6k
Cnzcdela6WPJGswIh5DF0BUl16RHTYtUpkIHgHGo9cI2dK9T91Zf40HkXV/S0rlcipLUWRFZQv0S
51IQpDen2CXitbRC9/8nRVIypWNNEDWQYqmHVOscHr8yZS1QWl4KEGMZJvJATyY/ElrgyjR8Xor+
7pcOKCmdRqwRMS2qAPsjRHqhgm0CFI8CQkKwL04kdBlwQuJYs0X7dH3PFiWZJkEyCiVSxqXl6AWy
3SCCaLAQDGH5d9Hg+eqmW8McXKiS4kmHdx3B+24mHZaUeojHUA9Rr3A6kzqlYb5EoI6kZKpsDpBI
cGw7Y2rsULrcslp5u77GpQt7KVvSPmtsSN77qALr2eS0RnWeuLbyCl+yp8C7tPB6RI7dlKPNQEwi
g77MPToBTE6bdS6tA92NWo42uNww903lx65uVa8Z7f8ahmV+L6MVDgo5B73yTe5M3TenEN7CjBA5
BLnTF9YRDHorD+QlXSHIMICiBOMgYD74aF3bRAGj5oCQmvkbPUlQL8jdJnAKXm6vH9jSHbsQJE8/
lmPei2KO3Ylaa72tVX7zmKXgskKSI8WNuC5tWTf/rEt+cCNFn4PQCZEECwc7DlU7iVTPGuDkE7O0
ozCbsRxcc7hri2ktTloKK5CIBBAjEpHg05HuBck0XxtCC2kP5GEpfygKsSUtgLZi3aXae+OvzScu
Wf3Lh54k0OTtQJtstvpGD9C7RgTgAg4zTy8xldmhelqu3L6FHDsgpxhCW5B2ItEs09YaYceCITYz
J898eOR+F2qPJbeH7Ksx3oXxXUHvGNtNaEK+fq6ftWiWi9YPMMPgYSsj6WmW2dKgZzg95ZtCga47
fANB8EpYuJCt0YCNBqhgtBWbhMpxIav8VDfSELA5urArUB7m5yG6BxV2Z+wE89T6qOvbKaROH26J
9iVdrQPPB/YxDtY0wBTj2vNZj+RmtjzS2yRNy9zJxu1A73rD7nhrl1PndODtaG+5gazBL6uqbISB
rmb8NZaVBflIOKNTH0C8ugzO4SuALOybDpNa+qEPf9DyXgTv109yodHrUgac1UfLM5qGb7AKMmpO
73W9tdMWiEnqj8iIjzzSPRICNiYYv0StYuutti/g0K5/wud7+vELpIwMaigNSyx8QQ4uGY4Jv7o+
FaK5Yc3gGn1kj2G0uS5xoY8DHLpIkAB/bwZc/w0idRHMlgmJ20mjuaMUwcR2Cu7rWzsF/oy23zcP
wkDltFTBXLzVDRCE2L5hBsFRA1Glh1nPjmzbhKqHiFv9Gh7LZ4cKB05gtsADRtFhItkQNnT5kBPQ
lRuRsUOP+bYI10hTF0UAE5DgGa+bn2AwO5bGoznCaPRTsC91y9G72r2+wZ/dGVZhImWOfB7UV0bl
V9uxxECsAdL1NIX5CwCYf6xC3eZibfZvSRJYo+Yhynl289N+oes/1gNYojDqMY8duDk/GPl9sMaO
uCgHCTyw3s0EdHIwZyUWrWGrcC6peqOpP9Sy9OoBHGKRoaxp5/zKkc0OHBYFHzkG5T5VuHSFFFSY
8TygefL758GYbFV4WoKiaQ5iy2fW3rTGIe2eBVvpuFu6ipeS579f3Isu06tQVEkO0Khbs7zVsr2u
KY5BTqZ41ibvupIsea+Zahb4+airfQYwjagI0lHNc4Q59Ehz/WHsnnhXoMKfb4uosRvS36pqfLQU
61Br/pfr4pfWCpI9oNCZKqjNfhvGi7Wik8poAdI8exc0YhjIJeYEPEMWwIzVNyjrTROsDaMvrxge
E4lnjHWghezj/irDSIQfYMVDbDwNugpabc0FmWHsxCiTMQRkYwxyk4I4hv+eUramWUtXf6Z9QCsX
HPcnXijiC83sGtyWvD5ahd3U85vUKS3UW3rP4huL77i/TYibRs5gbFdrtwvxIOwu+sIxeTaD2Mu5
uIqHft2CaMvpoz3axO3GALmx8kvANjDFS8Y99W+Bmf73J82x2RhvBSA3CLg+7voUVkEpZgeDnHZ0
jBsQmw9GU9xiUONxasOTGfnfupg3K8MFSyaDo3kVs654uMDNfBSrkSpLQr3JHVoS0F9ntskQlA29
rWrBChzf58hzTjXgrYmHELjbf7ckXOiyX9BKNXM1n2nSga+4wxSH2+S1zZtqbwJq6/p+Lp2iDvUl
83QLBpR+98ZfiGtBC9/GPM0dhD6PvymIdGBFqvFGs8pdX587rjpd628D7e9f71johWTpKJUcgKG9
Asm1f+79yGmyylaSYIsX1YoLWwqMIArOCy2fyOLIEy/KiMkCnsI+NBM50DCy4fmPQgH5fFFt4hQN
JXhP5NbDxMTNhDm7Wl3DkFlQIMyf6DBPAO/FpZWsRTaFpS4wIAmk1q+NcVujKaBoHupoLYOwYAkh
B4kq0GOi1CKjILVW6te4kwhztfZQWd0GCRqHldoPJWs8JR32aBvYrajQosbOs3vIjiHIl5MWtDBN
AFVAZhzujdwLMXYe7KrEo+omszwxuan5aijHjG/16Bl4uzO3imHetX+N+4C4WrXmnl54bwqWgI+X
tCV8EMqI74iEm8Y7Sp5M49aq0MUnbniyBi24eKJ/pMkDv90wlmFUwv5ngDdr1NeyFpiQoXaxZvKW
tlcHkRY2liKKkOEs/EQf+7adctANIp2mhKAoaR8yrbgRJH4YeLVS/Vi8LDA+6NPHwxD90ZKtq9VB
DSnVcgw2oNlRKwDut41b1abFbQacnGLjhw9+9hJaoaOGT9d1acGpYQrmj2wpaQyuLE2tUh2yQY6N
FoajJpoVdV147wK6EuiIbCYp/cSRA7TkQlg+AFwTxdpYUesY6ogoMNxfX8nSixelW7RZI+WEuqpc
EjNaYBfQZoR5q3i+CwNB7YmmwX1qBdwFr2yyE21+G5kMwkng1iONbBGMCAwD4xn4SM2+y9NxxRIu
6BI2V8V/XcXhylc1KWqajiYeS3lct8zBI8g/WiKeMpfrCWJ7syLxjaH4UbEieL57UhyMKjZCNLAh
I10ut8ewMGYgJQbTXRVs9OrUsxK0pswxgbucWN/S2m3WZl+X9PiDSEmPwzbjfTfM5HrAIyoLjBar
yOGn6NuNzxhhsHPRCBuRDVrudXWXcO70vr6S91ioAGu4R/gHSE4VdZ1ZGy/cazoiSItaXKYK9Yku
0ewe3FKl8d6R5oaqqePHcHj0Gw/RfW9UO9pWDsCgvDA9VxbzYgMzYWFuRyy88S22E7piD8VaD8Cy
qmI6eM5YMqRIJOcEQuUoGDluXdaBJy86tPFb5KO72PXr4DmixZ6Gb1pNbJ31T3qabKOoApr/3ze/
oLEJRHM4NGRqDNl14QJoYTwh8AmJgpQ+1QavMtLMIXW18jRaMgHwVDMCjIFn+e/Q/uJQNLMuk3ZO
GURU9yxNeHWXbFhirliaJQ+BkW9DAxkJx8tE8keDSpTIqEB6YgkdRtQL4/cwz7d0raNxSdMxxYtX
JgV3GaieJCXLxtAADt7MB1L6Pli/gc66NdSqQeCmdM+dNZqvWqtpXirM4libtXa0WKXd0KzonFLj
wYoHWVj3nL/UkWpDxPwpRsdbrKuiqcqcBKiSYRJuuFLdNgqKZpgxWbGyc0pLsiuIdJBZQ0EB/QBy
Nye4bHRizFiGdWV34dHP31vll95sUKA19F2Z7ZI1E/ob9OGayHn5F9oTRm2ORnaIHB3NrV6REHn4
DmwNvG3BgyfszD4fxE/l3Dqmm66Yk4Wd/bDa2bxfiB4FgOr5zOUUZV9K1Un0BLnUu56szb0vuIkP
cqTcgZ/6al63kKPoyVbB1FrMgSYy1HuwIQHGU6w4h6Wg9fIQpYvSExEOYY8dTZq3qQICU/HYhw8q
GlXQlZPz7YrO/A7NPp3gPG4LnBvAg8lecIrSyMwIQjdk1szWSathqHZ1WVv1BpaBHapGL8km4Cbf
jiAUelGLSgecFx/JoTHTDpBwhTZs0QoG1MkW+bdgS6dxvNfHXDUdMhGSnGFky13RZ9T0Qj8evsXa
kDPHGAOyEVMAax9YQXxTl6D5dfVKgFinZF0uNoOhVIdEzZVNON9Okuk+ZgZbVXvnjVp7et3Ho6um
XAndTkQZsDkG3zoZShkZNuhyijMJqPqECYfkzVBTSwXVhYVqDK/VQHVoqPm6LfIm2rdpT/AcGnns
aqao8A1We+pMH50AiaoE37QqLFwk06tHUgJKzR3bst+0UaN+pcZMf0zVkKGslQaCbQ1R6oegB7OL
3RR9A1CBujfErk6VdF/AvEw21RLqxvWkerzUe9VuklafbF4MHEm3AeMsGFwYu0MfC946ZRBZ7zmQ
EjF2bfJfcVBo+5TwcIfk0+jyxBcM3QRa7oKEosO+5dhkO6ijMXIBY986atwAjt8QOgxgn+osvg39
VrQ2wEKNXyn3m29a2IyWEwd19aOttewxB5ixbxvlaLmNpfBfiYFNfTBzMzgB1FCNMGKf5MTu6XSk
zVRuuioGjpyGGDLrubXrMnTZOGgl26dNGx0mEDfvkTXV92ozWN/KoehDW88EuNeqGnqlVAPJDoYB
VtzbzMitja50YeBWSZvdgEbGv1X1Qqm8MdPMwI11VblNW2isPeZ6/qZXo5/ZPkhbqFONU1m6PZDA
8/tiiMQNq0aCsnExlZOdDWU5I2fntbFBJ2SwjURfo+MTZL+0GsLJLkuwZdk6yXXtXBhdVmzaXmuD
W4wakOPQ6/WG4EX1veNjueOMZYZdQB/W2pMWfRcy5Jzg6QbVkUGMqqqBzqSg10OXBeY9d6K81fsv
cXhCXTGLPJL/AvDiSI5sdep5SfTcjYgJUA7nqcm5pLxreFnHCHua0DjWXXcygvcY4IdGXOx0iBv7
bpvr/U0JxAMg9NgNzVdM0YLhAyyLxpC7n+H05aJUpqhTKhAYO60CujJnZxzbnuIuqkCRWmv6WbDp
hAAWDoHV3IEp5ys1JTFqrQFPDDjJGDsVKXPC2hv9J5+Ef5+km1HhVNRjAK8HE/vRTRVjD2NZBoXj
1xS50ZLmB00d2sQOp9JIMXsFPIkp0OLMnlrW9ysxwYKT/BB+SM4rUTqdKJjsAG1f6Vml4SrY4GaI
nYCsVPoXjg8tiGhFBOI0nIEc3JNh5JU19hnatbKNnxqFqyv5ozL0m8hMN1aiAMglX4ldF17IH2TO
q78IAcwgYpj2hswEM0BZRRCmP173jwvRMTh+EYfjMYCSkjwq4Rc8pPVYo+BjYKgsS+wY7EW+9fW6
lMW9+yNFfhBmImq7qW8xNtVyuFLlJYz5KcyYo5jJ1gzorgv+Ghh/ztarmBXAZaMEOYCPW9eQsQ6n
HmpJAbpUqy3CC5CTh2t0HQv6h+Eirhlz6zZAdmQxqDtYhSgQpGnNpjK8SFDEUU/mWl5o6W2J+Q48
lnDFEK7J1mNkQ0GKIASpIi7RW4nmAWTexykznKZLMPvQYz4CYH5RPE4266nPbIxthF/9rgWXZYLZ
y2MWaOaNqDvuiYCJje8XwY0Ie2Wj0QSQQEXNYt+Nmx7F+oSBGkmvOhGvGIulzMCFusnpprwpNIbO
fUyNiFeWnC3/lz7sw3ozJWeRPrLu53W9WzidS+02pQxT1IS6Gs7ihH9rgfc730zVC10D7l28pRfa
Lb2oQwOJbTJrd2UiidZHyO3Egqy8Bhbe7fCac0OTxVBy+4ScNur6wI0eIzAq2lGLTR8fksLLwxeE
KLV4DgyvIY9juUf4RtV7svb2+uxQPkqXdjImgtJymKc8AuoI9b0CQRICDdvP1Ze86DbXz21NmrSj
E09EEtdYa8vPGvlJu8ixss5W05vhH4q2WBlYbH9bP/oJD4VEhd5Z8xiOMZYno1SOairsvgnOZSSc
OPW/5BlquI320Mf+nUVD24rfrq92thEfXygfv0DyYXmKMFSLsdoITQQby+o1zJZWmmNq8GfXRS1u
7MVipccXI6ByUTMstg2NG9REtgU1DoR3dqwnjkjfr0tbXhiS2CpaIogqD5WqwSSSDPG3Y5R7OrhT
vsn93XURywv6I2K+mxceMgFsva8MEKHF234w7SKenCk7xt0uil+ui1q+gWAt/M9y5uVeyJoZ/vRB
QxPyeEjhJG+1bX1rvdc7/Qy/aRyol9xHK8tbmL+bdQMBPrCtEX18Ao3ShljrQshsntpN5CIu9QrN
wTh+6EyeuZmByEHNugXKzYGd8IcjdPeGnFdxqH+PH31W0j8fIhmAMoZa9oB2c4y7xHmJbxJhI6jU
G9c6omiAmZZvsVuUtvKUPZO9WKnIfo4fPu6CZA/UXtPCysApj4lX9Y5KbhrfoTqezQ8FW2veWpgD
/yhN0ql8qGLe5/OebwsX75HdWz04nRe5/EF7aDbCNsfdmg9ZVq6ZUFRH7hjxpZTAxu6WPchLG3Dc
Mrvu+k2OKWm87jCF3t0imreNvD7pLNgwoDAnmm7neuy2xg8Q9u2v6/nilbr4EumkhQC0/9ShW6wd
vrL+lvLMsdAIzYDgJLbXRS1r1YUs6WBDq4gLDVhADj1kx9s5rXeOzo3HnqobTBQxmzjhtn1X3Pvo
sNZTsbZM6ZRVvecNExCtmJj2R+EU3RxuVbV21P0UPbVXVvo5dwmlulipZDyKKAsto4C4UUFDqQEm
531leilwqTT6xNk5BOJcWG6uS/0c/8xC0TuBRkw0IsoJU2XS8d6sINRvY3sc6weLAVkkP2vAe74u
adHUX0iav+TCNhpGWdOKQlKAFuWw2IpOsVVzxQwsC5lnwfCkBcqq5L3QEtzESHQh09NU7mAV2whT
pkL9+ya4edf+K+Y3WsrFWuJ6UKbYhJgB1Q/FzfxzXLs9Xwnols/mjxT5whsDFUOSYcdizxh/Nfwc
ZW7A1+De1sRIt9kqzGzUNBwMwpxmr9bhD6XLytcsjn5qHRH/pHB/FiXd5zRpLB4DtBKlrl9s3PDw
idUHtHlcV7b5an7yRTMcPcotOkjWZj25OCDDrC0uRhjoJBBkQwsG3J4xXDMQizt3IWX++4WUcACm
U5HADmLa301ba6dnTooErZHGK+tZdG8c7zpcUnR5yZNneZICs3G2uMzEe1V3lNbx02/zsCq/U0To
Xt+9NWlSuDnRVmCiDxoxVM0N8fH0K4s6tItOa7Zo/BjxfASLe8r5WvvR8ob+WaZ0fcFTh5d0gGVW
42ORanbYcjubdolOnOsrnH9I1g8NrfXcQtiJDvDZ9F+cHDW7tslCXK3M8m1gWm/yPLRHXdnE2mir
gMJMLdR/SeJdF7u0sZo6Zxsoyu1EHjkpQxrEWgXlb4YTT9GO+Bho+yD9LorRrqK1KdyFZi4CPsM/
4iQHlmeN3qkdxIG0G7hyJxOoSrnq+eRs9M9huE1bJ4v/QXcuZUo3ryvQaJEkkBmgPc6k+6xK0JJ3
QliimvdWtRL9/q7Nfj5I08LAAprVYFY+HiQ6bGZKj7xxePhsqA5pdrWyj7PAjshRQ+saB9aA5aLF
e8WbLcYlc0PMfwTLd78vfaYUENz52VGtvkbWt7x4LjEioiSTa5W4H0TZjw1KQqxAxrxyQcaBeUSy
qwUoaMBB4xeRq2ZkyxS6ot3zoq9tiqTdTVkHGC+Adk/ALdP9h4y9RcOKjKXgCJ32mBDBwJ3xqWu6
qirmVyNkKKKp7JGDe6kWfWcDeqHdjG12Qo/6Gr+5tnh/LoRKhqlLAVAwBOBaHM38OQKFgilat8gA
7hzm6Oc3nA6pm6j8UqjhDao7JJ5uqfaMCpZNzM7NjNHF8Nyx8rN/UsOLD5MMl8qCduhU7AZBcrRW
XvXW6zoUm39QdMFm/SYobs300K3hwS0eNCoVKB+iZPKptJ5FSLhEYNl0xiFDD13j6Vbg1Vmxtryl
0BTlQtDOAeoCoaLktNHwn6LbD5e6q0ZAzSTOZHSbxjQdo+GITvUnKnIXVfD7cRIrspc8+aVoyYbR
HjRSfLZhLesOYVnuMc63osrLu/hndZINyXod5fsYh8ebARzpFCYkRnVL+yeTcbGLksnAUJWqR6gg
O2VlN27s1bv2V+ihnnusvMzLLOesP1o27+3Eab3x4brrWVvkfJ8vPF6RNUGf+FhkGIPaiEebhNWb
flxrSVh0rBdrlG6oiR5ws54dq4Xmz2lr5Q8cric+Rq1bqV4br/SWrK1KvncNBwzjvKWJ5tb9LWNH
Nrxf37gVBZTxdKPI73kxh8dK/jSQu9UgcvH3URpAcyAoL2BLPx4MqYH3YE3zErK7psKMn3f9+xdt
JjWQF1Y5scA68fH3WdrlZlLDRjSYt+hjvJi16NEonhgtvIolN91Qf78ucf7FT+7nQqKkA2XK1JLr
kMjGPcvxnD2Ximfk736z8kBaPP0LQdLp91wNYlCSAUHGumuBOEVbUMmtzZoursbQ8Z4E1A86t6T9
i/tJiSgpYYB6uLc0GfYqyv8ALn9TxxId5OrKeS3FwJigmMco0BmJfrGP50VblKHyFM0KwvJq+mpp
LuPb1XbIRa1AZzRCX8yKaPLotZL7aYCn/vwaT9yqAX5gAj6gGfgn8DKBzvu12vbiNv4RKDMpiiYv
QqBMwPjlO0s/VdWmyX+q1pPG9v+gfReCpFdzoFhlMJTzysBFzRp3rIAB8F3XHD6tcCX+nnWTFR3w
cajYo2Q/QyN+PKoUrT7BOIPtKpktHPXADsxBI9Bohx66O+14b9z221N0+HL2Xe60b4/1TesmN8au
3GY2ttwBR+DKlfhMaWohsPrzTXR25Zd2Hvi/FWE1gFrv3pRNcCBec5PfJ6/ktriZTtFruJ8297Fq
G+fyJnDHAMH5ijtdTFQSBqwHYL5g7F3OSMdVAYJfDnhQwB3SA9kNrnD7wkZb/AZ1rzMaR3diBUlg
oQsPy76QqX9c9pj4XcVmfNrvweRox+FVPY9n9a10v6Dh10Vrnl254kBvsOuesaJxC4QRH4VL4VHP
ScQ5SFOQ9s89uss3/ujEO8Xpt/3Z2OEZe0xO1naN4XrxCXK5Zik0CvC89YsYYhVvcsuNYeeHOLa5
U/84lk/0zrIVl92aruqi83HFSC1WHS5lS1aqGcteHQn2m9xp28l+Me+G7fcHZrdb5moH9azecYfs
qDva8etju0WEHq2p2ZIJu/wEKZzqMqAyMx+fAOQwDSrWbB4me9gqzu+rl23Tt2JnHsiGu9cNzPK+
z00D6OU3UW6Xjnvo6FgHHfbdtCOoVo18f2t3b2QLMK9t6BQ30Yi2z6h00q0P4qyVMHIpXiAX0uVT
rxNemhak+zq1abfRUVG+vsAlCRQjt+iOMMGxJA/nF0oSQp0HgDYlkTMVCXC3t9clLG4hRfsFwFXR
5PVpUFnLkj4KVYhAQl9zSw9GuvkOzbn5kb0U9s9gHzyNtti3TvJirW3gkoO9lC3pDa01Mmk+ZPO4
A/MyEAldgdSBstZ49H8sEhqC1icQT8qj0qyrqricIIi09vSD28CNuku/BXbsGPcoB1ZO6HRO/gUJ
EgyH7lat0lJ0BNCt/4qXFKUvwzAF+DP2eLSNH8NbfIs+fQKyaZTJbfQ7fgOZnJPeva8c7dJbEZgI
WDEFhgRGcD9a4qjpIh84hdhe7cVMUAv/ycxjFz/F+ktkuCI+dGuVk0WfdylythQXPs8MSY8mKIgE
LUp833mabd5lbnZT7GMPyA6M2NoJQIadE9nh4/ASbQL462dUrK4vfXb3UjgA6FGC7i/kaOdBgo+f
4Vd1KoYS3bADe0Y3MU8B0rFDTtGyYCDKO2stMl04YGS2GXr8gWABvEZJnq6PVsY0YGqqZdrt0DyL
Xjo/6vAQStaomBZMggU0ElS2ke8yPjHHJWERdlStKwezjFurGL+Be3slmlpczYUI6RCzsEOobUCE
Vpd2k09u09914+76ES3cfQsBkgosJVxKAA99PCJWthEJCwiZCFKhQbxpsZx4ix6O63KWUq8QNKMa
4c2AgR/JPwZaSmqlbSqn1w4DwkM0w3R0R3w7UEAIvbeS20I8Xpe5dEaor+HaYdATXFHS2gL0qURx
h4mh2kq3mV/sE7Nas9vzb0gqjmX9kSGFWZMhWJbEkBEXlZOqGzy/AVCDcXOyrRp3woDg5IpmK4K/
r+uBUBso3fMsEB4skssteFaEgOSoQAp58v2f4fCYt7+ub9+iagA1RMOZoXtKzs2rQz5mY9dVTlM8
lRw0ouSHmUTwsC/X5SzpOVqb/ytHMssiC400bSAnL5yYnGh70tZgVxZamQlmmYBEAKrCuctX0j7F
DJPBV2ftS/P7KfIBgxznL9VE5vFGGnhjME27Si2yY66JfcXJF96PiZtNQfpwfbW/C8ifNAZTxYD9
5WhPkbdVoxnxNbSMOl0yBIldc7N+6XMRnM1kKH6MNANLa9QXZooKuxG7gJWyTiIWDE5TiUsHBi3z
8OP5LovNIbFLxCXHwap7E6yyLMjRQzydAx6gNK4UA2h7GvCJAQPu2QBGcGUnPfCvbBVYTedsoMY7
8I35azNimlIdRhA0814rXEHD9h5jGRoUuAJBE0gERKNHd3k7p6z8YrRsvezCbR6P+a8eM8WBDQZe
dRMA1+isZSVezqXW6ge9ba1wxacsdHXOvaMzKD4cKuAGpDdmrzTTaFVjha5OxbHyZ2zxBqMV24lP
Xm1pYLomB8RS3wPjl1o2j6AUt4UevcJhgI8gsQVa1bLqK4BUgOvce0WuoZrWrWAULKg0uGCAg4D0
MPRNrrYm4FVXSwNnDGq5mx6dEXk+HAbz9boqLbjXD1LmC3zh5cPJylpDhRReF/2JYkhG2OApI0D2
YeG0V7M6fohVvgtMP3WKoT9fF7+wSNwpMIcgZ6J+juZ0leaBauHeogXzmGjVTlWyox8E/+AGcdQW
poQxLge8uI+rNIYgZQXG5RzRmneF2rkjWh0BJi1WEgVLHgpDVqiYodnPwqynZFKnUus7TC/B3vGR
bXiboDo1Yg63NLvysQoQNE5Brjt6AugS0JdlG73Ngqfre7pgc5F8QqgET4yZBxlHowTzd9kUs51C
vNS1vyrgElMMqPi//n9yJLdV5cDBI2aF2AIDbJyVR9XwX6LEOvR8Es51WfMBSQYPi4HPxxgJeBzl
BmbhDwWQ8KCmVY50IXmMitiO+LYD2k+wxsmxtH+XsqR1UV/gLTpClsIPHGyOorlVg2NiKvvra1qU
g/oSAvoZVkdeU9She2gC0ZETCt26H3WEzoZSa784a4U9MSN7vi5vIZQBJiSKi7CjMNTyxEg2xOGU
zk6DpwHK8P1D2q8lyhau8wcR85IvrEnX0JKP4FMExRCGjYi25dqIqfP6H0zjjEuDf/9D2pU1t60z
y1/EKm7g8spFlGTLtrzbL6zETrjvO379bfpWnUgwSqjke845HgEcDAYzPd3QFEUoPzcTJZZSLetx
1tufLaaX5/AhlX5d3i0O5xn+8IkRxg0wdUcw74btgnr12ncBXcmcvZbyTlGetDwg1gzsBiBRNwNI
gES+wSnDwDjePDJIakA6xqyQxlJeZjlWSI3OMfXtBAm3KbrJUAyNvW6MBRci7xZQkFeDYUiV1/nm
8w0txkbql3Z1+XrahakeKPP8DkzFVRWN1zrY1WSq74gmkv7heaQKxg1wmoNOBeHy3GwdRlJmdFhl
OndBr1Y34BT9+8iP++2PCSYxzMe00IzVVYicHEe5uMeIHmbRqHfZW3iOj6+lIDohH8NIyvlKULvK
qDmUiIWtDcA13ag1hYrvIjBj8vwCLyBkA0QHSIDdscZERVbVq9YdYqWpIImGD+a0IZkwr5q1ZDPG
xNhYYzM/WEM93tR5nnm52oT4jyT8SCeRMZbpmHLcqRgK7RvT6ee28mTSSovbYozljki5dpBQAPVz
qtZB3WGYxwlleb4OR5Pu9TSEriFVUzAs2GHz0oc2prBipQD9mNEn11PX0qOtT/Vjl9p0PwLr5o19
TS0HdRMzdira43/V6jpNXTwXCuKAJ3n80EgejT6GL6utVCo2dMPi8M6awATqgvd42uT6DCq5Wh8D
rZnt1FE7C+3dOL5rRy3ZyEoT7qQy3GWVpO5MifhKTbVNWUOviU61DZiavdzaqkwDnUj6NWnw2nLi
fKgKXyszzG3MBihtilnXtgvt6PPSGkrhTGaKWV+wCmGSBzMYobOkZe5bJB4f53xWgqEpsjcpShQM
0SYGMEdSCODTZcfiZhTrANJa9Ccrmd65Z6m21JW5iYfhSmh6nYRNfTNMbb/DAI7+DGhbmDptOcxe
Lc3WDURf09KZgV0WHCPeXQXaOdRhkFqAAJIJhmBxTeVSwq/oU9mpltHVpwfN8pdOkA/y7vlTO0xE
wAZqy7wqmljgMDHppsLsNEUdfnoYR0uwtaI1MaGhBMpw7DPkLzJmTwcbutcYji/85u+VWgCGUzAV
auCxBeAY8wWHyO41iETgmd3HXlV6LTnUuuWYyvavXUXBlYWHqQpQI7DszILsMSmJPLS1W6Nb1scU
Hl7iFL/HWgmtr/epQN7pFboiCErfY9+52fXfTy79rCsLtU1hdiCTXxeP2rIE+SAwsv728wQQjP1r
GLdADw4oHGOkz7VuGWXQb4wkRhUhvs2iQeB7IhNM8qJULcZ6I5goCjT0lzA+4uUlmCzl7BVmIhXQ
fOI5snIKnu9V28jmCHkW0JXI9X3ZST+iMEehrD5edoXv9zl268QMc1yHJG+N3oIZ9Bnq/LbqAYtM
DpAfz21fG18KI7hs7/uxXe1hSTbwggDtM1+naNB3Lwh4hvoFLl71tyk1/X7W92ofeibU3/7BHMRt
UD3FkA7Kw+e7mFKjMQYF1Bkh+PMUmvukMTy1RrtDiw/13+diWNyJNcYvmnGeJUTU2m2lWwpJAlX9
7LJDTzYxODdL0cQp79MpEAhf0X+2Cfzl+dr0LFFpPFFYM37ppm+bwTz9ztNHewq9ZvicddHcDe/b
4blqgK0LJfZv4UnXZjAhRqgKJcnskyqsQYGvz86QpWg1mwsgYsPPy5+PdwgAIrfBVAwKWgCvz5eI
en5lV2YNVs0KYxjQOwVRfaCCmEIQ4HkrWxsmK77EwDAXY8daFjPBWSvdsoP0+VUXguF/9uMWDA0i
GBrf1H/UW+w8N6pxCqE55uHN9rWScUUmT4sRO3W4XUQMfDxTp7O8axg7CbcVSPGUycbYq973jjpv
leGz1Y8k+TCIf/k7fb8ggYIE2BlkYiBXQ6fi3NKQDr2pVBjjHcGYlsq9pyVbQ3Hs8Pmyne9J7bkd
ZkVpZw+mpmBF2jqWPmQfVg3VUyXdZLn9RiBHWmeZINaLTDKuYZYTSSmFyZXDvw29OL7vlsgF52lG
PuLx7yH46wpR5QJgTLWAcD7fySXqrBxpLEgM0KnIkZeDpntMjiQT8XtxnQOvOOj1acpaGz43RMNx
UeUChrr8hRQHKd+00Bsvbb8BP8o/fLUTU8wdU4JYxpw1mFowu5upjloMfp7vI3B9AJpIRKSbvNsZ
rBr/rYxxRi3RYtlu1y2Um00Wh1fRNIkSKK5XnNhgHBG6fUWiD+vuLe+lcb8obhXPjrXs+3Tf0k02
QW7Cwfh3n24lyNIaydNk3xv93WJkwCc/Xt5fTr8BTnPyaxgfBZl+Vck6fk07ukN7BapDB5IJzgjw
Q21c2YhmqrxBthqX/iCcEFwdhc23UHrAXCTemqsqz7kjSUaTRVa3lLhi1bdMA3NKM91IKExZShYs
mFGhJWbB2vfSzjHDEhaiT8G1j24iAV8eWi5sb2oEYeSUSLR0B2DZNG3E+zV3yuFJNkZHL7StpKP3
V4Q/dKN91WVBdOCArdbiCwq5IDldK6jM6ittFTu0sPpxeplKwwvV1luswkV6+BzaeGJWEOeGJLm1
zH5EslewEfmh0V+3hXDCjxeET38Kc8ygNqDNeY+NKG2njmJftn8hyZEbkRg5Z+jjfM3MAeutQq6T
CYYaTEPl2bOGySu5drrq0RgHTyqDBiNL64M4FrX4OW/c1TTAmahpAPrDokFtuc9GFA5LsMdAbrUG
n+6nJh8LxU9n4mfpbbzcFP9AUH9mc40FJ9co1XGyhgY2GxBTNb6aLFruGWkxgVU3md9Gu57uLx9o
Xmz+s0oUYM8tjrSFCoICi8s8uFXY4OY2D2XyUNgobVBRqYgbPtYCIqi0NR3NZaaml0PxtxpkGX87
tpyYurJ8JHru1OajZfwE+X9eAVKpv1bh7VAKTi/fZ/8zzdL2YpCTZFDqhdxJM28mFSNRg1doGJ7P
RDFS5oQpS4X3QNIF+nEss5XZYma0VWGpqKAFvMEghRodoD3tKNo+Tz0TrASjYHH8g3Jik/Eck0Ii
Sqlg00DGmpmbXAb3DChe041ErowmoNBwlrxE+XHZfTgFaazzxC7zQZPRkoZcgd2yGN3W3rX9DTEQ
CN1+ugY1vCz1Hh6TcbUZVCc0/n6gFdYBtwJcRUOeqzG3kYJaOCjMUQrOq/ZpmNJjMk3uFD/nkuju
Wf8Se/WcWlq96+Rk9vOYy/MES1WYe3UcexraxLVU+pf3k+ekqJZgR7VVm5WteVfKOIMBWMGCJOio
mCnKklaEmFPq+numiHSxuNZAxL7OC0BZk3VUq2kLRUJzEyxFa79CA9V87BZScwz1wb28MN7+2Sem
GP/UajWPoAsI9h2paD1o6YJu0EoNrzZIcNkSh7IBzFwnphiXNEkZj2MBU1V51anvqn1noDwJyaj6
I6OeRt9l5VkJt+r4UmX3CsYzRUQdvJh68gO+EMwnvgICPqMDnSDShOqzKPayda3oIK1R74pEhDxc
t411y1NTbPhuQr2zIbXhQhv1dxY/Z2XiVMaIwiscB9T2I5RML28vz+KfCwPv8/ODENME6ovrhUH0
z1S6ympHAldnPEOL7JDmogPOc5s/1hBPz62FSrOk6FrgCVtW+6SC4GMHfmL71+U18awAaYQThw45
AWLs3IqUGlLWYbrTjUuyg/TC01DHXjP+g8wNZAj+mGGyJs2KwTmmwwyyyKu+0jcUJpKZbEF8LkDJ
c74SJO90zCuAHAGQHHZFCWa+vlzQtCc0TULd9ia5QKc6Mu9SMPJ6pJ3BXTJ2rSCf4LyI0LFDkxiw
GFRG2fJGWQ9GXBRx5ZIqke61oTDdAhhmgROuTsa4PUjWULkGBAXz6ew4Bm00DM5oeBgXzbMxeHJy
DaazLny3gJDGSDIU8QStBg4KHq1IzUARDPNVmAVeXejkTDfVCGbBZuWohuSKNkZOPozOQE10WYhr
T2Rrq9RPgNPOiLTTBuBSzcgnfRL0FL2QaALD3eSFxuRTw3yUKwW4ohzU49kmRTOhLm03A4XLZa/m
+AC0UnQwxa2aIrijz38yzVBPyCUwkEsm0mQAqiwfwoTN8BZpDRjPBdZ4+bKB8i6QEOicguCJCQzg
Q4w6dTVnFrdt9HPSGmdSnw1yNOlWmfxpgEKX4FLhBFqk55hrQtEOZUkWng8KVXAXUNB556T3kgjU
LRjvB3Wrdd3oiWB9nLsSDgB4k742OVF/Ot/NZZ5yELpieWXXeXWIfDWFDuJn0R//+qthngbTDpi2
RvOMfXaYYymBpQ5rmvuAqLMTxrtoelQzvDD7rYlI/7+ZW53oxK8rpaWyuW7hHD1VgK4q9k063sbh
U7mOwP3LowqrA6oK4DHIlLCag0XdYGxPxqhgNHm5BWBf76RA43UqVCWcjuxodahE3UrelzPx2XAG
cBS+tTcidSBznE+AHbVer+Vumf8ql8dJFkmycbwRJes/dpjwHhU2xA0UBCVibUd7D+omtHUdhbp5
LSR+X9+9bADEPYXuE+bB8UZlvTGa21ZPYMtU7mb9TppdFeUINXGHfnSIvTEVr6o3rYUZeS2wRFSK
vLMO54RpNFfW/sq6FSdeg6Z5ahTL/OWkvfyRNe8m2ajjtrYhm1k4dAjyWXAu1mj1bcUnJhlHRad7
LjsDX9FYMd3UfgDpguDu4n7AExNMBIsNbZnICBNSE183pN1IUbMZ2+RAsvxljBcB0pn3ZjvdRXZQ
UjUwrGv12EWzmT7b+NbMIa0aR7eoKO5rbXiQImtjo+zb66+YG3YuH3zeU/zMOpMi2JXdLzW4zdy4
22WN36Qz2M3vpeEzjJ6t+LqqHxTLb7XHWhe0G3lvxjPLzEFJJFUtFwuW2yb1pNZwaB9fEyO9bY3q
qavzzTLdQ2MtkKLRy9KHRXtWxlwQzoWbv56wExfONAMqujU2P2s+8/AIlnOvt90ivR0bNx93JcVr
/aUTUbtxY5GBVjhCEVrGbOKyLJE8lzqsxopX9g9mdxdOm7QUODLn5ifmHyvsZGiWhkMlEVghOjKk
AbnKhipblbyrndNOj5cdiZOLoWwkQ4kSOCOwFjGnJjGXEiNmCEW2BY2nLDDq58WWHlq5xGixcZ0S
1cmJCNMqMMoWczAprvy/qCoklqvxiYRXKUoOoFJT5WszShyjFPgL54mwknWDYwo4ReTVzGkxgLKK
QM+NjFM51r0KQtzdIkS8cbzjzAhzMEhhFGGvwQid73rUcXLbbRZktKK8SbQYxvcTCVBFs17tWD9j
cCh2S+gIZ5Y40RTpJ4B7qGJ8CfedH7CyAZw5Q6vOJbmr58/g27Wov5AU5VrRx+Hu20mmy6zHVgHp
r2SYqsNbOv5qpgczeiC94E3F8zkT5xaE8UgiMOtzviALbD5qaCFVqoC0r7KdrTzF1as1zw7pP6jm
t4gZl48Wb11I3S2Atg00zr7GDk9i1NIYeZROsIghPEcCzaWkQ8CWhh6g2v+bKbZmgZ5DBgDaakqa
3GzOtpL6okGzlFaWqI/BXxWeULa+4o9YhjPIvof1HBHQRfRt/llCSvOnVSvS66R29UMHrXbiL1Ue
XUFKIr/OKTWvjQWy5gHQaPEuG8yqcqw50fu7sSyUwU9o3IyerBWjIOPgRFHQoKuAT4IzH+0mJrDV
BBOVEPkARz/asSgYG90dAdA7h46TVoFatX27/LV5BwYQylUmEFmqbjOnPzIAjqw72It7iMpUvma/
zUggDfnOSv5BeAXgA6igAFqLMT/2lSHpbTVo69po0yovsxovvmrWhzaqqQecx02WV8kWi3+/vETe
M9qEqPAqW4zHzbcXW5xr0M5Lo9olIJV6tkp5uQflu/JAk1lVXG3M+7fJ0LKtqhfkd0MG+wek/Ua/
GwdM8c3o+ez0siOveLBE4KbrC+veSjOCCfxKnybPaMY49tvRyF5ILM1eYWidl4I++XdENdQ7FAXT
eoKDw8uFTQzDgKoVk4YAjzCpeFhjYHPKVlhT9abqB9XOPWIca/WoqqBDmPed7qMleXkfOa55ZnM9
YieBQTdpO+oWoE0S+EkoWMiK5cdaVyV5DokV4OzQzr9skdd9PDPJpPzzMkWzqa8mW1+uNpUeFDRY
e7CKCRbi3knqnR2BINbrQXlRH2v7+fIP4C951bbE1A3SR+Y04rIFMjKHVJAsH+rK6/p7q0dfjvro
RZdwhsvWeDkqlvufOTbByJImq0MFXzWVY1dTt5V9s4y7oXGlApxNELwJjeda3qIyWRifYJIS2ef0
kM7sM5dNBblL6AViuRHdpRkEfF5qqNHI7pI8xdp2Jq91lApscrKCM5PquVNNCfJVdd1hVT3G4y+Z
YmLx9+Vt5VyhZyaYi7oex5zOMnY1hihiBXyGrGwI2qt2sS0oaKPwZf3LFjlB1QLmEFEVim+YPGL2
UZoUe6IakGvU3oO6UwZg125/JmFgCr8ZzxTe/+A6gPQZqA4YD7XbQg+XaMJQuPQORC2hQGlkvgZd
GUDT3cvL4tyhULHDIB4EkSGc/g2Q1xPM03QzsI0FupjlNXJTP00/RhH7By+6YRAIbwnENqQ9LKeU
MsoGWOAUUJEOxETtxNSh5qLnOnheOoxuO0snq7Ez23J5bUgWNK2KdJhyD8Q8haAEy3NPyE6jroyy
EWYzmAA0RnFolUsK32nKmyqqrvNSgzqJiEqT8xWheQ/AKAAWiDVfgeEktELK0eoVmtVopDo5xKFk
9QGNUzv7qU2C/IJ3GBQUwkC98TU1yxyGsSzjSk9WlcDGgaxqvaSO3O3bGR24OSiqeIeL77LX8B69
qJViDg+iz5iwZhGBltS2daNgHJnIv+UsQErrKEPi5IU7ztkms9+q6jnSntNSMBv11UlkqjenhlnR
l7keMrnXYFiXoDwIEaBO8lL7joQ/1Hx0mmmThHu7CQjdJmC10e9a8zWJ3mh104n0SLkX2ckesBFh
7pdiHAz8FEnCAA6cd1IAJCo8Iv9ITTB4tFu1uMZwO+SKIxD8As9bzv8QafFSxog0SsnokTBBydRC
iLVpAHWHkGtPyW0cG45cvQk+Nu8KAa7PWMU9kYOwxF+q2atFaKzodHQjMK2i/giLwFodud2ky75N
R3AMD4KlcY7PWbxYr/GT49PlvS6PmlxjfnA+dvSjSl57oB2WDP1eKvqW3CgINkwcWGj6An96bgwM
HVELjVUgg2hXOaEp6Z6hlK+Vbb5KGE/5+5iL04pRKmhbQTOd1dGSE6h8WxXIfmareLHqftyqidVC
1a8GE0m4tLvL348T72zk59DSQhgiKltjjaMxsRobEGg5xaDS0GRAcykq5v16XTTIytlH7OKqJ0NA
+2GzL7IEY052LLeNq2h1ELelX47jbk7MbT+IpiQ5ZVzANCAIvGJPQSm7rvrEP8Csh6ZjB1NW2m8L
cw5iU0TZzts4oKvR+MT1CKZgxivCWJIbQysbN+3xTB6j7tOMpQGqw+avy1+IdzlC3tVYqVIgKY0x
4PPFNCgT1XU7NcDzAPksD1cAifj2GO5q2QxAynCTqc1eyeqNElqfl21/vzzwMIXEGgYyQRnwrQ3f
2BqYHSokAPKg3Ui55SvVmz3fm+qzCgpXhwzIcRoRsT/v/sBIPEZcQXQEf2HfOmhuDGls0sZVw8Xv
Q+pXfb5TinFjNO1hMmI8ATqnkDSvKEhQLnEqqMJxosvqOejkAIOqaWyK1Q5lrzWa3Lj1ZEC9GcQO
rjaNN+iGxL6eSgVkBgbFv7zTPHc6scm+BCCki5MwKg1yVg+Y8HcZiUGZg2XhshneGTSxoi89X0wH
MIGzwAiOZIbqOvFgB/I0fzQK2RLabkH/srlsivsZIT+xzi2to7Us7idp7VynBF3galLdEhhOfdS9
CJBS6PN4mQw87dB4xfic4cExjlHwP5pnlmrNgN1FDcx3w2z6RYGOn56AQa/WAdJJMPOJG+R2jqTF
adLop0nS69Bqfwp+BOd2xFyQBpYHQDJQwGaiBIaRKLARpHEhSHdnkHRCQWfeYHr0h7Ko+zTUggGI
8SG2IwcxS/B+531sTC+susUAQ2I67jxwlKD5sFrbBOmJbhymbr6vI3ovRWAxpPbb5YXy3PfE1FcM
Owm4y1JbAAVZMNXXEL5byuI2HY3YNVpdBAHgxXYL3UD0ybGvoF46X5W69JaGoQLcWOjDI715m3Ty
cXk1X4rkTCKJliPecsDJGiqedOc2ip4kdMnUGt2GXaN7cnNFl88h2+a55pTda9wbV0b0tNS7cH5o
lM/UhnBOfpDqTQGJpDLQF6Ba/ToKSL2ZtN3lH/f9q6qQ4Ma7DPriZGXBOf9t3UwivRohy6dA416h
zgBKg0X9SO37f7ADBkxQaaDpgvTg3M5sj9qI1hlUv3OI16J2n07o8Wh7HSKK/2AJS0LQh8a4wuIr
YwzXhlOSQ9KJlk5P7yGuvYS3c/HjspnvjgPFvK+y+tqfh273+YLsmeiTFeLN1U+54WLsH4KwYSjS
G+R9HpwEVPAVQCy/PSC7QQLnWIziw1jP+RVerNKhalXM6AEwGi1TJ2gXfD94a+kYnSgMea0lXeYr
KWBlmikmo93WDJG0DQEZTNeoRFrzvL0DKxzSUcCT8ERn9i6uey3LS9Tl5lVB6FPNXy9/mzUYnx84
LAODoVjLKoLAYmzMLAZXTIFBw4J4GobuC1DPxVfgQXNSfacPvy5b46/mj7X130+ilaKEiZZnsJZM
xKdgODFy07tsYj2F3xb0X+b0DVKo5VZjkB5lmknadsMmJsECSsi5CBID8Am8hmvRlBDHE1QNCCVQ
B+DxAC2S80VZYO63x1lDhbhrHJtuJCp7mS66VTlWAE/CeAioaNZ2EeNv4TxVSzQg7c1J4RnV7JqW
hOph6qpL+rKkxuNYPYNHwcvCIyZcPha5vsKwCBjBvAZq8pf3mAMuwIpPfox6vuRuQrEmXHNw2z5K
FBG396Mo8TLcRk5vvZRDdTUCdGBTyc+nwzwvgojC2Qw8CFHmwD2ESUF2UgfEXnqcVjOIWSPrEe+2
yFUHEKlmXS5Kpr6npKoOtBsgdqZtqUgpzlda1UqSoC0HkrdFB8un1MOBqHzXmNEHMYbbrMlMAZ8T
hwQT70JdJ0A+6uihsUdesdvSmkxwKZXX6jt1LC/xP95SDzV4P3PjTeurDqavtk+TQ5yjaH6Vo8wB
sirIzoJeAe0x+Nv5gnVLiok6reSDi9O1TnRT3lGY9YgfHaBb/6xBBSaIb4rHbeZIosx19Rvm8II9
H2OfawEQ3JvMbkdI+yWtAgJIPdTXmmPtrV3mvlSv1S7biOC6PCcGiBYckjgPeOJ95SInwWjWwkFP
euyz9ACS7S3QIQGKc2DVBrR8mwquC6E1JvTFuRlRw8bSGt/YR3vJiW9zLwGU4fZNvypFLynO2xUH
42Rx6wk6WZxp542ijFjccmy9GjU4Z3bM3DOD1BGBXjjNlHNb6818YstQUhzVL4rM/eD/nK+yYHht
XlHzgoPMt6I0jDMAcG6O8VBFH9BAWpfWv0Kg5od5Ba2afYUXulM70UMftE9HEccUh5X83CbzpikB
w52UCjatY7EFGxJIyBc3vradjVY4DRir9c0cvGFSblMGz4JguxaKvx0KwIlQAMNb5htj0QTCnW5p
YVv5sD+zH5vwoLo9+LlRHaD7aif8nJyQB8qQP/YYTyXJIGf1+jn1A57ct5jaclPsdeNGAY0c9RZI
Kjc/WK5Ie4dzc5/ZZVy2nxYbwymwO7j1xkqdn/ckwFj7P64PLX8IxWDSnI1wENSsY8UGB1q3V4Ph
V3HQwDkuOZCYclt//JHsfsT74WoRdpLXffv+Hf/YZXzILjUNetGgPm1fsx+oMkBR+RpcYr7izj5U
ZZ+OoqEcrkGgGxQMAAEJwPY6SK+RUl0dZ5LoNVC7V30pUp3UuBH7xAbjLCMFcXSZ4LpYXN21rzv/
Vtkt7u39a+iFm9mLHPNG3R2Sp19gN3mbPPCobIL4KvH0G/vxSUSkz0kLQGGBwSrMD6NoxhbspoQk
VqqqOCnVY73c52WwiLyH88pA2Q/ZHsSKwB/GPgIpsbImzEjrgq/Cm8FxA2kyPTxEo+gq5BoC7AA1
25Xdi62kSlWqVFmpg5w3hhpBsqWO+qY75AiGh2pyOg/Uh47p0btBFjwKuVcHUky8dME9i0Yncw5j
vRmabgF+et6M1ra+i5B2+MatFCSyYJHcNZ5YWv/95OJIQIKkFDMsNf6ou5VrOZiUuBw9uSYAVFvR
4RpGZdbgempiyEfIJeF7NeNTLOdOqG2bZGeJMheuGRCa4CWIIQmTzSXaEgVr0CC00Cq5Nsp7tdnS
xF1EM67cawgVJZxmsGytnOznq8msQu9C08DV9zF7E2QLssD0I8fYWddx7lC/38fOzeRU2/Bg7kRD
R7zThXcHKLBlVGdsVpLVXuJ6bkx4pGkNoB+wtkNvb5JJpHnHX+QfO6wma0EVgFpn2Fn26NuNmlsD
HecqAWLk/RTYPiVOLPlYpR+DUM61gW3yRhFa4qu5xEZr8J8Zay1BXSljzrd6KJNYySo4jnHoflj3
ER5d14lvecuHuWm38Q+NOtp760eP8hZ8Rx8JoNz/4rp4cawofLB4mMwvyCK9AHALv6Cgu2k+miFU
cIhvAXDwD0fkxA4TwpeisZYqhp2w0Dbx0KHTZjwNaVGCdE3QKOZd8ehr/LckJrQkGdFSa4CpRWoP
hhJuJmJ7VVO5qjI+t8ZH3tabWhE8qLj56alV5tRIfanRsYVVCjhxC2EV9deiOE2D92IFostdFfto
K/S9iiHOndr5l7eXcwsD3wn5DUyPrI1p5k3TIucv0zKEI4EVBQBgDLL9/QcEXwb0IcC0iuIXy5lT
oP2EdxPa3aUSOwvw9uZbmj8I+SZ5+4hKFHQ+1othHT88PxK1GgFSMSSdW+SOsqlv9V24IQf5s/dH
H7gNYOO8y1vHu4rOLDJfzlSXwe5KWMSQowcvuZvu7M4ZsIfbVhPsIu87na6OeVaMq3ZgtdpKmh4j
9u6Eut7l5XAC6NlqmARQHTvaFxEs1PaOdLkjdRgSEG3Z6k5M3DozwlSjino2htaOO1cOjGPsDT5m
MHJ/8h6WwPy8vB7+59FAMwW85+oXTISiRZfLbZVCa+wDX0VyaOHgIpqdNjAO9E1gTOUtDKkdrnK8
2EH9du59cwKsQ0RyqAQF9q3s06twY7vgX0t/AHMeCMe9uO5wYo5xvUartYkUJbRzRs3rAKZQLNGn
4tRekaf+WRHjcVmolxT4McgPNd501APIyabgTnKUwPKgl9z72nF9ktROdZ38Jo+C/RQtkPHGOZoa
g5awDmKQtbR083PcyC4YUD35ofoEbfmvywY5z8qz1TKOKc2DPDc1NnSy75Lch5SGqmE6MHRKTQBm
5VkCQQDgFQTDc6ihnXuKNs+I9nIFFa/iqu3RyEYJ9LNKvD7cXl7SF0acPWynlhifVCW1oZIKS8Yh
lZxpbwTEv727lWun3s5OFOTOHiDIwQn9QdRQ5nR5QUx1skrGQWnbmmpvw3Z1HB0wpLnhbRaM/u/B
dEQwQZ6jnppiHBW0TGo+xXXn6u/ldXzbb6WDdOwEmyn6aow/9kMRJ22F9di4xSbFKcCT2wAIDMC6
CKDFS+6wd+bKirE+F1lETA/sVKJkzboguuncPkKtCrPd/rxrt2/xpnq1D+pjfL9cpSgSZD+zRZDa
8WpYZz+AWSwwjl1rT/gBFmiSo/a1qW4MyVmqDygblwUaZR+6/kG7GzRxNQIhYvV5sAS3kcr/qn82
gTmQbUEHADvXTTiku+VoBMqVFcxXxk7+LHYgv/LBL+HMfrhR9q2TbMwABArBfGs7z+bO8C+fJF4w
OvkgxtrOP3mmNUU7yMuC30IxMjwaR70SwEu/qjrfjuoKxoTM0jrZyvhw1iYNTeS2c0eUJZDCBIUz
3MTIYaIYVVF9m3jDlt7JQoE9XuEXNIZ/DDOfupQUYnYzDFOoLe9kvHVll+K4NmuMT2pHpLO8nvtL
C2U+qyRXZdYWsNcrqjOhc9GGjqq0eFoLvtn6hy4YYkGflrR0Q2bhm8kL5pTdLrzSk/3aq0afmugb
Lf647CMcaCci3p+dZFuugHql6VhhZe/RvmucX7hBcGqpi6TXk6HcZ4nihGiFa0py4pVVJSljZGCF
Q7ota6/V0ffZFMRVJKcufpsic+ttcWlDmXTKAt0/If3qKYPTy2C6+xn1d4I9/I6LOd9D5m4kkDUb
iAIb6bXsDr/Cx/xKek8d40b7h7bo2ddi7sau1zq9V7B5PbSK5udCucmFgGeBr5vMHZgbeh/9/45t
gKd21X3pFQEgPT08Itt1m9aZtuqLfn95E7+qOd8/1DpKDgAPNH2YD0WaPOsNE0uzH4y9eaW92Kge
d87diFqM7sib2n1B5HRzlHblrewpb/9QbsLe/vkBzFecmjRLygRfUVlJEq+HyI+hzpoKDjg3KKMF
KIOBBTNyX2qpJ+6PAQBToqgFujMI2PF0cWzhHMy6U992cqXBwGrA+crCD2J7zuXBwkKMAH0xN/2M
AVm/Se4kL/fzYNpF3uVPx8+aTgwyOzekVhrGNgwSJBjOMjkvb6rTPSzbaisib+K7yYkt9gQ0KOW1
EBN0K18GP5s/+Jkju7Oj73p07B3DwaDpXXj3Ud9Hfo/mVXatubIoT+R8RFBWg/8VfQAMI3xV204+
Ypa1Yd6oELg20Lx20Hb1RgIpycvbykklMDwC8j2wHqMSwRbLdDODxIKto0XUtJ5kBG32CkguHQun
Hm5j0Twwb0kAR6EhD1m076MiTa4btI0BRDNymT4YffO04JOKGrach/SqEQUGIrDaY5iSuUenPm4o
HjQrqZIXzl7eFV5kOJ38rPavPSQZ5mvMwVH79+Wd5NwBp1bZS7Wg2ah2g4ZGY/VZ5+RFbVUfmk2v
f20FUKk/O8jkJGARKasqB0BxSiDbqqv73tDxFjO2l81w3GKdmFRWqPaKoWa2sElDJS3HGFuISuam
GU0Mh2R27ZRlddu0tnUf6k3zmOQNERjmXNwAziHJA2oD0A1WtLEf43CwMDHpJvIusvzBvmuR3qaH
JnvvelAFHy+vk/N0OTPHXEN6hOWb+sq/BQGuQfYzqfZTiC9knafATS8b43i/DZ1y4M7gmUAcMVEF
WnX1UKztS9rsxiKDtq8I3sO5Vc8sMMsx85zUcQ9lnrbG/GeZuV16rxeHqpu9y0vh7dvpUpicPJ5w
J2QpDBnysZsqp4xqnzZXSlVgxPUfytxnq2J8vjZaMNpAVN0dqNTcFnE2+4PURMea2ke57FXB2ngH
Gf1l1HegzLbeoOe541IMer0QmBvtY1ns2uRT2CDgbR8qywiB4GwG7ozZvrHJ5mJRoTPUVXcJcaZh
O2UYFX4YRYQjHF10AIJOLDF7N4exgvEeWFqCMCh+001/9ZOiKWP65F5/iO7qQI9Q9bvsHbzocWqU
2cFQDTFjnsGolW4LhCf5zhw9ffCW+D4Wac3wDtUfWygwnn8taxhTjOvBVj8/JNPeEvXJeQ9+xPU1
xVlZCDF9eG4gKk0K9UzEdXpbWa7sF4f/I+3bliTFkW1/ZVu/M5u7YNvueSCIS2bk/VqVL1h1VTYg
bgIBAr7+LHJmugglJ3S6jtm0TbdlZTmSXC6Xa/laYj8gUXVwW8LBDy2lwA9xgakVjx9rbri0K11h
xjgZUBCG3TRu0D7xSsFvqmu/ZOSvo1K+mIkq91khcFTiurnPwP9R5NWl5alUCNYcAsyDMzwc4HA0
5pzOYeSX4CG3MRai/1nlB1E8TJAZ7JtgwoO4/sd571v1+aU1KQqaiW20WQpraOpw38Yuc44ZybUW
SNloAmWHZW0HeOdda8TOxil5dUXQfHiBXiG+1aG8vhnynl8ktHBD0bTets3Yj/OfuPZSCrA8Ondn
hRoQF0pOlVZWORYupO+mzNz27WuHy3eXmCGFTKGov5vED+q+2wwMrV96f91aox2IGhWv7uvk3eVJ
c6EZ9iVejW4dPQqZ3wTnP3B1DpcfKHkfZL7mtlF8oHs97Oid2McHqAHt7XYTHezH4qK8RKM43aOj
6bzhte28tCtd0ERCoD9G8SZQZa+tfV38QkH0ZOJn+4ukurKpndk2woWJXWUBM9j2IUkuKb2LenS7
K15N1/bwcjSS35es16iJXiGwBb2NzVw3f3FU/AtrZ/7ShuTtbudNomaYMcg30OzJQv0mC83x4fy6
rL0YodkAjKVoL/PR5CEtTMxEMRQfGoPmi4gJKMIuGrBLVKgoOnuXX9qAE9Sqosfa2JZGpdXivlV7
kTMrRPbPefbk5LgtXysppFZDPEL7rEcM/Rd07Z06hQ0sSzpOBtKmEBtvCm/5PiVbrNaWXUdgRwp8
EdgPqmfLNecgyHRn7SXc3uSDJSVdX5genEOwbJvWeIHj/ctUuoo3lbXYuzQj7WSv8CI9q+EfSbuf
qhB7OuinCbz9Y6Dr0Hq1VPXalUKVvzQoeQp447jQPxxybDdDhiY2NIrhMnFVWDQUlU42ORS5KhCk
+LWKf1Y1p5LDmAkauC0dcxrp92n3Nev2zaBgB1zL3ZbDk5xFM0k16RmcJR3yh94zg9Er95w0Tw1o
AYAkUizfWu30ZDql/Q2AQOtFEDveWI+hfQnJmy+WH0aPfDdtxgu8L+74GJ7f6/MkSaUdkLZC5B19
iOgllU9rPIw5KY9g0c2195GKP8rcVpj4fM2D11tzycEASSxK+6c7bjL8rKsF3roz7cpux9Aasy9A
RT9TLX8zImOT5sAEt1RxAVsJYjCLAAaRDhOPRx+vgovo72SdXjMXz96sOYBVPTP2vb+zzQ1oQFy8
VdXox0dt6fxsfnZJ2ERjtaWjM9dC9nM6VLsbtdKcn/V968Exw6YAP5IKWb1qA1g5rBYQTyCOOrUB
DcTJrxjGlbvxsTb3Zs8OjL2fH8hKBQ4jWViRNhdtvSZvBaykoMA3RsAZwdNeR8Mtt72NEUF4pmia
0O4F0ibnCc0QqjTy89Y7/QBp60XMcHHDBAyjzcYvLlDUw5R+1yx20Ls6aMA6dH7An0+fU3OSkzqF
0Ys+wnjLZN/2L+nw2qYvfXc4b2Wlb2M2Y6HdFPLEM/vH6eJFRVIYVZfNjwfZj0n3fhTmuHVIFlg8
vurt732NRzxoKASdlV7aAJF5RZYGZc1F4LsJDdjwg3nGdYqWBLstFdH88+lx8nGedL0qCWRa4whT
LqagTo+Tt+9AKOngFUKnIRTMzs/Fuh/jlQ8RAVzeMh7K9FsexfNUlN6Idi8jbLQKxGIq1pPV6OP+
NCM58mAbAlkAzND+tWW33UTD0d55ubcZ0T8yQd5BBSVTDUzy3LE1ojrpYVEvpk3rxTnEgKAX1Q4q
fT6VIcln48RltsHnGSTPmXMDrEjAqCpzWZ0/tBjN8q6QFpYLrLjbs9TgAKBEkHPi2augN/FIQx59
m9K9AxAWd/8+owj8EPhZaNS40HiS5XBy1nVuNOM1Umfn1d5e8L3tX4+dqmtsdf5QEJ+B8aDykunk
sxZlmSqDHYePG8hYJ5OBYlO2Pe/nq4FsYUVapcKzIbQGENamdthVycd8F7faV9Ii1TTN7r6KqeqZ
fiWNmCWgHXCIgAQLDYCSyaH1M+FWaLXztO9tF9TkKrH9wItAnGaAmdoKGvLoNqFOt2byFtfgzqyI
InOaTZzmFaefIJ2Eg5XkOU3wCaQuQj1xdpn9MNrDXdP97aru7Cw/F1EyVFmR2Q8zYMntol3Vfa0d
oEH09KLs4kuTZhfnF3M1RC6szT9fJBWeaVO3Ayxk09e4lT/T5tIRyf3UCGib0sDy0v15eyrnkc6L
sph6mjawl/NhVxDrjkH13fbybdrSm6FS9oyuLdtiNuUjwGvNnBBIfICuCLf/4anhf9bkx6Ai+V5P
L37OoyfVRJDlpmCghZ3WN994RpOgoaV2NGJxZRYFkFKoh21LD+zJOgPEqDX7P7WWqcQZVKOVrks8
RWA25tE22s70QkbMTYerykBUENnVZQRYHkEGhUWQ7p+6DUpThQkVM75JGMocuyG7N1gWuM1rogK7
rTrowpJ03AmN+OUEkvaNb760OuZxV3azIh9UW70gFiqKxtUZnNuWIIA8F/yks87WRN6CAR/rCD2v
MjVAg4dy6WReu7lQlC9VpuafL7YebTKmM7SdbhgxHj1TfKUQWiyFe9E4viIZXD0YFqOSYgqnWlma
LSbRjv17yByhLbP7A1SfihGt74KFHSmaUDsuow/EXhlvLZCdgUXTTFhYwjfq/Kn1oEF6N3kb6Gqc
jyqqqZSiSkaSoasaTGVt2UFrQrMxb7ogE1UoSkf1TrVScUGExmHuzo1887+eLlxdVAz0N7Dm0OE9
Z0BbmPGtN8QXbZF+icoC3Yq8+5NCeTfzAVz09CChYIytI1DH5q+QcVQknrM9+WhafI+MYus1UjLR
ASdZxugMQ7HEs0EonLiQON5pbgghbMbFL8w4+G3QjYYSF3rVJY+CjphjDSVABqWOvjC9JFu7GsOJ
NSGOFNWb+OeiDM7ehTHJrfJeq7x+ACKkqI9Wf9RdMJdeiSKsyHPqgs/8NUlVKdsKxvbUprTIuJS2
BJRf2DLGZZneFi0mkoUtfcysAOJAdnUd64eMbnkTRO316EGN5jJpH0i6bdxjGrNf2MGLKZDJ9zUN
0gVWjs/hTvwmMv7DNbM9GyJFljNHU9mVQMCFxjUXtX1w7py6tsHiykormKGk2w9u+dXwpl/Ib5Ym
pLDnx5YbdeY8sZQH3D5CL3g7aXdG9hLp386HhbVTamlKclLXbz3SGtgYDTeCpLjnWr1j5OhARI1X
iplbC7FLW5KPtjyJCpCAALRXNRsdLagaimv23y7Jz07p4dICkSo8K0sDygbfS7mGXZdx4IZpAiKK
6MisUrFEa2fu0ow0libNodk5cVzqy+uheXI1/oWDHTVvd64+BEi9lYCsOT367Hc/BybttsmyS522
sNiVwyapDv47BmfdjCy4TLXNBGn2vtz9gnOYEJYCmcdHG8mpq7fIQ9tuBsjqcXtFAZTXiNjm7Y1v
PLWq1oD1C8zCmJTFsDwuY9QlcQNkeL+DQHVSaJuaodTLdn0MuEO/tY2Xyr+vG9SDXqD0paQUWT2c
QW7114ClvR2XUz74DQbsuhA2fxvshyTDgby1NZxgbBuJJvDsW06+np9npV1pwzNCEiI47DYTyG9z
8LDdV01QmztWg8sDgAvmsgBUcQYyg/OmV/fkYsTSdoF4qEbLEZYZ9Lr1/nJyh32vutGshkwQZs3k
PyiUypm/Jia90uIODUIg4OEtpCistvtyfiArPXDY+AsjUmIv/KYl/tACeenfRgwpzqvv7xvtqrBv
+hTCvq++ueftjVd9h9zMedurwWBhWkr1Neg3aD1qWxsrbzedA0hm+qQlFgsafeP6B6YRR3HWreUz
qJM4EJcDLSSRMSwOK6keT7CosacR78d+QNJdxATYyGp04R08FZ33aml9YVE+XfEQkkMAHBZ7sm/N
rVvdjdkUROjbLCEBbeG2wVmggw/z/NSu+idArqBJNcC6I5eiaAMSPWdAh2ilXfHhPouuy/jivIlV
7/xpQgb2zdRNVTe3vtZgHk4ICyE4p1guxShkGAb6QIWWz6NwgNdtsiqMx2OiauNaXyIIHKEl2jfB
tia5oR4bORRmYCXPkq/4973ReIeGAPEWTdelY+2Fe19CCBqJb6V4xVrdAQvTUvCemqKY0h5pe268
MAg++CCXFml30UVfLfHG6+lwfs1W/X9hb57wxcWwTgwQR/bzhPrT3pqGvSn0LavMAPi727h29/OL
QZob4XmzqmFKcboY+sHSZ7Omr71o0R99XicBwBu7ynoz+mIrTKa6L666jg19J7DMoawnA3i7xC78
dsLMpua4g7LFszGx69Rge8+bbqjxnBrjYYjxGWREy0rUomPK1151PMt6PNpXrlDkBKu7BWBiELRb
M9XGvDKLmbeHdOyo480gx2Gfm93DkKheu1Zz0r9MfCKK6xkupFMCE1YXCOcGlxcKynTgHlRPvfNy
fUqpFobmlGsxFg3M+oU/EKQYbrRJowGRMwlYNh3KRFURXl/G/0wbnvFOTZkedF30eRn79oAuKk+8
tobqUPi/BICfRqQAULrtpI8txkNAgNkbViB4HGT5ZRq1G1puW7I15+sveuvPbwulYWn7l5EG4V4D
hnu93UZRHECVidmHHpzdzYDG94NV39REkYKrplSKAV5fZR7VYLQ0QzCQB1G8J7xXDG3VCBQs0VmP
fwAUPF03q8yLwZvXrcy8w5ACTgkgMZR2FBnEqssvzEiBpTbdEaLcMOPrbtCxPxrA5+IZjkh3UTQo
jK26/cKYlPMZfksq4KFn1FIZjPkNA8XLGH/j1aQIlypDczhd7C83NhrckWAoLe+o2IM2JyB4g0sV
b5iqNZJCksNwAGQUjqBDRqCIi8dEH3dFzR/Pe/m6GTCYQUgaT5cyBV7NqqTgE8KSYaWBsEbUsR8h
nvRLDvfTihQoyow1MYro4PhpnQOEt57GOt3T0ldck1dPMnAX/WcwUqjoUpLHnecjxuLePyV7qGNv
nfQAZcqgjsNJdXtVzZ0UIDyw2dpdBXNxdZOY4I3pA5pmiqlTjUnaqyjWJL47YOoKVCbDBqAMGqRT
8S3NIYDX6hmKKXUhrK2VT93Ted9Y3b/olEJfO+hgQQN06ulNDf0F1weVSOEckR0PRhNabWglGx0w
m/OmVlOfhSlplDzH03bJYMqwuisrHjfUfhgKyM/rXfxH3+QXVgxtJhaZitldXcKFXSlE2Xo29DQD
l4kJ7+jQkQ2653gQikLm6hourEixycp8EVnz6Dw7bPMHBmpPY6w2rbNjjb+Nk935yVyNUAtzUoSa
ur7zjQKDyuNtj0Jwz/YWf7NdlTqHyo4Uooxc9F6tY1gmXs+HOWusUxSfs8euoqqMcbVQ9NeYPiHm
S7TXRKkHW37ynIoLcFdYGRrEu80kIojoPaIzatCfKqhan5/LlUZu3MAXhqV0atDc3J0KGE45qCro
nzzy45036EGLUFZn2r5gj30/Bn7vhQLJKusjaBenwGEmgdmTh8Gu78ZCV73snHcpkEad7s2yJTYH
xz86COhz2x8d776tgAjOX1z3LYMI7vlZWN+eAOyCcBgaETJUyzJGKFPkCEINRIVBSd5XQ5BaPCiN
i6H8NgJQ4f99FRHMOwEdOejPQdHqSxFhyCLThLTATAxbBiTZ8vYrt95rV1G+Xa+wLOxIEUDrRko5
FAHwvn/Byosi3XANxFAHCECOxt4wLwb2o+me6/x+VFLcr5fIcBdAh8YsPS9D++xOS1oh4FzgDXGa
49RtZ9VZq7ph1aXfhpRAqQWkuGBWPr+ec+T+dEf4aVfu0izjqR77DIOeDOjpAqUVDaoNu/p2szAh
7ZsR7Z95bsCEV6ahhlEwcnCRyZp0FgTdjN3OHXcQJP3/HJm0L0hZMj3v4TaORrB03cvU5Pvzk7d+
Zvy1aB99uIsE0HHTjut8DkXVdVOUABY+ERz/542s77ifRqSzF0hXEB6MGAfe+AJbu+BIMxvTCjgW
zB0e2uxy0hShTuUU0o7LhV6UnQmTZRThiS2/jKry7fyo1k+Mn6OSNptrRQBleEhq6yYPyua6jKp9
516n4En/FUM/UxcpE6RuIiLbQni0ibgzCgrG7tLb9mDQrDz79byt1VC8iCDS6W57tdm6s8tZ9SF3
0yDKXtBdGHberotDvRMKz1idw4W5+XMW7ucyblCjhbm4eK/TGxuSFN5t6YTnB7XqDAsr0tnOferm
zIKVPpsuHKf7YXSmIls/PxA8O54OJNchp1GmMJGiiztBdqIBz6Xd5fXu/FBW96uHMjro1kBxbkp+
7fm92dIiRqF+qK41G70Yhf7iNuThvJn1YL6wIzl3m7CsiyzEBUu84inLsLY03VkGmu7irY4+9e7g
RkHS6QpXXz/BFnYl/zNHjfNumg8RQKqavr6MJivA5TGcpeZAzrJN/G+8TL4ziq7/mgQlZLgIARL6
/PhXl3PxGZJfWtFUWqKdM5K8u2Q2O3KAuophCExNpWQ9j+jT8bUwJTln4TtM4PaF3triB2jxAbnC
5Y7tuHgFy70iKiqGJdODZjyLSii4Ybs1uzhJN7DlQ1PIVkTG1SDiIeWZZTHmu/jpZrDtwaVEwEnr
cW/zdyB1WFWEqR467XOjq0TNVk+XhTVprSA8lbVkwFrp4s1snt3+aPovIkoAwD2WbDe2nWIPqgxK
K5bxSLOrah5eSYPY3UAtxWjMoKluCmvruFtLVQ5ajV8/R+hLwcVJEsCATTQw4EkhGFFpmGj7dN7h
16EiCxtSihNxwH3KAYPSc/3eT4Uf8ByS3lVh9qGRDze1oLd6y783lgA8256eeTRdaDN6tUlv08ZI
Nk2T022VW9Gm7AFsFSNa0akfaYojwzBXNgwBAfkM3AM/gqzxkEdaqxcEgPjcwrM+j/c63vScvGIH
k+pA12SXSd/ubZZt2MyoQcUFoLeqItCK0sSHrKIHERsfHS0fgWxxcsWs8LVuXpNxU28ICewN+YL/
A1CM3DgcBIRf9T/ajf6gXZX79tmmm/xeuxr351dt7TRA29pfHzE7zuIjWnBLmkzDVEC5NBiEAe3p
DZRWFMFwzYq7cI15QRZWInTRO0kN16D6dKnh3Shn9k1cZ7/0BrewI+U54EihjBJsZFRxD1ZUbWvC
wbChKsKvRycyvyrgdRb87qfDAfFRBVgbhgOq3t6dApCTgNQDrzNbY7jX3V9QBkQknDVuwCCD1xj5
fSgWZIgyG56Sg3ACPX9Vhz48gBeTpyG5FuXBB0ZZQ+tM6Sh2ymrYWBiWvCNOfWigA7CxGUm91wax
F6p2oNXzZGFBykbypHCQSmEqBw8p8LRjbhRm5FDZKhdcPSR9G4AuTOCs53S6ZgRd2UMl4Bpl8uDU
2xSACx1Zqb1Ne9XRv+rtC1PSrEWD2etlOZuq79GmErhcD4qYKs4QlRVp5ooYLfL+XKvT0isfwIAU
aM9S1fi2elAB3AymRlAVfsIBJwJYMbQwzVRXeKxIr0a6qUCSZPFbP9/SLA9qS3Hyr3StIyxC8BOE
NSDWgBbO6UJBiD4rMgKTbRlk187DeOc+8RvzLtrpof6lCUYkdRfxn0jqzkfCtU29sCtnNmaTldT4
uCNNFx6oNQCcpXdmfOyMcKT352199AXLKdvSmHRWpqWb9UiEcVbu/SDekhh6FPZmCty74rLYs6M/
Ba96kD/XuzjM2sCONpriurG2H5ZfIIfktrVS14b7TMOuo8cRncTdk9eErvHt/FhXHw6XlqSd5xR+
aYoYlkx6REjuxi609KPjAFliHRp3VxeQpVMVfVc78pZWpU3oeX1s9hpmmAfV9YQ0/1GnATg/8PiR
vLbP0cOxtYJ8k4bfom2set22VM4kbU5zylK9p3PDaJDsoif3jr7ykGzTLV7h9jEW9J6GXmhvmgvn
oQ61txYqAnv+hcG72YYfkDaBj2RDLw7W12an32vHVHVPWgvtYIWaBfSgTWLbUoadu+OU0QKNkWS4
idJhMyqPrbUAtcyypHVvyqLN9RGHRzkLKQLjVuwjZaPC6nVvaUVa5yZ3UsitwgqafnVQuJD8mkEU
JPlhdcBS5NrON7a1/jzpe+HvnFHffnj3f38f/id+r+7+tWf5P/8X//29YmOTxkkr/ec/b9l7+V93
+bfv7/x/51/86w+e/to/9+/Vzbfi8x86+R385f82Hn5rv538x7Zs03a8796b8eGdd3n78ffjM+c/
+f/6w/96//hbnkb2/vtv3yuI+s5/W5xW5W///tHFj99/++gt++/l3//vH84D+P23i+bb5z/+/o23
v//mWv+Yha8clKhN8NR7c1uAeJ9/Ytv/QGcs0dGMDhpRdA0g5JRV0ya//2b5/yAAxDuoRoDKC78O
X+EVkBi//2Y6/0BrAUB/0EX+16/99p/POlmdn6v1X2VX3FUpcGq//3Ya9UAIRdD8DN120wSKHBCq
OR1ZJKLlRMlIa9PcFlnHosuem+kRXQlGdBi83vLfnKpCYdYs41bXFOfL6Xb4l2mAbEGqBT4qAmEL
yTQIcNPMjvSt3aVghS/p+CRsNNJ1vZ6oMkZ5mABGo7PTNQ30rKOW7kjBvS84qL0SdwwTUYgd59aP
dBbgnfLYfTXqlt0kMRV/60BBdjDbNGAL/fGgOrSlqXW0bBiqgoyhZ49WQKyhftfaJH7VWKbdZDV7
cBtPBQQ/zR7/ZdMkBjjybNuaZVFO59TpWqJz2x9Dm8VJBmQUtW6zEb2ngVYO+WPRxJXi5F6zaJs+
VDtNG28x8lOBGDkq6Al6PBxRZ0eoZdOjSyZzp9eWeNE13u3Pn54r9pBJeh+0VZYPxsXTEfKccm8y
6jFsrPiI7uON1yfJTePG6QUuC6pi6orf4EI8M/xDkRZKM1IhpOE+T9PBBKFvVsebahhvDS2/Tguo
C7ilc7C85PH88E5PoY8FBGUL5A6R7YELXAZNjuMQe/mYjWFqus+8p/6lM42FYg7XjLgfYty48iP7
l+bQ1AbQq/EGfTmRUcYhqtEjeucqz7s4P5jPs4d+agQ4TJwxa0dKSV2dsRrtu8YYxqKZ2r3bFH16
a7mVGe86DW96W0arJD9OlBeDqkAt20ZYBdEHaDgQPWeJEOkYNAsoxtRJM4V4fNU2fczaZyPp9V3E
jRqJezldTiUmWhHT5Jmdrc74wLkbefZRyV+mbIpIEidTmA5lVIS2GwEIlHhGPO3OT+0nQ4hkiN3g
bDHgK5CwPd0GreY2VUKcKWwJhWZ4kpT3ZqHXCpDRmhUfGExUHNFmrXvzZlycDtB0FbnmJHpYeMb4
llEfb9xOnBgq5edPiwXSceC6QcSEHT0bOrXT1y6LaRVNodO52Q9IdJlb8AsVt7pbdMcSh9iGejFA
nufnUErEwVYJeNusHI5zFGzWrswJ43VRDhLvrA9dc88ggedlW8KHPbQHDlxzDoL624h1e91Sucmn
8dpgjZs1tdF0Aa4kWfMP9Clc0zJw3NTEiq9EZsVh61VIdT3U+bbQ9U77sB0NFfOUfOKiQAPRRiS3
yCrAOCA355HS7wUUCPUQ79lA9NmNNUVdQKOxBjt0WWmpAtfyyX3m15RZ9QL1POx++TQqqkbodaTp
YdzURpi7FZTA/Ex175dPBLDeEhTEoUkN0SEYmid76aS9gT0NnouQpaNzHFIy3jVjOe01XRu2yZCq
GtU+zSLsWfAbRJe5+9CTnFVr7EoMgOoC6eTz7dT4uESRZKauTVscFwon/TSHsIbUEDQ4c6KG2trp
6Dp7KNoUpEMhJ3p2Aea+CMi1oVE8x6+NyTUxd4iVQDjLHCUspYmjTR4JScTId/RuVt/RhlfyIDc1
VYVr3RYkqrHn0MUhcwe1AxmYk7tgftajfFsLnl47rpleTv0w3p3f4auTB2ENsEN46EmVn+Jj8HVS
d8LkmTFlRy+z0bpGCv53o+S8RNhUhotECArJUnJpcscXHc28sCB99dSXjF6iulUqlmjNzZdWpNuj
iwIntxy4XeGa2jGmmKzR6pJwSmIrzLQkfz4/d9JFEtHxY1jgtUTlCXJh8pNTo9lRj/hFwsZtxTNj
NH0UaAM9ZumY7QwKimb81Nx5GdcvGwsE21nfWeFkdiKkmbPT4z5TgHE+hc35i2a4IQjt4DofL6yL
nZ5kDO+SBTwHkOdipxlGc1VUBsHDXom3Er37AT5d8+X8NMy7+Wdh6t+z4Bi4GeFsspEHSvuvKKdq
KAwSDngZCHThTHs/x809J532ElvVQxx14rrNB3I4b3h1m8x6TKZJTBAUSmEmaaKRaIVDQqvurYPB
8mmbdv20yVOdKG4q863g8xh/mpJuDR46AFMxYYxdIoarJDEezA5A1aR0WGBYxcHjIDavU81Ey0el
apBd3aMOxCNx30VzqcwUVfncGoSGRW2oSFGTmKz9yH0VSfv6bP5lReb7qOMRkI8edPOT1Q9HuwNK
tvQ9tnEYeGLPL9zqgOaQjYgA0Ve5TS2fhFYjc8LCmX6/Lwmp3kjVqS4Kq37pOrgn4NoON5USQK1L
YweMOvBLxy0vfWsil30k4tcBPJffKsMpL3Gfd/ZebauopNctgwTDRaPx7KCnOyLxSl0UoIAMc5EZ
aB6rK+Pg6qm2czpADIfaRs3UTaedaPrs+9+fWqS8SBKxJaBCKR2GUMxhmtB6mLZS8jiVdnWZmkOs
iHxrvrK0Ik3tSLjQLT6RUGMGWhE0vADWBm926eB3ihayNV9ZmpKOjrbwC+KhiSQsCdh5KSjqd7zt
VED0taMDiDAIdKAmAcbi+eeLuElKnVfMxIDGuvRDvDT0G+4jIzNIn9Jg8ioVfmB1BhcGpZRMtxrd
aVOThLWb599Lx8zDDLRaL1x0qiaStRlE+WrWXnBxd5AJR2svtqEbhWOxbxrrO2n68aIRQ6s44tcG
hGoKQTUOpzyeYU5nsOY2XmsBGQwz2x82uO5GR5P5xa7C6m3P+/iqKXSe+zYu5qhESy7RJHqcsIp6
YV16LEgLrfpBOqc4dFHS3p83tTp3KN0YuK6iZCz7RW7TqcGlgIQtGlHR612zbaE5KvKhdStQjga6
yoDGmTQgz8/QYov+jtCNmLMzLI9djZXoFLUGlRUpKo0Zxz1GwwqNDUWUj3ttm1pV8UtW0IqC0h6I
L+XOqDry9HToEfsqqHEEfBzMwMhoqnCBtbEAAQHNa5QOIRUtncdZH032VGAsuCnb0IeNC8R2S1Wd
WXE0FF1x6s4i0VBwkKxw0+k6KpgR+ngKRtv2YHSQV4PC785BN5uqXfyztbkIpOOya4EXEheW0x00
OXbWZZFjhDWDDPwmaTxWhUXhWvmVXjlcxYb4eQrRdo/qq44NO7P5Se5gmKC80nWQj2tNYeyQSoEY
KvZUT6Qrg3LA/Y50FHqjcwH9dFDcAx52xiiEVVvnI/jnmNUEThND/7n2skzVT/l5UFAIREcshmaj
lU0u1vdFjZQiM40QbZXODxS4RryelYNQlWM+vvs0IYR0+FyTnzuqUceSck9mmED0gwcLmjljJv6I
ytqtydYA8c14kfljO9ZotLWt7NUeIYqw13tLAAlamA3gSWaEuwTuAvjJA4reZrqrcDmv8eyUocuh
ijyfAj1hG2Wxi3QAo7cR76FF1/dGY+3Px7fPywPJFU8HYxfQIshWpHQhbmhWtY2F+0KHPbsjxOnj
TWfZdQpmsrJ6OG9NPmU9IPTBv4kiBK6b2L6Sh2PFJtx7nCgsoYBQBKLQsq9dnVR5GOP3ICztDZGK
/FceIWz6UJJ3bPRBwKhcweo43rFyqL2HPp9878gEOvhQSrI0GmZdCc3s80OUHdBDORV0BBZk7yCz
68s3XcdPhxqUixEKOgn0iCdQj39t3N5URNnPMwneWKQrcD60fqIqeLqtNK9saNUmEaSCSU1DII3J
+1hQM4idiL2B8NhQ0VZ9HpgH+Sb8D2f8zCwhbWRUggVqxSZw7a1oDoyX9IIJ7immb94++PTlzsJ1
Dn893oUAtENN1ZJSMd4IXuIVqELXfF5m33Ld1eoD8ZC8PKTmxMUurvUhqoIx6r4kNBdh0pnZbd4U
3m3cWwNA0MmETkwy+iAijqukfYT4GihKi0ID9lSDKhqiYfVlyuKjHxtPZVzZBxC1R15g08hCc3Th
RzdGgczcdQtxh0Q3J0GLystLMtXtlqUTfTQ9nT9opl+XwWQkTXwESI2xo3CyJhyQWyWHsRvwUJcZ
xnhTksaBPo6bFk9O24m9FaX2hZ4j/G1TQp3XPvabfR7V4w3Uad+ZqaUs8LoJjBBQcflR0HoMhMHp
mzH6/Mg4ye+EZuBY1aomebK6tNgRq+zCCF8SNF7EQtsZ/8iGMk6Dzh7bx8HPK1Av9CMaogdaGlHQ
1xq0ECth0zQcYy9m+xgsocBYT4XHAzb1jhbkHmhD0taeDq4ovGPdangtzy2SbxLNNoPaaaebgld0
S5wOgKKeM7A2NbVuBbj9jNdW31W70bYzoLezqJgCyy5AMmrz3AtSLeLXYwxe+I2flfpXEvXDCwQa
wAxqms4mcwB+Eoz63U5LEuvdNnuz30AvPSkA/k4FMK84GIHVaA80Qb770jKixeAzdeaZKuOY3CRU
iGTjCG0q0PmLSuQucgtKAy9NHPJqWblwgsqv9RcB1NgXkQgHbQ2a4RchKJWrbzkFzTKYosr4z7w1
yiPHEndPmpFXYFRpHM+r8NJV4YkxDlyPu0bQJx0T78VEEuOOx/jF0GpM95aMhh9d4q/lKE5OmY2C
weCaDJTDI57HqGhz47q2OrPfjnnDDlGc2822zluWoIMpHgOziAz3GOsF7S+NKunZbY2g4+xJ4aT6
j74rUrYr/Zq8ZlaiXTZmO6XbzouLV3OgD0YyVuFYdfyLOZqkCLgmSBcUFQWPUtxOdr4Z+sr/PkE0
5W5k3bTruzwxNqYRZ9dCM0F7QGhjb2wAXcf7hqPVDNGMuSJE0bOOg7pM43gA62JRDZs2HccYSFhX
OKAWoG7tVP0uJQaaDEGCM7ILm01JAVZIP7+Jq+n/sPcly5Er2ZW/Uqa9l2GGYwsgIhick0OSzA0s
8yUJHwC4Y/ABLut/7xOq6taralmbybTRQm+ZjwxGIIDr9557BhnVUvnVNQjU1ffbij/WwKUWkUiz
onxoRZFsslE4d/c7oblMxyeFMQZYi+876V9T42M8R07DSVAMlBZgcsxIGcIBaQTcMFzID2UFXudT
kUN5SGtHc9rzts8Gqx6qWZDxvt9WwpGkLXSCuALwqhB/t1Gd15UsJZSscOj7Pjt4DjflWpH+xxTJ
Kb0q+0mWx0L0hFwruq0PpNgrAgOm1a1IPOj3iGHlqUf4RkQcOxNbrsG2lSoVhUvWZvHCSbd3x5Ku
ojwUtN9Jm6LG41GTc2VrTqPkmOFZNa2LJqGO0071I7V4ko7MD+GxrwKd2q6wE/ZMfseolc598Rvy
yjVtCJg7rJ1QxuLjiEAwrH5nh4AT3e98OqRQ0uiWRiShB7bK8J30JFfQjFR7eii5gJmWGzx74FpM
oabLpH9mMkoect85hO1GM9lbFa9ZAc9grOVZHHjaUufkuUz6klxTHve/+wWnX7usSaBt2IXn6Gf6
oarFJFzVlksXfjkho7TRE7UfNiQSWb4ixpKFqLX/WazIGGtH1SODOzDwHOpZcIH3G0v2Vixkjup0
do4csOIn/LinmT+5vCRQVPMohYOlV8VYLyGCnrZP5/1m35Dvg0RAbKlq8BWlPehoTYtG9+mYeDBk
qBctL7woz6WLXXGHsx0YLe6BMb6OVEzlMRp5eSt3vldNtRHjkE5XetdCcJC8sX6u+Am8OB+gfO5E
AYNVu39FIEuws6Va+qNlfXFbSY4jy+Y6Sg4p9fFjMusdGuYlrAxVlpVfJpbVPVqnNLti3OQfxcW1
4zrdloCllxeVuMr0ahVM8ibUESWy+FM7bsMhG3P9MYxTgQ8F+ruqs70vy6Mv4+0N4cyUo+oFqa82
HB3f4OCd4IBQwSCoPgypq/OurDp4tnb0tsPe5jeRqkTQZewcgn7mbU3rfu5gcBGrPQWb2JTFH7jJ
tr6lOIfjQxxifAKd7ha0QDAPslpt2SBOzC7pN6aEyI9sJiNSlJ3yv+GMjBpEi31lrRnKZTtm2cRE
O0ExXjZ6LLOhxoLoIg9JVod1YybQj664G36keMUE/IJucE1a+nQ7sGUlH9GSpT/cwIEC23FM30U2
yhxXdJXyFGPBfLXm5ZLW8ewvd9ToEPQS6aS6hVFQP7RcL93nTDLIQ8vcqbKuliyfm7kAo+soAXTA
OQhixQcaD9CTlIoAywByt6pDtmfwje+AzFLQg3uftivZ5evGwxAh7CGVEqeym80xz5z/FToU6/si
Yea1A8/PHCvJ3I+sDPJWgvGGVGSucX9sExRpxKA2NnrbWPUNPj1BNJQTWOnG+zoOtRk3p+DO4Bmt
VcRwvlky4wusxsqlLSSpJTmpvRvtIZ3EPJ12Fbg6GlzsvNFyx0d0ca+jWiDHNdQLduh/5NSn6c1c
qhKhAlB/ZjXkOqG6hl0GyxrpBqoaPGKcN4MnSDVH4iXcCwabMoilyh7pLomM4d9gO5nUEghDhRaC
9xWmiSrfr5ZdRUdYzI5xU1ZuMe9Jh0p/tlrG8N9fXZ787CAhjg8hS1Z5r6aAhX2tGNP7gU/WTS3r
YV/2Lcx5kOaQroqJX2XCufq9QVveAX4suRlOmStsWF89hpw1/MDIlGCtCk5KJqZvqwsu6Y4W0cNd
fOj84jTGeRIvgFxkMuRLneHCKXOIdJiLqFEFKdah3YK3/DcfWCLfy3hKIN32ZkSdLNGTlPXYeQh/
YRSkpqNGrBfUuMj47SA4kqupeT8iZKBLBnGd4m0UlwovQGBds+ET5XoDhXdetGk0YyGv/QgUqrbV
DLOqhTv2uYq+G2qV+Pk5GkFlOmZ5yE8TFg3DkWG/yevN4F9aPL/J3YitDs5Ui++zRhIOiDiTRh90
t2QJksX2sV8+Mrw2OVCmySmdN+tOZNw21dIFPWmNiGlJD93o3bdBbFlx450k7zbGIXnM+jJW7RCm
4A5ulEtcHWeRe4jlYP/4rNJRmAM4Y2JvRoJYvuMQRH8d9XM8nY3SPrwui2VgstJM07dBEehWtSr5
TwsqYGhiueHwC5UN1VGacUkbZwCOIndip89+2Ka5wRXMNYwKIGg/9p4Z2FsmHTV1yqdYHGhiq6d+
3uf7BBEv+Q3hxN6ANFN45CsK9rHLNP0QYlLsBTbjcj5lLIgH5lcUrGXm2/WyO6SwIbs2zQ6kGgQ6
Ruy6PsrBJ2OTAK7oj0scQy6xGThsHKNsoY/Tvg5fsRz3shkhHYxqWwbob3SauKTNROmfhlJPv1AQ
k5dxihGIlCfd0p9CKqBIB+miwL41FK6Zpo19XUgW2WmUifkNJaKKMMFQoJud3vXVLjbdHUCDG74q
hWO/Bk4DVvIiN/voMwkFRK7i7lMkBbjJThfo3GfQdD89xWl2UGxebiMb9qkxJMHBrLZhxQiHlJ/r
aWLoCu2alvo44EA4Egm4qE1jkQrYL6c6O0hMPEjq49K+q5C/dWHXUGr1P3OXLgcEQeCDZ8W2Vm22
m69thle1gxfm9dQN9iEuPX9YqPmtt4q3wJrEne8nfAC+LrSXOHfU+sjwqL9o5/lXx/PEnKFhnVpa
mvlYjGyB4n2i8dTgJFxPO+D/I3YqBGlnfYIGeQ7jLzPY+U2Q7NljDmK129Ac1bnhtKxnH6cna+ep
FagHbbTwmdasSJCDZfoiatGOY5SxvGhjJrqn0dEIKhkxx7e0I+cgKGvd7uOXLOr9bZCLbpZtp3eU
lfMx2avqe4X9402FFqFZy8nvtYkcedF8Ih9jJqdnpw058mTJXpbE2W+WjglMAir+Y2IjQKA8EAc5
jsDwevnallYHGq4Z2vsTRzRMjbJVvvV0dc/QaoamS4K9z/JxgEBkQU9FIl4X+fgCf/er2OgRfJUt
3Ca2sI1b8GTXLOyhsZEy8Ek1prFUZG98HvgVknTEe8ABciCbrJrMzVOTd57eFQRICe7NpMtr0uFj
Kbk/ryWOQzab7NrtfDszANi136LbLQw35ZSdthIqAFBUt3rqMoWTEEhfVQwXB/F4gM8YT94iTNhX
pfLypJRPPgJymgAADuL7NME6pi76qHwILNjj4umN37vpdSfFhPcueSthR3XTZdU1wTLma7frfHaW
v1djxu7TiIyNziJ4lPLBwT0lJ28sSufbfcmnF3iObk872fbiaLNuwMDqkugqG/btEOFWTINNEZhX
flhMm3XYozO2TOptMUB1wzAhDWMjtN7tvN5gBuU7tq5R9cFnUbJj5jvesLUqaiQI06vQi77dneJn
8PWKG8ROhy9KSXol5wEdtUx4W2GKDi76UeiCPA2V7K4SBH/cCM74FddAI2pGuGhi3z+qLV8fsyHm
L5wX69xYI++QCErOgCX81V5q1DK7fxoQNY44f+I6RwrFO+Co8aANZB8dXeUfnezDtcLW8XbI1c8J
rRcGCyj0hM6ydrU7v3FwBvpJ+lG9gPWbXEN5tB7mDoADXNkKXGMaDSDIzvYo0FEOTZeRIa1zgE5H
gZm+XvHInMHEQpz2Ut1kFqzXJitg9hnChBt4ki45sMIWyFFIy+uLsulaF/G1HVx3zgolbxDO+T3r
UgJP+xgS6xVi5zxiEe7H4NVbwXR5XxbJEwpG+TmKDGdD0aePpey+tmx9M/gMyJxJ1cVYaVA//FCx
AVkYiE9BPPH6nIRxux4CX67SyD0Ok0nx3KCo1jtCJkE2LtJHsDHQdWWb++AWCUo+YAD2puN7kyJY
oMe5lEJdOmoQoWvM+arDXT527zESyxhmKMBkMOBYtW0SWBdU9ZTF4WrQM45s7uWGBp0vfjlBd2x9
g/bNPLFJFS1m0fjJ9iryB7x9GEZWE0CF1nRG7nU2D4RAaTuvT97laFqRu5XcFAq4ba1dlr7rfFQI
8e2L5BcI2eORZdXaIU1FlTB6NgVSQPoKEQ9Ah4aupnPv+nbGtyUajRIxNTBB3yBzcJr+EaPEInSi
R4bjXplkOA3Ww56vlBLtVrfKCAXETEVa82wCIusYwB5WkbGqkdWRzbUkLsqO2ciAE+eLgNBrHBah
Lx7NJj7LiTrYCuW4eDXZPcFJzCyF5WDE4Atb6KF8JB0vaIPIOVjgSpruHwjM3FkjBNJ+6oH06Ruc
gSEvxWoCfhCzSLatRpq9u1MZEgwbEY/V70WR9VexbdvjYEe31hBI931rUbX/mAinssXZNqbHbang
nRJAtesRTFwm64EXKnudNEFpA6WSy9YRuuBgQmup7wxQlL2Rm5Pwl8ZEVLXI6ZnFQazF+jxZBdv8
CnSMssbpu+FWwNru55DsIsMicinTenOb70Cf3XLgYW6SgKHinubfNpjf3G1wnmDw/InAUfNcuHvo
8GOCmt7DBVkWs34ttx2w8RTW7i3LJbLOomXnfZuhFfsyi0SijRqt/qmkncezR2ASaN6uS8o7kl5m
5v0SJtRMqlMgE2cSB00y7WgpDTp/BDF38/yhLcVnQA61fKgsgKMalRZXL+l1xmqqknGHzYPWczvH
kt7ZaaBPYYY5x3EUnSwA7iCWu4X0fY7aMuMkOs829AF8g8UdBQJ2h2ZfNiGOsbEokXwCq78F18OX
p2qixXKdDEs0nlS0kqu9yz/SHFHzhxw+NvLggMJuoCMP+9zs+2LDFbrtbTsMqNvfizntPnuBkwfC
o3l6opyv7DZBUydazLBxAshnoL81NpP20JdbhFuwZ92T6iwtG5IkIQDzA1nnQDisFhqEpvWvg+0A
ZOMGhCUlEKaCHUD0UromwInn2vXS+jrbsgVPZ7Kn8ki7yt4FtWAeq+wK/EjTsYSlbDSBSZkAP6LN
qiOK4XEsTfKiKDH9lxBSbgczjMl6joG53U17r81zFFSmT0ThkcIwMoMMe5gyXIwj5ZHTAEiUHdsq
j3CARKnN85YHXajGTxWnTQrr4JsSM8tvgf2Na8qwJ/DwRHRO1O5gh9zP0Cb+jH0l4HHN2f6Q+B0F
0BSRYTWMJqb50GX5dm9YCXchBCQQ3JFIpHuxpuxh5Wx2+IqD0ZcJCK9B0EX+Scf22i6YyK7nKcYX
387M6a2o4y4zOH027bPXDQsg+Q2+d9N8J8DrKbKGJcMQ0L4NWALT1HVf8z5g+AnVqOD0Mmo4W/aj
NsMFzzb7K90GMhwm1DrAtUWJyDtMU+JRmSFCYzwPPq3nKnFzu/Umc4eqcEN3N+95GddARXOwbbqi
Wk8ITlnBXQeTPgExCykeZkYLEDZe78JU6rHcUEfrzOawTh/DKDV8q+Mlvov2aUSyt92QzRHGxUSA
xlPkiRbgXmMSdTOuE8JGR1gj2WrS4FSgU3jbgQ7a1jh0h8dcgYQ21R00Q9F3LwjL86P32AfcVHsp
/DVwTLs9riu4uAeU/MQ+5yui/ZaDSVKCb3IcuShOinfL/CKGPBtx5xDnvnV7GvVfi4pGcs3ACdPX
1Oeg9qGwzMuzg0cLiGlasOqXgsd4AScKSFvM2MQ8I/kpx2JoOq/ociuIpuNCTzWePD7fc0B+8Eyo
NLMxIpZGLJHiGrZPTkXNFpRGXt2IffXXtmb+l8wxqTUYxzxQumhfiyG7tnrwwxnozFa9Din2Xahk
IwlEN1PVFbOtMQsSIOXDGq/Fa+Vl6h/CinCiJz4kwH5izi06IpOxvcdqOEsxB+xVLvODxyA9vgM+
H9yBsGwlYz3HgqLXFiTk8r4YQaqCM182p+EU5/Eir1QCsKjpyQztqMudrThmy90X6PMmLJtqYNer
X+tyysV80kxBfx+VCymvXdcRout0h8tg1aIF7Mfv4+ydOZWzt+i2CY5y8uQSzgi8+Jki/hW8Y8Fm
WNqNGzIJlr1S7rR2uaoeR7HtO5SrFe9vCgz5vO6NzWSbYlHAsd+3ixhwtlVOXpFh2fQTllNdcswn
mdv7oUgU9vCVmTW9lh34tKE260SnB72pcv45xdh1Pe9DNI85jjtPtP7bVvg/pVC8438g9kd9bf9f
feJFx/i8LZ+f291P/c8/+d9QpIgQ+j/tcy8iyH8QKT5fBIR/eTa//1Gr+G+/9TetYpr/tcrgB3Bx
coA6Ib9Yev5Nq5ikfwWHGv+VOGHoRdT2f7WKcfJXEMvA547B3QFR+EIj+rtWEb9UwVkAzqPgyWOT
m8X/Fa0iDN5BqwRXCWsCEJL+Wb7QM8oARw0fuYijl1z26QGatuFaTfvWJllX9DW3c9b86RL9XTD5
DwLJfzMv/PPKFutaCrbhhf1LER/8zzv2HPNYug/2O1A+jE6IF+s9QMi8e8801xUGcOtcfYEvv1W2
dFszMlO+JHBT+pUWYT/B+T7NzyCQ8OGKFFzEJ23QPn2/GPogEapY/W/Ld35dFt0aHVOR4SVEDBDq
sJrN90cMuIk+raAK3fXK2PduwzPTwPxtye9kGtLisFK5P/Q9LgMU5UW+nkhp0MJ1g6R/TPi25R0E
pvAg5tRLhThbvBeshvBgAU4psA0dvjYOw7qPEvZUcCARPMEZ34DZ5hN9mGXwizpMEy/5OeArXocz
9Qsp3hnijnkd91UXIajWsyUXWDAmpvqjUqQDGhMSDVUSV9Ev52LxoZDGNJ0800uO9kald5mjrv+O
/+XRBXtaBXIEZgWrH2diD9AyFvmzAinpO6Gopc1FaggQhtlUHyuWLXCzmo0toUvtx970J2Aq/kkP
S0eP6L/ooUqghWwZHLWuMCgUAOmqgDGgdz7nJ4PCEp+4GskdR18H2CTxqYZhRN4nLeiSxYNyixuP
cVh0DK95wqqGKmIAtlso6g5jOXVbWecJ0pcbgGSZ+6Y53dgLYKdfyeKwXq5cTl3LK7SfbgzFDy3V
ImuB7ZoFkQFcWaDyhm0Nq8xosGTbsJ2WxMPSBBvlXdWY0ea0TvQo31lW2I+t3LBpNnu8w2i06uTU
Tluc6UNEzILJNkl5wIbo0m6NPEzRTQTs/VjMTr/yxRYfHaM7qW2B63ZSkwKgRgxYS9hgIRKsXqp1
nK88XuNc9Vl/Ey6a1YSV4tM4N36ORoLvVg2s6wEO5ABwo0sL1YNh1WBrOKFbwrPY4ERNrrRK+xnr
DgVHkS7JetPkCzDaJulGd7tgftwRgJRDnTrQAiN+yjv+O4IRWIKUtm55N4HlaZ2uTv/u1x7Zy5dj
8Hoa9/k108k8H22AFLW+kPNMHY3OlWeHQLnTCDU1dp172p3Kbsb9Eqjo5prtOuoPA7b0WZuZPn/C
5nT9PVYVf3J9l6x15MflntNcfc8iW8zInFrdLVkEniZQuJYnlcfuYjTjtuuSz/14sshnPAoWYcML
BLg8xUC78YdHH26rEQLANoGyEI4+KWRCDS3XEtnCAX8P4TqpS9FfQX9Tjwn6AuwTLp7nIyaUrR6d
XaeapV6aY4jy0ANINgscKLj+BlAQDgicLOFu9qP98Pma/1DYlr6lVadp7RNhHmHsxJ8FaD/34A4G
oDaLq75sUEi9w9Ut0+sYmwasPt08v2cdOFNYiBblPZyo9hfoTvEQF3arnjI4IXyXJgw/AaojEqDr
kPPbANrmfU3tEMl6j4b9UaGZ3xtakRWsEeIlOBUBopCa+jWTzQrFeNyCgLePTRXbC8tL5DICCE5n
xcHoASLfDB2SQTKYESRcf2V4WJ5l3pfLJ0/3AI1mGba7qoAKrkkxuMFYOh8n1WB9qxGzAZQUqwSD
2x3WzHSJapqsI6A9lk38GPadx7DazZfcHBGlQqO7ftF5/nsEESu/Xvt5XnkLk7h0AfQfOo8+CTs6
KetkqTRu1cj3GYeNbwjaNTSfbYlNp1nJd3zJfK7DYil2R0WKLD29DiWt8TzB1MvBBAlePaVCAuZ2
JLrEdTkSt9LiV2EIDMfBueGlRGYNl9j/LZD7oRQlIBaDaceCW8WdWgKfWtCEttAkysbrFZsSBjDX
pAtmm8zDvj7BS6fpltzLjEqOW95iTX/SI0SaDFeDFFJDe8C6I1qtKGpcVcr9qiPYHl/skTG1XF+O
KCC7Mi2q8moWRhWHQMcKNY7NQkTLbYlVn7uDDiMdhjoS61q89GMMLUCTwpgsulTVqTzpopDl1OxD
MtqXzkqWfCyRHv1hWUQq23ibl+4t5m792vO5++4gzI9rQ2z0ic2PTs5T1AMmLofIwPBVuPxkO4ah
EfUleke1675APGC3m4jGL5Cc6Fls27whQY1k02EVFPwkofISayvdmTu6y0y0bAHl8NA7sPsKPrM3
LIq2axKx7Sd2i8UGmoKcf4E3VI2NGD0+sIU0pD90QcdoY4UTugUmhfUXsXnkauywolcUj4U1e2LV
PSoWGmTcvBEqLmHreSlj4Q44hJK5Bh7fxTWl2DdOMQNfCeMcTWpeTuXPGdw/wJmlBsFg9GkcjtjI
hj/WDmc/0u6MweMtx+g3FOXLi5miQjQpDjpZh0GWT71XgzkUe7INTZKCeN6EaohgHIddN4aboX+u
Fp788kCl0IoUDh/U7NpHWzMTDLVI7KMTO+qBsbwpJrmj2jDhv+WO0u9BzgAhonlAvw2A3yIvIyr3
5eSx/LJIyJtH1g6id+thmFb74dISJUuJy7w9rBlilod5BiNki1n5Cr2StEcwggp9qIiMt7biG9bw
FnaxiIOmSnyku8vzJq365LfHY53XIhj2sy/w/NRjNlVJ43upPVKVwE5uq0oA3wErDb8Oj7HyHsvs
SbYR8qxh2UqlB2BPwHuoUYL5BvMlFd1UzGNlbBaOHgQF2ZoWmIIu7kb4xOMU0sJ0dUJQvtDihAL9
Grn87aUA/ecsbEbepEunsoHuHthEWCjW5AXS1ecDpJhqvqI95tMaPFxUdKBFMMoLEmGmdToUHl4P
bodDY+AoTMddof/xeyiXNltXOWBAVZD3IvGpNKc95Aap6WnPj+WIRPprUGrmK6hpiW1tAoO4mnem
QF2iqLgLtr9A5UXX3YLUiS2/3KB+q8G1sWlTEIY71eZll1/10KbD4Sd48eac5ii+CUfKMARs62+z
kTI++hiUERjbsR0rzWmASdo8+uxRxJZ+s9aTqzhE8VpXPkf9wOYxakBRzO/XlE0/qpG5u2wrULvF
IMM9bk3/I49zBlaPx6wGMGkAU8ba8iHyBWDWfO/5p96CfwRpiWxHD+uLN3xysK2o6O0LIZE0oNGX
+daAaQEfIESCQL5UqglHVJV+AgLQeDqzLhaN8MhRbQDj9A9+EuQHtojLH2D79wLJgKZCdNy09O8e
3cJjh7TZOweI5A3fljlrm3O40dE5NjVARf018RCw2Cc8eUFYB4JNMuj35tYP2J2f1FqGUzevJm9N
TsBBsoqKDwf7GVAEzRgjK87RvsPzTyDH6zuFneYQwaSrUfOUIwScbOXzAAJrf8KitsOGb/U97lDp
hzeKViWHHz1KTA0WDTTnl1YfFYxfAstB8gGAitoouqbfLTB8EMp7LL3zOZc1V764daYPT/nAEIPY
xZkd6zRUyXqsFJePnK7kK096AiktGkYsqOLyfcIN/wjXjOxbtW30bMGuW3HxJQQfDNydAbcCWdfz
XJUub5auT7FHWAJYAlnasfscC+xPJNemP0bUGsiGGCnIMQKSx9ocLTiYJWTH3riS4xyfMbPJW+H9
5eih2zwdRwVdbF3xQG2TSRSHerNTxA+CxOPc4lfRhc4bQiUPdCyWpxgmdBEyifqpOrgtv/z4bDRv
KjR028nExjxOoNvwAzoZ3IO8UsvDWmAn0uiCp0cRpkvYypRPD6WLq/dRbwh5CTyA99pj83AGuVdk
R9GvhYLJVkw+p7LrRzBQejPeAv8Fb2fF3wsA7QfhWjx/rHimUZdOB4o2ERGXYgwPBVwJgDJyjiYv
LHMf1auwa37Li4VNDZAxenaLmB8H0N/AJEn7ratXWciikVhSA5kKefU7hhzqfcRD8OrTGeoLDDce
zJJyp6zRpBt/IQ/FY3uz4nKDtJn+oiHZQ22zZFvBtvQRNq0V+lYNbm+NCpC9LkncdU2H5eajDXhD
jVQK7wfqFPFLZhHeRGK76gl5NB3BO9b0ZZhh3tG6ZQBJbQV7C70QtiuI7o4sWpDYzHO7JmEprkrs
xoomFdVUNYOOMPdsMwm3PXrk8QBGmQPqjLI61RPB4hChXSa9Ski6YcVEZmQduJQZ3eBJLF+Vmwt4
a/pLmeKTwmnIMhL11yj2uL5VtSfY9gaccIdo7Mm7Gen+DYy/YTjgiQK/bSthWdJ0TpcMcbskx5hV
7GI/imEdeDONqQZD0zGsbMs8Uac0tjgRwRbzZdOjdQG/B4QBQGSE+fcVo8jfGfL/Ay79S5nkMCVN
wcaHihZgCOQGf0JS/h+w6V+fDs+Hp++H9n/95Q1uV5/L9JdnuIX9/LOp1n/4kv+ORCF9FRoUuFNd
/K8gwvwbEgWMCl8dpER4N3EB0Q3gpv/jmgW8CQEUF0PLC0IEBfu/I1HJX4EcQTNTwWoECg2a/WeQ
KIiw/pHH/x9diz9LKpcN/fgwLjFc1sEoWHIcvTH2K1zpcMU3jn2Zs+ykcnuXD+SbyOx3VJPW9PF5
zTNxHaWYfxcznYYlvzeYBEHebE21whdqHX5QKEXAfMN2YtzhCZ4kPbi2vnhLlwufEg/C9R5zdJrL
nj0g9A71lIevIe8/MsKm4x4oBtihczWIG2C0jE94WgAKSNZ9M9suG7gUZGcdDxqMTyw3scdrXVWx
DiAAx4xh1TI/LQlAAeYvh5Lh/rTDNqse8Bg18SSOypeHZTJ364iAuspOb4gc1o8Z5rYmp1hCYDeN
qJX0J1v4/TQWTxErbZ0jgDydUd7ww/cqLe+D4t+3in/DYXCbRtEd48lpyfcAK7LV3OYW2RA2T11L
hQ5gGAnTLmV1yiKTHKY1ukv1+BV1OCmXXsQN6Kq3owm3e0DGMjBzNDcWLCoXRZ8rG36uXXHfgxZV
9xR+FmlGQB72C1YXG2Z7sdLzoHMDgdPe32I54w+x3YFzwM9K94BjpuoZ8tWzqugDrFnDadyU/0Rn
/AVBydowbB9wpO/nLR7aVfaNm+hP3fkzIBoAIK1KGgh7cVJnONW68mHiw5fBGQvCgtnQjo+qTspF
PxRBHXssgsBMFQPU4+jqRrBDt/Wc7GDvDDBkuJ8WtBk2EsspwyUEcA5KfRf5K4Wj/tnFv8oJhqSG
rf+bu/ParRzb1vOr7EsbMBvM4dJMKwflcEMolJhz5tP7W1W9d0u1+3S5jWPAx0BdVJfUohY5OecY
//hDvJ3j6CYKqZNRLOSVrXXN4HIw2325JA9xvNzlkbFq45C73OuBVxcT4aaRWu67ZhzPDCB0e0Br
jUtS+9S2kbXKK1ackb0NhVL7XR7YXSQHnqoNxtbUqKaaekJLIM17VGLFShimu7ar5gsFjl5Zrmpn
knv6BtGu5GxtGfmJc/s2kAipikkyYbqbNB9FH/uwW51E6VY1AjW7RS/cF5E3VDH1UrUpQ1Qu83M9
S3ba124p6A75L1ddIa3o3O0hr3Z1KBM+/zSUFLHJRGwKhxOo1aTwMArmvonGy2GdsdddGc1ZjKBY
d9sEw1jrCDphZ4QO68q9GmuHYoo9BJ8kQAvSyQAkZvyNjIR4imIYVs3d9+3xP+fk+H9w2MDI6a/2
/8PL20v5j5v/iYjuh8HidxfFy//zY4NnWPCbLiKOxGwGRyJw9X9u8Jev4EIDFGOISCoROv5rg5cZ
NVxEpCamiHgryCrKsN9HDXwJgz8weglRFWJWS/47G/xP5icCV0G4yFFyEYp9ksqH6WRWtVUPO4NO
LWBJlAoV2mGE8mCP50Dz5DF4gAc67rpiD4/w6dM9+pNpw3d19x/Dhj+u+5NeVWQA2MltOeyG2V/6
bSbdiGN5ZIYvReZarGXnxBv8EmTAE6GOF9AEygSu4fXqdd2tM76BGGJHX76J8Cf7rPAs2Iyg2GNG
bamaa8MqVyZ6xNRJCyx81cWep9e//t2RgX05FP/45Xkqn2+aYfUDESrRgDXMZhK/JdprFj+Tb6HO
mZMUT9rk19VbIX3grDq8Sfo6ImxvPIsJqVjT0ZrPxFg7RnYUnuJX/iunKCuhlMl7Sd4fOmFb5zdG
epfSMjW5LytooeEuOEUbetO2fK4/0OC4CfvDply36+JQPHNKJraKPXLtNyugLw9kw2293pvcxRVs
bb/YgD1e6Jlu7AgOWkmvOAn2K6Rnu/UCZgz7ZA+62aleGTwwJXMMGevUW3k8TtE6qTeB9KRXxyy7
K6ZtLnqGcpfWC4eNN2YPFuTlC0PaLDJ71tysd9rhJCKLCv0BDnu2fW51u9wyaNHiE1qo+lpQUOGs
9dmmGe9KH4EY+ZfHbrbcdEJ8BapxxYCnzmC2Ooa+zppbLkgT3zVYOLQIIwI/abZqvR/zo9rd18UW
vE8hSLFa69FaUtfTcK6h+YdbqUaru1GGdx3DRlmw+2Gdl37Kn5kjYr4mFYdNE26kna9BZqtXhAx3
rbLS0utoOWiHTPNVUBovs1ztGvw7LO3Kg8bT3Qvq4ZLe1OE82Zyg0/BH2paRK9UQnCY4JE8jzEgZ
nOJFfRPfmKN0CWkSBRKziW5EsCEN89NYMNI1tTqgs82Rob+Vwcl8VaPsqVi13NhW3wjTeryJHye5
82tLekDZxwz+SOzv3N4ywyCyCptsGBSBSqnBY2fAw3Sl3OVpQArnC2iOFDpIEjWX+xR5EzYfgFC6
jUw4ytYKARfo2+6hQyiWJyd+7s7aJp7v+zkmUu6o69vOum8HH56sP3jtRvGybXZnreWt5uOn64ue
hdGBI6qr9LWIf2EXcqltP8lH/3jDLuXop21p0iUUT6bV74Sb7Bxs6620jk7KUTso2+I4HYttcZDO
+S8cp36yjP7jaj/pppMJYJG6Euu9fX9fH5vzdFM+RzfhSvOSY3PMn+abwmsO5rH8P7zizyZAMgSa
ZYzMfiedxG2w1e+XTb2KTulB35snbZsdxb2+lh/Mo3L715sW5LOLtvdPttyfvRqhazJmlLR+p5zq
GpEfkygbTp/0YB3j7bTRt9ntBHcVWPJ+3kqbeg1I7qdrXoFt4/db/s0n8HLTbou99ab4w745d6fK
j3fFGTWJlvkZ4D2sOMtmyiUAJVY2lEXJVkdfTp0QlDp1BOLBkDbMjgFUm3v4FVCilZktH6hm+lda
3fEqnlwYvlYP9d3tgcE8yUOIZVAGOvtj6V8Z7YoxQz9vANG0x2ovr4Ak6mnfDVeU3GLtV91K09dS
uw2P1rgL2j15fHD5CHyfP+bCFfjY9zA0548JXJk6rLT1D6hYUWTnq/xKPABAoiA1X+rr+mjtbtuV
glQVJjpyytJJD92abOUB8c5jg5v4mSFj4OeCHWtOzyU3XOBEFSrZlgcNDZc+DUmcC84A2TrPXKNb
90xa5FWdb/v6G3NNu6w+rMe0fcuqp065l4uPUARnX5vJenqTD+NOeEoFQuVdSXWTVa5vq3ANV7/5
Jr5Cfd7EH61mq5nbvIWvyxNz8CFxJ8HOX6ezeHUf12xauyl9HnpaNxdFhqCv+QsMrQbuU7aGsMVf
qo6y1G4/0HMtb/ERrc46XNf3CHUs9XKOKA4PyVq3u3lHkT8+0ONci1cQhW6Vx94Dq/MjXsnsUK57
p+El6tx3oGdX91M3PFln7r40sj36TCyZlQ6sFdmt2Hvhg20UN/PTVbHWDo23XEzwffkKm3AGUR5o
mYeIqHZEp9oP/uRbJ/EjOu9CF9EE1u08KHvk8oljbLLH2rNO/T0QH09YchOovt544NDbGF7gI5zb
8hGrjWUz22hZ/C4nN2K3Bzxuj+Fzm6466wqDM3u+b3kPwluEYCzN0hZ1TCdexW/Wrr6unponFkHN
n9RTkxV+q027NmE6eyxPzbtoAZzwQ/SLwovvsp0uAGcNkKtX3S0+GU50kpA1l3eagawRbckKbnw/
2tK1ON+Yma9ciWdz5Ci91kxfuRY3wlXzkhy1q/pRuppP5l7w2KE9ZS97tcMMye1sop7sW90J1+W1
8AhfbX+5mYIDXLp97jYW3534tcPs3I/89IAsz36SHN3vb3W/W0XevK79p8l5mzzTn/fpe9JydHUv
8Tk7Bjf9I7KaiY+EMvqcbtEJX36aakvbZcuZ5cJRaG31JVVWXexCTYQ+JU9OO3rSq4SGwBU9uir0
R4OV2tWMIEfh9YQUTnkB8H3Nups4g2OIklRztmVbfuEPO9429T1p7PIR/wyj2Jkoa6gU6cQXp8ps
3W9vqgMpIcO8SnllXSRye95E2tR9HnlVNNnpXvOEY3gVC/d4kfndHkxu6uHiuePHyKje2swsfPkg
DKtW8UU43Yo/WT5KWg0Y8RlH0rW6BV+lWtI30oP0oKxVr9sQI2OuMliffn9cNv2xPurb/F7YLefx
anhjtDM16xZjPmBEDZAf1YYv14jp7eSNMVt+JcONpLkipiVa1aYbZptYdBq0ZQOsib0Jjx6Sau+2
DKrIRWh3S3fGgm9BbcnYvtMYHDJqPwfzkfntspokb5y21UNxk+7CXbdv021Z3cvSU2W8WumzLjwY
j+GSPrUiI0+kBLGIrLa029tw/hBwg4MEfZddZVN32xYZjXTpdejgTQYGl51yXKPwIVn51Ypspmke
whDg3zGzo3ekZLfD2XoYMnz2y7p+hqa3Nyxfr3CfScEzY4sHn9r1t/yb+WRcy2fxPJ/yZaIXt7vM
Dt66l/Cpux6uwscaQv/YrURIvmjjnKlyIywGStkDjF0zagri5zBbaYVko83rK3pwp4zv1GYTpZus
cGNKqOa6wC+guzG/de/Aq1TNceOkw74/dif1Sb+hyOnnR1XQN0YX2e0kbyQ0NzN7xGTY80scn2hu
w2Fjyess9NVrOLjBbijWOvrJG/NeHF7T9n2WNsJjft89qlciK264aNtbqrctvHfrVSbQwrBhLIy8
4iU6FjDt4R4RVlD4MZaCJAFPVJ9V4BrDtK8ohUM9PFjtu2I52E+plVuNXg5MrGyiO/JPvLJG/Pyg
usZBGxFeQ2Z3GMNywhATrlvXOPwUwU7pzrXkV8qpF1Z0Rs2O6rmFJLtX1+mpvkFKGdnRvRYxGnSz
2sl7p5idanYZonQVpZ43j3aVOBOFaOipw05M/SL3RtWbhrslZ4XFjvjE6cZHC/aqa10Fb+F71CL3
4cdWBSm+TzpgQdT72Qw/azOovjZT47pUmSORWkyZYLuwQSg2hBqajHalSdeLdaV1O6N12Od4psnH
gOToLO+7q5m1V62j5oV5chbsc/XVUm0MMHRt05pbejupgdlTwLTp4Bqt0w4Fq51XbjI5Qelq0k5J
dlP2igDM1ona65GOF7oTpZAYWiaa73Fwy7FpUMDAVTjN9+yNV0Znw5zShJ3SH7X+mF4RB3Sdvmin
6lEpn7PHobLLh/imPClIfVHtdvcAW+Wmdadr6fnMnuR1Dnwj7LG8qqbTilChTbxm6yL1GGZrIXgX
XDlXtdYmPLcSOkwxurP00OOXGjLSFIfBETf4Gi2rxUvPDQ6083p+xbZevtGgXWH4HtGejMVtD7yF
eM42H+A139ZnmcNscZYZWSBAl0NzOV2Nb8rMNkEksV3H3pBtFuAjp/dZkOlb6Wn7pHfUB+PW9Ntz
pjnJqgxchijMx9Ob7hkZQyz6gryyqp2h3jbVLlYd5owGpGU3bdfJOnchEzAVvDM4nXf9TXGVfRMg
sR9Y4eFFwmzzl/I1/kj20xOIbwFv6S7apw8BSmC8CexJc6RwbWHC914/WNRkoTNXl8JGltdEMWaK
A0NLwPnEF695zKboyKLzP+LZrNF2pMMuDpIRFcolq0ZZ62ZyJTzqjnrHbJ4TIP2mM0HvHUk8Ju1B
0BlabTHKp8i9lyektXblj8KATLDwBIi+4riqGoEw2SepfumZuIx9fsjU2aOdtqTHsWm8qfz4Xn7/
54BeX5JDji9DXHyU/yVYuPRL/3FUyKEsum/Ft7ApPyNjcBH/iYzJ4m+4S1tA3kRzQcC5GCT/GH1I
5m8q6BbCcsi0F3t5vvL76EMFM8MuDtiLuQiMVQ0A6XdkTJV+w2nZkgxTwgNLlkhn+xuBIXz/l37J
IBtPkdEmoHojugOs7afuUNAEWUNzRvKacqGOt2UDz6QfOrW1I8R86D4RSzyrwLocW8OMMDRMhky3
J9gG4TqT4Kh61Ty1HmitLHpFaOr7tu3ahTHGTOG0ZLN4q5IYhOZBb4z3VDFHy2nz3Mr2mtyN7php
lC61zCZ+Ua98MwD/p5VKooCfz52GxBZ1gYNfYrbY6MSGk1qoCe4qGAcUF1bpfJdNmkgFUC/g4XUN
McvsVVijTAZRzoyVcgdjfajtIu55QUW4AglwWfM8YyhwUJXQ5KVujfaOOYMVOyp3QHCMC0nBVqtS
IJcwX2BNYQKG74ekQcisQkFcJwggrkpFVUnvhE7nSGpTgtpctJFCVMa5u5ix+dRNHVuDpXQlNQoi
k8otRsgqNqyZas/cK92aYlX1R7Sesgl9v8SShUkUs9NFu2hAZzm8zRYlhE/SU2K0WWYw8UmV/Jjq
yyWMgNv9JGSd9oD4T+7sGfHUzsAKYLarHg2r00GQZPe2Sk8aZQD8OpkrNnUxpyVUR3k4iyCkGAyp
9XBXCzqtaRTij2MjwaCAsAKk/XaP3LSwK3VOP9JeUw+TNqX4V6nKq4ZcsV9BVdPYzWBt6G7Z51Zz
MUyStnAi5YTH20trK2eYAg48XZUqgxyvWKZ8gxMDTNdhjHTaS6Fpz0UJtGj1lsRzjtK9KajxQy1V
1j0WO6Lm9YGobI2+11U7I7mPz5J1woySxro2UiG7Z4FnESCYHlDuC+mQMSkoLDbIQIPY3TVp0xyx
mmrOC0YlGH4u5gShqYRRpLL4zI1gVNJ9LmcSyx8dnJeNF5+pUKtR1IVBGzLzFsIXUQ9gMsEqle5U
XRheYnLeFqpayAh+VkPtwtoAUo0zQ37U6AssqlEkos2TKC6Zai9dPx3CVKCSDguFsVFapt11Cqvg
MCazyDUsNS6cwozykYY8zja4pUB0wn0L6WbUL0tuY12QnjFVNioIqRO27qwhXG3NBYKv3SHjhnMd
Yl6AUrflCprAVgJFVdePZiEYIA61SvGYDKXgIY4ZGhfDkfhbJC9RucE2aThAAw23hOtKa0MWUH/o
ZVfkLhrrJt8yCazIJzfy2tdyibbIKkKl4FQaEs1eeuUwByMRAVY9XRmjSatgoUNiYcZ4v0Cmb8Wr
PBbFYlMpwkTMY4LVYFSIWuzI4H/qbZcbHWeybAy6/X/rcPqvJhRRJNxy/+qQunkhLuofh5emi4t/
/DefdKu3b//983n1+0/4McsRdPk37IV4HQlYEnFHtcAnfxxZAvFXnBIKdpLISUydo+NfZxbHGWcI
unGmPJKuiRen7N/PLL4kqjpeYyZ+fKLGxOfvnFlfXRIvMRssPVgLhCdeUje0C6r6CT1Np7TtJlEE
fV8keV3WObo9ZRExkYmnH2vmS/rZZ7mI/PV0/HEtfBiJYNIJpYCi8PVaChoyCUMjxU3aZVwbrZc3
bYqHDGYzCrsr0aWzXQxw1hrdKtwKKfI8ZT4sbxzJRAXPgY9YDLV1ly4E3qlQzsQ4AlMv9kYqav6n
Z/on0yb1MlX6A/r8/svincwRrjFUu4Tefv1lZbMz2oGH5/J63ofpktrTYGZ704wOJcYlU3WxqKrM
O/jagmvUaxEB4SqZaKTyFv64JiiDgzCf7VcxX9O4vjWaGEilExx0o7DaqBNc2UxqN1kEl30LWCEm
SFi5uEWEYCp9nnsa43I3OcJrYhMLK4+JdI1BCj8HQXjsUy5w4iW7hlpWiWO8wGD48Muxk9XBFp8N
zfv7b/1fvs9fytLT8A2uR/ONd6Vq/+H3xftLR3Tcf4EyFQ7Mp9Xyb/ydffw6v3x+479//4/3XdZ+
Y3njEyOhCUMspv/rdbd+4x9F48K/0fmSrP3xtitsBDrSLXI/LnSeS5DCP192C5kY+iqTV/PHV//O
y355mf9Y0wbxzCYu09TJeCPrOn/7uqbbWclxNPy+lBE5W1079R6nWHw2pLC5MRp9On+6L3/yFn3d
XXBvFyUMlNnb+AgKCs6fXiKtLSBLDJFqh1MGDUJSBWhzwutQNMEv3ld2q68fTmH4Tb4UQTfY5uHV
dmkAPu9kRF5lidldKDYVhZ7koV4OIvGmsqgt5xx+zVAAO2KeL0leaE1isiDiz8W0yfDMa/RlAPqP
oy6NJeijSbieMdbBAxCFy7uCBBawBuXIWi9KMiYyXamOBspNSIXMv9kjtPSm70xN8DNMtTpX6PVM
2TPvzOpNlFkjvb5U9ZZXCrlUvk1SU0zohUcjXJEIp/NEZHGCQF3ErRb6ZMviQZWnadC5mWrOjElz
M1ePgdHn7bnEh0z2OqGaUzwSw+kNWma7a+KlMl7yZCrVg7mExjnU4uBQzUb8hkoXhnRBzY3pm9zS
X1xk89ixQDcKW8DCxUqz8pQlYnAoF2S6mD0YKQ6vUddxLxnZNRpA6yjNpbnXclzVHKHFSRP/HBpn
1NKTXnNjWN5vYThIzCOFqFOcZhSwMMXYpc+gDxN2BhhuBXMu7cyonqrZ1qYSUysMuKQFID5E7qcR
JpcE6qJ4i2QWOPxlZZ7SnnSYOpCDCOG1HB9rPD7rgxYKBWYvYzmPOhITTRuwGqzFQbw3Rs400CtZ
mdrMMeKLqMgz0QQvnY818aWUQ6lQNJRRgaBEit+W9WgpXipS36nbJBeoME/IKfS8BRbOa7BUBDJi
HzriGOTs7bhyXer+EkvRBT15LUG7j9FcQ9xZeqMXrwNU8PlDiHff0npzFckhLj+IXV6yQihrwOvO
nOcrPgDhgW6VQKeGjJqrLbu7hjaZuXgtRtDVbWqKub42lL7Nz3ksqKeg04TWb6UYh4BJXZoHJBos
onpo59yvGrkUECSQKs550FvMbuMmIsIrzqDQLZ2e5OshbWbTmSTYvf5o5M3bguYLolHVJ8OKelUJ
7/sGywyq7UYGccIKp+vDk0BRGzqQ72kTBe516cpFUjB/Nyif3b608ELQi5EpvSqEprUKLC1eK2O7
wPmuwyG0i9xUTkaKW6zdKQk3rMBeT3kfJW2stmOba+VR0jNT2WNIUme7eB4iBf9KcRYMBsbYnt1A
fGrbNUYWl29FPpLgkoq30lEXUpG+aopGXfNUU4NWBqM4pamcqwH/Gxymq29imanMJ8t+DnetboSM
CWSpeW37XsvsVIunTdxhKbQl3n4I0DrSL+Kk09Qw23uvbdK2geEVWAv0lmAiYY54A410EadLh3xY
aYppEFMWROgmW+R/8A/wXZlsBYXdWkYtr6I8qVLou/gUAIPKkdYDUQsFEyOtblM/H5BKwozWirUp
mbroh13BMKWKcR/ylItf0zm1KqtdV30+3qZSKIcHXMImc6XVci/dhHiSiK0nZOQW3JdlMOlrpZsq
sD5FLbQ6eZoKQcgExhnS0B1QvAQJ4r5FiNdzm1C/9KqMf6Soxwyw4NkL1b5A6xRtBNnM6hU+I9F7
gfv14uBYlzOQydKaHsOKwiPS/Uxxp1JcbmIpGyJf0ysBcZBZ1DvksTAYcODTBgCNXhtcmQMhd1MJ
8OCGVTkSSRBpkXqH7SzuyWCmWUi4jjrBMiqeZMNE4LlqKoswhqfZoiW9DjAfNd1CwAuAsTuOm7L8
JGGSaLEux4S3uQ3dHKlOg8ePJMqIt0qswfrxPawL3GtNB08o/Mdeh1oLYiV0sK8U1PF9kiP4EXd/
v1r6/1NMD8z1qQ74t/ro+G38x/O3l+yleP9SJV3+r9+7IsTi9D5Ea2Cup1InXE7z34E8XfuN5oAu
2rxAdd+Lod+BPEG2kNNbdDyQnMm1g+P8r0JJ0GQ4c3RDNBjf2yyauL8B5X33Uf+jVNJMVcJvgjRV
fhbYIazur9XE5TiehyLpnjJjMn0tDOeHEXaeXWEfxFy8kx/1Fmolcs1sOARBbFxDEY9ekGbgu6oh
/376dAd/WUldfh/90j+qxOrpGOl/56N86tPiJQqoRGL1SYK8uxvjuN4uCpK3KZV/FQ96+WhfPrqs
oAyEswkyisf8z9GksVXMYm5MyXMVrMx8gzU4fizMMxk5zpOH4p2crcz564/3p9ckk8LiwjpWtz/R
5DrNIqwBR97n1iaDnXHSApkjdIVfVInfY9D+7bN9us6l6/t0GzVjGJAJzckzgivm3OE29OrNC/4y
bvWLT/QTH4kndrmNny71U7FdG5JIFBOXQjDJh9IdxuC2yJz4rXbXo63YeJa5f30XjUsH/fnj6VyP
e4gRhcyTo8n4+vEyzCiCJknk177B/BCCoSlvQsy8mYwVuqyvDLGpQtfIB80LpAqnlprgSayzwEQs
Rw41KNvURiHDcwXs0W7kooJtrzXMRwDIFDRzrZgqEHRIuSIudgRmxomd9FG8UdKTgvAfw62xNF9N
6MCF3VbThERrlvLCxRhWwAuh0pDb54O+XgykNHY3WdViTzBhIVwvKPbwfzBrOwvklJTKuYXQniFR
eavKNkPSqrTde4sTl+qEALkMXdCxMzoaA8wkJxEOYD9mM8gu+8vtNOsInfuRJJB1scQp/GVZh+6t
jFps4bWIOgybt4DRG2Tz3IL70qeWbVrIEZHnFkm7U8BLO1sBmNu3Vse8thPUnjSlXCQUdKEh1y4m
wRB4lnaGfJNYfGTUjXm5w3tcbh2icBsSLvouv551wPVfrLDLAvrpYV92SIIVaXpM8efmCkmyFWt5
s7xyJnarBs7Dfuhn4YclzH+I2nxt4cCHJAi/JHlSoGP6RA/3dUnNitGllRiIrwgl4NdHjDXoDijl
m7r9BUD0b2/n92tdvEQgF2sK5ihfr5UbUdLEbSa9iiN7IBfDVc4m/aQAamlFxm6dDuE1nqL4Vu+s
4FtWJRz0vWWmzz3iJ9X769fpTz66TtYUjQuWLxwuP/06bdOEbMkzH70IdV+ThNEPpK7C2NhYfhHf
+HX/40VlU9d5jMRfMDwCb/v6ySMzSEKZVJIndkdYOXErOH1iQtvBA86hZIG1hNDWDsXS2reBmP8o
Vf43H/Ll8pcLMwhjbEU038/I3DI3fStJufJEFiiFlGVCqZmGHlNFLfrFFvx11X6/FK0eFQQdumYR
n/z1kyICNqME7POppv4/j+miwnqq+1+8GxQCn96NH1e5LFmOL8AH+eeUnjZU4E12lf5U0i6C9+vN
QQ46NIBLPO+sCiXzXy8VzH5+viLPDeI9YLqlM568KMA+nyxdZWb5UGoKs9okfc0pU8MV+dAYP8fo
S4q9Cr4AoUXQEVIURR+m2AokpD2FJk45+P5FSg1hD6NWu5Toy/xhNMpXuRaYhA8mdlMeZhswWXpc
Cjm7kqB4nfC+w8KwSmp4mMmsvGtZM+t2R0RMeFADIdqMrcrhjZ1izPaK3vR9wdK9dxI1rONNYQhK
s4pmTZo9mrzuOYgTJVzTQEkVch9VmOxFGaf7KsiwzIqtyBgRdQvBscESLV0ldZSa/qIamXWbD4Z6
kOsMP1O8h5iJL4WO2b89KcJYearVS++JshQV5QQ5sJtCGZjgzSVRdCMxDFhiNKNWrUZx1kTfwsWF
vADKs/tJBV8to5BvTno5g1CZk5zqhBhJrgcscRSXE1aa1poRMiic6c/UQxlcxKIkVOjQgEvZWA69
GSzJWimo8s5RtYQpc9Zc1H16seHEUhxwOdWlLF3XahNtpzyWG86IJYlWMTaSGu9AixwM/4hMdJRK
xOZ7EisMGaqwDWjlSSDjkZFYI50thqIDAmL8VFdGi7uxIygTHh1LqCJ9ynkus5urI0KZyDDDD9xP
Uqw3gf1aR62lxrMiERda5CASx6qY11jC9Sb6dVmQu86NcYUEJhnZAdJADe8XPTSv0zTPFx8fDFw2
tR5L9guOYt0uWjje56UIZ/wSQnNFg4TWJylxVCP9RYMM0wWG+sBQt9RcpbXwYyfvDkA960GkjUmS
QrIRIngjYyZn0U4iSEJxCj0w2k0WWcngLkZWwD5UrLxfJYh+73ukIQ/NsoRv6WyFyrZWAH9G+tLA
S7O2NL2hH4X3YcKkAEh8SQtPjEvrbkFNB7k2iRIvqBVukzW1NP65AA5iL3R091UXQQ7Spj7EQDuX
07NgqB0Wj6M++tLYGIvXx7W+ComlvNdVrM1pI3ssEFRpWmAA4aDi9x1OOs6sGjFO661ZWS9zLhv3
Y9DK2wlHLZB6oxzRO5CTXKGaGqVzVYjN4ika9U+LL5DqK+VSJ7f4AVnSM1WUGb+nFD3mkZY1OoV9
IdxpLcJgexDndNwXspwke9FilLmLtZHe1mxnhn/FbIm7UGiK3DaYzNP5Iy4fvKULoFcVbTLeojsn
LsfqJhVzd9G8Y2psPVVCQuUiS3r6WDYWCzQl4gJt3BII13ViltQtnZid4lmSWqcrCvMqkUbtG0i1
9aEknfTQ5kEykX/UhPKmETC+4Ybimr4ORzOLiEi2kuslzcBCGqSiV3jtQU0rw2LyeubI5C5koBSX
X36qPU02oNJZo1qdtLBpDyru3ik3sEaPFmZZ/W7k8Qgb3tSyW0HsrRli16B7bGTDFUYtwVNtBjn2
6UEjX2nmHN9jaNrfzgsjIOCkcLgWWjN5jjoSZRyiEAII2XoZ3Qw8rIvCk/Gsg+5cd9HAS0h1emM4
mEIpB0jRRph6M24DlH0FsVE2Y/X2bRini82hOUBfFlPNeCUNoYCrVc+CymrAPgMgsIXPbAyjW3fp
HLj5ImSHWhe6m1gd0EpUZGCdEVdD42C7WCaSiorijCG9zIA6MXgSRSa1V0o5R5GDXJWBFfcSYl4h
DOH7rCFLZS/EnIJsP9BQJ+xCERYGu9e51tjS3FEXxMdQTOkdU2tSV0Ke6j29nYi7TRZN+Xw08NXv
11JikOKEBy5KlDwI5bU2UvLhrTThXNzJ+K24aUrYwpbdSlZITlXKBu9NXngnqJOqguc19Rri11J/
0HFZhBIdBsKp5vyPvVzJkaILabagi4qL7ClNZRX6sRYtTot7f+rjaz0vbh0X1lMXxFnrWW0EMt4m
5NbYCVA1jGix13n3JmFhV8Rm+gSFRADAxucBTUwS4LGJUxTUzikrgCYHIekmN5QCfOpiHPUL2wDH
hgDfJxZEtAmhJ0RWCOGJMleFN1Zycjcn/FyvUAzhPZNKDnUCjnLUon0u5/YSjj3rqDSXDiZCd8mr
iHQ4AEOp47QbXcxHbTEvGJ8Pet8rXlxl4l6puvoCkUGfNLU534xoUGfcqJpG9rPIqMyNUuYD+6WV
RB3AmcSiLuj+O1tFbI9UFh/Byg1CnBogDzdw1hJBx2hFH2b9GkFt+JYXE91OUEXdTk6q+LpIp/g2
xfkajgKGn3tUfZWGsTSwIYBZTvRAQlWEawhS2sFZopR0JdgDqJQHrT0p4PVoMhC2foBTwPolj9x4
liFClN4AH+NlCNWOlOF8BjbVwuHOnIZKsE2hIV4Io7DwZMSq/l5QQcBuD/EudBtMH67SqNXf2iVY
PnIlnH1TCNgDCUCpSY7pTD0nu6CjicNtcLrFXiyUVj02KOwrrQXE245z1Xqy3GTjJiQzCJnaYD7P
ZUIbhmZmvM3iOhY9PoUG//3iQOfQAyJx0/8XZ2e2G7eSRdkf6gDI4Pyas2ZblmUrX4iUbHOeg+PX
96KqgHJmCsp2A4Wql7o3RGYwhnP2Xju33gLYif6i8nOueWPaN69xOzYPCnY2Eo2OJI41gBj/dagG
zHuBNVRQOJy8W+X5WKkl0QLBL+Gk6hccFHQr3JOTPxxex5sAvMdaFV9zM9VSJMi+m28abh8/ml7U
bK0TQWxbJZ2Z0NaB5cHiYSOlzaIwXBMdFcL8Y2W6bV23hGk9tYFgjXDnO6YtjUc3I0irJ5vrW+S2
zi5pbLBqhWei6KZ/HuwTkFvfSRnLklXmjM1jY2tAtDtfK9SK/TLcqzBPXuIK6gZrk50dOCvFb1mH
6XnBfRTuW67a+AtFY/JnK3Jqk00xzcVNHIXeDz3W1BcDgFm4Zk+MzWU0GMMVspD+dpLRs2dVxUNB
GtxzQ5qCuegphdYbp2DLBN1rmPuKmL1uWQWFF24Irm4fx9x1UIhy6PQhMYkerrDvshoEfCvhQtcH
lO9DVStFkTiO7mQLAJJuiA7kohqIOmFhY6mK9MgHdqYb6b3diaa6NptKjutsCgYKLQP0xzUzd1C7
UGhyl4HlXTIb/bvJ1kFH8Xmob7LKOUVSYWcljMx+AYJ4Dtyz4n2HxIiNWgfMsyoz4OXIxO3hh8m3
mhAPUsFr1wZWYRmP8a2Retq3ZFI6Cno77uWytNIZhTQQ17WyBxVU13EdpBsytCZ9Wak08x9kkWSH
UitsuGlDB/IlBC4tF9rk8wowAVbDa4pPlLJD1sth1qO1Ud5uffjSCNNbJzY4NQgoTWnXej/CvCq+
uKan7ih6g8Iz3a7BvpCITu6DoHGJK21s+zY3oSrhb69C2guyp8RfT6VcigLJ3EIHB/8A4hyICAWI
eDevLSknYpC/eNcL+H4+yKGnuKNoDkpH1cW2lRVLiNZPAEVSoJL9ksJ5P200MTqv+TimX1RrkG8N
mKS4ApmO6cHQdO2rPQ3NcK3Vnfvd9y0VXI1V1pSrdsoj80b2hp+N66CMS2D6pdNWzVel5QnkAOIF
go0QEOu3SVawVul96b9FSUvyIvdyA0k/0PSlJKWt2UmUFcQ2JhKbhGTpJPJCo3KSVyUMFR2V3rSG
DhOGq3Cyh3wh1dh8oTLVaRvH15Kbuhn1n1mReW9ayZKASBgy8ro29JlUqXEOWQYN7c1ln2akoTlm
jhdgTjK5C+i6DMTwRDn/UnuKHgD7JCReTHm/GfIq5qBe13O/0+U2vEBhIegCatMso9Ntjd3E7X65
AFRSDgHcvygYKdHubIXM2PdSm3tN2aDX9ygyIvAD/bMnlS48+IFWXsF+iO1N1VXxoxsAEFwkU8SS
qbi+fKm6biIbsRuNaOmAiv7tKd+kB5Xn8Q8ufv4DRxncK6Ms6x2ZRgig2zpAtseqxVocGNqrR2bg
bizr5LHiU1tbA3ZwdGyu/cikcF8h0d1OSGW0/NEcmGWL2LXd71xiEeP7fd31N2zI7UHmEquXBTjr
wa1F0y7on+PNS8u0QA7YjP7dqPwE/57ZiQy5fdhD3ZeaCp4DGpL1bVdmUbA2uvnBBjttwuusbeWD
64dOcRMKiuToQQfnp6Da5oEid/HiJZMVXgfCZpKxABW/6D2yAZRlZFUs+32EiZYqPD4NEg6AcIRW
R9SHp7/KeED46XCFRRPnB+N12FTNs12AxeRsHCEW6mSRP+U6xSOIfAB0QIQZvFUyGv2vGWlLTzaZ
3v5qFnHcNF6QBgtf1dnXKdLSb1xKs71m9hp2BjsVP3Io74gBg6R+5m4ePgvoZXurMtvXXkv7585X
ZBuT5SJuyzQpgQwRhxTwKm2BwafTZftg6Pb0ZHZd9jry4WD1HW3rhRzglp60H9o1P7/Cw0sCcNC8
BkOTv4306P1rQ5IZfANCDz64sk0TrqYXk0kF0PUHOlz7W0yX79EKRhYiAOzdbWIIPAA5IahULi2n
um9pnh8cfyy+ZmSW8ctkoVuvZK1H9lXoROGWzD3BHQf6CarT3kAta07jW9FFr4itiHvzU8wSLeVm
zgi5O+GzZEVZ5G7EpQZIVUNvs5ms78CuKahGkDc3StecaEFnBYagr0kHLVeYlczVYoRoTUZIwDWf
Vt1PVLaE1cToK7FIR6GtbxW8OHVruoFTrpM4ofjVD97wI6YFLr5LcOn53cgbBCYyTk12E0q7tKFk
Bpazdtu6e3SGGk1xm9l9c9VlRid/EAKqxwujjgJ74cAYs9d6knd/oPkZ8K60AiZmSI4YGtOwIXKt
RFzSX1kolim7UV9dUEgvviPC6PIvAS9tZwV5WV8FfdS2yOVUmhA8hVuWULo6v7aKEoGulhcgLNl4
u2QTVjbJHBPxdSWHJbd0CGxr2fsMGffWppCxhY5rMgd1HQyEJK/7yjBw4OWDll8HlYk7axIk/0Bk
NHHMCzuoo6vIrYb2ClVwVt14gO+Sb5QfcvM5Gi1q4rwLZ9rxkzj9JiX7pAYapebtLZbhF6WMpFnS
X8VkOmigKUupGz+5IgEVJmYtfQ4NaXLOA5A7szi55XgxZx8CrKkPrhLIR3fpoJlYQaamyrYO0ZSE
pIOJnJYpB7/5YFEU35JQxT86ZhTAFdvBJ2gnVsKXUEZFs4vMhKu2X/ecrfSqNastW+P4HX0K5feB
oszXmLZhvtBEWf3QU8C0S2KyHHwmnjdfMQ1gaTcy9Uug7gBMf7ooAAkU7aziKUMeb62p5iM0/z9U
3KVVZq3x0tp28bv0ohG3ixYZvz4v/Z0VNB3dBq1hI+qi7XKG3vazpIiryXZfoizSb4t4wAPIaehf
y6bzKIB7qYwiR0S7dVxenCbopmoaiSJK7X6djoG7LlL9wqOcVU3fB6EW7BpgyYnEOB4kSW2KQFRt
X4bWaVada/i7wqpRX8qCg3ELMubzV3ec+EyVlvE4ikvKKmDEeYHH4w1OpJTbR/7LREY3svkecUgf
aXeUWfON38nn0I3GjRim+EKn4fxBpUWLbBbQoru1zbny/1cbEISsGdkqAdvoqHwbjX59IzjILOsM
RjEh2urr5w963EngQdlQpaGBcqE15zDw8XhNbFROz71wn3plueKHRDLKMroqXftS3/HzoXDKHA/l
FFY/BoZBBSUTxY0s2FkJtayXJqqOC0iCs5lPn55pwsFHA1NDjtTxUKJTHO9BXO9Vgfoqoxv4MGJi
ePrXdzfjZjQ6ExajnAtxHeT8A7kMe43wc0I+ZjO0Cl9b6r0XmgYfPc/fI518Y/hzPESYeb4XboDX
nDomoIvyz+ePczb1ZnGDhkBRcwCxGbO36e+pV/Waq0WEW+5TQmY2dUG6QxDI6mWsGuO+dydx9fl4
+gdPRUtYB8UiQbxp1smv1CBwrNVUNXuiysRLIMo8W9aJsL5lNYnLiMLKXT4ET36qoAA0wbARtYGz
Dk2G/RUGLJltfl/9HEylXeh5nc9UPj99tnG5FrvKezfwr49QRzrUEczY7C0W6G2j099qG4sIvrJ9
+/wdfPAKUIXy+VkcfPnP6edOd4Sdeaj2JNhnS6eQqOGE4V9YVD56HsdGgUorbfabzX/FX89DYHhZ
9mam9nEKqpeE1l9TSlJdSAv6wkgn6pR5PSFClQ3BZQ6ZNh/g8VADl0OnD5pmn4rOX2dtIXcU8fMH
rjX6TlR+v6vSKbxrMO48pzUsHFv15d2kN/K31QXBhXVAnnUv2fmoJfNLsqKzvMmTP6c0p9bNx34P
YhzgnO8QrgROmzSblHOICRHYScCcy8rZRRXtjpVNCo63ifnOvvQQ937avgLTVJh+7C3IbkGW7FFc
8GmOeONVLmMTm7ZNeA2loTbYlZWR3QknD36lRiYeXKsvp9Vk5Ol3YeTY0r2awuxyNCbzK4EEzoNI
YKldWCvOtq75kdkkUcqgI+MYfvzIpadaz+8dumZliPWfGuWy5eS4UZwFVqFrhT85BKgDvbJp8/lk
/mCa8etLAheZzbO++nhkh0B0yw71ORg5r/acbqu7DgbOxqysZvXPQ3lzr5Z+NLor/f13/2tGO4ae
uVD71R5XIZkIBJtjXsh/xFWdX3ios+4pAoN58ugGZTN8lScTmki2AFhyPu1p6BAzAEWAw++wTvQe
o24U7+Y4jX98Ng8RGXpxTjsoyTgFHL9G9OiCtVfn2RzNWRYWWDHO1toC0pi7+/eh+Drc+elQUryr
dv56jZ0rRY6brdu7LVUlcud6kDRAhl0AtRd+sfOVgceaj4kOx0SWVvdkEXJGCobEHrR70w+nBwFA
+IveWAO+Szkti6mDelGJ+cahXgbutj8FLPGdiEJrpUWD/fz5g78fGP8nUWGd4q9xLEQj3G+JuvHm
zfCvJx9TUr5EVHb7mJvlovNAdA2dBwZd0kKiTOE++vEI20Wv7UenK3G8xp31XGeZRtHF28ay0V4+
/5POvh7+olkrY2AVZvvRTt6PcJqedoHR7dtWi27NLNHWYWtV11S2L82w9zXg5OktKVmg5bv/a3Z+
/f30uV32XS/bYS8cG9kvzf2uRUDoGaDrG2d8wDTBtctt5fAMv4qCgZFaHpzPAhFAqrL+Xjj1MC0a
OdJRcPAJhwvNafI/ML/mKiaFhGsKetxua17Uq02l5FnvhXhOSeB4+vy1za/l7FFsR+c8aSCoOJ3C
cuj8KSV/Zt+TILcdMS2vatfPL2wk+ge/zqz70ZA0cc8+WwZSoOD6mOXjnpCAGue9Y99P5VRuKoim
j6EBQaPKQCyHELXvHcTtX6bW5I2Ng1qPDRQ5YmDaG4Ru5o6b33DhM54n6+k7MJz5tiDp58jTT0uX
ZC9HUzzuZzLWgsMLUKoqeKl8vrGwI5z931+5SeouZnYM7dyVjmePN8clIyUY9zQuaHz6Q7zG7VFe
WHg/eCgkMlS52Mz0WXp1PEptKF+LsO/uha3Nddeo2RZjZMBnmMSdbEiG++en4uCCid+cAzRYFo7H
k61AZOIV4763NXEtZtm57spk/f8xCkc+9mWiq413lORf605WBlEmgnca6sSPk3biNSuAzX4+in52
7kFsLD30qmgyGMs9eXmDJXu38mJ9jxu9BtFlDU+unRCkpEz6SRmlu62q2+xKr7AbF43p7wtKpwsb
98xtZOUV5S6ODCPVsjvDncEtbsQ53NNJyaXvmfdxfmEKn3/GnE8dQAi6hlsK1eDx27czq8x94hH2
ZUK4Qlmh5c/J37vwGZ9/xYzC2m/OCWeOYZ2cUGrhGnBzfX0fEwS4jTswOGPtVytP9caFBzqfvgjn
LGbTvM3wSc5/yl8/dKwZePJlae1dizL/6Jhy2eFju/PMarimMW+sPv/Jz84pzFmG0mw+GJaC98vW
X+ONetgiadK8Pc+tb53EAu4GtMEOYHRVOpV5EqNLalM/Px/2g43U4YPhKeW8mWAZPn5OaaXUs2sl
9kiywJ/QLhf3ZWUP/k3B7L4XXRLcFWNStl9dpLKY2K3Q+unLrIqXky28fWPSFl/qZGdMF85R51Nq
/svmQorFRQ51/vFfhuvGKzA7+nuFcuUbn3b4PXMwcXz+Aj547zDLqTNgH6Yi/37s+eu9+7KUpPSQ
bJH0erLWUlkBe9UrOoNhTZSlHUVbo8+DCx/4B6MytfglsW0jVTzVvpIxRt5CRQ+Hy4W4CjA2/06S
WL7EqQq3eptb68RLk9vPH/V8SiOMBNOrca3weNqTF9qMFQE23pQdak6/V3CaZ1IFFI2mKcJtrI3t
8+fjffADepqG8J5fif85K0hIAW0AQPWBOcYRkX3tLkLWd2FNOB+FpEO0rUwSa3bFGsfThJ5jJWtl
lwfbmn55sdmQJJdd2sxOFx6u3qQgSj5OCpiedvp70boiEo4/AMS4c8fCZN844WQsQquwtv/20nCb
su4guMKnwrnWmB/3r/mYG5R5S86ph0y51Y2FrpdsnsB/+HwUefrW5mGYfdz0WOaoIJ4sb44uUKe1
zIUp6rNy3db4IO8nb4LpIvTBeBjtIL6jOQHJTNZ2di8Ijb7yiK3rbjyrs2oynWj2T72SmynXDahT
qZ6DVkLDtx08PS63OfGGCiI/EvqVKPTuqze53nOtCZ3DZkYOObdpLb9UpDyd4+/Pxdzmi9F1GAgn
yxmoqqLlgs3r6/W16NNiPWZ9da0m8wGRQnBh8fjwLf5vNPPki0Ka6fm5x2itgpxiKDg4heMnFxaL
s8k3/1bzVjQbkFkuTmY45w2lZ6aTHaoYBmeaGu3SJ4B8k/bd78+nxflInD5nnfjsdaJ2Lo8nX9gQ
dDONFdFQKb9djwl3TcfUXk6YDlb/PJSpcUvWdQ6IOKNP5nmWVyhj0yE65Nogb9Kip5dVKYu4P3CN
nw91dnXlMIiXAQcLu/kcXnHyAvs4DZsuN5NDrgAf1qWpAOBgjd9MqtSI1IkE1x+3xDE85v7vzshJ
M6iN/jYcQ3h6MX2lC4eL83lz/AedPLwICNBpHC05kAlJT1DPxC5IJce7zx/8o2HMeb2iJgwl6dS4
Xusu8VulkRyiOtBWtZcB9jT64vXzUU7Pqrxd28L+So2OAwT33+NJUxdQTWaD7gGP9ACCV2tvKY0M
N0jjvR8qI/2wMbxwPY0lglo/jC90QE630nl4l0IAi6UGzeD0nuGQFB6iEiwOdOGc2xiz14Jlpd0a
1hitwAKF+yTkFPX5M3/wZo8GPVlmfBlW6ADd4qCSNtvaQV9tWyK4LkyTs8MZz0bZE/Mhz8WaNuP6
/94MLKI6Se0uykOYlOFPAl7JuQyqGCmF3q7LFE1WqJt095mn7TawCWYgitYjXcyjLDmx9lNaA+D3
+bOfL7HkNRIeIP/jlLTk8R8VNyi/WunXBxMB+G0qHOvZRR+IkjHV71oVWBeWvw/Gcx02YByKTDDd
O/l6k7R1opjrIynVanoYcAt8qSpngPWXa3elGXmbz59PHnvd2HPZfBEjc2m1dNQHzsmARlkVjoEu
9eA7tW5t4iyzCBRsFNoo1bnhm0h699mbNPGLeLEOZcJU7cKGSMqFwMZ/Xw/M1lXF3nllcUy2F5GN
2XpFHC6JmW2RWBn/stTZ1GXe42ofXOePrVCHXHhtH0xR1+E4BJUDDA9XmOOfyRzIGNYxth880F7I
YdzmpiCs6sLLOh9lRhDpXIe5e7tn/p426ulChJM6WFkzrAMRaWgXqvyfn4VRPD4CICYUit5p4n8d
ivBz28pE2HewJ8gLOhGxK0TPxr9+1LiFJS5Yl2aciTvi5HdvWPKjyEimQ8aVb6NFk79GQRtd+HzO
lkuDL5k9j0Vzvu3N/uS/v+nZ1VFrxA8f6LCIZh2GJn4WI431tR+o+i42Bu0KvV6frjEOEHPmeOmF
E/PZB8VfgBwUp9R8RmKCH/8F5Bxz3zG07qBCYd6MXT+ih+5QXBG0ukO9eqlcebxCs+/SwiFz05Zc
kpmSpzNRz9uWKLZqok9Y/kDxWRD2MmPy4hTEsEWMzTqMxuKSUesEmfifYVkzKMfiLjyvqiGMgZVg
6dNejUbxmDkFuXdB3yHTTQhb15eT4xAA7kAJJHYv7LQrG0M2p7g4T/+ts/L+p1gOy8ncKDR1gF3H
b1xGqMxyk1oYyIAM8TYQaT2iIFYOXvtPvc/3oXhWrvM4WzU6GydDKVS7KcFxWEkw02wLTC/ogkJ/
h9b00gX9ZKF8H4tbArOZW6VnS2teHP76LA1fZGk9pNreK4FhzOGdyZcCzAoscd3qonUvg/qpixG9
rTjveRaa4y4wlmOSVreaMfkmyFqz3SElxMBiBKVm3AiVVw+55fniixckwTUqJvEkdPrycFyl++Sa
VfP98/X++IP8z1OwruDIN6geeu+1uL+eYozseqB9wvS09QaYoqv0B1NvyAYY+vFxGnrtFhNN9ZoZ
eXc3xk5+4S52fOj+7/gGopiZCqbReDt+i9HYCKg/07TvdPLSG4HOLeLAhBWkLi6s1h8OxeamU8Dk
Zzs933dDrpRQlbY3I5zbrSsIHvfT+sprsIp8/lbn7eV/Ne3/PNX7947+ZjaWnZyQjFSORq45+j5D
Y7qK0Fz9bvxELhvNrckKobihKuFdh1oY/1OZ478j4yn2KEOywMqTBbYoY7LWcJjsh7Sq32J2jjX/
b3OuhoZXU9rEl5rmH71VqhszlXUudJ+1MIo8tNJJ8MnhtVzhWXKviVB2V6Gl1xe+7uOle3622cLL
pu6CbaD9czpXOp3sr6gy9mbGkrpMzCjeGF5V/cSAjo8qCvPwx+e/44l1+j9DQtGgwMIp3yE36nh6
4jdVfhdNGtGvdedsOteEVIr5Knzsvabf50OJxDpKouQrqNHydubT3DoWrL2Kf+OFHfp8Ukm2KzII
PfZOWkYnOzSizo7z3lz/RWURIXKKOZhNI0ZLYokjDJlx+hTVAwrPvJRvn7+I45PO+3uYy2bsnTMx
40yTNIliCgB3GfvADbrrdPLTleYhTv58lPO5hJiGxh4FST5TzTipKADimEJcjt5eCpgy2uARTlJ3
h2BUyYWpdD4S2hjmLKs3x3m6ice/qxyaXrHWxQe6vUQaxWa2sWrRrlwRqUv3mPN3x5FX0x3MtbY5
O2yPxwppz1etp5JDGXj5SzLQWkO4SRhLgO647oLiTscEt8bOaz6L3oaVZSltCRIKiSkel6XTokKO
BPimf33bTGmTWM3Z0W3RIDz+uyZRla5onfTQuzHU7iZql8XYBFsZ0R39fKiPXgGdBIPvF10i683x
UCich9CyguyQN0O21UjNhZlu6lefj3J+1LIckHgevDruMaiSjkdRfgPoIG/KQzdAiaup89Df1XrM
OVaEC2FwXtA7qNXng37waA4XNC5pkPjAk5zcNPAIWqEzzYP2FqlaALSuuhKc+uejfDBfOZPPOAO+
f/775NGcUBPDMMYVd4DUX0ZhhbBACLnJEz++MC3eG67Hm5fFbZsgVO4a0KdOV3QbrVVbTy2Va80J
cFx5yn5zAxHeGH4yPDDTSSHhfK/wcOkWMIUUSU60cEfHsZe9G9o7rsF2gusjFcBB+o6Qo7ScMKBy
+sWqkzspWRLG1DzJIayTjRbb+rUVEURNrng/hzVgZDEW7eAwKykIa39y3BbuYhhS6/tAyQGyPmsP
trH5PrRQjoGfAxnyz8LP2pestPgbkUWQgqM73hNS2O5X2ybUa40kzsuVJ2k/XKHfFK+TlpUkApUl
wW1aRyoO5QTCAEqX7Li6ALBG6kOIpRjFeT8twlrJm8bBu073wI9/OV0lcefkBlHjfU79rPDrYli5
jY5HU+XjROZ5XBNsoLAoacusSIj/IMs48Fcx5maxlImSbwH1uUdFUOifwsJlTQ/Gx2g/OGl1sCYX
kEGtNPc1N6DjwyqNijs7dwl3yhRgu+XgqDhfdWmMBTafDGBd4zCBT5P4JDDhoQ5R68ydaR84AN3n
bqizS5XMk/Ii6iV2RTS4kuospw6+qeOPrkwQE+dw1X65hJq1wR9A2xssupP7lBfgTIDZAVIuCISO
HnVsRZ9/FicqzPPRT25zel7CtXJgpPbW4m7EUvxWfDPv1E/7q+UvS30ZtdvSWant58OeHppPn/nk
m88NtwxMwaipQS9kst6wLl4LCIhDjRnaWtukSbRNd2F5++DGwfrisIfQG6eEenpWTgfitGc4+MHG
6UhuEuKWm8QYf0dZUH4pvdlQHolhF+kt8hfZCH51s3yqTavdgB4JV5Wuks3YWsWVyVZ7NTWhu4Yc
h+1RU8M1d22MsWUqrwBemBf22w9WSar3mnyHNzkcwo9nSYjjc5DRCPW5r0vuvjU6eLvQ15//Lh+s
ktSvUKBDFkNPcgoL6dKqt8H8p4eqxWI8er23GqcOS0Yw/pfZ+/+IdpkPRO/KX8MBgkKnxTmZ9oFp
9LABDDZPb3J22RyRqafKuwL8NF6Y5B9saxDTQNXy8rR5qzl+d76BTbOz0uwgQomvmE4SG3VQ5zed
mAj7qBUZ66ocxsd/f5nvF1ukSRSfTjc28CRQoBw/P7RWLVcgmwtaSr5Bur0bXjj3nR/sqZ/PhF6U
2wRGnD6hbuSxNwCnPhSGkWJVh6sahmGy682W8BsAjpvPH+2D6oitweOBCzy3v6lKHL9SUbZpb6Yp
VXuaquuqovmQxD3AWUk0T6Q5/g+RkqFTc/66JuM7InQ4tC6ciU4XEW6gkJ+Qm5ou5TDaxMd/g9GO
g0/JkJ81ximmaCDeGZby7zOhRw+aYxNpx59IQNuYrKvRGC6cKM5mFRUS3gA3YSYw/f+T05/pEJ9a
TplO40JvfjKJf4NeLjYYqOKrEgXdzuub4sLvfP7IHCtAqNHh5SpD4fT4kfMp92KOHPIQNFNxXWHo
rhbEPADzyovmS5L2UAwaImCcqm7W7gTB8/Pf/WwV4pk5pvHiGX0WxB2P39tpiLnCkAfTrxUpm+Zw
G0/WpQP/u+797wMU1wmUmfQQmcy4K06/nJ5+BBtmZh0oejf6IsgjDkLYkr2bogxSclqbUaQrE1Xi
T7PBWAiWJZhjnqmEkIFI1sJ9KFz7RXkCcERB5Lu+yoyxkNi4OotI2r7XHmG9uDdtYbR3Xe77a4Xz
plnKFNtvQXN6tnD5f5wxKd78fKJRYDcZ6YXMNmPZVGMcruAj6Tus8KW9QD+JQygwuulFyF6G+Pp9
/PZDFU5vBpggJMqpnIhGhcH23fVrLCO+9NIdwDD3Sh+7RtvqdgdBKOfsQzRq443dQvML3SJv1iLU
pEBDyL/VDK1bIwq6fhamlg9FkUlzUee5di9ai79+iAfjOrDM7G1IIhPwGxN3meUh7uKpyAhQw3vU
EWWLLRxCOBRFf8jEeGGKnCSQcqKQWKdYZiUiX7Za5+SzHAJs3dUwmIep9v0RjlSXLZOkMG3OvLp9
xaEPvajeF9EXvyEg+Aq7LvbeSnCeXqo6zKLVGMjoqyGE81xKyt2LfnDMx7GPunudd9Je56knLnxY
qLqZukdzzsTNQ40VrD49ApbT46kNrkHvkxK7sYGXHZs13OGXOk9q8vsSNyYakEoUzuMZKyGNivTj
1te1p3CKi4MZDyltww7Q3wqGr29uU1U2typo1GsaxuKb1wqrvh7AKo8L3WiBGEdePdwoMahpCbg7
crZd2wGQSX03fsOFb0+LtsIcs8hL13vtVC9fbaLqokUN6MRfTL4z+Jsh7RM0R32H3x6O0JxkJ3P8
cR78J2szEYETLfW0Kd+AKYkalr/Inuy+G8YtsnOT6D3Pt0kxFaUFpljzE+8bcLScKLPUhXvmhyr9
BtKNNJ2o7osHbrfBXYzwvl3oTTG9eP4w3kg3yvxlWDbBXUtofLTwRoFdRquT6asTtYlYBUkpdm1v
F8MaAE58F2jtQOqiZ8EYjghwSVd60no/7QJaMDHyabKO1Oi+pkEx3WU4QeUGSploFh3tjENem9rD
YKnxhVIwWIdOs1jxkrFzfptJixeQBdj/mieZ2yG3KxLvRqVFsC8a+FiLWE5wl8CfcJ1Jwh64jFET
s2aq+tEqstJbwtkukEimrfWW9FPl8/ILq1xj6BWgoaIofqrSqiBbtR48ZzW1vT/Hedd+umkItv6d
+lkvnkdCY5pVqOkBCQqVGsa7tJpADEzoXg5DWZTjvWclIv4KHMCP93bpWwK9XtWSlwSgQjSPhuan
LiiJOCjiXTt1QxeSpjna6V0famhQ0MKSf+rQlBfLog6K7zE2yGZRJiIhXDWAt4xGgfrPosjSdos8
AswJNy8fBBSw59+OrdQPt5v4R3QrJD8Pklbz5Bt2swEFXRubySduNhMi1LBEx5JLGO3qa67NerJo
gtYHLjl2HDCySnrx/egPZroAQqL320IlFZywNm53vdFAIu+TuuzWviDnZqm1YkxuwJSnvyno2Lej
GVuE5vjSgi3U6/Yd9cr6zTQas1rSerFvgNrF+C4Hn0vQUIJ6gccE2AwtUDTAVNIyokgLc9CvyrEz
6B9Top+u6Izm2nVrxqNYUwqTt04zhOYqExW0XJOwJKIT9aZ6DIZO5Fe5ysrktrNDL3qoe8PBaUHR
6EpvG8K+Q3oJ0TIWU/oWhr5z7/quzWs2elHiAjKCeqGXmXPHExrTRow5C5Xf2dU9hFLxp1Ul+vcx
EgZ4rCHzAV2kMek/JuyX66HQg2CHZNvb6SGHoyWzPW2WmjIKGOFG38oN1OkovzdLO42Wje432UYv
OjAUdHrBOsSFmzlXVRiSIIcEEPSbrwVYnaeejwc3RQPjouAPXxTuUL45IDPQgUq6qxvJT/yTkIFc
Ld0g7cDsySh47DSVVYuKIvQLrXvfWutiSMZ1Evr+lYLm4izg+KRvnV5hhZBhOGmrbKxZr/pE5mt4
22SGlF4Q3VgRfx90OT0h292pwjejiSxjO9/RK9Txpf01SODHXUMjLW5o2ABqQDqGKQsiChdQUOAj
kFVzcuYVUpLR51PXWDTwwZ4m9tc/VZvAx+c+HSB0B0TkwYsbo73fuBDl8GyTwFyG0xARDqYHP4Zp
js6TnduQqTkqXS4NP6XGQqiZeddq0EIXdT1F5qqiHFTOHLbQouhhwDm3idhi8gGdJQu9Sbg2+KDP
AooBcnpCSOWh+Pcr9TyaJB+7TW7sWcQBhRVGYP5I4rF6LSvFucwmKow3azhhsR1rkhD4cadyWSqH
xHRVhMmTKCOdOM4oayXKbAV5L4OZ3q9CnpLzuyIVwohq2LNmFA4kvoeREy6oxhBlyqaiR6u866lj
A6lvllOcFtpa4ackQrH1UkC0GW381dS7xrYIMIkvq1rzv8MfJ7mlGkT8HcO99X20VUWuqdPMAQ6A
ol4obQbuSg5e8tAPGW/C8ir9tob4fgspT36L89wG3hDxT4F0aW9dOyd5VS9E9MqaYWbLhkSFYmEY
lGm2jj+Z9yLrYU744whiizMkFSzlljAkeVTSuyJYTlSP/MLZ2SO9n5XpazG7naGFAoaZrdxF30bm
JklL7ud5wfq6GMtMezGj1Hum756FeN2q1uLoFTs7ZYSExSWlLv+EcWOny1pLorciGlQG1SFOb0yV
Ti10qkKDNTMUvYSAnw4vddORGxE1RRVvinxMAJsmUL9AirQQ1fIkMr5yqAPjVnp28NMeR9FfESDW
5kuzqAK5GGuP9K8SVEQ2u+BLbmF9wJfV5BMcOM0I232Vi+ytiubIDoBs2jYeIxia8AHGa6PLIlLC
YxBKRAik6tkyA7X/v+yd2VLdWrqlX2XHvpeP+iaisi4krYbWgLENvlFgA2qn+m7q6esTe2duWBBw
XHVXcSIzL5w2zCUtaTb/P8Y3angxF96kJc1+MAeT2GiUVNdm6dZXaNDqi1IkqJp5ftkLFnQHiFXV
K9WHpJB/tl3ll90YPSkOpmAynWaFNHJYQ+QP9NnsaptZ8xQ4Z5XmzUeU+xcAGtCNT9iTEItqp2N6
Dx5RwD2jNh3vooF0BUCStUmWKA1dwnWbRYf9Qa+GY2dvlBcOjQEDvoNczF0nc7pKZMORFSbs1Hgo
877QPxexEZ2lvTrRfWH+HvwOA99XJnQWmLnLTCCOfa5dSVeQrU2UmfWVmofqnKSuW+Y7DVJM4dPM
jdwvJXPtFACDmeTtxI5/8I0ZdsmOWAoeFirmHcnECY3X3byYLPaThGsywQrtd2w1eJsqGDLymDgM
NfphUuZbjnLyUKqfpWrDPVSXhgDcwY3tu9ZVSCe15yW5MsxGhxc1dRapvJz9vtPehvA8YydQjm24
rt8IVnEoaZKi5auJHO3QdOfqh7fmEIQjkLhpA05Ex65UufxEwhEooCmXictZk8l0XkRtbT3y/Q3q
bR4hFYNpmqrqccM8E296r9WL04RZA0p2D+tLNO0k9oqVifbYKOaE/Iw67+1vNaDcU2jx9nWqmYOx
RWGhPcLgkG1oi7jPw55HsQvFhJlr2xHxl4dzUZk1nbqhWbADGsOJV3StsokmcHUZSNR+Zd/UQ6hS
jEpDDJM9eRtDZVJP85TmdtQQAKMrVcf5TNeKxbmQ5pjPu2rR2zl0UneKA5c3WCWSYpwzZi6dDBmj
z6eHIZOOEqDSq34ILVLqIylaNhBLOqifY1XrTyfHS+AWmkL8MnpbsmLIJs+3pizy+BQISnqWldSN
Qy3iIAcvAQjW1hmpYAfRUOHUomysXiCNntiou073beyTqTniFANBicsW93WtOudsJUg7V+AUSL9r
eyJix1JL9cBiNrqw1gyUHQTB0dl0cW8bvszb7oGDsnoNMKm/Y55Wqm2lYmHxzEnEqLhs/SjXFFMG
YzEa35VIWTruO2eJbculnWacVZk2ZJJHoTu2TufzG7tLQoAajhyiUeodfKH23G4bdd7OGge20BAk
d/hzlKvRSZ1r9alACUMYyRQXPbCDRdc3WlYQAyvwPPhqY+s/56RhDR8duFBBNDbkDHUKvoEKMPrW
jBeVpOaBKNdbdmDZxp27KsC4B+q5JlUQmkkKay3w4oaVTZeSlTdrlzjoRgF9P9HzLowbklnQpHhG
E4wA7ThV2HlMXLIUpPe6KhXuHZbCqd2pna7unALE0imxm3OYp62mnuZkvF0Ib2iswGxj4okJoHRs
DjuqYodFN2Q/Zkudb1RN5iUk3Rm1dNV2XhtWneLM8PAUitXWuBpmdRovp4PNH/wqpXfHm2VOv/JO
Nx89d/GupDVp2VGh2HAJlYSQUN0Q0Y3aDMtnkZFF6U+9at2N8EBNCLuKW22Zc2fkr5nQ+vO6jaz2
XK/n5ZcVNVV73MoJwno0rlxsMMUcx1l1HiejJQ18lF6tBr1YYYq6K80vRTlnBleFaH4zdVICmLfk
Yvs6BGbC0wGbLeE4NBNxqdMkzosBQzJAgInVT0PoRcZ7mVXp3nbK5EZhw/6TsJylDyCsqtj54Ynx
6hsK7dhMF8kDTGJhXPczjRqcXd10hkZZjvvIo3+0oxI6PzYg9tielrP1EwidV4cVsG8rrO3YAz6/
os0yv0BYfF3AniO1vKYNyNRFsgT3lgMnF5u2d1WWuwnHFT0tafTk870H9x1sWkZ0wmZQBvMz50US
9GgQWSaLj+lcgwMggKXT9RiqE8XRnjgrDrasIw2MXfCO2TkwVkc5gv0gAF7CBdWOW03IOCTAlnq7
oSTD13RacZmmLRyc31EutkZGd3/tftHPwnGJ0y22CFK3TEBFe0UbS2OjTzTFMYsLeJmADNOLrm7X
e9Ba2rd5TulSsSoOd4T2yHM69dPnNBMyOjKBNDTsumrlHAZMLAPTqMZbvFYjba15rs7UXAqod6jf
kQDNhvFrTNIuOvaWBY2rdDp73xCv97BEYG03OkZZxR8WMxGhN4nqGuple5IY1KX8ygbORnp90X4B
kzzgQe57SSVT8dRuX1hZZ32GfOKAWZ0qsmrRBJGdpM9sf+mbmydY/UDQRgYBB4FoJQBNc1CzM0IU
zbu5dRz8GLnG+gkPjHRDPeEU6Tuz1U1kjY/97bJUQBkqxxEcJZPUPZkhqEQnumFS9hjYVhEQmNjd
9RrQQcC6k5x6Rj0lm64izCG0Msf5HCWmfZ6l9XIvOqU3A35X85gUuX0/NWyefY/79QOCZAd6OHX0
O4y7uc6QyZz5UVUYN1Tx4i/5CGqLw3mqj/7I9r+D+OfVFw1QX/xzlcLkUqP/d5h6AKlvetWc1Ws6
ydKEJg38k3rGEDGP1KzKbAq68tRGQA49kiCGbmfYbX/Tzln6+H55dG0kvKghHbTy1vLtMy1YboPN
ivqJZhp0N8ehgfcNzE1BX6+HERuZHxTA7XeHo2r1cjgAq6qaR3TR7FkPi0IEUn1UnBwQY/JBX+j9
C6ND/XKkSaHYoY9jeT8r42fK2oxkBLY7st0GsNVvde/6/Tt5WGh+2SCk2PtywLqEAd8RZHNf57TA
uZtlevH+CIetrsMRDkrpVknAM+jT8p5aj7/a2JRf00cxg69qiuvzgBgHpSy6FcSBL6+CXrxF40kr
78ujbmeGzk45+r2wjb/7t8+GOLhR89JZvTvr5T0y8k0r7hPtI33agY3g9RAHdwonoQbpiKvgRMbU
X+p+5xffmrDdLMfeZXxB+tbu/e/msM3x9N08u6j16Xj2HlmYZjtw/+V94g47M901A4WwnVmVuyLe
l8p3jFsfvEpvPm/PRjxo5uit7FonZ0QbJ1HUbmOS+t6/pjdf1mcjrH//7JqoZ7JIUU67VxV1ayrm
kQ0VOoqO8+4D+cmr3tzh3TuoZEeYf1NnkOU9ZoojBKGBdFqW2SIc2jMA3oGqddusfGi1D5FOb04T
CLRgz6wCYuvgead4vNQ0KMt75ws6jmPxLT2uCHjw8535hVJBHmZnYPC/yFPpf5Sg9OYj82zog/eA
RoEkftIt70fvbpi/cjCJpzZ0jXs1PleKZGcaP97/Pt+cP54NePBWoGsuDdk65b3gjfP6b3j7A6jR
HzyXb3+Zz4Y5eBVIAofsCWCMKUTbXl1cgOEOgQ59MMybj/+zUQ4efywaiTFQxLkXDmESbLPSdPv+
7fro0Th4/HVpKijouV01/Nx+Q8lCWzEVwUyw1kf2qjen3WdXc/ACKGZOwpLGWBU5qVvrh/MDfLL4
4JZpr0ZxVyMTfWc0kOSM2QffTLNUsakvs3av2/N0geYLaO0IY36xs4X4wFVa2/TxGQ0yg8SlsgjY
LOY/M5ICwmE2kaxnnZh94dlm2FbKGGjI4xCG1u4HH1Rfn8QXuxLifWHdrF1yWra4qV/OPIY+1Gre
NdFPBKN04jnvzHngkHOVBFRa0zTsG8N9FOs51iduE/IFFgQiU0ajcy612SNj1bGW8sST0fIzxxhA
r38ypt5nv9PXxygPHJJaXI+K7qAk1C/Xtrg/6ouLBdiAEBzpuNzef5zeXpRWtcMKG1sdGi8vymno
sIp1+XazPXR3q/Ltu+42/updUrI8Sqpzgmk+WglffeMH2zv95ZgiE32qGeyChJuxd/6xRJ8lN66m
9xt/FJn2oTDrYH5Bhg4zSbC5E3fpeXqcX7pH9gXSPYej/ikZaDEE7Qfxwdrx5qT2TIt28ExH2thZ
yBbY58kvi/e9rgOQZ+9/c29O1M+GOHgaZdVlgt4mKy3COl/RLhWeQ6W/yNvx1qSGXQ53XvLracz/
eiE26p5iFX/RQYOZm/QHf/zf/38mXlKyf3b7XyVefkkf2vbuj9OHqnx4Hnn59GP/jrxUP+H3gVhn
4iHBy7+a/f+KvFQ04xPfFNSjdZZDU76KtP7OvPQ+oRMG5GWiANIRm/M1dtXQJ//60/7E9IB+mBhM
XHfgBq3fCbxcH4d/Ji+QDB6UN9XCYkHQOJ/v4D1vZV8KkNxHA/gZ0nHMiv50P/Q/NTOpjp7dmou/
fukf5SAuVktx968/Xy6CT0Ot4DUXsAES+ldybkDCGV2I+ai1zA4drmegRKT08n8zCCwIhNaIwkgD
fbENdCv66hmxvo5TT1tLpxJUO8SdvD/IGzcNpCb+QA4eCJ3Mg0HmwXCXRkxH3Nz+3sZTva90Y7qc
zSY6f3+kw3uGXmL1pOErQXWGN21d9p/tam3iGZJoqo6oFjEFKzHV2KDOq49Esm8PA+CLihd8+EOT
eG9PXu3E9VEK0fx6SNooUGlh7t+/lvWuPH/UuF9kq1K6wKmysjIPtg0ZKcqznEB0iUnuhqmnFGXA
Hy/CnE91JDH2/pamkxvHgLioVtMYlhD7EGOoU8FsB8fYkzAiSEeS5KXUrbv5/avi1YbL6VgQiQ6h
Rw5BDGQIG/sRDkGgW8ga1AmLnQk1MXQJkA7/X4Z7hU4uyH0c6SPvFYEGRc10K+hr0X9OlsHcMo80
l+8Pd0AiebqHyFRRqyIVwx1qHxw5CJKwh2ou9yQhlT+qRk1/wnvHPkR6O8EJeaqB8UMPkl/MNpuz
EOO5h62dHudXlfoeGzXTGsk0KQvnthaatEMjntM8mGUSXZhdzk8XS5+SU0XghF93SbfHg435NS9S
S7lsZ/o4+6LrqKm/f2GHrzBC1bWntupwwcKxM3v5YvWeiMyUc28iO2tHclJ7JsBM7aURpR9In14/
9kg0V1wYu1gHysPBZBERK6EWstujQScEx8CJObRyfJBVRRZRv5AY8vtXtnKZVkiNiaNl3SA8mzKK
RmpdHbf7MkWrtEyj3LnuPO0Ldc6v3x/p9azBlcFuxMkCG8uyDyanOesyOx6avY0WKujKNYO+TMfg
twdZp3FWwBVo4BkHX9SQl7bMompvzI6yMx3EiCBxtO37g7zxNFhoTHEjor5cRXUv75mOLF0bHCq9
fVXjtuaMkMUYFLLGan5rB7i+T1wIA2CQw2qEDuzlSFYMwkiZq33mtulppvXKtqrKelNMifGBcfWN
b4e0eiR/q3bWYNZ9OVIjVX3WFLGXOnlnsSDxB2XD8MGa/taNW5k0SFUhABAi+nIQsgkbtaMkOpUw
uifL7nYJOOQjknHMD+qJb14O+xNgVTjVXyFFafdJ8GfFXkFvvMM+k4atSZzc+8/ByxPIX9/OuncG
MqDzuj+JGJ+9O9iMK9Pos33leHcW6W9ntTPUZ4Qe21elPsp7rZ7rD+ocbw655gislH/UzgeHHqIf
LX2SkG6RygdInkviezSxt1tZ7lFzcPhRFPERjZH9Fl/My8WYDel6uvM0li0sby+/OCwpfUxK8a6z
NSIFRntSkTES/eh3vGxTGOWj7me9pHvqDXV/a6ht9tNTEgsHj1F17YbtrHpeV+X0WZLlSg/Jpltn
z3Z7AwYmKwMMKK3qJ3x+ZAFmF23HQlvcDYFmHjyDFmtm0NSW61x2iW6eW7nTDhfZWI2kYpBO1V2R
3ebinWpU1QmLpaWs5YG1w9Jl5WNyZ2VkA1/pqanIANkCudB2o1OEaLXsMUVL0x1HktuNPl6prpVZ
qevtqHfwCGHw7tWl11clQ4LUUB9Ums0NN4MWmZjIXVkI19HcQcSbTkTjRvNIbDsai849r7QsurUN
GWW+0Eb9qJzz6LExrc7czXkvb4rBdHqsUznqSLvJ4gelxPwUdQNSD2ERnryNY23EbZ2o8tStevSU
gIBxx1YlDvcwFvTA9l7d5KNfNy0K2DhxSMPi9UJmHCOMhe6djZKovwUvRkCjT2ZB5lCWCypY2Mkm
chbzZlQTjX9C9/gxQSBy3jKdkXQK7/NL08hIXXPn6q2Ucd4ESkl5xYzHWPGLzh5v1ViDAqSZ+nzW
oeHKsNaV8l4hYQiNjujo5g6JiMAxITc76aWmElQ8VSgWo6bs7X0sMYKGlYfnC5mLlRQh+H55BR97
uPWmvP8Z8YJ1YWXGxBQ1Szteo0qorpI6mhK/RwgFcALRFGCgXkeQMyIKtdzTEeBrtpedyC8Xs6qM
syWZlA2yDq3atS45JFSEHHfX1s21rVRFtCezBRhjAzxq21ikhfr12A27JJodQs94166wG8QtuojS
OO6BlXyTlrv8KMhVOXPnOf7O1n/ON6aS5d2Gbb4l/ZaEZgI6e/RU1tI4N0K61RACIu/TYJA9x5na
aRWx1TP6djyQffdTRrEzhnOiFSkeQTu9G5LMuu96ojqDNbhoCUzEquIkEzmvuKADR2d1movHuO6Y
1jr6wk6Y9QIG4Yx8CMumFaVfa6XjbuOgkwi2+j5PEem32RdrEkYfKBwoKRpRBayCgSmFfC51KtXA
TWL0ao2lLmexoxN4RGFnPsIX3swhIut5Dj2zVXbshwi5G8ZE+WY4ItbCaEBlEFRzAwwubnu5rMGA
9Q/kUykvkjrIHa1IA0bKmnjvu0WqapdLpCE/SVy7/U6abVXt7blCPill4X4rGoEkqEyQLqHfWIZk
Y4+5900O6lyHRpPqOcmRqlmjBonzPkyMQnwl8qcRfu9pHUIyZwANjipT/MpnmX4p0sXqNnLiRT+v
aYMWoWML87EgE2kFLZckvC+iJtDRiEjEC2mbc+1URaIkGI2cqQQUa/TL7kgIIgQoS/EE9FVRbPEi
6Aah8QVCCcdGTBealT7/whjSz9s6daAltlKXqGCiGK9YA15g+jaPNb74sH7Kgg6Ksc+i04gQ9cGX
caKvWgtNS85svev/WoH/p/by5+ps+K+nolP8UL0qvWyKP77cFePdfdU+r7ysP/R34cV1PhHKi6Nb
X8sbDiXk/xRePPUT6TPrXo8NpbVasf9TeNHMTximXCzaPDds2dcN59+VF8o1LJbookGZMQmq3u8U
XoynuvCzJZiSMSdTNoP8TtVywT0fLMHmMpNVYIOwGqNrECf2l3xWqju9tZd9b+Xo3lUkK8AcahGh
looyIxhHF5moJtqLHklzYKcu72ZvwlpH7aGMvF2mJW8rrZMntl2LJCzteP4cuw7PvNpZ3ZGGypZe
r1Z+1ZAp/ohsoySc0sAQHCeVdklOsOq3xIuf1JVI9g6b4KPU0mfbFzMqG6flPRLIF3624HdDpOXL
EJYo8AhxblHDYl7PqgAzsfE9QZrt+GT1ypsy60jXA/OmniVRtwDfWoRymVF6uiTKyrqv07IxQ29J
dBK8qKOr26FNTYrgo46nZjC7ONtoS8ERoNAtEURcB3sCFlRvD41zhojO/gxX9pw1t23lLKdI8sms
pQj1I+0p0QQ9XrmJ9dKssiCXFnXXKTbviJOSx1Eh1LBwy+mHPkjU73VnwGdb1RkcfAg4c+t7GP4L
0hNyaPlIvOQQ0DUhNn0S958J22259Nk402ZQKZsyz9XjqR53EPeOy9yzQwKiHtc8tetYF6R0951n
hCMUR2bhGSdboELDPNMKJTsva3FhMuncV/aq1cha+hy+6lUj6h3RxSKAGKZ+jYfEjkKnHqq7au5U
I9RHL9n3cD5uVNnfkMaJe9UslX3BwuI/bb/6jk4drdFbYfZGHNK1VFAfKec4I1rUH+MYP0a4O3e5
IjO/ybSvudaed2qvnrURwvO+9cwfY7uC+qYl6C0lddgZxt2JozR0I8aiDZwGhe/QOMB40/rYocBN
Bm3ZI0JVzqQ9nMcdCWEOhnByJJC/cVM4MlCYZFlCPy0vo0a1z/JSIRLSTbvrxRH5L6uPU9+Sk0h3
Vt2T6ouP2/2+LJoREuym+XMtr5ekirfklNcokvto8QV5p6Vv6HXld/0KPGuR1PgZZIdtW2RfRuiV
u9m1AoRbyUoSKsg+Lh9pSVMhx7v8JNt7sLQOFU433LUlGx516G8mXV4WlWEFKollPtmCw2kC8ajK
CAfU0RzbM5LliKsOYa3+bGyyZszE1pHGe8rW6ZzN0BQTkYLo6PZZMcgjssyIysTWsy29rg2nyNnP
vXcJgYd/z9b2Gp/HQ6fxsLuVLjZD1V7UForSqtYazGo8p4qmxMumdarlaukHrQwESbAsYIWibGpT
m/cToO8fFQDgm5Yu2jbWJ2JQTbKUd3SVct8sdBwyeQVLIKtCmErpRp/V6TMAc7EthP0NV06BgH42
fupUQC0fD6ZxQ93C4gGKSI32pZsjkEWFho1F2mi+dO2iHSzeplxBhqZIA/9i5SW+4lphbxRloDXW
GLS2JNfYVfTjuHWTDYn2NOrqwQwM3FtXToQz3GnwXbfSxLCjYA+TZtxtq0gj2n3KbRJqk7Lzvumz
o50qKO6YgNRl3MyYeoyQvPLo2vSEYoVLk7rxuTq5HSJWa9lBpDG6cJDOlVkvZUgiX9RfgMZojgH0
dN8loukvs6Q+eVF5Y79pNGSuKJ9/5uYyBhPh7sfehIClKDL7S8U1gX6YzPkiJ74wI8haavsFUvOX
uPai634kiY/gU2/ntn1HfJ6TH5Nf3rGhQz4MEg13j5yVq2ns89zPZ7FsPc2ERYiODJeiLL3duGTz
53GaSZabi1oGTYGujr8ud9Y0EzNc21bHRnCOjqmbzBcyy+ySOaMaHwg75Q1DlniXliZrhjfjtISn
WucXJFU331t2YbzBdm1/KRun004Lp+fE8mwtfqPWf5DoQB3UxC1NsYPYDWrXsEdeLm56WZJKiBt0
OybeeR3Xht/Yw0aFkyNS/diOCUfMyxyblRtvkKmt/qoB9FuLpqv5nuMMCm38tR/UEA6rmU+fisY1
ygmiFVh5Dz6VkZkqivHU2tJINYJZib6ve7elmmy/RiJ+hML6WuM0qw7lL4OHEesptXZMFtd5ap/j
XOnR0GW420vOaPDPQ9MSgm2je81mdQqWbngkbwCkapcdrw/PBzf14ND+9PHX4hG9AKijVOtf3lQb
AXON/ZGPj/xkR4708SS7s3iq7ogsRktaR9dQ2S+KBvFfrae7rFDNIyubOewChbLzXTxGlBY09+z9
D3ZQw/jrc1nA5uh+20CvDwqBpgL0pqeVsXUKROVzXX4rEmH4vYX5IHbsjdH/zV79rV3vdSX47/9a
f+Y/XcmXPcr/ZlNy91Cd34mH7vBXvfjN9Dv//nTrVvTFHzZlj+/rcnho5dVDNxT9803rf/cv/3h4
+i3Xsn7415+/qqHs198GMKV8vr1lK/vsq3m1Kf5+VxRp98ddef/Hdugh4Lz62X83JR37E8BlrMQe
PEIwqjxK/25KOu6nlWZr8n/+sy1ee5X0D2ipoZNAcaevFaO/98UA/j4ZuBvWFgjVRurq2u/sjA/n
DtIEqCdzZmfLSysKKsfLxzyenCFNNbX/SvQkfpjWEMX5TDmb9Ph5xls9qS2uojjOoRbr409YGkR0
u2pHVK5h51/xjTXnxWyIK43c2R1EnHbz7Ka+MbsdvIfrB6TyjbiC8wXAE2+tij4rE04zH7117f4r
4dEXuKCG4ywPiMjFe2d+UGA9LHs+DQUBgq6cRnHwsP/CSjJFsbX0X6Ui12N9G29idpofdMoOzyJP
AQ46lc8VbsA3eQhmx45LZjHVhm/4gIedZgPIEcl0MePHDdb2C0XJoZ78niDoa62Q7vnSKGckDJ60
CQUJaojIp4Z82SxLQsCgyx1XqJyFmZQ56d1XudPUJ/mY1fuMpSCgzxPtEuwIoTd66u79L+dAOATJ
kzAKHhudsh/nKpjEL78dGZlGK0WXfCMmOrmHvWNcTOy1Auaucmunteeng3ZMjrQTDuyIdmOxBLHM
8VDRKC7beiG9TrQIJa4tc8ywVcfp/5zZmQCP7v/1JyLcZ9/Wq/np5KGUL+akp3//15xkap+YhxAk
ELBAX53J5N9TkmHwN/RFYOsjfLTREPzntG59YtFROaeTOYP9BETLP7OS+YkwNKYPMGFMSkQx/NZ5
/UAR5TwJJHie1o4a8yBhJC8fqzUTnYgq7afFfkrTb2Ytm+3UN5K+n3D8FrV15aFNV46UccgePEnt
Zy2fzsppBBl84lEj49Pb0R4aZByQTIjL/tmtfGNWWmedf+oJf31AhHJrmxGyJh32lx9Qj52qjvLh
HgeBVm0MJcInahGrjvRtHmrng9fs5cREiZRm8NouQ86BSgUCz8vRxmVuW3PIsSjGWhyaHRnS9ZzX
l+9f01ujABRaGetAk7TDENMkkbmRrKZIuj/cNZF1R0XpjB+oLNbP+s+d++taDG3VCtCe9dC7vbwW
V608KqOQ22tNZNuxntRzb06GfWlbAKwSxdvgMXqgECE/uLyXX9nfAxu05+hrIcM5LAE1jTd2E2UJ
X+Iu20lNTkct4Z1bTbZN8P6dfLlm/T2UCZ8L9cVacTp4fBcqBBY1d+j0Gu2ZgRO1nyzN3aQsj6oh
NP/90V5d2Lq7Ju8YPB8ROqxcL++oJ9ICXztZIrmMv/dmo25cs3uQ9od5nOvHfvHVuTRRXRw5+III
/DpkRGZqnrdmk6R+pGlKqGep2JTmZG4am3Bwi/r3iddG8rdaq9xL6LzswKEQ0ixmPjg4RkTmmIIk
SVewQuuIzTLVw6M2ZMnvyYb/HgdOtMWZhf+pBxuhEbkOiEjGwcpU3VgRtak4rbOf739X2qtHg8uB
D//0H7YZTxrpZ9sZK8uk3utu4ptZP/hJrXMk90Zzl8b5dd2S/B5XYZHhN0YX1GD14nHZ5/Z4tKjV
mfTQSmptdY65+YPT2qt3f/1YrgkcH/4z26yDZ2ikPF8l9Bx9EEhsLywMwjlxhB+8F288qdAkOLTw
pbLvOTwSqksGzcTkHmOgX82rWjWbvtV1dRUUhsyHD16Mt+41ij70NA6Z0pSgX74YpkeNB2wZZRGg
WtvJdH9oo3vSuRZgoSr+YI5+ezDEhWt62Rr193IwqyK+Ak1aQgdWlHuxqP2llq6koFwxnnJ5m48e
pdevI5tHBH6cEQjeYdCXI0YWREladymZn1NzniXuTae5x141TUFugB6kDtPfpGB65k4Pl4j8XuK2
A0iVDTYnMDQmKDlfltm3RKnaD2796+cJ8SVHi1V6SID5YU4zVHlO1i6VvyEedJ+PpAa6IeQHG/bX
zxOjINk0AOGRq3UoLNKilDqlDUOi6VRbnsx1Es+40oto2sVRSs7xBy/vuqq/nAAZD10WXy+zATf+
5R03pkhtSotaaa22nTgeRxseQ7Uk+aPZVgjR4ArENxnEZ7ghbUevHzG68p0jhOmGLdLCD0oBb91k
gnzXDRdq91fSSM6ksStaLl/k3tDtpxHR354+B/SG9y/8o4EO1jOqMAk9bwYqwdPvK7YJG01rP5od
Dvwh6xSMCJ6TBDpczsOvwMDFPDXQKri9BBFEV31aDHBdvSh5bEtDncGjGPa3ac6GdN8jNpVHZp+1
mG4JcvzIdfHWg2XQrqKchpyHU/jLL7rSCkdSUF/hJAq6OqbGrYgRHHj1qOzfv7cc/A6fqnVB4OvT
4A+iMX5aMp4tCSrUtzIzEhQA8dQ1+wIy6uCbrdcJ5smSuKIhdb1rnWqxTUWso7OORxa22rKGttyD
i3a/Qq4qwcoRzzf2GqtKteBxxYjhVj/Z6jflrzaJB+fca+shotKfJMbss/WKEWBl0KFue2q72rEj
SBb3Of3rWAgnfc4vlUnDijm0MD2ukjllDSqnpmtR7PdLVO7UtqbxRiNhgo6lUfntw4hQ0/OknmOg
pxmfKQAx0PaEEaOT34yz3Y/hRA9nJ1xPwZQ/ZOl9DOe/D0vcXYCSKm+JQ1cTfcJHoGK767za6P1e
lBXmckMaY6CmwHXDXoWAsmthmTbHvPKkU7JDEqeck1t9J2yIXb6BoACztmmMU2ETyIYkK0hGweki
9pM41aforO3Q4haXiTLCOzlRscG02W1WlxqO3alIcvAlYyJGD7Wip81KEiRt60oXNHjcDkdOFfV3
JlCSi1oU6SWmdKcnQ1BUY5i1quoFTWqu7TjkOF9yL2/inZqBZggAw+c/xl6I+7ZVaqS5OeyDsJNO
JoJxiryLfHGi21RkGhuBoQJIOfDipcd6UttQ9go4Q6AN2tQO09lIECZM3pgc25GR3o5kzLYnS8l+
KgkkeR9tMLIlRCo0mU2H1K5QbolGdRcHSENW2JhbPEvhBidmcxxNcYmAzYkU8yL20tI5bkQb9z7p
bkMWDvWc2WHmRsVukQVO86zsZe3D6I/vmlxQKI/MSABqygm223hxkdYnyVjLbxRu3WEbNaYYsQtF
5j5u0jYCMlgJCJ9aNZHq2eZCw7Jj1BrmbBdwKq2kYb5K2jIVgaJJ93PmNt4lyYMzPLhchUPGShtT
fm8nHfKJ70x1Op9l+Kktz18WpZ2p0Xsu/YyoKcqCJ86Z2u/xoHmC8I2+vkS/Miok2NvtadeZHgyQ
tbh+XRrLrF5NIms7XxgDIX70eJbCwxcXjyXG+m4Iaw196Zfcne124+qlou04lELLO6btqZTuSTna
nZIeZaxa6RGHm9LeC6XNimBKhkLs5sxVLxxFzX7Cb+iTs2oGoQdBBHQCu4XCPU+0rpi4Isg6OPtL
HPKsAk0RdPFSwi+SE7ogwjKSB0tCavPzpJu9TVFy3AKMbXUq0IRMK+gImwuQMW80IrgDCr3MfKxL
i+JMrw7bpFngYNtlCa/bjt31V9KIX4FcGbduaDDK8sLN5hzWk5jzve32uhnqnbucZgpcDaK1PCsJ
R7r7bVgvXveZY13lbWqngaiRVURr+g1CrwImTlyc2qLEs96XMXEbUV3UeQhpapo5Z6JrhtBXSh2o
JBg9X6T9cqd5i/W9kJo5beZkLI7SmDJpOJZ1loegNOrbBK6Ed4uSb+m+mxG5dgiZovxXU7gab8HS
2jphZGYJZrOtLOPYbZ3a2SCUX3EldsdZui2E8WOMwDdtm3ph1TG8uVFCdFPZr8T1AIoJmah7nQNI
uakzWB5cTk57btVseYgEcFhs2RAA4Uqosdgwg4SQAecTSYU0Q6ce1HbanJPvbN4U3pA9Vr0ducHU
DfCa8Po7pGbSlL/JCYwVPsLHOgnokTJLGInRJZthGmk05NFqcSNkXvQ7GFvWVTwAkQrIScmtwF7q
zJz/D3vntV03knTpV/lfAD3w5nLgcQw9pZJusFgy8OfAu6efD6rqKvKIrTPd/83MrFlqI5GHTGQi
MyIyYsfe9pSfwSsAfin38IE1y2OvSwD9HRMQnxrIcnqi+0no01byu6IVAQ9AE362qbFlt8JqSIkD
g3C2Fh8m3UrMIiT+J571mmxoYWWxW0MZ+v6bkUMY8omOuI3tXYKPJl3Yiy0nbCCsH+4QTpIjATLX
z1OSS1B4xtopdw0NbptdCqE5hcCxnBfvlMESWVOdtAxhdsg4T7rmcicBKBBY8iIWzf9PAf6ZAtzY
Zv81bMc9V9kp+/Jy+q+Hb/Xwe5l9eV2i2H72zwqFbv4DyAxZhC0pSObbJPD9s0JhyP8gVwJt0yZe
Qyy0Nfn82TYl0TeFGB14/q09imieb/0TvWP8A1U8GYlO3huBDVIq/6zT3P0RUP/R0gbY6M9/v25m
ko3tpvZ34A3cXUL4G//NJXwTdLrMzNdwzuaLUk6e1oNj3edDKy4+x2le/aIo8ye5MPJpS3tMSbDG
XT76ndG3zQZxKfedJMJFqAhFct5BdLXwQUscgwE4CwCaIc1e1kFOFACUZ+Ur+J+6ooqMIKyNFsDw
fEJ5WnaoDBAayX0CDOGM9zpF6rycIfQxWqKvkwRASFxOLdxIoCMWG0CtCsOkkTc4GwMeTfpLO7M4
nkrQJXY7TtZA3GrEuZPl6pLQV55DGVWRgLsp5F77IOl5XzvSYEKTKlVb3NGunVF7kMqN36xBM2zo
jE7zUwtTXxUWpgkjdE0VZbyB0m1IXEh8aiCnVir+nlpW/DU/pVANq+lmwUd56h+7pCz144nuBcsp
xPNwJIJAgCvvV3mBja4zoV9q56ryB+jeDL+bJohZq6RbKgffJ7d+L0GXekNJrUdEvRoVsHfi0LRY
2JmYSTkN7d2orQn0P/2av0jzqTgB8OMnnVY9zZ1HZessOYoeCzIV/+w0uee5H9LPMFWKtwJGuEbO
xjx3TqUi3XkD25k6BV2GC+8qbaTmap16afSEjKggbOq6eJJBkqrOmFkVxMLpOMP6NVfH2BjFl8kw
81uExI3fC/wP/IcaJQhnhnBttqUkVyHgG5b8tlTpfa8bqzAdpTZF4Ccz10E3jQXl99WAN97u5nx9
TiwNcpvJiGcRqkLwGT68LQCModcUMoemUBnoRS3XIEGURjPuEWQ4C3Y3rqMWoJ3TKIQJaSq7UwHZ
knOmkaUCMSp1D0JeGg2hshYfa23sZVetW+MbLGNreUPOSn6Arlo0D7DKyXpYD4pcuKu6mg2wAyiD
XBO9s8QvY3zc/kx5a4pOQktuc5QXeXIFzkXvdj0iRVz/kyWzc6kBUyvBPInkRbOkAFIrrSzculDK
OEB0R4XHtKLzKOm7lfcGEEMJZgkya79ApQ6qjHM3PHRSCvCyi43pC6DuebTR3jRpghDTdDyceqv5
lMv90rhEc/HsWH0KBNeQW5BBQjGuEZCzTnYGMPGG2+rKKLmQn8dAfWdk0ramrvNjPK0kKiAbTEC+
gM9Fg76kfeXToAmx6Um0rJxsbS6Ej33XpkQb2ix8aFHpmNysMlDkJPnw0RongH1nKD4N3nilqRyr
mN2aQY+tmHPzxTo3p4SknCgO0D1lUHdW7fi7cSrGO8RWCJEAOpPOkLqq+t4S4AMQKciA2glly8ep
r74tcdsOwaxz84LqjZoDgbWZBxJBlYsBBadUlrNWOEWadF/6UTShlC1X84AO0EKQljccGyPN5qd0
KLQbVYmhswWcQmisGlrlGxWQNmdNFqOBoahOogo6u9SV+n5D8kF0WYFYKoTGhfmrhslOay3FF9B4
qJ0KI53YAjdK1bbAMCeYnrVbPMAuUL6KI+R7KJd2OtvI0oHEwEkLybZeTcpeTgAZNZUofqkg3d04
i/XVIxWA/qepAvKzF30dpGDOjPxZzfMTrOMnTXrU2IT1jT6lRE4A8oaPor4qQKR7JEOcVl5mCp1c
ums3G9m6xPEprJ+mOiWtnfEKJFdLkuR30lPqERSLNoERkRHWboEwV04y62Jjm2cBPJpK2vbsmwNq
LlfSeW9THpvH4d5ClWLL30MVvYFWX5eddYUbLmzwkxevNXqUMjgwqa1W95U/fsezXaQ8/hiGGj61
fNKDVIO3x3h195fRvxw62OS8GRwsgBfug7oDHJBy6bDmxzQXW8hA8/jzVKTaHi4yc3BVGtn8Xz/H
Npu3/pXEr0LnHIV2mnH0i+R32inN1OhK4+nnStqZG1+4VufdcwOsiaDirxDknSlTo7wYygRqgELq
1jK8iZe9nfHpFAMw52rolVCWcd1FnbXzCmniLVt9vUFum9Ky3LSSkbMYRP44HUxxovfjMf4tUMv/
Zhv9+K1F4+jbfx1f6g6ox+nrSw9S5P8CAAsQEZrhiaX+ej8/FYkf4Sl9KYb/gkwaIEv3P9zs5Qxx
6Ev2X/fbRM+vA8a/ft0fUSPpqn8gJkr4J1MyQfCH/PMfQSMdTv/AH205LRmIANi0v2JGWaOj3gKq
thVaTA4ZT/dnzMi3KCyBRAXZRJmJrOa/EzNSk36z0QRoPWhdU9RLui1tnVQjG3PlmEfZvtl1N8Kt
ECp27dIdZR7l3fZP9ca80T2jtgkUHSNcdtJjq9jSbXyf3Yx+7J2Oy8cljL3Zr7z8dgpIvTit2+3y
Q/FSRtC9Q9pEoFRHajDscy9xZ193JD92Cld2dU/fjVHhjSE5MP4+u3JQu8VDvJO9Jpj35GWcJmz2
nac6gjfuAdlGQrg4qyuFWdhGi9f7YqDumqAIcnfxaFsM9V39mOwUV3KLmy6ANHw4Sm4dwQXqaz5x
2A0suJIPgDhUXeGImHKDCNehOBphcyPvjFs9aG6WY+rqkequu/KGNquw9quwC0pf9WC135m78318
J9yUj6Avb87HKmx2fdh6RAjMM3USTzjSvevEkUlqwrCrY3qLUkA82QirAQS6I0Cz59+rXR+pXuHl
/FrF7+xvkde5sf8Enb4jBSSsPIoh38Em84k61H88hupR43qO3SYgCA9V+xx1vifexYd5lwXnoPBI
RzKzITi5qT/5TbR6StDuB1cK2lD/1O5hfvXhcHOVXXEwvMk3giKSgunuFI781PRQ3af+Glj3QGm7
yPTT+8k1nCKoIFeHz2l0kGMNFpemTSe2ARPu8p3pK9+lXXFXfJW/WJ/78MxzkGqyhycHaKzb24Yz
etquO0y+fouEkh/bo1cEdSj6lZuGw8G4h1DlsLiNK/qiqziw7rv6bf4gHqqv64eGmshoJ2RyZbsh
WryBlNPTbpQb69hFxWP9fPKaaP4u+r2jRYZb8Uuyu3Q/BnKYB1oESaAneYWfH9Wj5pZBrEQpWSnV
zh6NOyMCT8NqAxB3ClJld6dd5mpuHmSu+FEN6528nz4KUeUurszDml7/BZkK/oih+lDtlWgILYrk
ZA9u1Afpjp0YoP7sl17DORH52tdhXz5Ld9nvnB8+md8b0RIgwabv1EDws9viMT/mB3lHzud43psP
+dHgBLSHPEp3p526v0YSpvxoGf7bff191Ld6zSvvOZ2hsoalWDqSdvHGlFPYu2SXHBrbba5IPEPr
fv/eB5lvcCrLqI5WV/VEb3F6V3hSIvhgveolvaNhwYEG2YVQ2ZMdEUqqD5mb+YM9ObIje6TVspAU
JaxVik92JDR6O/+SeYbHLnKQ0nIkV/ENn6Qs71thl/d7NdlVAb33/OlteGNd0n7h+R4fHtJQ5yZB
EmRB9g1C7dLYaZ3TfVt/r57HsN8XQfFs5jbSXcFyW4cWux/s+Lh/EBzDET7AsMTX+jD+lPp6BP13
VDixe342PyVHBAG4kh1M9tJRv2VDRkkkP60P2gONl/64M46VESbRuEsO5X69iX3w2rdaoJzvTD5N
RtbJbek4B5ojsb3haHXoJXVgbOXr32HydF4+lfaXE1YB4i6b7I/beeKudxX763faUmyQN+722dgx
ndyh4cDlN3ldpO2mQx6OAU0bR/OmCXt/dkErRyWdJO7kDXw4809EkyEhvyfsk4/sOLd2XqhiRpmz
OhQ+eLiv2PCDGvBSjsL+dFh90skejN0e5M53paPxr+Jm9Xvf9MwH1bDLgCYxtp4caK7hZm7hll7p
nRyQZ5Fwu+y2ccvj8ntyC7U+0q0JQ+be2Sf1FlpRE549NUhC0YPa14b21m1veidzaQXy6CNwVEfa
I1niKHbmFz4XQrv14drA1XQeSUx7sL8neITRxerbNAJFIPCAN9tWlPOpJhQfmjB3jCfjUwILGmJH
v7X8ds1VIgEPRCKSpzt7sH658YMRUc2w5UAI0Sx00139nLhXVcIhBvkXLvMiJpvo1dgqc+KRAPC4
4srOThcIdu82ITKCAu+kdVcfCjqHGbCUg2McUt7ECV81sxSWK7iPsKD5g6fx14zV+ED3sL94lf31
5ACBsc926sTByEoabh2UuyUc9gPHsPdHfzuyA6PN7mcz0IPRxzXb9M349AXjFTuvhYjb3rbN5iT5
hpt4PCHOdeSn9UDy28jcxRiq1jcx5bFXcoTFz8OujLZf2IU6ewzVxZvZB5vtpBhNblH8GTyka8xg
8BQbEYQfXyhetv3chZp75t+i00bFA1xmUeOdQ4stITNMHk3OzGS3X954UpSzWXr3j4nkBAoju7vw
Utd0actlV+YRP3Uk9esYdvNhYHb0hzg6k2Fr3bBoOHHFx3oxc86Gf37Jn/j9rKtst07s6Z4Y9P7K
eiL+5GX80R2iih2/j+VmTwl35XPsUW/mkZbvvBandjmAv4uinTxSPkqfu33D3lGD1dVZudIVHD1C
ZMfJbBXbOfsnXidSk67lp5xZFz5dxwx63i38wPxb9EZ34eAsjsCb2b63rRlJLF5m4if4jtLbHCN9
OxwEiPI5jRy6CLZ+f9vKZ48+Gg77mUFOzAEkv3aQ7NJF7iPaprOFSr0/7JcQS8DboyQQsEB8QrC3
rXcOt8U7Retv5nHaLSxHx1ObvHviiSAO6kMadTtoQ1lwPRButzdtuEsIdJ8Na3qJ3wal1zqPFU8v
8Ou55jvfCx7K4nFTrELBmd3WQrPpXPOp1fxYZCqaBHVw9OAHRCKaWuZxYJcOp1De94Ee6mGPV87c
2LNCYY8N2gt3U9iFC/t4G0slytvOCGIHHuIIDCPhKiYeNHfqoNUdmKExlzgez+DkbVvidMA2hUh8
BjHWRWSLpRiP2GsDcgYucYeDupJDw/Rv629pdPb0xU0DzFW45RZxdXlgsL/VoIfjlJ0n4pWb361I
i1pf5szKQRpMIdmeHzs1uzEDeTf6Qtj6YexMeyvqwjTYjkPPR04OgkxY4NFbCENSQl1MtCOEadR/
UTHD1mGzVWVA/o8ts23LiaVFyYMVVdgGrWuwq2TWcvFY0YAjdW8+T/fqDTaNd1250pF8K+uNKA7b
rggJf11+GwybE29EwZkQI/ktzwFl6rYeTsZnFuZ/xiKYwcR7mW4kfnoz/Ao/U0cDJyHGFkFr74w4
Cs4FYbQYmEfti87xFe9hasHFtM7i1i9CAMMmxx3b4J0/sAOI+mVm0uFcct4NbZqst8JOMXyylQQS
xK8OYVsYuye39i3mmTC2FJme5Z5dgjmnZJHhEt6NrrijO4O3Kv7Y4bMvYbE2z7Od1sWRNjMk8qo5
qY5C/El2iylQk9TYJAJWU3dI4dmxS/rZk/w+ZRkJdzavx6OMh5TYYrTJY9rFQ/r1fLMtdbPTeNCS
ZcB68n1EfgjJ0V54igmx69sqaAhUUlfBPjXBul9JBd9W98u3OdwChZ7IJiNcaUMsB0c9DiQ+Zt1Y
FIv33Eo8KOuD4pjsSkqsvhTyz93Jr3bFLoEjtVwOW339dt43x+7YfaMwZy8+Mtd24RAEiXb1XPpc
qUKexRfss4PGls8Gs1N3CiDRtLMjtyK7tAeipHNQ+1m4EkER3BLn5FwpgI85YN5ZFskVuJ80DmV5
J/V7W/wqOAl3BsupvS1uIWHunvzlONzMB93JfdPtvdWzgp5AbQ5hnun49bKncCuJIyV26J4KlWD1
gOC7cMtG9V67iZ8QHOr5i/hoPDf68wIfx4FAzEv9jfIyMLlKaIGuONwC7IxlMV3L059GjEnU7xEX
fmZ92SiUTm8HbiGnvXw3CahM2dmzGslEcMpn9av5pN5lAcvDZ/PHhMfRP2XfrJt2r99VQeKVfoWm
fWHTkUCx7l7wBK8NqwAXSZi5xaHSamteEghewzyRCXcSvow4GX8v7dEZ3Nj+0ocFkZQW8AW7cTr7
jtj05fRCKbdHIOmQHRLK6M7gK8Hk1x5hXkjWQG3CE2m5yPqsoZDAj/0mP8aiq7FP+Mv5iQ8T822v
V9gufYRhiEmxk03W8Bxt9zDrx3uz+IVw9b6o8174THjKBhS6Qxx2LnKITwoNnFHWRmuQ+mfn5Oaf
gLG4X2ZeYvyFIoI/ey+A1TAKqNnaJieRZzQcw1NttPjYXZ1bs3fRU7IXdwtDR8Ju9UfUCGcwQ6Qr
7bCFzZ2L66XoWoHsS1LAV5cN/PAdBVqvb0je2xM53Sf5SxVlUeulN6vmz98Xn85jhtuiW/AzM9ev
hhFKfj/oF57xx1PYVpCYoXAv+7rf+Ntj9MTJGzXE1/KhvKHMo/pnnNsW1hEEYdZi9nQdchE90rfq
wjaHGcm9ytU5DyiT+BKfqbEN+BxeHHvXeekdBUfLwzvboYGtk/9uLwBsuL8F29vmXner8/w9D7Z4
dluu7QrS21yhGWTBRdeO+FHARun2uCtZMVQJ8Xk/DIoNLps5LXaOQSI65yIANw3/P7FkcJDhXSx3
scGoYt8HW9jnDk6Ny+gJY+cCYcK/mds8WHSuocHJ63nYwYXGgZmgwuxu4aBFEJ3hD02/eTpj/K2o
DOYA1Q1OpxBsn8T9OvMt+g2OGlo79tFTE7FeOKXJ6z5Q9SP2aB0T30vTSGCGKF7ZONJgy7/0AegT
zPm2ylwBMMqEBYcxs8/fOyJGwaey5uXehG8hcLH5AR6YQMpPI3GX3aB4uvk4gwWVbW4gqjszGZkY
of7GVRsPs10XBaKKV4m3dxKj6tbV9So1+s9rLPRRb6+xpjBnFRJd0pEglUizQkeRxBJ+3ftKnAL9
ioOgkn1SHC4AvACDyAoxF3JBZI6waQUWUHVo3iU+28Lc1U3C8m6Lt+ZI2vxCkGLgyE+RSyIytdfb
+Dk+gn06WLdtJHtjNAXIfwYWEWvnkGMiqJ52Gjmj7kP5tHhJ2Ecx8d7k6FhsEetPoiasdt2x9Mc9
5Gf8V3cxQl527Pd6tFnEwTcfYebBbaX++HH+ONt3Bk6oCrrn1T7ddsf8sfu2uQHpafNvFcmbwtNC
yT7jArp7Yz/bX0YOd4U/2EyVZaMfiuvHzuPtVLZz6mohXAEr3x45RptVQxDLTeHoI87c/AqYy72A
NZSg79a/SwS+5I/cmsomdvPE4pFYIkm3uZSVi+VEiMr4DpkTZ/HhQ+KeAf6QcG1zSjPnbXIxE3xm
i9Hi+9nfohuNRANRsy1/WN0tNtjSd7JX+5Bz8WrQRfNgyg90/+yuP6ZD9ztBYYOZ4o10uBEV73yO
1t1Jue90jruN7C7RFj8JPgOXaZBByE/BQIIIVcNHpo4ZQDbTGz8I9zRTYQ9mT9llXPU1vPYY4piD
BXupeBwO7lmZnxMrmcFM/NP6WxxpuScixC3G5rbAHCBgcbT+1rqrj+LH/L6qwwxeGS8/ThzvzYjI
sGE6TkUQVqPbQnRHrc7d9iQCYyC3bHG/7BP/OSdSHKLWBjaJjSjvZ5Axu3YzIOF2teVyzZkFJcsV
EAPjTbdbiDgQ/2whnuI1cMkjZL4rPZEH2gLDmYUbIlwrtgTVHh4di0BYRiaHoK5WDtulBKAeJhUL
ttmxQ/ylvEnuJnfGJm0phwozcyIaM51fn1ZwoP/itF7ArqF60IoyNY1j/E26VcFb26QhtnjvWXxY
H/XClo+jT38iQaqJadxCS4TM7oTbiSxz/0mLskft7rwnq3a/fikPfP17cWP4SoiP98ydSUiS3sbk
j7foIb5LdqfHcV/vpUDZrd/P5Ddp4nZWTybLufhZhNS43R+4QBPGcDWORkJiLnF+Gy63JbGGftfu
jed1R37P7SKcplfszmyR7FAdOq6Yx084R2JJV7wpMHir551Iush38qd+Vx3wQgS01KrJ4QLhIxDn
Nhp2kXVvJu70BY74Jmp8tFr21m0ZYd+x4qTPybwpt/JNtzcirt7edsHPA+sP5Oy/VcL57/Ql/5/Y
cvzrag1I25cvb4syP+o7f8N4dGon8OnAIw4yR8eR/Anj0a2tBVmnFUKmwwuiE1Kl/4TxyP8AV2OI
W98CVRlo6v4qyUi0CZp8B952aCc3xPu/VZJ5e2K2X83vAC/E/8oiPSYXaaYlE1UhXXXZlWRZ+Lo2
Y3pTtFNf78e6FUMoaHQXNMTJB3eDrV7FT6sp53vAHoblKMCUV6rtjQsfmGR5WTcq94jHUmyXUEKz
VShB4ICvu/YR4rfWV6kzpvaYo8IopVZXhieC0u/jKGbRehqRBT2bZ8dAodkbcxp/jn2a7QtkMxBv
ztZPptqAHtroww1P7FbXMFMlVM8w6EBtMwFanUaAnCjULi3OeWwTf+7j4Uqj8NuOkm256LGiEQ/g
lQTC6pKBAGYWLQZnKbtWqUXpquwho3hWCwMURVX92Wb9bx2m/9froRLI+39dCv2fQ9e3L2X28rrm
uf3In+VOjSMkgs6n22Rri92+82e5U5I3mnDQbhS1KaCrHKA/z5bAz9Cfolkqzf/wkEJd/NfhElRl
a5qlZxaCcRjJtgaefwMkt7mdv2sgnNKNHBugl4g0lkmn6JbbfVULSaCK6q10QiX49gQlYGpnszP9
dibgLv4onb8hoH8Nx3tbWP15pA1M8GqkFVaMwtBG+QBXok1hPsl2KGZuimc3bbMX1GsM4G/Pwc/j
bd9/Nd4srYmIVJp86I1buzEhiHTjObdfvet3ou/3BoFHRYY7XuaNXPIg1CoSzkKzSAcRvE5efpar
LxBcBulZuTLQtjqX74m+4Y2+mpf+gyjt9Wwqo83mBaTs4dSZUQMO1kRxrqivXCbeGcWg/A5/yQ8e
ZPGiY6ccRQUh8LN6QBx6ekJ1jSsVWEFaETrlDzf8L7fDtrEuJsRQ9PSBH6Fn+7JX25jb/JSUrXqA
mIpqhVESHqtpfKXX6Z33swFJaVtQJDzb5qReL9t4lmuJGE090IACy+OoPQ0JNJxrbdbHZeyuyZFt
EIWfZgXcFaUrWBpUVb5YQCTbAMBBW3uA+GAgY4zM3vN5gpbUnrM5QeYaVGwJq2HLvdKcRnFXFEn7
MkD4A7D9bHUkYyaN4rigrm2JgDtyyUM+oWooaVtf0Ypc4xOIx9XJFDH/njbtRMUR3ttPCQw9wx3U
ozCu1UWhecXMN69sQvC3P09Pp7mJnQh446eeo6GbRMQyBxWopJh6vdTcqEWWuKlgqnC2cueIhdtK
HT7XcQ9coAPA2rSmcoWt+wL99ONko8WAPd1YA8D4XlgSBOMbGoJYZNBdEhLNog0C85ibgBO7JfcF
sfHgI6O1X4zSdr125N9bBHiUOSI0T+tQ11/cu9WzIcLBj6qhWtCBqiT1cn+SHrq246rW9+UBbK5L
NNW4NAZHhdAqt5ox61e8/DtPQUAGBzKegO5meArf7uyeGActlkE7wKTX/KYPpzgkfvsE9r8IM1km
21uKxXFY1gFMZl97dD1KYTeX1xSvfjrH+DRcGK2EbHpIs/Fvr09YrVidMgGr2+vFogcLjTaPqzbF
VwzTz++cYeCqwjTpG82KuAWJr6w5nRKd0smDsG+pJMbrbjbqr1YhrLaic73PU9JZEuXvps2OyeOv
bfx7M9QQXYDnhXZn45J4BeFNesiTVdibmwInQZx+hV/6JyO1ze3vAdTLAHeFh7mQJ2Evy/fVshtb
Z7AiUbtiCjfT88bg0lNLNRZIPqTScHdcoB7OpSENVmdZe+DAJOgy7VEVWj9rZWR287gIk02X89cr
987E3gx5sTc6s22rrjCsvXFbNp8k+dksnjvl+deD/GRyL+Z1sTNAOCbjeNatfSJ+nk4vmhRN5f2v
h3hnHgRvNHKJdDvgtC5eEFQ2HYx5WXoQhBUCcOrZ8uDMyf2ojP6vR3pnr70Z6eIlTR0SzvKapodB
iv2zRr00mz/+eoh39sEWiUIlQNyHss022VcnqTFHea6aPD3QcpRCYtdEZpF03ok2yiKul2OXZuIV
v/HerHD2GzzPwC1e0v2MJdjBpu4ZMmmDZpk+tbpx9+tZXRviYqtxl1roAmaIlruVrRjAlWsqD78e
5KcQVgNExONjgyzAt5dE8NIK92EdD+mBgxon484UgmWjQGcb0DFmNo89BIe/HvK9rQcek+sBXYRA
bC/M/CAujVzST3hI5KOYUF6kijPdZ1cF495dv7/HudziUm3lxqhN6UEv2kCdJOpqC4WqX0/mp8vG
tn608KP2AhuNuLUSvd56IrLumTYyiHSrn7yzag9LeTvmFFUrW2iuBWPvvq1Xo11s9KoojDU7L+mh
SqoA/bWd1IpfK7rPzhC8bn05dPE62mRcMXo/PO+FoX0zy4sYEAWVUShixm3TB7HpaUWmSNPswJGm
svzb2NDZm9AOKFEeGwanKvZp+S1Jw6qLnUz4vMmcZF+mUbXXpIc4cLSns5frhV9ZdDUrWjCf6Xo2
IScVwqS9xnbz7nZ7tWbbG3xlHECQN2ZViumhnlKfjoqQJXTnjVS9evn1XnjPDL3eCxcbe9J6faAl
NT2kw30r1jfNmn5N6LTNUtLGQ+f8ejR5O/8/vRRyRyCFdTjULuVD6FISJmNV0sOowdViht35u9V9
ltbWXpfhkzKaTwkX0rn5TcjdCrb88p52bjttF/dMz/Nw2uXjvZ4vDpSTtmn4iVZeORvvuDHDePWA
FysfQ5YAYZ2F5T+Xli8SYN4MEBajT7hcc8vvnXX4mmh54+rFnfLiYGTirEv1IKWH8ly27qDBNjKo
ahX9esnf20qvR7k4BlBOp3GvzRyD7KVDd3USPveLuqvkazKU706HbBdalLRaw2P5ds/mZacVXI7T
QyE+wWFAp9r6H7ybrZHxjxHImbwdIRPzdWpHpgJNtV1YFEfb+/8kjjF4FxDpkIgFzX7xVoYz9P1t
tqaHWLpPFiU8i7TiKfWVa/d728yEqIh2yI0oTbmYyjmrT0rdx5hgtr4wfqjXz1N95W7y7hiklMmJ
QMiBoNzb5ZL1s6hnuZ4e8tMxXoETd0GuNVcc488XIJwJDSF/jXKxXoqyMkNopeASP4EO6VXZ7fQk
jdY4qb0sl4+6Uv9WZxPt79onresrL1Ha+cpTvGfFXj/ExSafNTiJoRJKD7D5ClDRqpS55wxs5zJr
NmwPnnieriVp3h3TELmBk7mwxB8L88pGx9kiNsXAK4yqBXLwMyryq+qo8u3y8B+c4FcDbTb11UDa
rA/taGwmaaRmr7xo5IVwUiv6Jv+9gS5C+Hy7tYyzmR7O1mM/1vZsDs7WfF/X3q8HendnGqoi/rir
cjV8OyN8m6VMJFIOJ+E5yQ0orJ/hSr8yyLuGD1oaulW21mfpYk8McqNMrZCjHSV/N5LVLvIbyyzp
v0qvOLULgVQSIdsRgC6Om/HGjLflll+/oHmAj73tsuwwKqi1LD29nEEzHU+/Fynpj1NI9Tm3V8sV
T35nZSBy/+3VNMmqaXBJERWTC3k7fDGVeWbM20St5155Trl/XTMl793734xxsTXodIM4X2MMXRUC
omBjpy8ZhfIenamlAW5cfhVM+cobVHnwi2CB3nVsMXxuJlmHC9MyGPJEoLpB4uPpPm80qCOQXfoP
Fo8wmGHQByWV9XbxYmOATOtUZYd40HyuxoJSoIV0jVLw3Zm8GuXiPjnoQt7Pyik7pDHIOHSTLLJ0
v57Ie0OQhYLwGmJh9uH2/VdW4kw9bhatPjsgdjyc0I0f9SsjvHOguKiSXdfJE1MrudgDkNSUSX/q
skMrfsjk4zQjSCQfFbG8klh8xzpQCEGMGiLTjUDwYrEyJe7SstHYz/o3tXoQpue+vBbmvXMpeTPG
xZk5d1Q/8lLNDip6kLukUBpnOKt1QEp/V9XGx9zqinsRkcgpL65dv67N72Id+1VshAEivUNn3lnj
h1z71Fvff70ZfnDxXR6d12t4sRtWM0OtqNOzgwCBgh5oob7YKzhUaFCUbxX90YYUqMNkc/VCDujK
mXpvo7wefFuAV1uxlxV0ItCdOxRDSRe012gfs0q0reLLr2f57jiEzxDWKljhS9pDtR7MQkw1gqjf
9PllAnHUPIniw38wCIUeSDK2vlfjYiXhONQhacEpKgZCBQENdca+vLYl3p3Jq0EuVkw/SbDsrwYO
cbFAMHfZg06jNSw1heJks3oN/vL+cPQkkw2inn/ZHm0UqlA1MobV2Druk9rV+13ZnNwMPstfr947
QRIVAqg/6MPekk4X5nVWVTjHkSVDigf1delezsGhZXRBz61dDVcUI99zxG9Gu7AcKKzGzZAz2gpw
/SOkTdAE3YOtpcCUdvshp490fp7OmF9wOAiLLIt6xUa+a1eootFWy38gY3m79aGOhTvAwEbOaA14
MsUTZ1ggy6RRn9YvyULEtVFWt12KKTjHdXdls75rWl4Nf2FarEaWemlbbgHiyAH5mVh4vpqG/RHP
XBoX+KK3cjXSQGhXvJ3kWqWmIKI8hIHu0Vy8bcaMXXrMq98y3JvVfjSepXNEVORST7tyqXknd2Vu
pDWQ3ahUfrSLkzKIOkmxdMgOH6DqsNPsbJdj6pyLvTErvmL8B/e0N8NtJ+mVKTvneVKVkIQcxBlG
LuO+bL+t+Ydfn5H3XtrrKV0EqokqzIY8M0Y97s7nl2y4X7Qrq/beMXw9xEVWwxTStGnGbQhXlY8n
etoExP8Qzrmy/d+NE2Ek5+384PtRL9YrjqVRMRf2fwdbHyExOnUPSQ2l2SB8HdL6IEIjBkdFBDfg
FWbq94eWNy0GUEpEQBdD11OpQOSDW63qRIn0FfIdaxpmN5NqMzDEko7duGkD8nvSQWm7KdCrKrmy
zu/6Xe41VAJhPJK5FbzdL7lQZo0oicwf1SB9OfvF0LjrqHytsvao8AIUYY22tKFSA8UVghHVsJN4
pcT07oZ69RAXmRixb9skU+fsQG8twt622N1fLZa9ew5VFe0JY7v5XCaqTa0rxrI/E0C1UuEA19Ij
Da0abyj/F2lnttu20mzhJyLAebglNVmWldiJM90QTuJwnmc+/fmYH2dHogkRO/sqQAyo2N3V3dVV
q9YatbsImSK7HIZ7UcvXGCgWXVklKgTUhmrzHEqgQ9CbtTGG6zwWjxLky6EEV7aZ6u3G8DRzExT9
cHd7hy4vq0bBXQRmBwfo7Fhv8gG2xabgWNeEh6Z4jtqDrGyzut5BpW2Rj2zMT26kbgMp3pJV2rZf
b3/AUnCvaiiwUfQivJ+TBXe16TZ6O71SQvfBqFXks+SVrbvoNBcmZk5jhoGulx1PFDH7NOaFM4oP
il6shAOLXvPHyDztVfo+ksU+RoQk/0J0GkYfeqOxkyp4bIMfcfzj9rRNW/7NRQXhrwbZvwKTxfyi
cl21HKycMSXHcQDUHB/JNvvJyq276JLobitoCVCE12YnD1JIZoGqL95hDjYwLsfQvsVaupGC9X23
OCQDxXLUg6a84cwTpRg1wLjHVtibToCgbZ39yuUBWp+1o2zRIaC2QRQSiAk4k+ujzOpQKMorjvIs
ruze/ekPO5nGAO1+jF3nDpUsh2JbUKc2cE+XCEtPaTwYft5ewbWPmP5+cf+mtcFlIrHxwvDFLwOn
Do5j8P22jUWnJEs0JQEmRryZjcTMfREIR3CCa83WzEMfSo5fvPf8nZHv3HHF2vKI/libOYvnRqNW
lLzTNVixynKTVDB0+I+3h7R4XlwMaR5SpGocBTFrV8uFo7vfvPyvdvKFhdlFZyjAmyAQC04pfeD6
k5e4W98fd3ELvvVTCYXo7QH9XoQ3W/nC3ux4anoDtmi3JccW0m/Qv4uiwg6rd1lwN5WCmuCY91lk
a+JTqCV7TWk2flbTLrZDCG9lY6zM7fxQiXSpQzuBkfvxJCr96LprYgaLLmJSoIcWh2r9PJUD/a3l
G/HAKRk0v6rGGO/QPv0CnV22EjMtHiYXhmaeD2uUBvMtk9pHL1ISOXFKSE1zNwSE9u31W7M083rJ
LVUwclhKR+1QyBmMro/AHDZp9nLb0OLqXAxp5vlmmjYwTnccGNAX2oH+GgVgwW/bWFufme8PatJl
ZYON0XhOfGWbVt+lKNn+NyMzhwcjbCi+iJuZLAry6SAOVoO45VXRLLLHxBVIll2frmKoVglMmITM
Urzv0tEWkl+D2J/qYMXRlmfsj6HZ8ite6luqx4wZhX6fKK+QcG+F0lxZl8V72JyUVFRVpeNBuR5O
XndGNsgE372nGaC4FMMG+Q0XtYS+fRxI96YnhSsH0/LI/tic/PHigsriAviohs2mfRGlYYvH5X2+
YmTxhgLlCMRZJ8SYHwi56Pm87EdeFdmvKFZsHXKq4LWF3kLf9al49+89D1m539B3HdbpmVekNWJy
kAmS6/dT6AsygSY3N4S/M8riFVO/izDzY53qiapNXS0yAP3r6auaqGxUMJFAksZDZUm2yaUVxdvK
h7Mp31sQRfCI7NCXj9phY4yPmtF8qBv1iOquEwkiwuX1sL89/qVdoaFsDdBMnpRHZttbNtvRyiK+
KQh6CJC/SemvtKYds9netrN0VGlgvDVQ6xOecbYpunDI696Mw1PsPQ3eL4pgt39/yWsuf392FIY+
JJSmkISnLAXZo0P1joKq9zkfoI7ggkyjzW17iy9wsN3AM1HGoVIwMwi9tVqM9TQgJE12ZRGpEFjp
CgqE9PF4uQynbmx5tE9GyEd7ffJlsMDo3v6Ipf044duAhpF2RO/o2qEUI6ozDd7Tk+R9kj0RQu+j
oH+6bWNp4fSpp2fqJOGYmf5+seejdEQUSs7CE4TAz/ATBzbwsPwvDjOOZFq+pvauN8pJRVAMQ4a+
y6moUuhVRB/pBNBAmzbPf1R5y2Vt0T51e2BLHkNJFoZXirOkEWceSV64HMRsCE+D+OBVz60G4Un2
VXITJ0nQL8pWhjitxXzzwzMNPoHXjIoCzPU8BrFFjcJvwpMZGp9yGJIa2GYPfXoIeve9lL/n/bni
HYsW4TVEqwMIKU+1a4uZIgaxEOvhqYV/JnrJTGir9KF2MtUjZYqodtF/KTRzd3taf6sHXQ9UReKF
PWHSTkTucn7KaXmS+71HoeKHAckCnKz3Uuw0391XMjQ9/Av9qRj2Km3h4rGNjqNeOT7wFm81Hf/W
c/kQ3nQW6G3me56e6gATxrlX+CdrODXiBjXslZHKb5YUA7TH6BBB8uxWlesJhnK/UOiAAATU8eSo
AxgBhdJ9rw8FSOrnrn8d0tzpysJBdO88NPqKR711YMxTmZTot6P5bt6SUOSGPvhj5Z+4a2wvoqWY
inwrlTRy1+pX6oor9t5GHLSAEUdwfqOVjBrj9XBjI0/LtEn8U2FUTtB+q/IeCZAfsb7zkzVO2yVb
Gi1Hk7qZSVfabLfEuZAg4g4MRGnzrZx8GD8KxggU2k7Uf50/VCm7ggwFlgYAag6BshrEgqKMAEBQ
f0UhQVR8lKJgxVXebkUI6zk9AUwguMVZfT11iVTTqpmQCqoDyiPJc9GHjvUy6C9C+ip/trqVF/GC
Z2AOxtMJaz3Vla/NlYnca9VAzSLrIP4QhI3iIjyxk6M7M7MIqH7++41wZW/aKBd3hAAiJUgrnvmS
Hu9yF0a+XLuLfWNvSu0nBdyw1/8a62+wXgQwDH5fsT5N3uzAubI+m9zSN/vOHEibCL5wMEzUhEZ3
B6vzsQoQ4HUfIKHfVrl5cDuIP8Rsk7eawxtgZXcsBASTeBgFInqVRJVVvp4EGnTMTJsyK7rV3yGc
56jityH8NMTBvoohq1C+Do1nt8ra3fk2CGBTWvRRk5+e4sqZXTcRJc/KYo45GvpNCzqiEtK7ZM2F
F5ISwOgBO04NCeQX5z5MujZAwwW0+zj8FPe+uMn9wYlUaC5USOkT+1m70/dje0ghtFjjzVw4Djhm
Sb4j+UAlbq5YNx0QxeAFZK2MH1Jf2egolOWrFb4Pwx8r3jSdLDNvujI1i6lMA0VWocNU0b2Ew2um
nYMkQ3XmyRj3qn50zV2WfV6xOe2PGzbnWRYVXRN0I7CZRZVdnX3tEGT3obvvv9flk68hPKjSbkYG
bb9ieGmwlJDIupD05JE9HSQXG9dzS6a7Z+v48UltX8XiJXqtRMXxosYx64+q6e0SYe2xPwVW89Gi
j0nQNXVITp36V0bdTCqboed93JfbKbHrmhYNuSN87CvH4EKJHBzkhaVZ7GpG1Sh7Ux4tQcaGLkah
+pyW8pYnl2LRM+tkQuwM4r2f++9lOdn71pM79P8a4DPJOlLIoBOFffr72LiY4r5yx1CcRtsKgoQy
QZfbrgFARFfCzFlZzqWjgDeJCHqaw592m+uZHdxqRKZngB2rh6tMqQ9x/s6DvhBqZRWRD9X8JKl0
1xruxlCT7VQllOPo5IfjtpTd59sfs3DlMe4/3zKbe12G17pBLuqUkjLMU8t2rZfIKG1dN+wRcdDQ
hxpk7S5Ym4Dp7xeTbdGWNT3nOYOl6NnKzU2XGjuze/2LoaFEQF8WMDpeLddWqlxHrDm22K6jdCjN
vdJYm7rWN6ZavoYmQheKEzbi4bbRhWiWpxHlHTq/CDXnFd8sbRtd9CVyLzFtEm2uIsKiKP9ShxR0
J/3DF1Zml4mcCZ5ZdCRfZCHe1758aIpHpSPxsIYDWDoEeH1JNDRNajmTVs/lSiW91jZuI+AeJNIg
RO7zfaYZv1Q24E5Cj3IlylucPYJldXoL6OR7rs3Vo2ai2KjSRTWAkBkfh6zZ3F6fxQFNnYeExxod
HzPXixpkcCHk4KwpoADRHlDy2QrecTW7uBRnTPJG/xiazVwzCOnYT4YkXzsZib8tfNkJe2jco2Ij
Va2OGg0ESlb4g7TD1/82yJl79IrmlfV0D+tw/8FVGb/PUamWvGElmFpcLt5VpKSoA0PQf71cZk6v
oKvROUM85dCsoyTj9vZIFkJkeivoRJweT6juzq55JS67mFYROh9kqLaSJ5dIWZe+xHWwyyk3G/3K
VTst//zSo5cDFQEw9JibuYcSFxH/TedAWG8HHUjsof73lRT27oWJmWMMgtKGtHEGp6F+Cls4Qb0Y
5v+1VvRFP7+wMlsaRUtFWcjoBOgQiYMi2XiknWPMX24vz/Qrt6ZrFpjkBLswDjCWXi7tKC62RX8f
9ec+bJw8XHGFtRHNXCGxUgrCwMpPTV49mOFwzPzXvvgsh+XT7UEtGoJHhSwrmCFxDp1vIqGVapHd
U4jDRi0+SYPygAJi75UrgcCis10Yml1QwLhKzZuem5WUE5tL0wvQ0r65aaGt3EqL60R/KjAoa+oU
nTbyxYVbJrlkpRHrBC+AMyBqQJXwYx1SVlMz/9ft6Vvcshe2ZltIAjjaI8tNXUWtxndd6orIHprv
akN6LSsj2KfJ8F0Xx2xl5y6uGqw3JucRudZ55lqq5ET1G0AIhljD0+jRK5Kl7odU1Wj998P+b44+
pEU0Q6f3H8Gd6xmtRnFQCw1zsUGuVcsiLnta+FZ8fslDyFybk2gwt/D8QTWWbm7kefw/qB97uFYe
10/xNSOzjRVEyKGZE8omko41XKuZ9aBna/wgS1fF1DhBpo8UDoHR9Xy5eQE23yLXURlK8UFCMtzW
hDBbQ9suOfqlmdmyhF6j1gP6oyd0YbJDGhYw8Urxt7gMk10cWyGoYmnYeOXYoI/U6MgwReKmdQV/
k0J1tm3HCN1MlDCh+Aosgt8RBVZdX21dmeKY+bl5+ZmTM1/sx96T9f+BgEoZuTaYBqt623sQVSja
wVSPjXuvWOhAxKd6Nce1vNqAthT40mgRm82QVLiIIQVUtFDMS7fmsEufb+//5SX4Y2A2NkWDyCYY
yTIR8NwDMYTqX023htYmpHf8d+oYrOz8xVBrik9NiUN7yvRez2Y3ULLzBqJhLc9Ri22EbJN0YmYL
aRdtIxk6yaLxYIk1edTldZZ/LbVsLcu8OK2cBER86u9T4fob4rDTG9+VuZ2kb/ROWiGkldH32zO7
dLKSrac9E5CxYWqzPZR6MIGgSEsR0NiI8rFQqo3Ayz/9BmLBq1bK47+zj2989MLabFYlK9PFVOHs
CWRxZ8BXPyAc5A2PFIG2bZ3vhPJbosATn6BaIFd3t4e6eFxocLmQjYXbwJwN1ZKC3E9VzqS03Zem
g3zcf/v92eDcdmBvCPx+70ILKmf2GKwFx9Ox+Wb+LoYw2wdCPwqD0XFDqEW3i2S4f6X7amgOofgx
Uz5pvb0avC7uvAuL098vTpVa60JBGRlUqP6Ie9TbLX/SXoQ+avBfQ2l3ewoXPf7C2iz2S0RBNrsR
bwwBL49F+W66NBqv/IvEDHc61JMSWRm21vWg0KJvxfB390L0UoTfw/D4Nx0hKsfHlIQCA0dBbF7G
iK2oKQeOrNHfUIL7mKK6U33s11gnFrcULyUA4VMamMDheiwNMIrYF0l0xWFzX2eZEyYfRx3Abq0j
2qPaptJBp+CTogia/ZCYa8nhpSUjkUf1VuHgV8XZkkl6oQZZx2tek3/FIJ0oojSYvu0XC6cUv85S
EbVQV5ufxoqSBGKaYaRsKakplZ03+zhUNiQtNpkPHXq6clYsbDQM8lYDjcINMA+SgI0MhitRlQYC
54Ru+E4VuVFlaAQH65OmBccGRSFjrWw7bd/Z9gbpSlc+gHoZqrrZCYWqYlk0ehGeSovcna4LH6sg
eqiFAoEA0Yj//VOBwxBIO4BQODi0WWIkU6M+VvvoNy4jpkQJtXdnPt5euIXj48qGfO2dWpjSBOCG
4ammQDmo7jEyBtvvH7oG8VNzc9vYopdMdQrY0iiGzKuUbkeoqHhteFLH33X8pLYLTfV3sivGu0zs
XoTCg061119v213YAuBp/9idLVutmkikCnl4EmpH9R5E86VaIxRZMsGwdI4SEhdvXiLIqgeiFXfh
yerMB8+t78mYt/2/RnyqvAjgPKMDgFSjOBtHpbeNaHkYMWRQOq+ZsdZBvuTfNBfQ8GpN+PH5udtL
lUaDpBGepigRioZgp4PATN2n2+ux5HSXZma3ZKWkLg830A8BhP1ZvJPNO7RvymSjhl9uW1ryuEtL
s9uRtFuhlAMDMoad0JapHYvil14rKPZJdgqxtvLvWxpZo4spnL7o4j5OVaoIoqiGJ8V60YwHHWZg
FEhptPlvA5vOxwszljHUFdFiePKkO7WDOUnITlOyJ/oUFaUd5+XKebvo33+GNS+VhK2i1Yar4N8j
VVrDRWpu4nhskl+3x7V0XTJ/FBJpXCIdNwfijZFmRanggoxJQWgZyVdZke/ErjyHWf2jQKlLfC1f
NZ+U4JiJa8Qui+4CsgEMKnRogA6uZ7V029KtFAGkmgnIr8rTjS6ltOGHsZ0bNKuNcDj9uD3gNZOz
fBBEW+7YJZjsJOld3BCLpJAzhjB5VNWdGudb38v+4syf8Bv/P8rZMQJfZ5q3chSdIh3xKF9H1CpR
MjvrJMSR/fiQdG20YnLRfYjmCLlAH4EYvp5YpMcrpZxAxHK8bSizh6QnK32lkLBohB7sqTmKHt85
N1ovVDmNKpRh1OYFzKbfPK+WLRdXi2fn1P8EYZI+291x7oeQ4vLiCzrZiQaay8Tvbs6rE1ijfJDd
lQhgeTdc2Jtt80jI/DQtsJcH4aNXdPaYH83xQQp2rYzgkyvbiXIXxV/ztff14lz+MTxvq7OEQoTI
QSFhLd2lKj2KOmqIivT+tvMvWwFaOF2Z7LfZdJp14lZBr4O9IR9uZMcyRhtV3d82MrnzPGiDqlGc
OpW4OueN89D3GUGdYCTUpFNUxvet6r7cNrE0jglQR7IV2hMYtK/dW5f9jqwLJiIw8kP6olrPsPL9
hQ0IlOgp4IvfFKtTLckaLQiIeOujQKdfMpR2SPb9tpWlCAC88T9WpOuRmF4LV43ucc6Xj6kybvsa
ZrnkqAnayoXyu1XwzbJcWJqdtXofu7CN11yUvlfeCbGW2D1AskPd+P22DPJy4ym18SgKMCoWaqK/
D+X4seq6r0ZnIFXojf0+k7zAzlUz2/hDUNji2Ix274vQKpfmZ1P3aLPP6KyvFA8dzjCgvy+I/b3R
182pBroPdScPodar1lhWFt2B+HaCyVPvn2NG3FyBiob882kMkeaM6y2Re2CsXVa/0UNvZpD2Wt6v
k/TCnOhMcUfeYx4wZy3eAXc+WgpSLGoy9YHo20EOn+X4g6xOqGdQXuWjr4efpBCdG/29kn5vQn8z
dmgkd2d4kRPzEVD9TpSfPUF2NPSW4rMAz5mNU+9ue9gC1B5IO0EsJMWUyokprl0sCWGYEH2icT2/
D7vkMWhB947ZneaHG3EYT0PoP9QJGPG08C279aFRzpp9UVV2ZgQblCyOQ4BaYzGIK6ft4rJdfNhs
F0eKHuaVBmRbbxDcDZFWO1aqe7g9/DUj098vA7c+tJRYAbONej06vEX/mpor2ZPFA4/OZNDaE13R
vGGyKIYCfymJDfun0AodUVw57hYPiQsDszH4VVENQoCBLt5AfYp7yfKHyPt0e6aWXgnyhZXpKy5m
KgvbLK1CHtu9eZe2x65HZcyKz2G94pBLd/qlndkboZRMC2fiIJK1syFsetDXEIKWgkXd4CceeHtU
S4lr8MAQAwA7YgPMV6cZTWQPCryMUEiRR6cz6J/tEVEVnqpqE5bSPY/8Fu3D23anSOHNYXFhdrZm
mStI2diRMCn9rQmNpUpAa+dj70i+YVeK5ei9ZDdSsYatX1zFC7uzVQy6wIyjKYmhuO9EkE8MTKIh
TrO2JRH17TEu2qLDemrimcgZZ5fXUNFpMmisZGsc4zpy7UiiKz9uD5UbkPBdo/+dpuzNlF6Ym91g
oaEFrVrioJb3Ql0JooHnLFm59RcjQBohoDYE24nWwywCtMpE1bKe3gTZRQhLyv3jaCLT+OLScZ3A
4uLV+zwRPkGam5bh89/M5z+25/dYOhZJ23fY7uL37lAdarVyQALZuflqBX+T7boYqDxbPL8Vyiw3
6PkQeAXxLImzfQNs9jGNxuQvcLlodMClNHU8UWmdXUGq5Gdl1pGIus+1wpFzGIfFfqWWsuiMFzZm
t8nYwC6YdBIHvYgqdW06Q/Kil+Gmg5aect/tlVp0xQtj098vzkq2w5BBpB2eEiP/LAkIkWrGT9HS
N7fNLB9edD9DpATLgGjOdrPeFF7tl7Sk5QrK7Vr8Lne1+zw5tll2J0TjOU+PueUk31fMTmv/ZqeZ
E+HbRCEKnOF6eH0jpkYyYrZwq00WGk6SP8OxVbcf+zy2lTZD942M81isYe4Wr1KqBCSYeVfSTnZt
WCCACUdUNlBVSNAJDfr+rnPFan97fGtWZsNzJfqcS3myAl+tIxj5sHEjjq/bVhZ9BCTIRJOKdsG8
kgjqs4n7kovHgLO22VoT2fS4Uouf1v/NQl3YmPmhWtDdkPQ8UpTQl6fcvOaMscglN/hOT0/SfxzS
zB1r8my6XjEkxT2a3Yu0iaK1ltflEUGkRaWZ7K4+bfOLnRU1veYrAyZE5EyUXxpEZfXHME3+wgWm
RDx4Omrav4XVLs0MSKcFXcddEtcIbyL/6Kvbf7/8lxZmTiZ7oRLJcsVrwfiRVSAe3HdFsRrdLLky
iFFQVGBk4F6eXVdC0Aux0HHdl9WRTuTe25hhtKG0u1F5jQ1OHz9IyUEQy13qPSXpOXXLFZ9YOndp
caM4BA0pRDnTF14s2BCNLSovLJiKg8NgD/9Yo24bXdukgb4Ztej5L+b1wt7c5WOrtuoEe0Ji3tG7
7ihN/iBkw8q7YYH6R6V1T1HpUoZziJrX9bgKLw7ipOfh0LT5pjQerG6w8+JIUg0mwBYiRd+0E95v
SroReujJPzZr2gPTSOab+/ILZodhEIp5mw58gZl+akptNyaWY4ZrnLyLHnQxzpmfZlEQ9UaNFV3b
BYZtiiv38tooZne/ko8lMINpHssz3f/ckZ2Qrvjg8hjApEGboZFOmflgK7eCFtU8cU1X+e57uun4
uTRu/sbx/hiZOV4IK0PqTo25JISCQj6a2o/aTVfcbnm2/hiZnbCRVqVKN04xbpAfXM/c5L10WEWc
L1r5jRKDnhE+hOmJdrFnzbYIM1Mk9sv0AtaPBgq9qoXcchSEZHd71haPB5rqJ+EO4Otz9chcyvLB
CzHlS/rW+CIMkd1nB63ztupfzR2AK5x5kuebU/rGfqaR1hqnGrXopN63CXZeJStJ76X7aUJ1/b+R
2aZU1Frj8iLys+RAt6WxQ22uGxCCVZMUbjBlDZG7OH/aJFNI+mbqELheqsAwS+TARFxbFyQSkHXo
0EHj7wQpKjeppVIyCbpkJTOz1Lis0Cn9j9XZtaL6ST7WJeWnsSqPcoWOuSTuBwlqqyzdjq11Zwzt
Rn5RW2vXB9ZPukPOhuad9PD9GIVHRXic0EoTo8xtZ1r0W3pgqTeAP5Xm+WugAIU8WiZhN9m3yNiX
KjLuVEz/m5XZ4LW4qgatsLjRRN56VEqtZ31Yy5Iv+hE4g9/alLTBzox0XiomRLrRKZPNDeyPrgj1
mjU4Y7visMtz9v+GEC27diA3ozNpEITwd648atWjaNQ2IoN/czr+Mx5gKddmeESKYdUyntzqN7Jn
HXQ12sSrFMOTu7+5Ey/MzG4rtQqFCfgCO4KLlLKpvadt3goDp6kfpoZBej7+4vqCVhK+B9gKaGWd
XV+JG4WiELHfffHcP0kJY/oLd7u0MLu88q7zi1Hk2PK7D/74OrQPTbCWu15yArpHJsE82nEo916v
jpzlkQnZNcFoGh78TD3QZx1q/ooPLC0O2Ey6rQncJ3KHayuCYFReE4XRKagGGx7qbQQCgGqGJKSO
UIx2GK4sztLhqE0qllMvrqGp07Av7jGFbl9ldOuI/p8msNNmcH96Y2A4ZtGaTm4hLSC70t+cyOC6
0COZ2nHgKr826vaxZbZdEp1U9Uue7rhM98InzXeCMt/fPogW5/PC0swztC4t+9Qro5PbdrupB9V3
d6XZQl/BmWcVnXcQlTVvXLY5qUfTpD9ROVyPri06OVPGLjo1BZhpCrPZPq+V+G60IjSpol7c8njf
BlGor2TRF3Md0Nb8Y3l2Ig6Z2+cp9KKnoRxo8ZU8EMXDQ9NISAs6oMN8W0bJqQy/g+xeue+WtgfB
yZTDhBiKxvXrQacxrbFypkWoHESf+3QY7tQh+hIMurdyGC8Okr47C6IVJInBQl5bGgrfzOKASFXp
8m3mEnL7ThtlO+17pej3bf4p6axNZf687UhL++TC6pxCQh5cs01UQtdMevDr+zQXQBp/6L0jQM2V
qVy61y5Nze6BpJMhw5yqCAmQkQpIW1E+VIFHUfD59pikNUuzq0BgTGI0obPKzE6DeFsEAIz65BWA
W+SSoTLaXSTGtjpQh3S7L02yD/tj1r2MWXvu1rbqtBXn9xI6IDQzUVanPji7ZRvDSww/I3Wrl/kG
fas+yXe3x7vko5cWZhMbUBqDTAYLcI5umsjYMrGrD4Nl/6QPkDIhseabJibRNYgpg54Y2tf2MR3p
mUgzETGn6266sbUzpZftumnuhXitZXvRSS9MzzahWUpB5o68FMp4J3F+e71tJSXk8bXT6avUPNOC
vF2wPwOd3VUmMu2E8sTVvvUMftXRvWBXVxHahbK4r9R910NoaYnv6lBYue8XXYVmSyqnCgoybwDC
bmjInjZBu7wX0/3leSsbY3FfXPz+7IjJA1RpohJEHPo3eVm+M9K95mdb2KFXBrJsaJKyBO1J5X12
EYZDZPXxQMZdlbNtH48I1kn7Md0J4PFv+/6iaxCBwRg1scXN8R6aGhJZTui7OhGdqZCL+vY2qMxt
oWibcq0FZHGnXVibOaKvVBEFSiZQsB5cE+QHXPr6t9sjekMhAok1vCjMGkURk+fqzP8sM1A8ySzM
s1Ac9Do4CMVWd5/i4Ykm4sDao0uShr9cxSlh+HhVG2eIVg7qNwmu+RdMk34RPBUEaLEylObZj79l
xq6qmrs2kGxB2xma3XaPo3Zuxtc8juwku+vXmCF/q9xdbkDM0/jJQwHWpqmLfzbLZhO3QtbW5lkO
ZFsp5V2TjB/olAQK8SFU3snug+xtvfBHnfzSlI9hdzf8GL3K1uJNFX4VA1KbuS0plV1SZyw6Qn/5
Z/01gVZ6u7JSczf//aGkAEksWRRDtNl+aiihtl5RmWfX+kIxDsbbTQt21kzLB21IQIBEthXeJ7Xj
v1es1Mndw4DQQ91BA70S7s5Pjt9fwuuXXm0aFd+QLbSelAQ5OsvnbhxtIz3Gq+wr0yXyZlE49+kI
IrJ9I03oe0qW65Vmnmukb42NdRDqR0l7CCsnKh5zXbWL6j4oV4oY8/32v2H9MTpzxK4JqsJNVfNs
pR8163unu0i67lZWcTqM3oyMAE+hBskDRZ3m9sLb8ZI2NzPBPHtiWGz0xBptNVGLnV5mz2ntGg68
C+GuJyimj7sPD2ZVlg9i2JiPuiGQ6MmtNdTS/FD7PWz8f9KzNVRpntmp5CKFDIvVrIUHqdi77wXt
PoYvYY2lfB7RT3bIl0PYT5KG+Ho2vVVdhCqUjOY5SiobINBGju6b6gANiTd6tt99vD3TS6t5aW72
gBikDO6VUjHPZvBQyy958KAFa+39a0OabUlLQGhgHBgSPfA1lERmvpNKeASLrXEK283tAS3tf8h5
qAKAN6QbeeY5plzHUaNm1jlpBRAOH5WpNUT4gs7c2ok8RaxzH720NDsS1S6nxzlNrXMl559j7SkY
Yjst1X3l7oyuuoevzCheqsZGERVe0tujfBNO/3YTbWq1BgQOHHwWX0qZglBuUFhnea+O+yh6HxtP
qds4ivwukuDtLO605qm2jrnyUfCQLH9WoshuDre/YmmupwOO1zxYKqre17tUHVQlqLTKOrdd5NSN
54xaitonzwdzpYK/tPt0WrS0KXzhHTazlGZyUIcQbp8n0gtSl0MCaiC8g7rf7D7dHtTSjvhj6k1e
Og3rsLdazz0n4hFkjA0S0qjMtfV7uyc412Ty3vRK6WjmzbZ55gbhIIQ4TxB/QDIvjR2t+SJVtJoH
yBjfxaYtBXdd8s0QYF0qtpZ7cJt9xixDFLcSrr1dRZRYSNKK/MNFModcxR0YzFZnx8S5+DWTJlFf
2HkEo9vFSrUmbv7mycKNzBFKgo6QGsj7nPRNLKSgRjGblZQ0pwZkVe5H46AZOE6QOwMoS1tdK5q9
XVJs8ngQf/fDyXPpxS6iba2vQ/dc14Xt1btG9p3u3W23WR7YhZFZfF3V8iAGpu+eq/hXGD5ZuzS1
h/2o35XjD0ERNynvsdsmF3wIiYkp9QNm4S1/Hmwtg+gihnb2ladQdr9mgX4uPXXf+j/j9FQJKwfe
0ixOq4bQBP3HVG2ud3ur5j54xNA6i/ER9d0jXKFFuBJcLM7ipZHZoVopxmiWim+dVa3ZSgqqFofK
sGxYCfdp+Nhbn3X35yDkK3v+DY5s8kqZ+0KfyIhJT84Wj/ZEswJla5279JzJ4dG1io3SBnZ51zSZ
XRq7zqfr2gvAJ61cwAtPi2vTs2m1QHlbplBa5zLK7D56fuTJLh36jd/YbrhPN+ZPq45ts90Z0DJp
a9bfhpCTdfp7NQDHRPezc8hQA0J7f5pvKW3stHsNm131oMiHdOQ2Gx1JdBTevBWaubedV3l7fVrE
URCFqLTuc1NPf78I8XQtr0u4N61zHdhPH31HsjPnh+HQ6bsRHIqbdnsQtp79Dbp7p3cCZ18+bYZ7
a9PZqTMcnGgtx7C0my6/Z+YCYZEorTd9j/6sdUAiPEeG/aJLeKp8VbOVm1NeHD1JaVSC6Igjzr0e
vRdUTaabNZvJ7LZuwIMo0PaF+KVzrV1Z+o5Z7lyVw0oyndIFpD7YvfJg9CPPO61yhmAjNj+BiRix
AEQfxMreCN7fXqDJ767DG9aHrchDapIJn/OcUVKNPN0frTM0IO99wfds9Kqebtt4e61jg3wETRu0
s7/hNMikuK66gcvAikW7KgQG+lRlrV3wtl3LGr+pkk57nO4n8AZk/CZV7+spRxUoMz1PY6NVqGzT
uFNy09YkzTO7klM7bHJbEd6JiEcKvS3IvWPqkNuPj34fbSvTgITwo4c60e0ZWLh8yS3DxkdVhB70
OTmeGpc+2CaX61DZ6dq927qOJN8FVb2y3dbszPZ5I5fVWIgEUEKjkuFND5YvH1WebmtFnjVD0za7
2NZB6WtSCDz8PPRbzbJryCl9J1m5JhZ982LWZuFgIGVJboFnPutt9GL6UWD3dfV8e2UWr6KLpZmn
4VWeLNGYMxK08NzOsdS9h988/zDCjde8B0Rw2548HTBvNpw5YW7xiKlJ73rmNCMUY2lI3HNkCx9E
x7L9j9Rmncr+eNfbta3axh5OBPtkHM/t+cPP29aXdiLNEOxGHfQUZM/XxumkV71Cw7iB4FFK7EeF
Tkk/i5Vs+/+2xj1txEtbs5O2ruD1apOUcKzbG+q3InkstJXKzdJhTrg3kV5xgFG8uR5OULmxC+7M
Pfv9B0NG+w30fn/vKneSctTXVm7ytvnCaaB9aWwmSQY64NqYXqSSn48VTOmJeCI4oanJ2EDp/KoH
tMea8knufpRrwl8rRudInTqog1wfcvfcDFRtC/+gW/elyMvPSu16pOw9GJbjy/5a0LloF4024PZU
p2E5vB4sulh5FpWle0aj8ljnbHB7HBz3/zi7siU5cSj7RYpgX16B3Csza7Vd9ULYbRsBYhcI+Po5
VMx0ZyqZJOyI9ktXRF4kXV3d9Rw1aPbmUnw553GireVfWdIjOU3iZomCjY3y32X66hg/K7JgSWZv
+aWMyZ5d2CuMWEbESLAe02q8bK/t6pWhe/3wkaRHwMsW0dJcxA0v66f6X6xKMsU65vbcQoNEK+zP
HT8awG5XMAIPbtaoeC6RU1YOoK966EW2Rt/zgucxk0jG7UPDNvqTQMQOMpfrBReZVY5DBvFOkkwT
bKsh+1Gq3/XoyS1f0H3qct1TdI+l+3TQg/wvXvwL6Z/HcbHd45iwQZQ8PAn0R1Vo+TJ7e2uLIDsi
Tl548+ZeCaA14D8dbQcYqrteaQKQrVSNEPYxGiR2QDf3TebsTQDPjzlRjIBPRSoiDjAEZmvCjMXw
5nybN0Efm7ZfdOGm61b9N455HlNdEDqT+MHxTT/9SQwBr+l6UY2owOmXqdCeGIQY2QZZ3pRs+zFg
aI43qm/cWZfobog+AFhvrYHUXFVfW1Ar3F/7DUD1pxJffIakxIpS2Ck4fvFYtTr6k7zWehnLVbQa
1uamD6rCR01X1Qgy0EFPFnRozrhjgslCssJwJk9O2gInBkp0DOM+JMAifQcwmKcDUwfT0WDKLTAp
u7DWuYcZQIUANpx8YQDbXMtLqJ0nAt2kJ1Ox/N7K3jpjB6hcI7T8In/gwI8EvBtm3dNViVqMYuzy
9i+eM8T4cBExtz9BFV1/QV4OaGsaYewtU/HVZO2Wm9I6hFWgaQ/OEhTfnNW9FCa9nQ4mIYSpTsLG
NyEwG3vkEV3aUw1fLL+Zl0Kmv1/YAUDODFFGYNrhboTgV0y1D6a3p1r9GoPHRkWzTEZLxWvFuAbO
RN6zpXs0d6hQHuwnxn/Q8CqZwbDVG0YzOzwlyF0ywx+jKjARXhVAxAuzA+/WLfvhlMc8drdAKrPJ
l/taNWc9LuTL73eCPIRqMys8kXrFGgSbPXuugOm+Ls3uRUHwHy+1Xc/eWcdwcHWA8uwi7Lze80FJ
EtJpLu6NsDZZejK1f8b6ax0elIJtQvDaFJ0dpMxX+Y8qSlYgfz5a7mLmepIinzx8XLgOIEVABkAy
YBpXeKn0GYHZ7Ffu8ELbnYNus8EB8zMv/aLvPLvBULuenIpCfbm/658DgZJ01ATQjAr4UB2A2tKb
AHy2qoFNJyfA63wf1/0a6BRIt+AAKt89pRtnF6/AG6CJde5X26W4Zc7bAF4b0IMwL4VmgpsxvlY0
daoZZFJ7i6UBjdeZ8dyt0rObeh2wNxeC+P9HoIEXEGkWkN9ItrIHYj9LmUZOja34vCIrtfPQp9Wh
uOSEG7v8rbjC1xdv18whY53/iZWiQDUDXD9Oj5wK9tKrj1qbrlNM8pLaU8G6Q3offmsT1DResiuT
Jbw5X4BAAPcGDcc3yWxglGJ+vmzx5msxcipeJjwgcHPHQyc7P7SG5llL7deTwt6KBM4l4PjQISCH
TjGuWu/UEDmQynOBoI8hKD0yD21Bd/e1d+bhA0AMhp0mfCtMvUpGkxetsBKCR7crnJ2DLIUTH7LM
2YLgxFf1r7ZYLFPMWClIxBSoipZNJO2lcyyTvkFvhQYzTVAGQWFpECsaer21i53MH8MnTe38gbCV
ijH31q59G5D7BjI48KqDRPuWRy9a9KYveQBzPvQEbYosNJDfJlTqa1NGIzPW9Dwhp47Rd2i1mePf
Q6LDcCHmU3MPsJKbqNlomVhVxRKz6HRp5BO/lC6dg6lGUdu0lJzscMyARJR7wjxZpVd1JsD8lnq1
Z08d05VIxmHE0/pszbh4KmNWa8KpSkjr1wlNoNZZux30GG4GoHkBuuMhK78UFs34zkDjnebtgOWD
hJkUeuW8JS3Ok6DfY4gBYAAiwjNoHovwnIeAkW5dUEAibwaQ4KY4aNU5zw5Fv/BEzi4c+IVwqzCJ
YstlGz0VDDwLOTn11sap+Nqu4sBGyRi3udZ/aigZ3b9eM44PphgdNNJObT6YSrlWqsYaCeuR8TmV
qaUEbokCTkwwRdHZxSLu5ZydAnGNhV4s3GOkma5l8V4JozRqIAu5Ch+6vCVU6XdonEKvCiuOkQso
gJQV5l4UYCvCOM7SQzy7u1N7FmIIXHE5HUoGyoaWKuQUQnNdhqwBRcnq0LoD8KfeKft6f3NnXyJI
A2K3BoAelD2vVzxiIg/IsjjNJjuEmHpsfoOR3OTmOcd0npl6CL+VpWrj3EW9lCmdaArYo1ZXIROd
idYIqONV23k9+7GERDW3l4C9gh2CA44TldYm6q7jxHTJqbbC97wq1iUzkqAePfbRJL7Bo4WS7Zw8
FMNReUfsOXFbXe9lkapam6U4u9b2Ex5vyLnZqK3mK9Vrn23vH9ycJbiUJZnaNI6VsJj0RPSjF7cV
kk0L927uAb2UIJnTCvTxOS8HcvpCubay/CYmK5IsdaHMPWVolsBrgQQnMnXSjbNq4JxnLlwvq7KO
vbON+lcn3JVV6qlqhQdktcTuPrssdKEZKviipprD9SGZRgEMczQtnPLRDRLi+jzsTkxXNgpd3z+i
OcOFgjqm9pDmwHyxpH5Vq5ZansHJK80vwnrI7W80/H1fxOyLeylDukoVgzbWSNyeQnBQh6vmC9qm
7dTHFuaeHcT6L/eXs1SSW1iXDLPWO5yFYweZLsB529+Oey6794V1zRnii3XJZtDSCRIpFtRbhw1S
2EEFEpV+UsIt8sX1r+jrWP8pagJSJ2ghxUjB1E8JMkrJJcckCI9bR4nONhNKMOrm4I3gQ/cXFja3
eUjSAsoACQN0iE9/v3AbsjjUohro76cuqDzqo8LoxZ69Klfvb6WfrpXtksQ5fb8UOP39QmDVhCBQ
1NHSUuXuJgM1kvujq1Wfq+7TXyxtovFUbGTd0RMk7aBTUu44sYVSLUZMUitdx+P3al/Yp1zEcIj2
aX2k7nrEI4MhSABUYtLxPRufF75i7nG5/Arp1pkFdUdCbbRgZb/a6Bju+bfafUP44SdF7wHbX1kT
K+iLUx/7ofaALyHtw4hRgPvfMbft6PwHru5Emwm87OttZ4ppWRjjCE8ASvbKFG2gybEaAQ2W8gU7
PZc6noYM/k+U/OxY0ehkzBnR4jJEK8fwYvQl7HMr2SaVeRYuZky15zRXvN5Rj6bxXLcLPTZzT5E1
Vcdw9pZ106zQTABkeY74p1GOA6FAYl6wBjNHios5dZlNPWZ4YK/3srPswnbGPDo3AAbT4ggGAW9e
+kErhHTNohM4c3QYgQcQGcBi0AggB+esBF9YqzN6zn4b+zEgZ7Zz9tkqPfbPReyFL9HOCRKv1Nb3
NWbSiKvwxYLfM3VEgb3MhXsvaUw0AHu86mx6Zqib6sHUdWA0nsE9E8g19roSC97KgrxPz/DSMAxj
LjjgmM9qnB9r94OCMJkMZ7f5guHhoM73dfJ4f4U354gVgnDTmOD/QH5jSFezVXlUiNCIzl2DSaPc
2NZiw9KnyjXeQhLcl3VziJMs9A2hKwqd3sDuu9aZrCr/Vxa6sNAqs6kKtCbaZLPYM7IkSDLoTp+1
UYLB0HMbPlZAxQ8RgPFM86r09S9WhHALCjn1IcuEcA4yVDUihujcd3oAHlo0zT8mo7srtB/3Bd0a
lGnvcAUww4d6BuLN671jiRLRXFB6trJTLZIJ2TdAkiMwsmLf6/GBMfS2aV5nER86ohQfi2ud083L
L5A2VUGOrmj7lJ7Rf9GH6Y50+8aKdwCKDNIm9TsGLozo1/1lzx0kULXARY22JxQVJO/d1suG6W5G
zwqCS55/M0TlW+FusbY5L8eeSH0RYt4wFXZNCEzUfiKYYVsl+sWR8yvSV3CF3l/O3GVDeP6vGMlo
JlXUUYtDTBcNqxI4omZqeiIFBnalrCDwvrTbOBI6g7B1SmAD9h9lvWudKavSzBCFQRwffBU27D2J
hRfSU+R0K/NtIN/SRA0WhN7kMyehponWR+Tf0LiqXQvFjGnF2QBLXayMDdliHPuB7mhz0jfWUmlt
sk2ydQYEFVL0eBSmDPm1qKrkXU9VQc/EwJDKQ4SLcAzjN6Jt6JIifo7D38iadAOAZVNLrnR0ETGd
buAdPR++fQDncHU+q97Z9X6u1+fdep155/XZe1497yLPe35OgvWv1whdenAng9dfq8fXj8fT11/c
67yH0+DtT/77afU4+ie6+vn76Yu7ezoM/tb2Wm//oPrv25enn1t79+S/PPmr/cIBzergxUIkg8+K
EsHRtJDoZDxyr94aQEdZcH+mjb+3WdKzmepjDCy1HjKiBL6P1Vpw9KIlp+DTiboVg6cZfjsaxGUw
8Aakx3UatXgtQdNmFd87I8YkN7rvhn+Ish+N2NeyfgNyeeTlKrHlY41pyMFX0tfaes7b0hekwECY
HqDna3P/GkzG8N6nSaqJERj0W5EahmuvBvn3hZzj7P4CEwjhsvGJFH2t+BbpWZyoIz2n+cFKmUfL
BUM1JwAjiRj5nRw8vNjXAlqRGp0oXNwsZsK0VzBVdKj/lAUFXgAGd6YCBAiB4aNK1t0qUrS3hw6c
umfv0fS1BS2c04+r35fzMWGMfB6fft9OfLAme06urmx+RsHAs7e/SvvVUYEy84Vk7AQc+d4IysFL
y52i/qaMwWv4i1ZRacmSdex4a1bOgI3tMLd+dkpT3emhWJrBvInUJynIgytYnzEVw6+Pj3Z5F6PI
hacac78akJD0LQVpo/6kpx54fn2gft9X99sWZUmilMERgFBjagiJ4z9oR/ZeneD1x/kx9VO/8b8R
L/IQ5nl8//XhfdX7q5+Ov/e+b/UlAtbb2UvpM6RrJ5yRp1QP6VlPHxSnR2CieSMSmVO9qWIWesOP
xpAEzG49u3UOqk43PUeH64E4P7la+Obwo9TeafQqegxqbrokaE32SWMNKwELtOB8zzxgV+ckXbMk
E6KLLAIFrQ5OqQQJWglbpUaO+WvBKrBpF6v75zRj/K8ETn7QRXyRZlGjZAb2ByW+R+qGQaMc3JAG
pFhQwRlnEYIMwIlgHBj9J9ILoItGi2mbxudBea86tGTmga4OuFJBplu+bb6b47f7S7ut2U9nD30H
/i7IfsFqc702w6rzpAYGxVmvv6kOLLvKO1QYtQ2obH0SujuC/nGX9DsrfjMIAbLO46ihMUiI7f0v
mTGeGPMC85wyFYUcuXDexLXSFBHW3tsqDdCoGnpmVi6BOc0e5YUUSXd4rgw5b6L43CUfACc2Ny39
wvNVU7/cX83cSYKUEJuLORaQoUv+QtwiJuHtkJz5iCmvUxHtwy4H6Ub3I88ogAzc0Ufcc1/m3L24
lClpT2iFMckIZLrwHzH0ujJWUXssqOkza2H0eE4UOmwxm6c66HmXh6ysCoD/AjDqZ6AxdMMaGPvo
1KyMx5AfyWJaaNZMApkOdUKUddBjIC2s6zrVDVsOaZmyIgb1umSqDYpXUm7CCOD+YD2rOq+2nghd
V+ixAM7Q4MavfYItF+JUdb8E0f/JfhgPYJ6q+++a41Xx1xaFxh7OTwJsMmtrqw8x3yXaR2IsEbHO
KR2aBLFfE+QSqo3Xdyy2wIxAAIJyBkfnBoUwNLJZ2UOmVj5fquDP3SKwpgJhzcUcPTqPrkWFPE4Z
cVly1uKfSDAnS2n6Ob22ULJFh+Bnmkz6/aaKBzAE4ShcOKakG3fJeKwYeEcdDz2JggtMUi0BS0x3
UvIKMSACvhxkQaaknPQug4mwDYuxS865hZEhvQNw1B6J0YXbM7tzF1Kkt9hARISakMDOWYnrZdz5
iUx9uvCSzG7fhRDppcWm5aBdbxNgsf/us6PpBmr+RXG21Eo9p3hPlqavZyJ08BCA/RfpTLT9y3Bl
qtAHuHPYOjUKAMbGQClhGx1YWpcQxeZU/FKQtDDem41iahCk2S+K2axUG+//ObabdW4E983crCiU
oSY0dqRQ5V5FTAn3MRkb3CZeB1r37LYo9BLfrb8k5Nd9Ubdje8i4obCGjVPR74P09/V1UlLXLqwU
sRIgWh6zId86teIhifQUpsMqDcdANz1z9B3yFsdLfdwzZwfZYHPEuD6um5wlM5ghGNEgu9Ofy3Kb
m54Bk25t7i9xZjevpEi2yYp64iKTT8+toxZeic5TEMPpPfP60XpOjd19abfDiBNYBZZjoJaN4TSZ
MnzQYoMhsx6fW7BFHkLw1wcKswe/KPN2FSmMrUwhxk2vVqVXg+jsABrS5EgtO1xjtCpHmbMovgwC
kSe323hBs2ZuJwi/kfyHjZ7iK8nQNFakhnCF4X650aYB0AXS6j+5AWacDKPgehioDf8wGvX7/U2Z
sW9AAp1GHZC0Q75JPgKS2KUBaOGz6MvXNM1eclvxdH3Ji51LbAF2f+Kjn1q7ANJ8rcym1kQ8sVN2
BoD0AK5Tt/LaMak9MzoRNBFoPILDB/AsMB3B8yzJgu2bWSbgk3GH0JMCDZBfwU7X9AyMBuxcJ7mX
9r71PgIT7P5W3laRgTV4KWRS90tXfbRtwt2WnQHPXA1e5hnEy09Z5SXfi6D5qq3pwqpm7g8EYsYV
s5aGgaLAtcBEyeMwxDzMua6ddAVlUY4NYMHQMpfTb7baVI+RkdkLy5SFIj2J7kNM1AJ9Ci6mXI+n
lhJmMWAvzkLr0Me7saOTiSa0yrI3ib6QNbnJoU/CMCJjwd6CtAGtpdcr1Am1Rq5DWKS8l22/RnOr
pwH3fwC6jXN27aBT39s6EJnihbbqp9ZCUU7Wm0m+abmICKYeUyRvruX3Vuj2eR2ysx4C/D3/1qNN
JDX/RsiEvoJjNFHZkY4xQ/HDTdExfq7NxrPMr33NPRInC+c2u5QLKdIrGQGy21bSODsPqN8I7F8x
YXcMS2yoN0HdtGX4h9bzKfjA8UlbZogmEVxl5zRV143TE4/mbxhwAp2SurfVjWLmOzVz1gbhHnWb
k4NQc4nx5mYc9vMjQD2DvkIQYQE8/fojVLUmXetgS9HB6AQ8DPqV7nMf3e8e2b/8/Pk7Owt0dtw3
AHM3w8WFgHs6QU7IFWSUVaPMYVCWgtNnZdwj0Qn9DNcqWxXKUsfP7NUA2CgwTgE0joFf6WrYqUYV
vZ6WOJ6btgw6uFdI+k1FcoakRJP2u9jtvQoxyVixbUl/Z+NS0Xx2xSCoxw0FczvyU9fbbLI8rOqQ
ZmcFb4jvCDyrEdyjFYjQuReWDUhqij7e3t/mmykhHO4E74/LgicFeWRJk4EEMYbCgVQTaCwk/CjG
rdYX70zzXQFsD2vPRFCrz7r7QzGzwAO/E4YW8aiZCxmTm9VPZXQ0P6HOBZcCVYbr1SttETKKXtUn
RycKGBkV32qj3h+HMUKCyuwwJpT9KV8ImmsmWvRPEuAJ+VWyFcSkpE91N34q+ECDhmoq+uq1ceFh
uVWuSYwKAAOcK2A/5DYeo54AuQyIAXALF794CWrvQV3nHLTAJWAKxNeKH2jcndzkFFcnzviCTbzJ
BH8u9OILZMuLjjZTcCd+shiQalhAhkOXPphG+Y5qWNupHsqLDNxZjfZPj6EGzPXu2xJgZ5bHtSMJ
txiv0Ze+adrcy2BwYlQDJuu07UBMxFT79YGXI+nsrMWBi0wtdnGRiE3KVHWvhxjQrqJa98akUdHU
qnIvFaZ1TMuCB7yJtbVSJ9mjQZ1pVpdzsR+5OnpuGjKflA2qv3i8gzLjX6hp/CBtmXmVGycrSpEM
u397ZM9+AqjB908gidPIl3yyE6coGyzGj60atqvcUKygwwsEQNIkCsDMvOh1zwpEQxjMMEaRoDfX
m2aOlBLCK36kKF/l2bPDnzV4R1393NW9Z3cftVB3JBeb8GuzE/TQmj9gvkZq+/cX/pkXujy9aeXA
AQEYB8DkMTQpfUjkdrkjioYfNUvZReqei6967tdBW1E/iuKVUQHSLzy4ne1VYAsfu8eIrsJH1v6I
zG5dRsfcsLZF/Y7ZQ4r/EWGOp2vOwxeA4W/EsPCW3AzMf34tuN/xMYhUgCV0vW19jJwdZz0/IqWz
7wvPbY0d02xvYK0P/OUobX21+WVh6ATp4b2ej6uGm4GhBZm1E+U+q2vfzE60Mf18PGG848Ucekzh
LjXrfka88q5iVuGzQQuOvUzarNQ1VzSbtUdmA6jfq4VZPuVq0yi+NtIWPVSREhsBqy3mem1k04M2
sDj0qt5pPSVGpdvByCxgC41ai1+rEm3UntUazj6pwj5ftVmtnpK0xYxnFSY5uqKIk/0zJhHa18uo
Tf6pKvA3eKpTl8ceAcUHTWsFyVtQIPaBkXNnXOd6qqNDYMyWwNgmC3SzcuS78NpjJgczlNcnZBgx
YKdMZB0bw/BK0MyZ3e9c/eCgnanrBzCT3tdf+bWZFALMmZg7UsFkbH6a7IvoQh2H1opsiEO7VlhB
U4O1h7O+L+RmTRNgMNKzDkgNEKzJAHOW2o9coQU5RnF4zFgI7av3tjkeUnI0Uo7YKVS/3hd5Yx8g
EhVFFd4nYCEQjF5vIx0jvUZFlxytZI9a707wY48QMTbe7suZvIKr44IcHMi0MsCzY8D/Wo7aRl2X
QnNOqe/9KdL09FiipWGiKINRRQR//dtt71a2NSASIiMY2J16W1d7M3NWXbnEBSR78bIkybHNSgCx
N8yKTqMz+hoZFY8I/pNw5/H+bt1om7QiyfywpuoiVIogx2jBN6AHZR4dzCjDKHDyD6uXygfTy3l9
OBNmACZhwP2uAXBv+pwL5R5KI7WjEhtYPsCZOfZhAGwV8w2xQaeu76/sVsWvRUmORacXeksBkg2s
2XAvnvVqFbbHNPuAhwfvYUG5l4RJHgOIN3GnEYicxjzeOyO8dOBclqBGw44WbTN6ADG9v7yZg7vc
STlDaUXtCDA2SDSylzhFhcQJgxHwBxi+pdHv+7Jur+7VVspRVme1xEhLNzopaMyIhW90DzkijWGJ
e3BG6a/WJCljHzd2ZzDIGYt3dAf4aaGt1SVQ85v0Da7WlRTJEMGX7oGpACmCfI0t52sXZl/yUDto
r+ypMgISxc9ajhk4c2wDYS1gQN5ap2vh098vLsBYlK5eqyG00n5zxa8h+8NY5XNxU+MvRvvguX4G
zBe/bxVhKLKRRCdwlhV+r5rxS2tpwo/Uulx3VVmcqrZfyiLPnRtABdDVgHZLoIlKZrHLyDiImNOT
YIrwEnS27zN7yPEkK0ui5gwI0ieTc4cMCtz06/2zrDpGUNDQEzeqhKyATQFvFlx36PtFMPXImiyq
gS9ZFf2mAlfkKlSibglDcOY6TNGSjbYm5D4wen/9DRm4nfVoiNNTJET8TY9d9Ou3oVipPSf+UNbN
QiH0JqmKQwXhrYv2PUz9oPYgLbqwmTv2Lk9PfZf7mhYC+xGpzbr3o1qs0jHdJGHot1Z80gC6dv/q
z8tGUx2mPOApoOvoerFVMxjmaKrpCfjG7EviApx/0Kv8gO9MQfVXqsCKUMmqcsk3rgoRVFURbe9/
w4xxhRuPbCSy5jZa26Xlc7tMNNLr6alwuypb9+NovjRdjT4gx6VFtaaWoTBfz6s8DsI4pUsTPHPy
8UyCNwmfgclK6by5HebEysfkpAw6UPqTim3MtuneFC3CEAri84NCCd/YVqYtjdnMqBqGX1DTnTxu
AGpJNwskPYOatm124o0anQsguG1cXodBXjjrrq7+lCEKijYlG3C5gG2gIBd7fdhD0mqNXVf5KRpz
oJEhnC2y1q9gijFfpC6olrw2NKEgONWn8T9EakDavxY2am7edL0NLP/khSuBrn8k8X6J31i2F9dC
UBS4FjJN5NKSgL4LzAekPurAvgMiYtL/AkP1luiJx4Dpfl9dbzKjnzIB7IaJCAP1J3kAIwlzWgs9
BP1g/yrMR6LXgVvXHhpS1vqYeIB47T1a2+XKLHTbp9zP8mpVOnmzL7M/Haz5/BZ43O6Uw8L9la5v
SBI15Q2+JYZLx8f4WHwya6CzCnHZ/XXLT5ssajrvi6enHESbtik4zBKFbhr0SjXqEnCQ7PR8igAL
m4J6pQqUMlk/3ZIKq0eRWW+OGnWAqY4EijX66LlEPvDL/fXMCsOtQxpORz7h85gv1uM6bUfQEZ6C
55R+6a09N+o1idoNSXdO2S71b8hv6OfSUJ0DgiT8YpSwrncP9eGOpy6kkewpxEwiJkrYqC9cudkj
wtuJsigQEYDRfi2kFmWTmnacPmScfJiJPTwqNlr47+/b3L3G+BEsCRB2AfEt6QGlcWWmeok2PxiR
JDtidgDufURR9VuapZrbNBsO1dSlivdHTnI17hiWSQK2KmOvhn7+sUROMKcCl78/vQwXKiDQHEYS
UaUPthooo77JAcLlsGFfAvNLsGR9f+PmVwOODgcFWqxKOh23Yp2Zt7BVvWKBAAMjnInrd/kiFNRk
8y6DsEnV4Bn+K0dSNbSnRSRVQTbC2ENaNB5VuG83X6sIqAxhtkaSxevLX026ZBhnFQMAoSj9onwK
h+Z6NzvGspJT2KIc8ymi8Wn1lWY/2ZgE9/dxTsvt/+TI7mjdkYKbEQxRjlJbfG6WyrGz54RaOjLE
aI5G9el6HU6K9Aw6BtKHSj2Wab1y2Z66SxNZs6p3IWT6+4XqdRQsuVqFq5rmYAr/SV32oqaAF2jJ
XnBlAZrrk23sRiUupEmKDkgDIdphsnXDOgdXLkWFMo189b1sNlahPQyjc2bKi8VGPxJPlBt+01S7
0l2NVAuA05bVT1m7AziOq4Is51kp0Cxrc6+vzOf7Zzv3nk/1IIy+wxtUHGlbYgxOWo2BvQfYvEs+
NAuQKciLCNsjZNfob1H6dF/g7GFfCJR2xhGNgSmJFNYMbhd3yyBBP3o+LISFs6d9IUW6GiB2tvtY
gRTe/sojDNmmW8V9NdEPXYq/uR3T6AAGZkC6IufhdDoAGniAee7s8B833XZN/8/fbNl/Eqb7eaG6
SdgjeK/AqifKYlWCjj7QwxIQD2a8ui9o1qBYSGOi4WMq1kxndyGIZo0TNxq4GN3kIwQjZyr2AvQR
ycLtUGdP50KOdOGVIhaRSfDMgAO274Sfd4c+PgCFa1PW3Wpgfsh+UO2tbQHq3R9cUR7tJHriJRhP
kIzvi2Zhg5e+R7oEdWVqKrewwX1g02QrTPulIA1KwIAL4hj4vb/LszcAIyAI7tE0fRN9pl0dWqQr
cOVc5oGOvO5GD5WH+0LkGOvzTZqa0NDeMoFoSxcg10tXjEAGB3W9+FZR4wmkHOsC3HYF6jaAgLQB
FHlf4k0eaBIJGDXAuCAljYZw6WaPKVLjVgeRkaNj3mjbZfsQvBE2KOWrg1UUgQEOLKeB1+Jb9vt9
4XOaCzdsYuH6RESUllsId8gIyyGbPJKx27kFB51Z6+dKu5AnvC/pJgCyDNKQWsHpqWO1pzlZO/WT
cM1HRC4LerIkSXJfQMHIgXcJSS7jB90dzixCpzbiRwV07wuHN6eT/+0fcgPXN99FB1tMCQPtKxD+
Bfmoncc+//4XZ4QGPUy3TkjWNzJUsCtmGW4ZEJ4Ngx6i5pgWlc/GZsEifyYQ5Nd3Qmz6P0n69WrM
mpBI0VD27gfHBxWi6xU22FICAs4vtbF+RmI4sr7euFn2OCSan9n5k82KRwpsX3VUtg0YethbmqBY
GWGUQ7U3qXinYtwOSuN6gMXeIT8xonoGHsVRWXLr5i8S8hOmDSiL24qLyCOWtTE+PxfjW2LqXhtv
MOinOmAAMP2GgPvJNE6okxxoxD1MMyzY51nFQ8UMdTM4ZOiTu96+tmhLgcIdLhOokzdq4li7rsj0
L/qoVqealH/KxPJpONAnjt44JJIxnH8tT7WsPsGQLZQPtN2BobTWmufIQIqy0rb3dfAm/fYpCxCb
0+TMhDklKXpnDeB3R/b9oQgfO4wijLZT+AUrX8DGs1ec4c2JarD4dWs9ax7vy55zo1HM/1e0pJWc
8r4cKhUd3apbYDCos/2+05ZYTGdvMlpFkTf+bLyTDg/F4wS+HnhwzbKabnLLj8oiw/CchiBjgAZr
tLpM2BvXJzaGCvyRIoR7m/PdaOc7lI+3yKsBP1K1F4Ai5rYNbFYqcBsBS2bpkvdTpHpT2TlBIK+l
LzboTLWi+dMev0krLmVIGqhxkltUTOuJGh+Q23wEvOySTzq7aZNrhekbBdNFkhCnyrTMZC6sEu/X
LPooQeFL43adAOr7zzUN6NP/SpKOZ3BxFGboQJL+20HFX+l+3xcwp2SXAiQlKysD45YR9itWNkjH
eWms+IsuzNJ+Sf5ES+0ktG2sgpOjzpAkqo9Dt9aUfP0Xi0EJ3QJG1uS/SHJMUXCulFiMWz8VYLuv
h7dFUt5ZJb6QIfknYeSkAAqAEufkrWtizBAttRTO7pZtmTgWlINtmXatazirnSzFWE9arOqGb7j+
VKV8FVlLUcLNPABuC2IdDCshCwrAcTleBxJPBDSnFiamAciCRuHQEZKCLNPsXLRpaVF6AFWa4lNW
k8AI+TcMtBxbltQHs0vjoFCApWubwqsdYv25Yl59mqSYNun7ZGgQ5Std7Yt+zzEJK5yFEHZ+A9Ba
DaxG0CTC/l2bP5CJZm3fkuRBQbUsKoxtEr0JwJrrAEIIv4D63Or3xO7Qn1v6sYX8wiERike1pQGe
mWuIsWeEEfA00D8r8/3FttopdoEsAzA515ys3FTz9eLtj6/HlRDpxRzyyPnk7n0YkNqK9WEVOxip
tZWFl3lGfw1UL4DdbmICDu7F9Z4y2sdgv8xg5oHK3+bofu4DAlXWs6Vdm5PkgqtsGqCFfyP36oTg
SqotAkn4jlVFKEi1wD1pH0yAfN/fuumbJT8UZTvMbqC0ih5I2bJEaFrnhCOeRkY8DjRu7O28KwBC
0bwjGVb4XVxGq/si51TiUqRkaNzSyripIhsxgIS4DIfnCXMyWsQ+md1DCx3M6DTVp4Gn69NKazXK
R3XAaQlNYIqQttuq29L2bJqATf+LJYEBBzPPGNhAduJaVjgA6BaEDUhKD298y8zXpZrWjHGemGcw
qIg+R8RpkgA171hr8og9MGrlXg7AF79366X4eOZkrqRICq6wsgK0T8zgM637tvdSmE3eFwvh6awU
nAqqqlNzoVwsMKu6UtUxYQ+hirTi+AyGeYdXC57s9CJKem2ifPyvEGkpGqNxhiEBvDWFLVajSF8U
UZsBnUB4Y6NgK05agJSNyUIEOb845LoBhYOJNEPyoBPatmPnIsuuqD3IzqpmVXCUyO0lZoUZ7cb6
/pMj2XcM40ax1WET8zLZuvkXagvPLXrf7haM3oyBgCBg+sD0oQlOHpIWqDiPcV2zBzC6bsOMw0gY
J41p246oKtDJlyaNZzdQnzqxgVMwcZZfXyXdbWtq1zkDCbu2RmAckPZ3w5awHubye5heBYaxhcku
eOySRwX06VFjDZYl+ghGXI08jiFBO1WO/0Pal/U2ziTL/iIC3JdX7hJl2fLe/UJ0u93ci/tS/PUn
6HPujFQiRLjvYOYDBoNxqqqSWVmZGRGxkJkUrOij/ntMtfeoC61u3sfq4GZpbmbPhuBwbfWik62V
rx7p2U9iVq4YsRKifpIfpsaBvA6fEX+5x4b+H3Tuz9fOjjQK5aBTCoa5wxC+TKHsC+2Icldpkckt
+i3FwLVSAbhrMdsKIZsl4WdCVyy2Hba2yg8l5brXvsjTXT0KsTUA4GNxRUFOeqX3j0SKBgfUl6mt
C+IveZTTUz0Q4/3bgRpD1SLEwiBdh34R89mohZCX6QzvEhXxmYMOqFlpkDjNIvu2nSsgCxJQPAY1
HlAhoMsw6nDpxjrILGaDwx6Hcz4usMQegUchDURiTw3Gefi0hXRF7w2yZIW8J2d/CzSBs6csP03x
Rixc+6TOfgs7NyjNQ5ZP0Jc+pC1edRhLiKfSKYuNlHMtUJxbES5XDKIFsaQE58xnb+D7wOD0IHuS
8mOra742a3G+teywfzkVMWrzYAeAMDQGvxrvs4KypGhKwA4+aZXZh/bfcCOsr32b54tjwrostUUr
6QgXfCU5BboABcTqayjqYCJpw3OWvIS9ub7IgpbxKwybMfvYpaoRcTxOa6hPWmujZ4qANCt7Id2J
rR1zT5zmZIKVDk8bhld6xP/LUvR/hpmEqZJG3KfJiH2dQhd8gmPvzNBImly1+2oIAjNvDnW+8aWs
OufCjfR/Vpmdrfomj2JouR7KVAXzQ2uGIcg1tt5Dq1YgdQFiKxVThOw4a9QWtB2AlTvkc2lHkMU2
xhdu/JcvAI1uzDhBkxoDOJdfwNA2XKNm+OZ74WcsNV6Gl04LVg4O1O1bpG5XFAJLgIFyBxDlmKgS
0NW7NAYIV8ENAN0cdLl3OlHYYUrGj2a3U58MfheOgxOBHbz+mXb/cGAq+ItBfrlAjVjuvQT5e6Ql
bXEIq+MYofUG9Y58y8haMFksLBP3y0AJk74pjVCorWYUh0ZT//Qj/9xWgzsV4nOF+a0p2UpJr7JF
BOpFlhNEKgKoM6/oAyZUmrk0mgINeuYQ0uEFN0b+2wpBhPG/qJ029nDNHpaGSwY8ECi1yZeHpxdd
nk7jNAZib5QfREuA6BF4cGmgt+cORPmF9pXug4d9tjY+8iV6XEQXrBSDnXgQAbMFagDmNuZriPc1
/DgGXa+mD4USZ49Tpr4l8mz4JMvuean+0wP2c4BKyXCIwd28MySyRQZ3dbz4FYht4PhePhe8qS/X
PxLInHRcPAWA3KEe+5OAhSI3as+oAh6N/ttrvordixCIDq1msK/hymeVH5tByaoo03C401EaUieT
lTsMxPgJUTdeNte3/jIEhVkFjKnh0XlVp8tJFGdUg6nuXd6Pd5ylWclL9JLdgYj2yO2bl/J3+5s+
fnt9MLrwJUEdETCLJa6ftcQlbp6KRtOngGLej46lZYAxQOSguBxvTaisbCWCzkL/+oUzZN+5dG71
viw6GkzZYBr1Pu9isxLuSPZ6e0mL/zNeqiwcVwu5DGpYBrMkrShVAZOpNBDTt6h+T7fq3NfREweF
EUmUPFBT5a+ip4HWWiFlOg3KJnE57TUViIX5NRBjkoOeEzsGNyFXadYsvo+q7n1/dYuSGBJQVHjw
qGcOjO/nvASAO8BjX7S6qMA4aF5P5m0rK2elYvwTHTIwIl/zO3eTkDSYVJ6CllccteNPTcLflW2T
mg1KV7dtrcQz8NmjLgbXECTUdy9XBJQymes2wnaq1WB3g1rbQzU2mFkWi9+JlvCHEsfhI4ninduW
ry528DehKI6HBcbnAGdeftmZ88ezllBaKFNQ5YMZA5wLd4ROxj8Y0dBFAoIOtztb+OMlDorfYkwD
Pgsh961YMCKK300xl5Ussr8LNRBOjlkJFTpeyvqEBn3+mYHsTMDjBBpn+saGrYReFMUWrtKvKQS2
klSKkdz0NU+DXP3QOFdBVyzP98CDW/qwNUayODLzGePTWp5Z4BjHGMlyeGeHo0hcF0Lvdw7QWPCK
Knoe5mJPpb8pL1qiaAnNS69OG0nYmkNICsZQ0VrETAyLhplGwtX4KQjBamqG8onouY1ayYbDr+0i
wi3IytAkU66o4wzMHMVlotGgwoBMxjlVK33mtDr2lRaMOdk4s5VwuLQVweQMAkOELSYclrzcNFkz
zwFJ+uYTWgYg0cRcnv79i2RhpgYSdUHB4wq7PK52ytUylRUaJHEL9lXQgJwawCPuhwzRHsB3cQO4
tBY1ABo38B90CNAiuLQndfJohJo0BwIpfL4KpJj7GBqz0TK3rWe3VZKN7GfFH5ELLFU5sGJjlUyY
atPe0DI55oNZ6ZxYmB2SYYRKelVbrxAdMM6iO7VhciUKw6SGmXIQ+iNEMSa7Pm25IoXJuI7dzigc
qN+R+lOqN/ZyxSEBIgYrykK+jUuN+dTorKGIpfbgvmoFUKHQVP5ZQrrArdRY97hcBjvTHNYbF9nK
AS5tEIwtY6xqUWS4PECqKklLNHEOkumkt70b5gHIMUwjVPBsjM2C+Lfj8NpmnttjHKbCG1xWCBxG
gUCiM4dO56VbV9naRp7bEJk1UWB8w1Keg0HZafkJ1IOOIXpqfld1W2qTK6HqS0NN4xfgMkpjl6YI
WBxISQsaYI7K41pMFReD04zhBpZsZdfwhEI0XMbelvHlSzPdVHeEyhUN6CSkZhI2p4l30n4Iumqr
t7lmatE3RL0PwQpzQZemiixrElIQ3GELSip74cBbZSqtaOvKFjvB2uadm2I+rFKjotQLMJUrj0Im
mLhZwnkjIK74Aub10IZTwJ6GAUXGBnhqeL5LJxqoPQhs5Xv5ox8wD6GBn2DjQbgS4RHa0TBAoADr
jcx4XYEVxJAfoEFYSSaHCVNx/rz97VyPFeHJiORMRc0bI4jIZS7PhutiUZhkAYuJqlOZPISRD7KJ
it81Y+IMdWwm2j7jn29bXTslgKIQ++B3CLhMqgufnIsiFnGlKBwF89XsS1KWmNChPP2DIRDdYRpN
h5od+y2lUipFo4bVwR0iCEynDV7yRurctrK+iQpMLI/XRXTxchN1dWyoyuGcqjK1Kfc3C3+NbnJP
rH43cEe6NSWzEmDRckF+C89YbmXGXBehIKdx+RxgwsGOeAyrFiaXgY1N3DeU7mNpi0xv5QOGQbwa
dLApAIPIGAz5co7ztpoDGcybblmWL0mMgYkQMxZuNYsfG9u5vPOZBHEB1eogJ0XeAZuX22mIUaz1
UzsHdS2Pe2kRYZ3QNbS0DDzQFSBTJpXT2kyaWA+yZJJ8iU/IvQr96cZMqNEFWTGTjRt75VNE6x1J
EMaeofLMorJEYeao2HVItqAyiRwVikoAUX+XfBZJHKzAg6BovTSOma8R5WMSRXU/B+OeP9E/oXl7
Z1cyHQMpnAw2kUXCjy3SdbwOiodyRGoVal4TAlf0qOcfuZbtxjDngfPosp00lRtf+0q8BF4WGYiG
yh30fpmvnesRSlSNYuvUCeziUCCljwXBVdDOdj//vr3EtTf8uTW2jTU2vSgXZICv7rX3+nVKTOLq
Nn3Xe6vcbUr+rO4oajr4N4IMIumlq4ZTDR9usaON1gWVyPtAEPp1qD7T/iPP75XwBaimO6m1tdmu
qwASMuKYHoBd7ozIKpTHgo95PwHl/+1dWPtgUbqEoiYeWihzLd589sSKZ3UGohZ+JEmPsniXjqkp
z8e0+P5mQ0kZgAvcTwCES4p4aSfSGwkDsIhE6vgiG08aevZ1flc2fxWhe00T2YLIYajuufD7b0gY
RrsOnJRQigRQkjFczH2mKTVOuf1dG9BaR3qrD5aqfDY/Y8WM2y2s3PVBY4hjEedDKQO8dyzChPLq
lGd1gySTJ0fESDRge5xgdeghWVWPu7QSRjtXtkQbrm/KxewyQbIkAuhKX65zNOaRaB1CoZq/cZLX
GU9zshFur2+TZTwFsZYHxR7qGMxWNn0OfFkMEyVxKE1sOkqmbLwadMb4ZemG357z1WAPCQfAjShy
gZnickm9lrecIiMc8Lko+qWMzi9eMPFPoUo2CjTX7fwvUxCGQzF5UadkMrWOzvKEq2QOqg9wAngF
19u93B6abjK7OrbHAU/KiABgFQdTexy7+lTMB1XOrRLcQWj3g+Ak3wK7rzkSHFbH94IhPPzrcvkZ
iklCDOKsQCh+AHNiUrdHT1T02+jQodC4UeVe8x+EeyiSofCBGhzjP3NU62qq8nMQlmA5+QuAYr/V
RLu+GfF0PjPBLAjtlybMZAGbPL4N82/p++8hgIGAykEzEEg/kWVk7QpVJfXyVsYEuqtIEj69uH/l
tOS7wCM4CzqdCJooWQIiz8SyDhxkchYleJNjuln1esyZ7KrmOHmRerodna8vxEtLS/5zFp1nXUMs
rWFJjEUzFXrXMBIb2KOARrEdGhuZy9r3fb4u5i6QUT0U6ABrKbf/hJhGJFkKlM047/ai1jwNA2ZA
K6OuAbo95ltrqFIonb64AUntMK/sCu2/iW7xRl0PjizHBIAM6iZLR0VmPHqqlAY5DKoLHEKGmpij
1IP8nYKlIq7tMf5DjOZJmKr7MYs8iTPbxNi4W6+oMqEbcvELGIfHt0tCpDO4CrrU5eL2sERNIzL2
NHPxisn57jVPKjcJbTF3QMg08Vsjp6t7DfVn7DNGr654zcO+lcehwx7w1VHHrEGpHLgtPs5VGxBH
QRqBKhzaoJdOqnBDDu02VDzU8ReZH4F52iygr0UOnCOmGeAv6Low38HIk67DPYEsxR785uW2P16n
QDilsz/OuH0hg4B81vHHO26flY9VfDerwGs6t62sfsoYSUOJDTkQCgKXuyRGaFdWSYjctvFDaBNx
wViaaWP1o3vb0Nq1gfcrznzB62Ik99IQT7VQ6CoYQl/njovn+zzMPoHtf5VEPwyHZxGve1Pbkgha
cwKUOfBZI4Is/aJLqymXD9nIZ3xQQQAxbe448Z5gPv4flnZmhNlDhU8xR6OkfDANxis4Hp1yGlxQ
E1iVLlp6JjqNprlFmW0ErLW4iHfc0rnEzClWd7m2hLYo1o814n3zrGoPat2bknyPnU1TvBeat9uL
XNtJwLbQXkFrD21nJmiIeUXhrLBmdNN7y0UBN7WHgkt3t82sef25GWZRxIi7uo4rPkiIAz7iIg1S
gnr2620ra86IQYEvFAXuSjYGR0YmoePcgPvZz4WjWJsqdQcHWrTEi+KNcLu6cctzFZ1RzL2zEy20
ltV6FHF9KSJqx3EEVdU3A9fL7RWt7puhLnRwCxERO1li9KRuAY3gAz3xKVBag3SvodM2ZBtV17XV
gK4GJDwoF4E2nLm9mlCK0qYdkMwgSMgxMQVsmJD+/v5qzq0wztYQaB/08cgH46lvPwXtnaOe+G3c
Dq5BZNZ416MSql+RcicY3xzykucDKu4p9TreCnsv6Tc2bC3AwsHQlwFmD03QZUPPciUOp19RKvFA
jh4J1iD3rTVFljFQZ7szuUSay8ITKPkXmnH8c+FCZQpPZBJR4Jq4IZhnpMzdlKVmSprp6fbpXHNs
oCcjAu+EawOeILOjJ/jtIIem4RDURVBr7yNxwzIg1UEXf3DCKyQcw3RPP+WHMfUKEiSg+sjpQX9K
uH3slwAmZWZoyb+l3m7zjVtmpZJ5+dOY7eZp2xrQQBgCKHXucvtx9qj7gz8oP25vwVoOdbEFy/d4
dqxpZhCISsJOB6aC+W6MUlMqbc1wiAQhWtP4MWYnGYqIL5vx5CtxuT7k/+4+c5NmOHppHGC6AaM3
D2lHTyEoPZuisFdav0jfoEkqvHMxmJdDNyys5LnkHioXVDUNl5vG46yi2hodMn+WHdH47ESvUQ/N
fBfh/1ya0Px4SR+ryCRd7bfcnugAb89mSDYC1lfB4dYyGF/VtXFopMEYArBSjwlEx1/0UDDF8aUT
VDNDp0WDKBLqTX3szqMV08/yri1KN+Iek9TLMEGeljt9eleqeCeD5/VdqB8IsRWZmF0lAxFn53Nm
Kb1J9JeU+9uCczkBq0S6cfd/dSBvLWO5as4cQY0nzainaAxk8oDm4FTZs6SaauQv5DOQqbTKl/ij
MJudBlZTxMsejMT3SmmpOIU6yDEjE/uJduSsLHqjuj0YO+jm2ln6WvJWrQbdfXKadtFedGQwvBm9
g00zcSzNXiieSrd84CBASe/lk26civQl444T71Xm+DS91oKZZPfDEWJZpWhOgP2JBz68N0DbbjjG
Jr3iEpOvNgKTTSBk+lKwYM6zojrXTig5BGDMwsgfLVpHbep5V4BG0dInIgZpmRdmJKn3OS3G56Lt
U2ua6BbQ/Iv25fKHfKm9oAYNmkEUTpjvQ8iHuh9A7hrMcBfMYFqCMjwPqHejsmrNTRfon7UmQ/8u
NctacHJDdSR+Z9CfmWKY6Sg5k2JS1FggaZInVj5mDjjG/KXYm8eZWfNm3XNW5/Vq4+tLZR84Wb0I
ulb1eXWj/b25FmZTxb4U68qIMdfI7Wlsae+Kz+GzKO+lIMqcKdIxg+tMk2/0dlKAaitGtRityXKX
CffpvaRB0MdPnGTwyswKRXso/5RuvEeBUZNO0C3CdWEq387gsP2YPkOys6g+sByTcVWCG1stxuCn
vHuQHr4ddy//OrMhiRTjUZnjr0NFCGfRuIXodTrm1qGDjW4GJxyNYXY6WvzopUMLCvxZjbdqt1/A
9ysPA7oGtKl40CD/vvzm9bRJ+aJPR0yU0HuO5x7AB2aWY/xQZsqeJLNZiQ2GlxHGSjQMqGjztRWG
uVeKxmOvz0/xQD9Qv7uLG52Y+dDeDXXoo2vzGEYFDtVKBMmOgF3kXGMSfDKPTie5kh5o/eNIMA6t
qVb0XSpYUPUthOYSYJOQtL4aIql4aShynYwBZB8wA5naZTGg2eGE6HncPsOvh8nV9p2ZYj7QqhHk
uomaEbmD+thEBKBdzKyU6gmsIC+Sktg54TD3rdm8RO+GMX8fssomj138mbedCbYZf9AXsYxfY7OX
CtkSlckTC3/jV17nUtiQZcIASQ4aowpzyGE06GUbz2MQ5YnmUm5wCVQC7CJSVZtwXXooufCImXHE
/Ex2ek6p7U6GmC/XUgM6wESw5paT8eH1vVtjoMSVQUNxiCMC8omJECepdehdFwXqLLOKJ2Onuq0o
d4+3l3GlK/R1rsilMU0PagpwRlz6KoAPoMUw2jEoQfqoiSB97METypXKTp4Hr1V2uu5N9JcMScD4
rjZSVzdMIoyuLtBdhUxmzH6J9bxx+S9GGQ/AdA2aeGiCAFPI6m4CIQfi4xnj2qMePhLD68qTEMlu
3xY+xlLrIYjnbiMzXDlOmAQOdGlNImUVL/dhqoE3NjIeJrPGmtM96CP/ZVHQPYReHG4VDNxfWqg6
beSgfzEGBAlAHHudeNTE3GoHL0fPud+XdGMu+/ppAaWxM4OMhwIiCXLvEgZHaEUlpg4IgeJRxRm2
vtiVnuRiCSJ0+BDQlWNnsRsoGo/5hM0TND8tUx851p1yjPhj+9G8DjnUBoWNILHE8SsPObPIvADD
XA+LOYLFJPVbq/zAvPkOIiu3P45VI0hZMGD71bdmfKKP5ExXS2GELnZoFvSnEXJuUjxK8bDri5/D
ViNg1evPzDEOQuRirsoYa8p34x2vQg6u3XEpZIC2GPWviwE4rjNDjGNQUaZ1RmFoSF/EskA2+kfj
DiDp2vimVl5bl4aY11YPXYdC0xEjpffC6z/DH4Ul/ZWB7zTbjebGuguerYl5cOXi3AFDDlPpQ/Mg
QUTC6d3CVt1mjwtE2/iUtzaQuaFm1F0rbYIxahWPgPGP92CRuO17Ky/Iy71jMplUQm9Ba5a9u48f
hs7sfg9vvR3vebffYaCtf9uwd52fX9pjLoIsVpq2RC4RdC7AAfVL4Ukef4hNbqdgoniL6uG6TnRh
je3bkXoySlmjI3oM/tAf2wm+uDUksHa3nfs5O7yQDH1nJDy+X6j21IlV+JDbIbM9ByJUkvZ4eccB
5+kub9ra4MQ/N8Lv6hLhc+jlYBAcIODLeM9NCSFciPALNMI+bxHpJ8EkW0DCdT85M8P4opEWRcJx
+JijYIYEx2dX2hMqDYM7jK4RRxatEfljB/xW1kYKtLVAxkM1ThTSdLky5czRUy9WPH2mW5/B6qeG
ijK6YSCaAgj6cheroo/SbhDxXCA7SMwfpKDMTdVK75sOskpmucsdHhLMJ7nZeLmvR5QFMwahdCTX
LGasA7sKBIsluCiqIYM4+/27oZSORgI9G8H6CtRR9QOcadYohxvx5WvmnL3eFgIbIBwXdAn7Rs3n
rq26UMH1VscnOfda9U3LB08mh5m/VySQzka/G9mUU7BhiXdCkthyFPStNzbPdPlxxg/ecCPZ/z5J
LCQ9wVGAxgvwQ5gHYqJEmJQDKGJzAE+Sx2r8y80/6fi6EYnW/Oq/Nq6GxFIxiTvM3UBv/aCoPrj1
3DyIj6o5+aCbOqlP5riTvNs2V00uySbYvzAmwvIG8RyBWI+AZdHpVysep9KTtdNtE2vJBIbw/2Ni
+QlnhSBNGsS6BwIrCF9ka/Y70zhO+3grFVvLIc6tMEFHAakUHh/ZhJD3pBmZqaacN+cYeFG9ht+1
nb9JBvYly8n6KvoWeDqg5r8IUl8uTKzGgoBVYgpAluGUfuSgvaAd6ztlb1iNP+ynvfaQ/J5d1Yvu
pd3tTV2LDue2meigFURX5pkAU+YN6J4AnbdXX26buAbeLy6Prv8yQQRBFraPVqAAJMgtbDQ25q19
fZd4nZ95mlV58iPnFq6+0RJY0q+rDT0zyOSBBZ/JU1fB4GhN5hbz0eqOnf1xJvdrpWLU0q7AjhUj
IO71vTD9jrnhiBPc+Ka+po9urYPx+KkJaQgdlyngntz6sXpunegXOJZ2g6nvZj/Z13a2V3f1bvJy
X3xPj9qP8EiD9mEjNVz9tjFWA1oV0JsCrcf4ZxrKnZhhxQrYvY85p5hCRbauqeVMrtYqQWMDmgOY
fmLb1zrmEStpOTPDTV66J3mvOyCc9pNDc2x3/eBu+ORyqd8yx1y9UqpmZUkqoBz/tr7x1OHLk9zE
EYLKHx/G9/iY/3pC/Xfjwl/1nbNFMsE/I3OeqMbimKDrHx2MS1pF/Zz1G0W8DTNfr4qzSFnwE+lL
FWYG3eeap2G+n+Uj3arMr5WZMJbxnyNjB9VA9A58j1bCTO0Xha171U6tTZPYUNuwhX37JJvQvsse
FAdSsadhL+z1/7/9ZHMbGkFKWO9r7Kf6zk9eHAtmBgXRXN5IJ1a/gC8KVwAgMHCybPjZhgItyhuQ
CZ2CevYwRIo+Nt0CpK7GrDMTTBYKESy+DVHgDyYjxXTqUcBWbvj8EsuvfX4hov3fVTA+XybVkFId
qyhOY22SH4po5uSODI+YmvtUeaBGMTG/YfRKtBflMTjJf40yLq9qkSrkHdaF6nlkSr/nA/2le40P
FjxXu+M/kPCqH6m/l37gOcFV5hZFw8o42PkPwJT55dnJXT9lRtvgB9B7aKnvW0v9I1dmO6KYYwL5
/qvfIii/7S2oiF1apG0z8EmFfQYlhM55SQId1o0bbj18wRUFSI2Ck4g5yiLiVLlREL50IDrU1yJ6
qh/ANWxu9vBXk3h8xf+xxJwfH9ZjG7b4xLLXcQ82XFfcVX7oVxZ4Sv4pKCP5glwaRvdQ5bvcuLCd
Y17tewQU0b6XBnMuTel9PM5vRmSqB20//lF7K/wobbx0SbT1XFm9gc6sMx95FMZE5jR4alpYEHEp
/0KsTd9Fn5loosqoP9V/WrLZzFl9qICs5z9rZr77pKnEesDID+bU0dk0ogNkIKV2l95PEm/peWPq
9ESMXZS/xepvI46hEO2G4y7pPrKIvEXkJZ2GY0cln26BiJaTvQoXZ7+M8bEa5FulXC2n0bzJIgee
JGfWTPGDJKcot7J/e6mebwXjamUCTu5ZGOBqoSPVtoBbubZ2aMPjukSnxyT+oSrs5NnY/Utg/O9K
2VqKEMrpPIdYaVrv8oeGRoDSvamNGw3PjfCnzn8OAlIu/dRtzhqs58ZnpplY0XMGgFIpjp8/hXfq
qbXA5m5VzmjrZm1P+8YUNyLH6j1zZnC5JM6uss5Q+CQc+SmI9FKwa24CKjHkpI3SzWoGcmaFycAT
UcipmI5YVuo3oingbWFke3nzpbtszw0fZRuFCi2zLOqXUAvmiJ04/Cj4+16QzTQ0pUpd2vIldy/R
YeNWW1z/llkmUCHnkXmaY3ngTcos4xi6uk87s3677ZhrFwkw2ZBHQVNFBbDk8qyKsInTvJunoKSJ
pU7eUCFr3KKBWTUCuArAe2C4gqVLIxMEaUnaSni5i3ujEiDhdxKVLXDMlhEmysUl6FSUUMQTV3qN
et3k1V1HHm/v1ppnQ73+Pwth4lVayUPUirChh09h+puD0NttA2sB8dwAcxxjMwInIcAA5qt0avXQ
3qkctd4BKDKVAKttXEir60HtCgBHNMEBWrw8mLRqhV4oYa7acdYWNcTqgZz9ceZAplhJsxLaoEHm
oyX4zm28QL4Q2+wXsoCF/t+PZw5jqUZOU42/L94V5mm6nyBPZNan9Jdwip476y/+i3v7dFZD6blJ
9nh0XR87TcALMnkBDxAG88J9p9VWXyi23oIhqv0E3RmhT1XdYESQB7tq05s0+rHxO5atY5YOGMqy
cBT5DGC9L8+tCSO5SzUZH1SeFJo1KFL1S9eTeJ9C5z5y5FxRqZmMPIbKhJwvnsK4ksFekQrCtMsa
zfAH4JRzm5NrPgMtW6HvFYVMh04x+ghjYtXWHP/a710wpTgtxJorDJSe6jnXjYtbt4AJk77gPsoa
wqViZFCLhEocaLO0BQZZNbpEG6hKAeTENjwnceITML7jRTW8iOMvo93VlYx3z59Kfrp9HiuevuDI
8QQBZRrGLpb//ezCG6DNko85LGWTJNtyHat+KjalhYeBseH1K4sCdxdY00F4i7cve/KRVHG9zGOq
FtovfJ0BzzkfIMoVcndULZ5vL2vlCsKwK4ZJUCpZYAyMt1OjkcNWDjF4P/BvqLxi1Mo4LpA8qTzy
6WyDSON02+LKnQ6IFaQAF9YJyWCJsQd0igBvF3ggGYzILebMsHWI2+16UMC10Dfx/sHcspEoKAM2
y77tY6KTciSYHjZAmSmhScJ1spfx+mekNVvX08rBAZe0YFkkQNivWFcTvYCm2pgLgVyGIA9urHia
rQxIdlWen5tuq+W0dnYCiPQwMAKoEHD6ly5ZV7GmdhhoB5fS7CbU79rGsBNoVOuRtm818l6rwuf3
d3MheMFOYq4cBKGXJgct4vmw0Pkg+ysV0t+iqyE38SGIyt9/sIMjw9CJACw8W+vtkkaDom0vBAXk
CTL6C0D1TjDbtt64HFe+aoQOvHxBDCwA+sokmIJYKyTrBhAtlvG7ZlTuOCs26E83nHCtAQ/0MOC1
4GyQ8Cpljqpss1bFQJIQiFw1nxSl6OwCrzBXmITJ0Y1Bc+jUtZ+6kXKgyR2i3aDoW6yPK965SAQv
ZFjQl7oiV+jFbIoS9AoDHeOpXTa4uV65ehTddYboxNmf2ye49uK/MMdEFkGOSxnyFUKgpbxVoSlZ
abUtT78RQo0881RcQKocWRNR3RhCpN9PsmAdPP8YccRso8w8iCYqhDUBH2tQCqWphbjy5tAbDR3j
0ndV5eW8/Cfnqg0Q7MoHifsaXDcL7gaCPIxRXZbaFrsPryXxMxR1yRsZpB3HP5dK7kpqtTF1unag
CuYaQWABgyCWvvwYdYHEoTFgYBfETjZJMVweVoekztyijSCoqoQbBfy15SFxBQR3ERniWRZbMZtF
voTkeBDF1syjE4pxwKi+GyIwRzeHFAMst11odX2QUQEsDETs6MJerq+jtFdL9JyDcu7NhfjYOCh5
4heYyi7ELXKuZbOYdAuInP8YY4vd6jxOeq21YtAPwP4MQg1AEx61RZLED92wpafIJOVLbwJaojLy
cSDCcBUycVSAHl7SDnl0omXX+nPb/M3mSP7eG30xgmsdoQ0YY4iGsQB4vU65kTP0+HTv+LdPZuXn
X/xl8fJkeM4Q0FXCX+ZMwdp487Msplc/m4nJWgeOT6RG8Ykmb0Dz7RT5nnsHhTkBT7yRz64k75Ts
uYqPJKKW2NxFIhB9qtXohnt7lYxLfP0QZETgXATqEuizxT/PUj5eKNo2jdv01MmpHyd55jRNV1mV
pAEbkGwpZa9YkzUoWCuAhUCp+GvE/MwaFwqQZ5TFhXd+NoGDMoV4sPnYmXPn28tCeqmoAMIC5Amu
78tl0RpSrH0Tpidd5wBAGn2jmH+nemZpkbhxvbLECMsWKgaoOZdpRHAWscQISpHLOrQY01OSxg9T
9aOYPX546nNvmH4rGNKF7HQq3IsYh58hqzjPncdzidmUPkk/VS7fSKzZGZ3//Tk6znKBFOI1zCyd
FL1AW37IThQ5lZe0KZFMA+qpZjXGeyM1yOM0aQAaGpFipUKpA2IAhYlxwAAItjK2IqUtvNunsfab
0LcG+Bm1agQ5jXlYIOmIKZixslM45rgojPtM7x2KWRrxuWwkcHh7RDWbES9AnY/NMJ7NXN06pmXd
Z8Fv2RdAEvF84oEJwUNqifxnvkcnJY+hjpWfSjVA3ndMMyhjebG8K7VdK8INMcut8ltzYUzytVgF
KxcSEgPDPQui/9JqljeRXg04DXWUzQQa4Fr1t4+3tBNXYhUSSPA8gutgIdxl1oZozjdKneSnRNAn
q4beqQkFii1q4jVPhyAk4rkEcmssjAkWFZ7qoaKP+SkUC0uM3UZB7TDudkQBOwAxq5Ja+RBbFZAG
AlRMGj0Y8j/oYNtNzwH9cYei9cZ3zrasvvYXwkMo+S0D8pD2uNxfNVYqJezE/JTH+ZMR6tCobD6U
0VWI8VFXg0XD0OSoT6XPhthdRjfC59rGL0haTOWDz+qKnpHjRqIOZVycCERGHWGi1FUiYSuDXwmb
GhqDyzNBXB7NzCedpjIZhaIrTsWQWyC72NH5eS7SJ674p/Ug3zJkQCrxNGHupYFLiiGWVWwnKd2W
23XRVoa+9kGAVh/NcMw5Yy3MB5EI8yiJSVKcmjLirXZUP8KpT4F3BrhvI+qsfPFIG9Egw+bhJmBf
4Vk+12VfV+REPT6JrVF1M+pP6ilMHnvxgaPP9dYg7cridExdYaQf1ROIsTHbB4gOuPhqHFQ2iP/D
2ZXtyIls2y9CYg54BZLMrMmmXOXpJeS220wBRAQzX38Xdc65XRmJErnVD26ppNzEvIe113KCvB+0
wNess26+3h7a6hUqdxmeG/QPwPWH9Ju6IbjfpHMDQB7aOl+6s9WGAJWF/mvXPxTyWaKH/LY5xUld
D9mFOcXnp7IgC5vrOtGdpozJbA1Rz7u/83kq0TLko/PF+9MeoP/aXOmgwaiINVRsukNrUGOBzcL4
e+lZ7Ng8dJYEUvU7D8N6Q6hzaeJkAYuHZA1chssbhFNaaTZr6ySFIGPhx8Z8mF5BS1d3VaBD8OT2
VNpbWwTBEzYH4lOENYrDT2uvsLOxapKCLemDldv5gSJQ/WgC9RXpiwdcZapPUZeaxgEFTzsWEjzO
RHPnqE7LKbYHHX2cjskjqVlt7Cy6FbjC9sOp4AA4TSAeBZVgFpmj64DLpWju9ao1Tj4dgUNOObKW
btfHEvdVDH50cNfwuTzLghcPrcgd0AHl5iszFhJSTEoAHQNc4mlWP5fCYEdZTSnIutzPoya6KNXM
7K6UjN9BC0z/0C7IEQvS9zvew9YCgfAciwNyNOS31jv43cMNKR+zwh+bZLYrAMWpUcfw+afQIQWa
NitmxIMk8tVn/d6+V+P7t02IIBCeOHrR1ovk0nS2+GDTAENO0vs8sI1wMEzgjs8j+mCdYymLSOjr
c8djSEGeb2+UjTsfL8rKvge7iH8V01zzFk90RZOMnvep8T9DJTAh6528s/23rpL3dpQH1HR6s3Fo
1iRUxFb5Wn/QbQ3JhK9eBRag4a9uT8h3/W71uL23p+x/MGrYqcFgT+bfveF5BG+4f1eyJuDYPben
cOuogSMEVCvoJwRpqbJxGgIGqs7z60SYuX0evNwEMZT3NI+s+/u2pc1JRH4ZXb4QsAZ683Kf0KFq
WF1hUPbw0EwO9O3R6FJkj13/E5wPXxr2ofV3QkiV+OBtb0KxBHkf+HyQcFAWTkNCzbAGDRdkFhn8
nOZZ4Mkfuf0ymn3gsOKQVifPKeNV2ZqCnw0OdxE4JwTTYFO/g6oMvGwzjzr/YdbZnYtGrR5JB917
uT01annrv98J6A3SRkhXqRmVLvP8rPBx4XGoAgV6iFbURoZwtNMDQMJfW+CY+iCTAbooP902vbUq
6DT8f8uKqwGuOi+nTtkkdeeFfEFPIy+jpS2PmjfGnIqDLrLPyM7unKitHQ7yIjBOw2eDio+ywz1R
GZlV8Cbx6jJqhyrM6t+5/9NlL4X/fHuEW1fjO1MqA0rPm1pKE3PrSEviachD22Djo+dOPLQWNP4S
hw13PnqUd47WzhjVtMvkt1attQ3u5Kn+tKA3YjYeuODRlH9le1nWzWUEMz8iKOiGo6pyebhKq+4X
d5BNktE84OJDsyQLVHS8AowR+dPIHnW5c7ZUmPnbnnVXqk/4ciDLU9XGEWmZ3O1LniwGAX092Cdq
p6oCwxJ2CI3a+d4fnDTwykU7ovwxnbosa2Lh1zMY1BYIe7r5r2VEH3wr7O7kGQM71ZQPJxNPPAVh
4Y6ju/VUoJsWaHjA0/FOWpcTNPg6Nb0JrxSdfNAUsao6e2wBm3GjpWByk3vl4617dQ23kJEFCS1A
BIo9b+Fs0SqeTPF5CncSsFsRHa6zf35dObULY5OVU/y65bWxMX4qq2/MOVP6wSk+FOaxB5mKl0bc
O3p7XRNvBGPq24TUNZph1tIBAvbLgfW89mccIp50Cz/Q8h55i0+d5Yd27h2E2X/qy1/ciiDrPMln
wfrA/7iw+9kB4g38IDnoJjIIoZenjo13UK0LKb8DFUulkZ0L5urUg6jOAnO0g7sFyj1EWW99Kdwm
KzSegAj43kC9aKKP3vDQghpPNMULgOm7kPN10q9mhqzFsFWNA8muy5nJ7KkFw/KEmRnS4ZjJCUE/
MyCRZ9YLuMxMdpfh3QOz9CROnePMT2YxV8fc6n2oOFNzb4+sO+zqc3AZgLWWIDhRgTh2L4y+1DhP
bEgnC+PUioCm55rc1Vq4PFtkjtAPX/68fdmq+Ny3WwF0jCgl4xlb0+iXk4AM2dwtXs0TPTeg3hc0
rXGX/mIZ2HJTcOXyqQrF5H0v67isp0Dz0sdxHMORL3j9ta/pkh1skZ44CGDAUexBh+/2923dkyC7
RFsMol20siufxx0NpGhTz5ORj4DhmX6otXQObEihndE44wdQY2InOmj2QeubdicTojZAvs0OVgIY
dzCpQ+16vTXeuemdB7lurxY8MYB3BJ/MVCHnWHhp/w2cIdXDCFm0NLTkUgOukXunYRAg/PAHADi7
ojB5MKMr6l632/QLr3voqGNDDQ8gkeJj6IC3/6BBTerb7Rnb9O9RPMZZgh8FccX1Zn33zW6hp8BS
6NhH5nzXOBNA+RRgGLi9Y3qoPlnufUZB02KH47JHRqyWS/8zX2AfxDuzsl2rPPcGS9umnEzM19fy
ngUe/rPCAm7QvxrjP3aU5xP9WSUpfNhxq9+EPmaeC1D+M+PfFumFc5sdfDcwvPbJ3/P0r58JnBLo
sTiIn1YhauU2FawVNZqmeJJ7YK6hAcl+VbsMpntGlLfImwBXcUq8FmaSAgM9vLT0MYVc4iB5VBSn
ir1a34jzUMLfZGhgbOCEajvewhpGXF5GiA5R8EZxfcV1qAspHIGmn3nEc2ijAlqB30dn551FvE5l
IRIE7TJygEBe4HBfbtRVxnSAnppIDDDvlLYIWGMHKMSf8wo0HjzUyBwK/XNDd8Z27edd2l3//u6A
6Fk5cgMEeInr3i/ybjKOtn8sSAiJyNsj3FpHZAWhCmBYIOPQlcuraixPq9NaJK3jI3bKehpqjiXC
qkv3lOQ3Th4GhWce1yFSPoByXg5KTlpPTfBBJXUqH/LOhu5MGxDggrQUz5XgJ15o9yZtziiWfLw9
zI1KCGzj5YKHg5j0itpG0GUWUz6LxE9dUPpyOBpEz9xgrCBFNtnhJOYmat0CxEptyw71BISNN4/t
GbJy/My7Zi/HceVM4C1bNa8gL4TQFXmwy8mguO2cedRFAgnKT5pbPLsDSHAy8rNx5nNt1ycy7bgv
Gx4eiLmQ0VuRjYiXVe/aMQfKurERydAWB5JVoe/y8zwmSKObYo5GuNYoxISl2UX1DPTjnxIC4OrF
B3grWSD+QX+ikhiw+q7KUX3CZnN7eJaA32TMhecwI1jbWe9r3/zSlPIqovuxWUpjxFib5fs0FXAV
fqcj+40O4LuFyFBa4wP63ELdnsHdU923gx1CsQP+iw76lNPE97jutg4aCkVAE676oJiKy/XuS+GL
kjCRyCUNdAhVoBI77PYobg0boj5r9haKwIhJLq2UNiunHrmeBPSHx5abQav7f3ObnwzRHnameONu
XIEaKMBgQUF/rDxwttCtfOp9mXhUOwidh/rgJawDOgSCEOEyaC9No7VhLcpHN4tvG9+4+yEtCzIa
VBhAw68G4Kg6NGTxa5n49KVxf85kx0PZmEfkeMACDrA2CE5V+As39XrSl14mOlCuJhgTl0eTPaZ7
rc0bm+LCjHIJZHbfc8eAGfnViuyP/cvtWdr8eQOQrLdUHMrll7tBtrPVL/0iE2aNoc4Oc/nWGPgv
jMD1hNQdKsyAFF8aaXWSMy4mmSygZxBZHhYowY97jH4bC44i7j9WlM0m+hRkVD2syMgOdt7AzcX+
57fVqo6eD52LlZBJUQ0xYVqoW7+F+cPL/s2memdH9ZlSPRdshJ2lO3tQE9GApPKLIy/3iFe2Xrs3
sCgoLVZAoJq612oQ0xWNiaPJgH7IkGGGAOZQBbkW2wif0WW49lUe4X1mr8OwJwK7PZ8rkfh/rCvb
juV1OQoG6/MyhZaFFCPQ5N6gRSmkIm5vvnXZFR/QeXvXwUyFlJEa/NSTndOmZS02n6vHltDYUTOH
6WQDbsJGgwcyN/WoRG7w0TXS6XDb+tb5AtEy0LGQ8wXMYJ2Id14aJwQIQLNuk1k+01nGbCiCZW52
rGy92wiRAOla0aQANSg+mmbUbW+6vE1EDlIgLoa4sSDsoBN0u0N3IdXQc3aaM3H23T4qFit2HO10
e6QbwClAHCBbTgAJhr9ClFNuEjBOGJ5sk9pJv3Hv0aEExU/9MEMk1PXuQeAS8FqLnNEMTIImRGGI
B20B+a1M48F5MbK9ZMzm3CPAgcvqQqTUUw5TRl2vmdK+TXJgeyCaODBQ/Sw7CY91VFfb650RZeZT
SBhamjG0iaaBRBjtzt78ZMkfXvps6GdjDzy1NyTFRfCywtQYMHuJ1vHAGnvoqrhJZTZ7h2brfK6x
4f+mTnXDmK4V8MXbpKOBXb/43hJ05td69xpaX6/r2fOABUCuCJJDyus26NzOevSMJ4iSgq43D2l2
FpQFrWEfQFF3e4duD+ofY8oGzasG2h0pjNXub9//lnqvqFpbSB7fNrN14azFatuCl7UiyC+P/CSg
WEumuUsE4iO9/jk4XwdABcfpqJcvZnpfNl9vG7w+/SvAck2UgO0ZMu9qOJ9bw2I6qdbAaxdhPtZR
64hA+NlKXODrp/Kh6MXRgWaHA6RNvxOHXm3J1bjrQ1kJJAroE1KG681pmqMJiyfMf4VDV4CQqR3M
P51T5FVNTKVvwJ20roSu02529MV1kbDon8FzfO7dmNCjod1bbIiyPeTqxpAurCmeBCu1Hrx4DgdO
LzFoH452Hghz2QtANs0g2PHX/irgbZSZI7VPC+p7PBEa8jBkdEXIiLibUl0LEIOBGN0q7EOGQPNU
oY3kaGommitYb8VyBj3xoIkAKZ4xytZq++0ttflpQJOtUf/aKaMcFV94bZkNlCdZaJe/5PLi7tHq
X538dUXfWVDmeGboFLMKWGhzxJO8ji3cl8wJxlZ/tHa74tepvLhnLq2p/lsvnFT2LawxnqF8oJ/t
AipUnh+WjfeoN0MgkV3siizA7SCIcbo9m1eeqWJdWWj0pS1ogCU8cTTaBJm70DAnfA8usK6JOkZA
t1a9MeQuDWdd03euBmhomTdQjNGrjgs/Fc5p0EaQZFUo/e111V+nZzEkPPMQWXThdiCZeGnM4jPk
pKdSJM7s3slM/CLykxiNAy/DIo0kMQ7tPHZrze0gCjO5PZ/XaaLV+qoXD6VuhHgqAqOe0f1QSUxo
ZmeB2fy2eztq7O4lc5pkKrTHgdh32Zg+A1a/czCu3pA3y6gyrMrd12x+S9NUhlOmIumEfuzqNtZ+
yNY/DmZ+vj3GrRMIUI0BUQjoT6A17nKCi0zObJFIhOhM9lEqPCvMPAmYBKqJO2O63p44Wz4eX5RP
0OqgVieGfh5stNGLhC1sCSciIDzqdvbOgPasWJcDamrNGbrcFclkopcwECK6PWEbWxLpSdTcPLA7
AXT0hnZ4t/81xly8b0Qk2Qs446HB7QUjO+b+hzmzQpfGk4i9CsRPn2/bfZOhvTx3sIuNuDJZQqaK
KDfZ1NmkMNocsYw0gZXJ4PY6ExymXIf4WMkME9VotwhZWY7RCJZjNPN78wmNEfAOBvYK4K4GHhDJ
ny07mw6y1l+WupCnmfdNOOpjFVeaiAXV4RXZ+nNjp9ljORPrQBApHkZqD3EuPSPQiLbHfbh++fXI
cMBRcHWvsTPLIgbPYhlSKJY8FDI7mIYVN10ESFwX9R1Y7c1+T2nq+hZbZ/N/Nq9o+S06+tj4qUy0
L9Vr+d3/3AcVYoYdf2JrM6IgD7prH4NDyHK5GR00OZRexZH2WHxA23VoQHSLLnZig7eMnTqBq9YO
upJBA++pt6RWy4YBiyHBRYCuJfZlmtsQaGwDaBskj44dLyJXg5oAGSM9bcI0XZ6ypQi6UQu9/Cfo
8bFXjKBqQo5sb8k+8PGMroKjxsXX25v4+lpD1RoeCNxHwGKuUKulVXGU9iuZVOUnMDWkr9T6yIwP
t41cP/kwAo8EZRIPkuKqyCfgCtPie8jImfSj6JaHIh/CPrPvkHGO/GxHFPP6/oQxMIQDgb6ST6hI
iJr69TKVEuk5KCqbpTjpBYVrtSc1vGkGZUI0pa7FH7U4knU4oGary6TLvTZaGi9HwcfST2iS3xPy
2pw+xLGorQNriYTd5Z6VFpUoQxgyac273NejqT5lIwtY+iXtdiZv6+Cj4oM2aI+shRjFlchzIdJi
JjLpc+1XBWjYSpI7BroEtMNAplznX3SopNzeHptGUfxBExKQ0+gYuxxfszQpWhyQEyL9kVLQ2Ax5
kL8YTWjBh6nIsex/3TZ4jSVCrgQv638tQozi0qK+QGBRq11syKNxZlr0xQrteI7LCJIGURNOoQy6
gzxan7yQHm7b3lrM96YVl5CObserRcNialT75PjiR2Z0EZfgLiDVWB+q1PJ2ClybJn0kwdb7Djlx
ZbSSiLQu1vyMKM/2geEK7wz0ZBzTak9EfMM/g2+4csPiBCIkVPePnfsGyoZIiszTd2gP2WFhx2YJ
Oj3nnHlOLPRnXzo7XozKnIErBUZRKoPvh/sFLs3lavK0RREtz9rEAe3Vd/HavM6vxQcK2hFymML5
q6lFZDjfXsatdwTgSUS/cLwJEvWXNr3M7CyjEW0C1AXANl1k9N9uW9g6FS6uTPAHIHUOPMSlhUqm
TW0bUwtX97mov0/tiaE3ws8ORm0dIBMBdbW9JNPWE4w+caCYYBWezbqR3jlSnlYW9iwt5M1SB+Li
RdMfjWfmy4ik1meEjDsLt2dOeYvblPWEUrtN9HYOKFSZB2HGeln/kNajYd5D12bn8d80iNLqqkG0
9mcrBlnaEK3nRouqlLPEqVd68Nq88ljWdXXyx6k7NB3qYrSEYtftxdx6LeAhroka1FYRXCszCzrj
FkRJmNm2Xx3SrI1TUlRRk+6yM2ztzLXpCorIcEBcFYk2ZGKaJc27hM2NOIAZBfT3KV6N2wPa8hve
W1m/4t1WsYzFKHUwfyUuo0FeOAc7e07TVwi37KzZpiE8siu2a2WdXv/+zpDbDY7f0b5LpC5CU8si
a3jNjS+dv2doY95AUgR+TDSMYvur3nzOfVl2JBsSsyqWg1729ROhafnHSTPI5wDFCBlGILK8t1aU
d8OBFsaYpQPrEtzzr8AAJUuWx7qT7TypG/sNSbm1Cc4ElQvyuZezVjGoBFucdMmQ1wHK6gFmzQIL
3O1NsPGwAAOMTlvox2AzqC2kg27T2c+rPsnczAy1vi5CPra/B8Ar4wpNiGCPcfdopTZHhsQZvLc1
PeUrd1RZVKYBqRbYzP/qsg9W9aTln28Pa2PL4RFBbddDJ9cK5L+cvJm77eQB8Ja0OgphbHTMSOPA
j/YlcaIWkLSdadzYeRZAHgj3UY11oPx8aQ/wIX82M6dP6tYX8dy5y1nnjXm4PaqtxcIZcoD7WvuQ
VfkZhy6EuuXYI0u0hAaVD83ihNazIUDGwfbIzLZi8pUeyUVYC3QmusUux9SC1idLc2eEZpMxPWUd
SKx8TZoJujEhUYZ4NsyEP4J+TDNjpufm3WC6QyzLxty5qLaGjZoUOpzh/OBIKCdB2AXq3KQYE6Nz
66OtARcvjSlyu/rFdMsPM7b3zrO2kZUHxA65OLR6o6fMVLvX/Ja3rW9rQ+IuOd5OIFQjCYr+2Odl
h1onb576rtYj+BbaE94bfl+lIAgZdTSN6EQrdz5nw4+4+Brl6dGQTJqG0R2SqdN5ZDW0OwyuDwn4
yq+jqbTyux7M1VBCbPs7Y0j3kEUbby5QRXAmgLdGs5b65vqiy5uqqsakxkNLpPedtI+QvA+X7vci
llNGQRh6e6NvDvidxfXv765YNGL6qQekK9qP22MzfBOvJZWntZPKCibyMGdfbtvbuC6QdkX3NbKC
qPSqD26DjoOaus2ULP4Po05G/03TDeXAnXFt3HwgpEP2ES07Gz13FhkcRxb+lBSLiHsw16Aqd1cb
X2+PZsMKSrlgUwSkHLlBNa71gLuTzBznRDrkwdLQa5za7KB1rb9zH23cenhtbaRIwCBDEPldLpM+
dulSD/2SFIML8cKGtCAcM8WO43VtZYUa+Nh9eHXxr3IPCXechd87Q6LlDQCaMrD34GTXEwYLwNMi
eEVrCnIZl+MQWaqlKcV2a2dx8AU6IwgpQk3sqYhvXKmrIfhAgBXAt9MVQyXc0sGYujHR50fNyh5E
0zy5S/G8FvrMgC/f6uxvOv7sxz0ZrOsNjirVGodAChuJMzV+tHNm2pS1UzL9zP3DANRTHxnWziO4
NY1rN9EqIIEFc5RTa6VDZqCtdkrkLKLK69DE3ISd9/v27t7YDgDio0gCGQCwHKo6H+2gmSRN2yXR
0w+cQ0Vp+eu2gevrDlsBnSr4dbCxIcy43A3GMBTSrVM9kaQZD7zQbeRQ3Okj0H1RXelDxMEte5hG
p3r+c8MespqI3oC6w8NzaZi0jsHKJdcB9fcCOcdg03YXDTyRYT4Am8C6neO7sV6o/2Kl0A+LTKfa
AZZ7tBztIVsSMfWBPp7ccgim+Xh7UNePN5JRgIOi0RexNm7Yy0GVSFHhTqiWpJlPVftXZtlhqX9Y
U/pOs2NqY5OvFFpw+yyCTa7q18/QbhgtXy7o1PDiiQ3Py+hGY+ccibacb49qYxPaEJVD+hkT6Nq2
4pIgHyy9XB/0BIqafkh6PYukFHzn3d9YINTn0CaNM4ug/qr/lTADoKhJT9JqDGuWLKkISbEza+t2
vsxzrwh4Ez4OKiAEtWxlgXKpdaBf1hNRHeblg1Z6YQ527cw+WtYQdhU9mPqP27O3sVAgOXNxeFfc
EzI7lyaBBadl6Wh60k9OFhdtVYZaMS5BCSrbrvT1ncXa2IIoqeoICIFAwPWrnCtqCNsWrjCS6kk6
dSgIiSmo7IBnmuo9po8tWyDjgUL7Gg6YKigGhLY+b6lrJMjE5/kUtVMe5mX2gZv346fbs3jNGwPC
D5AdGICX+yjmvqmIv/OSrNnoC8laM+EQIaXTY6alBzbKwJXsyPW/5haS4SkIYozYrptHNtCDntWH
ZeTnPjOeeDrEOvW/3P6ojcvz/TfZym7qHTTPNhM3k5LnhyWPJhpr7h14Myvvtbe7nQOykaxc02vI
riFpiNVVezSnzFtQ1i31RHNPLK0Car3kkkWziEn1VGqvKPKiUzO+PcaNw4/nAeyquNRWFPZ6bN/N
e95IGzS/tZF01ZwFIxkmtMzSPT2rjZ10YWU9RO+skMoeyNIWRrKOq3HQuWV0QS2XMDXnwCp2CN+2
rCGhjnk0EfmAmOTSWoWUV1aKwUhaA0rmPDTpI9qCJ3BNtjs7ZOPwr3EVRE2ReIUXpMye6ZRcB0Gx
kYCo8+AUQxlkohiC3gaEtWZ76eyN/YjUiYnbBnSxKzP35biEM9ajM1Mj8cc2om76BL6Ownkxhu+G
lj5qY3J7a2wEjvAf0VMETWF0LsHjurQ3SlKymgE1YSKhJoaXpflt1V1YQ2rXcQ5To8Ue/atvyge/
9B8GOh137G/c5vBfkcjFYwuPWX0yCtIx10sFzl/1ay7SL7PpxaLSz1rn3nFiBTNgSKW0jvCc4sLQ
f0DPPUzd4SyahBDtNY+zB/6MjvPbn3Xd44lrF3OysmlBPQ3rfzktPRsqIQiSB00nI4vBpv1ReglE
iJn3rYC2IVL/HgpV5d+9H6RonZCAabPXgS9Bq/+djzY4InlE/b0P27pA8GEA+QJaCBVodb0gQ+2k
gIxhvhC8zDINinSOipwHhPSHlSd+tkHwwuZj29s7a7VxjUCmDvAb+Hxwy1WsoSFGZnfeaCZ9D1X6
QRtA2Wxpe1WOreOGhiyQQoHsZW0ivZz5cXSMGvAlM7HF52ksIgci9xJQANB4H24v8sYVsv4+gOHA
hl3fxW0B5XbPqsykhohlWaUR0C6g+kmDHOQ73PtX1uAle5C89hHsXo6rSicLfCdYuKrwSCwchDUp
WmHjadK8YELK4rc2ZvWfexLERegB7kMAiJBqvjSau26ZETKbAFV8dmoSAR4NWfDHseuPbr2X9bmm
+MChwZKt7vMa76hUJLbM+i6lrpkY2nJoQKzdg0PGTa3Dos8RiBRC6vKTmz+l+Q+fF3f9+Isbp9EC
Bck87hzgrV2ExAioCRB/o/lUme3JHQ2xmIuZePPZb7+Mw0tBPs316fYO2rRiI2VB0ISPF0eZXmOY
fTJ1mpnoBftoDNOjJavm6HjdX9R398Aq15h3TO/a2QTKPdQlrlq2ZreomhI3VlK1yHzLI2RtgAiP
nba8m/T2U5o/18NP7h+6Hipivn4wWRexiuD/SUTEXqfmxthxQu01mtCRGrCUh2Opxwk8vMxOmuro
T5CGQj+HM72Ax+r2HF83jwAn9t6QMskpdayaQc8+aex7bQRCJS2judcgZjk9WHX5afaewWsioVNg
+geAHz9XrbZDdrw+8UrIARIXOBp4lxHdqIFnQYaFg07BTpaapoe8a4YTLaQeQr8+jW8Pd+OSfW9K
BY8assx1UUx2UjX6gzaxlxIsirdNbK3c2psCvB/gm4g7lUvBBitqldt2oted89yaKPFWY6Odp2ke
Y3u/CrBlD0uITBKiQvSXKvbqCvqHI05PMsz1QTpd5JJX7thR2u0Uurbm7r2h9UPeeaBGr5cF7gPM
nQBDTJ0Ho7fjLm1tBBx1YCVxw6GJYP2Cdxa8XrJhMlsnQTFIZB99Atj0DnBp65ijAPCPDWW65rnl
RK+kAwPTYeZh1p59rbw3aBvP+pmbwBIv/MlnUT999J3hrpcfeP866rFE08uf75T3n6JMqD57Q14B
PYEXkh0asw3XSc19fvD3Xv3NicUjBUfeRgZLTdnPTjsjZsTEMgYusBpEUK9msZOX3fJ1kcheKdJR
IwE3hXJl+a4QIAAgTkKrjrGgNFr4mdxBapPIIWqolT6YxvA82BVhQLvnZ4uiJaXpCX/w7GyvzWDr
WKDah0OI+tsq9Hq5lxy/tpp6oE4y9ce6vx/aB+d1d8PuGVHeQTDX0VmA7jBpTDsgyz3NPjJahP9u
/d4NRklZ5D0wdvrgO4kseVAV320wJg7ajjezuUneGVGSWMikVXkpMWNudTSnU549D+VOWLl1hbxf
FOWAN31ap5nEODBXrf1z9PYodLYWBCsO+nVwRaNbWXnNqA+Ije5LN8n8n9JYAAf9tlg9otbff3x0
UUh5u95BnInU8OXuoiDLGnK7hp0M1FVtXUNF3Kfy0JS5gLaK2BvXVnJnzZaiFoVWTyD5lB1AeNvJ
Ago1yah/M9sysMkTGe/rtn5iUIR3QYZbzu7H3D0WblA55OR15+EVslB5f6j3SJ43JtkHBfebdwKl
FzVF2NvNUtTgfEsooreqedYkhXIRtF72ej02tsuFIeV49bL3OLxubBcXqgs5NImaP3c9sFGQtAGG
CJl2tYReooCvL3RdRxPCzAXS6sCc0ed/sVneGVF2vbPiSbNUuImEXDF5INU9qFPGP+4uB5kwMDXI
2KIqDkSKYgUMyZ1Hee+uxxdl+gDnF9zlO0/WVskKIABEIToqLoB0r1Hfuyd64F3mzMh1JIIV88Po
0FcN/GXRIAD2IqzWwaHvg2YQ0RI/G4PnHculBNk4MFl74pwb1xXiSohIAA0DUDZRjqAFtO7cDIwk
hv9KHMgMubHYLZRtGkEyHBBIfSUwWv/+brhzPk6jIB1Byv0MvifLvKftxz/fHWg4+H8T6jj6lJdG
AxO+hQxbZvzo+deeoffF2IGwbx3b94aUpcuMbEIzjSCJJb+VmRctw2vaJ0O/Vwbes6P6ARpFV0ff
w057XkbnU5XOTzzP/x70HYd0b3GUy96pPTZI2hDseLS2TkGbeUGW/b69PDtGVD8iH0dGjYaTpNBR
akb78ZDfVTS6bWSdkssICLlPFIARAKGEg+18uc1I31GXzT7SksTRD7j3zNAtZ+sgm8UPc3RtZHma
nTKv28uHKjcs3hOkS1ZWDR0le3BsKM9K5jKzxJ4w72tOSqDWaBOnWbfsDG/bCtERn+BqQqLkcnh6
2dKelNK8b8duOpq5+9ut8135A2Wl/jMWsOatFtAObyr7eyqLpe/sHiIvEpCcQHbF8rHW5fzRBnzn
AMVH6NRWziHl0AfgtC0ftIaNQTEBG5hNkPTCFW3dcfSmBhCm2gPNqHHHf78OlDgeEjg+gG6Xc+Dl
0yKFOZr3GRhhJTEDM/OPpeufR6OOKnZPnepHn/f3LdocvGMtCPKen2V19KAY2pAdX13Jzb19DCAH
2GgQokMlVjk5mqYXFXjsoGmUhn37wwctkmyOdIb0dbljamvtQUkBIDdeWFRllHFn6eK0gOYb963m
9CeQaoGqoZz4Tlj31n7z7gS9jQh5sbXnDUlAsE5dTi+rJa+GPsUWq5h5ahbTPo00G07OhOnNvVp/
XiCCGDVe+qWhWGcnG/UjkmNnm5YvoBzoz703TujGRbuj0QkRT+aShnIc0EeAXw4KSdsAFDRa5HXM
jOeRgkCKovDveY0W+dbingaHO0FdCyNC089nxyqrczYYFNOqf237yY7LvsoOf3RxvA0b4CGwvsAz
RHlROb+CNOUwLrZ5L2iRnXpPp/c25+VPO2u/jdXgnVxDetHEpLVzLSo31n8ME3SwoBa9RljKDspK
32q61DfvF82NJeVPdVbHvJUfiD6frBQ8f8zYKXBu7ST4EsgHQvgMHogSn2h5L6fMZtZ9hoxzkOZ3
Uwuattvzqfo3b+MCEhVJImQgDLQdXe4jAQJ8XNV45/v6OLexOGaf228+OgBpALHvv3Y1VdX825VB
ZVRdpxu9SWGwsKYgrQ7GXxpI9H64n9Djb/1IP6ZW1CNKjnfGuf6sel581KRBz7Y6jGoG1+YlMeRA
UIamH4csYh9A2/Qw2DE0TYwn54hevY9ogdgxurWCIDeAowpv2MBdeDm5bW2DOB8Fg/u270Mg8os8
AqTG0b+AZXi6Q58n2DObzwV65lnxGx1zO+bXZ+ZqzHh9ELkA3gWH7tL81FAIj43UvNdA+36sClt+
oUyQJbQ9uHdVw8d40N3lsHhG+1Oma6tmSpq7JrW9CG09n2rNAGea0ZWHMa/lQyunT7e/cOsFQ38w
9KEsADxwj11+YO5raEvVCuve4N7y3FRtfzAtAFYaC92vt01tnd9/TF018JXzXPsWS6375f9I+7Ll
SJFl2y/CjHl4hSQn0FySqvWCVZVUjAEEM3z9XaFt52wRyc0w9emHtjZTWzoxeXi4L19L803Idpj6
yVEjty+qE4KCUK1Ea88OzsXk/+/Y0BW2HtuI52mj5hhbr9fnmQ43M5H3EDi4RZfhPoP8KSARilYA
HjB7yUi9pvz1L0bMSuggR0d+ln/qoRAJtKWWalCVtSu3o+3PWpZ3qrW81SZQvNkSH8pURL6yde1b
eCNDugpBL5jruXvJlKNJijPIXKbaOZ/sQ2TEnj6rt87y3r3GD7TTdtp0E1t1gJrEbsGHUGs8zCBw
Eh+/je2F845LmPGzgEeJC5Ci2InKZIGoqEXIPjV+RK0U0NT0Ur8YbudedtVaPsv1XWweG/JoltF9
bL+hOC+4OjaCD0SdIIvCGqD1nu8xSKy4LTR9VIKousVKw/1EQBpBQCj+yJ1UtO82Dj2soREWgB/4
HYf9/csLDhgwOtYR06oE/5ahTHtSzge7zl9HKHeoI5KQ9S7tCjTR9RA6DCwrBqovfpia9j4tO18S
SrVvXTGQUvoPuEpltab1Fw2zmZBKgqAk+l9eFvU50SM3KsiTMxDfmAu3mezYdeLp1GmvaqkIvODW
7IPljgkQM2QcL9fQ56YJtgfEY4Mk7cl8VtrcL9F7Oo8viog4nwUB3JlHvup/bAEbtx6p1lR4sjSw
pbTn+aUr3VF3nVczNLszisDXjzffM8guUogAI7K2GP8BGmvXxjIsvV3UuRro2uCidug5auwm7w9Z
86OSiDua8Y3Zzd7cJV4z+DR6mPXCu/4NG/cbGgcRHyggqWXEo+tPACFXluu9gwMW290O7aiR51iF
qIbFt6J/jtRgnB1IQbIwhbvHVH1KZTtO8WgbQJwT/0ZR7YcGBXGzQRZSS87V1ARDtBu6/CQjE4n+
W9ov+7qu/0If7uDAAxUjYGjxOxLk3rSQk1Inh4HKpyzWBcfv8pphQRSEQdCcByw9j7cp9BolibyF
sGjTj3h1+TR+Tju/hVpTtEtj6+P6AmyYQyyK/C9gYEwiitsDmplJSjPhkQU0m+ONs0Pdxjg2UNxI
B3SFdM2MC3wU6S1uxHDwpqgxOPCuWHU+MlWcpISrQ4NjETtIt/4mUe0RZ+cY2U3fn03rJVv+FPRd
j32FaMTNO5Hc1//nCxi0Fv1Gl/xoNuRbodYzqwFUozOvXcCqW0dhL0d/Z/s3Uf4mUvYUj8bJktqP
KFVxz5feMA2CM3h53tk8sG4GoGFBd8vOxxdfOyVFGaMRQQ3MZ+SgfbBiqDPZ95nq9Y5xpPnDLHr/
bDjTtUnOxYCVISYDwQPIkPp+l+YaoH7Loj2qXTb69myRnQ5dt/dW78m+KbQCCNbUdtEzKh+vb73L
y3X9Idw9U2W2mcKpq4EjZRLgxgm9n52l2OvNID9cN7XhAGDLwiuHRYqo/HKDNiUIO1cAigRNou8z
XQeVs56+ZM4OLMOgo79LnQdDA2vK5NdR5ZkVmFLc5aUzQZ1yR6a9Pf2xmJaIh3ZgPPjdyhYKBl7e
uusv5GYjjpO8azoVAr9V9K5DlDPu9pozQJvaBR/AuS6egBzap/IrtAQJCRH+xcptindWr/jXJ4uH
dMFbrj+Fu26XBnihBZMZ9JZnPQ3zXpE9aCmPA7qvPQKBr0yQluS5CP5j0WHAoM/GUI1bnqQunA5Q
QDWQtRasTeOdObrLGDa17WaGclLtd5qBo7c6APMOFel9o/yYU3roEgth6X6Ogz737FjwVTy3zedX
IeICoJNlYVA1WR9Oqta0QtOjhsfXUPxQ57T1y3iAGtq83DSRJt0tRpa6HcgxHrOhdeDAStmPOwW0
aajXggTkH6Qpwe4BKkaPVkmxSx17OCZO+wv/U+Dg2XwPiOxPpbPyc4dSwEOVqwR9cUW/mwBF8/SF
zKehb5V/4XSAQoKOLTp9QbnM3YbsyjcHdIGwFMg4uMgPzg+V4oDQW68kr7LNe82JobNbyYrjouNK
JIC4deeAjRS28bBFCpXbX0z4QdUW2DcHfUcbL9FM165TNykhiQm9VYfEghCOF4FgS4mmGtYRjuVE
MoKLM0xLsiKalFpAzL53y0FunqbBrnZ9WiR/AESbQ00foEOVtnl5NCqwfNeLFsa50hzVIp3RmxA7
v8a6U7wYHLUfDgid3LKgSSjRSBOcvw1PgKsfWRuoVmDv8JyCUIovMqoMWiDHy4Hq6gB8b68CXZH3
nppG47fTjeghwO4GPTHYBRFlr3d5OQ1K1ncDsEzdTxVcfxX9/naDw4DgNkgcGOaGW+4hjRs9LkY9
iMrWzSq6ozYkJVB1SyMP9AfHIndFEGn2k+swmkmNsJY6pssHlM96TBWpBqvuMj1YQNFxJJqc3RR9
o0EU1lY8uc8yH2W/ev99v4mrXEWDp4XkLWoEa6smnFinF6kRNEv104z1E9WSH1HqHJe+v6NDEMfT
oV3Ssx6JgEYbJwrvVBk5Y7Bk4Ehz23tySocag60HTqM6p06HpEuGHm3AYiZzn+YSmFkhofrRgGlL
sLjMB3Izza5VNIcwzDueyusxR5bZ2xFerAH0Nt0cMvQJfWlmwfV9+UoAkRFeKeAYY9nMT32kL1GS
XStIRKGOEeSNBP24GYx+jkRF3Xdbk6hBuxTs/9g0oIpZD2UiUpVls2EEcjcEo655VvJrik5JnPj1
HCFVuzwJNgybHH7y8KZEXg1vS6CAuOhvkBSz72rbCKZ4Fz+yIgv8juyCAL+bXUq85u0vEXEHbBwN
REBosWfdf+yNsR4lboUWHSbEDJz0uSSgGjmky3CYY+KV+SSoMWzZQuoS+CkmRY5C+9oWRJfiHkUk
M7B6KH6bkq9QxXNs6aCVBCwuPwXTye4tbjo/4zu0kyEZjU7UtbleaanUgXM76KQbfTkbnV+mh6rS
wJKYo2prhyi7A7HqXTd7uW1QhsSMQmUdQB1kiNdWG2qnKPBHVkCi0Y9LZfAGA+8FxwSv9zTuTI0A
3tRMIhjq5ZmAWUbMgLAJxHs8b2HrJEuF96odqA3Uo2slOzZ5Fp+uj41HUOPeXFvhHMss6apc6SUI
rGnyU4tzd1HSRxzCXWRXe62NdlSi9+Orhr4pJwlakPkNyfuQpX4tasy43Ev4Evh0ZKRAeoGc+Hqa
LYlmkgyW+6Cmsk/SG6S867l3gZ1AGVKwpMxRrzfS2hZXqomclg4m7oqgTLL7xQbOJTJ9DQx0xSJy
OhvBNrPF4K/s3kDebT2uYhp1ajSQJFfYlEpD+ivN2wk6lNCE7OMm98qqUc8xMSHRB0qLG5Pm4+v1
Vd7aShrCMGS3IEkKTM/6E6a8mqNhbO1ASgbblbtudLVaF3VrbI6UYU/AxIAbGamntZl2jHV5KXs7
iLOnqa7dhBhuod0RWqJDlxyyiMLz2egd+XN9eFuriaQPkmnIN1wqyahoL+vrGDNcUUKBr5imBxBh
31jJBLJdcxQ1S26ZQ18h+irQp46UIeeFcql1yiFf7M8bUZLuxuYtTfB4UURJlK1l+2qIu3qdSatm
SmfoIJMasL2HzBZp8IgscCtmpOncAzNkQ/4sUJ2XWcTQs+U6UVYC1RBqogAhMPtf7vWpHxtd6mQ7
mKTFjd6Hh/5OW0AMuQcY+/oeuMyzMCIohtvHRsC1xy1KSXKDTL1kB071T1S6iKT7eFfMvgdBvNEQ
wIa2pg1bHJEYvCcKzZz7SO0Gk4YusoDkUefpVdR4tUJFFCuXkRdjKNQR54LQjjE2rScPmhyQ+2ha
Kyil5wot7jMEdYtZMBSREW7e6tyJwEzTWUGmJmA2l91aufk/G+E3staXDIeHkRSxp9a3ANHtUhGA
Y2MkCLXwAsRuw4uehzs4Cp7u6pzIwZzGRyCUgpTmHtUbwUbb2NKfHO3o8MGT5yJUbVT0i6USkQMz
TXfA1t7VcZjru6bQX5cCiujtJMBjbrgbMP+h+w40Vwymz0Wtc7mQBR5bDmrrYBo/LK/SmGqKIBey
NXusJ9JE8gys0/zTppTjqZ/JIgeInYejnRa7XCqtPfBx7vWDumUIsBcQr6D/Ehk77jq0YkmWOxXz
lxnVWwNS+DJx7odmPPwLM4xoE7pu7OHCeR4UPE21imBGy8FJbt0k2VNvPF+3sbUVcO+A6Axse3jQ
czaSOofAg9PKAaGdC/WTchj8of4YylfG7CEY0EZ4BMcG8RHGAYkQidsGJR5FNuqgchDfdtFNR6sd
NU0k684ixYMN5wbyPlQHmdtBPoXtxy8+O1PjRUaTrBxI5m89+jtW305HgC34y++zgX75/VZRcz0Z
8fvLfGtXv/7d7yPOYgkhhO188kublKwwKZCVvU1bOM0sd3OnOV5f+q1djPwW4y5Hsx/k9NaDoAZJ
mhrdwZC7+CigFjgBvaGUgrhmc8m/GOF8c2QoEuA8KkYypL4TDXfYx7GR/NLkt2oUZdC23MzXEXE+
Wm3jOB86WQ66oT1o6q8SjCe5me8MSbCRt04NXDTa2g0m5mFz+0ubTR1kSDAEKH7lRu3LtDzqMGnu
iSh3sbmV4WVwKyC5K/P0D1EX4+HaOvDVLSqCi2tC/vb6PtiaNQMsfSBuxEsN+bX1PtCNUYEIOTZz
ScgvtdMf5ZmeoVFZxCJs96YleGjkNgFOgg9YW0okY7ESFD4DU9sT3TUonqNuJdTy3Vod5p1RjgcN
FwpTazM2sHMJQeQTGGgz7287xZeQI1YGiB0Bsz6KaPO3zhGq4cB+4m0N6kvOq9Ug/qg0pBACK5Lu
MlSq8f+gY+Sf66vE92GxVy4D9OK2QWgIfAHnqUkGGJFhpazCT2/KGMQjuTFDb9fed8bZdHq3S2NX
afrHrorDCZJ3QuXHrXmFTJ8DHhkgi5D0Xc9rpMZO2ii5Esxd5+r9S2XfOzlMzYfG3FXFw/UBi6xx
m2UxaxMEMgQIU5K4jV77bSyj/cGCCOR+kWafdppIZmHLWSElA5pwlpkBlG09QLnMi0bpDIQp0UFP
ITc5DgfV+QD9ijfo0+/vjw/MlXhQf9Kl8mTa6FfNBz0HhGissYyTE/TIwdiMl4C6wGC6BkDp1y1u
Do9RgDI4OgBTXMhvZrGmTBU2KohTXZXkYOKgrkaOyDojyBShJraOBSC78JC4KBHNcutnm9mCUmGr
BHX6WJtnUI0YIjqTjTIxwokvNriTTpa0cowcdaoJkT/wXjh+OrjIfoyKspt1FcJYR9TDhvRP1/+L
uWSxH+IZAzIn/A2NG7VX27FRWBoP2nzgB/4zQgUVxFoIN/fX121rJkH8jwYCZAfYw3C9LZVk0Po5
hi0IbEMax3iBULjXtd/kx/t0MIA6IDmogtjoImhi/XdzrvQo+lUPWu+CrwnqHCKyq60rAJsBlUqg
mpEQZHv0S+SEPCSVEIgqwQiWqzE/xNLsNvb9MgnehBvXJsQCGXcXkvGgNOD2egmlPUlnb4EJZGvu
hHLdUa1aEVXrxmiYm2DJImSM0OKxHs2iK/NUQScisHsy+bGmt762KC7IOXexXUsCj7ixD/C2QXIR
yqiMZZnb7dVYGVoyIpbSs6fMulnax3o5fHurwQQje4QTRJmBO7QRHkx91OOGLgAnY4R4N+XcDqCA
bQXrsz2W/xrixjJBvaqmGGxg1n/7NKiTh9kQBOmbJlCJYUlDHeEtd2F2qHmrKRvLvJQg+Tzj/nJL
0YRt7jMw3oF4BeUDYHTWO4BIqZQmY6IEmhJ1NwQ9dCdUTV+vr8rmNsMzHRUDuAH0E62NjOhvMXKl
VoIClFS7OjLApKYb0bFbkvY9dQCtvW5vy6+yaNNGW8/nI4ozuLTOaFR9qQTyQvvTCOHEnW7QzEOq
R0auSEp8KyXGQckpNvqQoa1CUesdxKxECKitkbN8s4zMGOht+C3fOSliHilDyFFlbqzetE70MpSQ
ZOkfBUNmwQuXTsfTATI6QE8CV2pwwY06Qt+0nKkSLPsmXNpzB9nLwj3kPxAyisQ7mFu4sMVepqyo
DTwJtzMnlA4Ga4QtIL9coz5GMwKMXHGtut7r+vP1kW3EUQxRAPQiGqdVFGDXm6eOxxlEJ1jLigSk
DCQbkFzzbenrna299CKuh21rKG7Bu6vABrK/f/HvCkrWNGkwtAY3MPEnVCQ9/Z02O8V0r49ra2vg
kvpfS9zJ67oMzp/A0sCUlX7X5G00Rs8s/4UX+WKGD3qL0UkzaUTQ1Nqvg9l4cvKLOALHzj6V3w9f
bXBeN57GMW8Hth9c+1DVh97yb7vF69/HQjCarZ2HkBNat2hvx6HilgfiPnQANwpCCa1Wd3a7lL5u
pc0JIWrvlaSO75YuEd2SF8MDRhLRJrCzwNKgHsht9zbNZCsDBiJQl8VVo/g0xsPPrt9PjnMa9NpN
l/cxT16ub48L7480E3PLiDEAmQNIf70R5SbVh2ZQpUAi1Z1ET5lMHh2jFTAfXNaLmBlgYRlyhD04
+SdDURPJgT5YUBC6U5wf5rsOYU/0SaH1Lt73KT1NpSCZujEyXAUo5KJhCW01/HsdZNJoatDlJAT7
lpu1h25YXGcUbEmREe4GmOH8B5qrSQhxmCT1wR6k2T+/vUKrcXBTF0WDqhEDJhKzdU1k6XCCa0GY
cXE9s4fyl7nitp5EHTzqxjkJzXO5b759Z+DXASphytGIx1BEWe+xIS3w8xZWYixvkdN3jVfH+qeY
9vF07qq/MZk9e/j+tsYjAAAl1KKQauAbT6gJqqGOLEk4j0A/O42LDl9vGgRu4sK3soEhr8T6SvDh
MudbxzhBKagzkxAxtifJOTAfrauQ8zz8vb4HLvzR2hD/jJJL25RaFRzZQxbh8ftK0jAyD2g89GQR
wutyRyMTxOjLkXjCmC4uXbDfVmZjkDDFsaGo4BXgrPv2bYEf/mqEfcSX629odSRIFhiRkugsO7Ag
tXtCvn04YQXdsCysBRkVXxiIZhBqDplOwsX+pU8tSIPPpahB/hJVwYbyxQg3lG5IcqQLNRJaYCZN
yOgPxNo1df4T/EY3TkYUd4waV+2hfzsDhag1aDGsaQicojc1NZqRROmLrQU02ftX11jKlc+EJklX
TUOZpqED9krDQpnqQEUt7QIbPLGtvsx6BkaFNJyct0Z2PHaGaS/KU4uscPe9nidO1TYYSWM+Gy2o
f5SnXhXJ5IiMcB58LNu5TpkRJ35M5dpToG5hpLHAwfKcn8AuIgkOqAQwPjhcyA2ud3yrpmDKJTIJ
2wHkUHZynKPYzXUXgAm7z2/kvvarvnLBDBAq1WtqfmhFsx9aArw2VIWLD2yeo9zqJxVsnEvzTUZD
9nVg4ABoBAAkPGz59XTkZKyB46rCWm8BHYZox75XTOKlHWn9WevTw3V/dnnfrO1xK2vldazkVlKF
FPAjfQEZrUiDT2SBW9a86JMFup5VOOUgCDI/UtF74TJaWw+Bu5YHOZoTw8AQUM8cepDzZLAjfSjg
uanMHdKivjkJLlLRmLhbus1zPCnrogq1yoACHcSBZcG6bByG1T5gf//il52xaqo+yqqwVw6QuAwW
4wy1dQGScNOIhecj45qF0BK3NLORJnEx1VU4o6bioXD7c6jhQ6Ky+fj+LmP3P57oOHCoqq9HA7LD
Cg2utApJshgleuZT/RbdYSIw1GUUgJcCQhuUCEHnC0NrM1DMjUYJrcMhedQgmWv/HFv0Wo4CD7Jl
BUEGaA4YfTOYqddW2q5w+hRRTZhLPqnlB1rJf/X2BMy6CIyysc2wMmibsxCz2cDqri2VIxqRB7Os
QmcpqyCCFNbeSduX62uzsQlYuRNUw6ggAFzDrY2MDpFaJ3oVZnLcnialiX9LYOR1O6TvRC5+a+q+
2uKmbrRzFalh2EqXZ5k2J8P4Z8KdrJeKKCF0kR3BoxEZW5aGQVSI8t166rphRuZkMHFCLWlfICLw
lrw/1E3jaVqxG2TiVTS+KxLz1Hb31yd0wx+tTHMTiqQSYcwQOFWoirvY++quQCiaVH5XvDsZSKmk
IuxTEOdet7s5uVDgQqM6gkWQfK+HrORRq+RNVYWtO9kPhQwOoqNQnXJzt/zXCP9KBUEEuEQGnGR5
tHdR/dxnIDsqLSiqXB/M1tZHqgRpfbQGI7/PTSJwomB+62fsyg5yvhrI+3dzQUUcqZfRPEuhgTyE
tYYw9fX1lKl2Y+R6FNeInlAXlEgwWf2tbll/UrS1uo6uCl7fm7OHZhDsRyhXgSFobU+rer2ESEgV
2mlV+vm8VL4EyY59JQt5J7cmEJpkrAhjgoaG94Vt3htmo+V16NDo0Kot2l4jowdG5vo6bY0IsCI4
D0BQ0SPBb7peIfiCqg5b+x58g7sEL6GWiEiRNwaD5AGDfgEnBf/OrVOXFvai0a4OdfkAzk9Y+Bdx
FxIjCAmhkQFKF/4qTLpMgir5QMM8re/tqgiqZPnQ1eTDKEUKCpdTBmYNNNHgZQDSE1Rv15ugL0he
KhA3DLPsl1S94lWgWw/fXZW1Ce4i7Eg/9kOVkRDFvgmax2iyUMrn6zYu3RxsoN8BiVoATbEF1sOA
umQ0NCCrDouBniIzoMkzHW/s+FErDjL4aWTBTrs8q2t73LSZEfTcZBX2HOQr5JvZy0sQqZ5kZ3d9
XFvLg2gIkj3IqSMVw/7+JfJSc/yDDD4J69Zxy9gMivRGBznDd60gHIIkCfJhYIKBobUVO6tiUyon
Ek6T7k8z2GjLnTCZdLlEMAKBHgdUG2gD5VPBlMJ5UhOP+5EuXjVZrj6i12D4myaTh2bL6tBWhWBc
l5fQ2iTnt7tZ7awe1LphZkieMr5YQOlhQwgZby9XCXZAmYlUKdI9aIJbzx+ARak5ySrsjLpP0CHl
gGlAiKHdGA2QB8zOJ03FBV9xjUsoNy0SqnXhWZGCVxlB0kB+Ei4VW+9VRp156S+WOD86L0SuOwOW
nP41nW6cUcQ6dGkAiCzohiE4QD0OUMz1hKm2pCChNEcBJccyB8l0KoLnXU4Wa0di4E/EXgB/cpdb
XiaaUreVE0h94+fSS0wWNHeX51KtBa7gks2GYbEAXgJ3CxqS8PxbD2ZelLrRNBoBRvFedjtHfkHB
Yw8ZUhciNNKiHgfpjGZnyZ5/18gk1F0YNyetS31D1EBzuQ8ZuTqSm0DxAprOd+rVmdMv2rCA7my2
x7C2hgJKRigTNI5MjtddxiWgCi8nbETg91CsMiESsB510mTAvuZdhFpId6jtjy7JfK2rjpOknidS
3JuljEx+6w7F77Renis1+/Z7kSHGWI0C9OqAEXMueATVWotXjhTU2rBTtTCNn0tIOV0f5qWfxzDR
II7wCHc+qoDrUU6Vo2ljx1QI9WjvQGwO3jGenf2cvPXar+u2NlYPGxWFEIYfuNQftI2GavUQpyE4
G38X1hvEk/LSeLluZOPkwYHgqsQdiVZOnuSQtqTLqZHHYTrRfreA7AycJ7oIp7IxbVDbwn2MKia2
Bu/r1aKny4zkNNB2N2BludXa20x/UMhw1uff1wfEooe1r8KrFxVuEKwr6HrkNSFUkoC8JpKQqLOH
HQFxPZLTkdbuwSzqFfVfagqS+5erBHtoqmerxHjduWimTxAyL4mThhCFPurJEhq1FDgg0rg+LH4G
WXYa6Ql0bTNyLvzneuOl+rRYad4jyZmSIaCtRFFCIuVeriTEzuAN9TLMxjePFFrvkHhBhwFwP/i3
xiWvSBYXOl6hWdiWZ0l5ZiWl7u/1cfH7DybQC4seLRAlAyPDX5VtlFqlmqd5mFhoz6mm+Ck2iKhN
+3LyIKTOuIaw0UEizJd50tHOnHzu8jAChM0GtiKyVH8exj8VGAuzUbTb+S3BxgRAEejDAJaC9g3n
JNJBK2UDPG6h1SJFm7lIXqbWP9fnjY+ePm3YyB8gp4StzteUrN5Os8aZ8rAsaw8qji6A89DbBJeB
O/U/SOMOzdv3LaKzF3cJwk483rjNsBA1JbWdF2HdKH+aPl3us0of72w49h1tm+yUROZ8mOjYHnLa
ihi5+GPNxotbBYxOSF+AMYTb//IEktoGEjeh7oC/IuvsY90bPyEFtevH6aAtZ2HQszXDwAiabI4B
4uI1U6em01MVVGOhvajtDh2/mheN3V6XqeUWUp55RqFVPmnkCGIDQys47xdRBAaMdziwyXBjyOXx
6Fmpl3p7MooyXHobwWpKmwOkTgdPT5DVtdqxPshdTf1crfujUjsZeDGnzDmV09RrbmmWsw9N9OGx
6qIiSElTPRZETgXJpI3Di/58EKQjxGWYMM73DbERZQSSUuFUWLlfSHrzVhhSI8hLXPA2fU4FwG1Y
BdD4qHwnEmjESluhdhFGz1X9N7sD3rE6mD9AxBjd5KpXT179oUnH69t9w2cwWD0TVsKjHi0da4fr
aJGtLgqWv1b+NsNHcqtKZ/KUPV+3srGtV1a4sFTvrYqg3lOEeRnECI7y2lWsH+DDokbhyiKaH5O7
G/8zkf8dE3eEDa2z4jrTihC69JM3qk0M7hpwaUeFtvhx28W766PbcITAioD+g8nC47nKHdohznPG
/1OEcwW2Rtz3Z6ILrt+tZcKwwPTEeFPwa+tlMoq8b3GCirDq68Qz5My5waMogUB4Yd1XarG4dSOK
NLcWDSAVOEOE1ch+czaRQUq7nGA/9tH97Dvu4irLn4T+zT6uT9+GB1LhA1jAhDQj2q/WY5vthMpW
g2c49JvRVBrH+qNpmu1NHZXUn0fJOCHdmtzOlfQbqFlRaWzTOrg40ZyAY2Dy/DlSju500OKQkE75
PinG2a3pPxYFPrvxB6l5WtrkrcwFO2ZrhyK4Rv7RQaoMAf16yKM+UuBYTWQeotxltc8peYiaJ5EQ
3tbGxA2NWgyCedBssr9/SaOUqdFZYwMzRXduQUajxTe1qOS/tTPROvlZyEXHIQ8rGDWjH2eZ2Uhd
6wjwwqR4VuOOlcBRfbaqfI142amGMhigYOxdAvT0ejDpEOujQ+oynOv7NE2RFpI9UHBn7YMmu3IJ
vr1qT3pgCt6aqHOl+q5ydpHk+I0Zu2OWuUmkAWTdWWiMTu/a8aeSHKMhOdeL6GW8NetfP5TN2JdZ
72t8/pC1ZaiBRBcFa3fR9ktO/Oun5nIL4TED3ieLdUYB28CdGrmn8zjnwImpw3P+qOHNvSjFEdTk
omvpcjhIzjMSS2BcwXbCu4GO9kAz1nIZTqSCVNPgSspv2meuvFTQLh08A7LCZZc8K/mTLUt45+dA
p0Kmszf2ifR+fdAb4YLtAF2EViINGeILsXoIti7WbEbA4zT7vvSj28I5dMt7Ss4IEPZJNx7JooIz
Wwvs6b020geqNd5s/h3T/fUvuYAw4NiuvoSb/8WktaRK+BLT2umzD8TTXe8P+2FfnJJ7+zyctMdq
cPPBbYt9Xd0uuSvUAL/AEfLfwF2rtQY8CLipkWLe/Rz9xMt9t//Z3YqO3idIZn301mPlLtS06SSJ
dA58pN/7yn4Iu5PuKz+cfXXGXXfOH9LzEgxBd7T8e7DH7qUDWIMPOFuH+O7vkTw1LtqijsOh2pU+
2Ib3lsCdXt5U+D68d3AW2PvN5PwcnZqMggi1DGmeN/tcW3D+bavxlKLvD7KRaX6bmJFflp3oDbRx
CmGZ5UhUvBmgZLM+69pSZKaaZWWYL5Lb1QfaQxHWbbvT9d22ZQbsTehMZn1fSHiuzRAJYYE80TKU
DaipTT1UI/TqpikSLxWlY7bm0mRiVoD6og3mk9Dwi/dy4Mtt6JTjuDcg6zMAFu2HUIsCMKkBj0P/
MUQ6YBtxL3qiED0xrlz0KvDdEItdzIBQJWVY0JMh0700flgYWPYWoYk9UtBQXoAlNg4NKJgKmv8v
ehbYCfpim8/YoBky6oCKLcNm+eMkh1ZBAjv+p6DdDhLXED7upz/VsI97wYtCaJfzHtFSZ3lWwS50
I/fW6ECV7L5KTsrZwT6qNG/pwf84v1XQBrm+k7a8uY2eCJbm1jF0LvLI1Goph7nBUZGazEvyMkMh
Hjkjpa1ENbatnYTyLKNBQWh1IeWZ6POIhkm9DFMDNL9OkkiHHiw5rhWNy75yuszPTKsHHWFJBcfl
M2TkHdYX07xQz0joUgDHXoaxaXharj875ls37hUn2w96d1I60wUEcQHP5pMDvVzqj9M5VV+npriJ
zOYwd/dI1B/Ve5PilXl9AS4yyGzLff02buktPdUs8I5g6Z2zau1a5RgnaFNhXF77eL53/AlvFlxf
jnfd8GfR7HJSWGcbaCgg6MIZHs2OOrTEpJBHJFJOd+BAj17MyvtoXMVDZsXtvMJX3dp9/QdqJ16+
Q5uJV3vpPt6z/853iKf8yL/+VZfhN2YDuSNk0xko2uA8W9d0JiQ3RzjQ8tCnlVfNdwvZV0V5SFya
OW6ziGjiLk8AOgXZIgCpipQfXy2Hlsuk9mBvC7NiMVyriYPIkWNXSujx+tAunfZXQ0jZr5121mit
qucdYH2DHUS59RqDzqvRba+RBZOo45fWK8ssMZgyI7hFA9zaEiSKRmRRANRw+uQ3sku9NxQkEVyy
Gxt3bYXbP21v9klnDkB2QUpOUjpPrT8cSj286Ly5WtzEaHylh7iB5ENWoXVrQxfk5jaXjonagdsd
nV2fX/jlbjL0cZEmNqOW84xEbaPcyOrz9UW7dFoYJHqP4a80ZBD4mzaldltG8liF44PVnalXG+6S
eNHPPBH4gct309oQW9MvY7FVWmYW8Phh56AtfifVh8HcGz/kRnDsN+18nneW4caI1nbmXNNp1suY
s87AaXpVsien7b20Odsgwr0+eZs7/osttn5fxpREHbXrGLY6sANp/qwkXkx9YTLk0mdg6r6YYZ/x
xUzWN5Ie2RPAXZYXm5DD3gP/FPsjZI79Sd1fH5No/rjXnB3bDSGzUoVm+tdOMiQmHwvk/yRTSHQj
GhZ3Nc99Tsq6UAHr6it0c5U3mTU1rgoxShVo56HcR7NyN0M59/82QPZZX2azHaGXVZgYYLPoN0Wk
H61s2BnjETkK19IEuM3tMcLpWhD3RpMVt3StMsXATxswNv2N0ndD7VyDuNiMCkk9635SRsGW3F6+
/xrklq9cAPuYKSZVMX5nkdva1GtPkX5nPl6fxW3vCHrV/xkZt3rmgNAqAXFdmKVh/2JI9o+588fs
bW6GwzIeHcTtTt6f8E5Hi5Rgj362oVxcAF+Mc2sIft5CwRu8DgFdL920hiisZOTI5DeAXbqxOf+0
lBnFCmAwLT/LHZBZajR9jUwz25kkK892J4HiUwKTt2Ba2NVz8WUmmBfxSkIWQecWnMTOIEUj0Hbk
Ng2oJ1mu9Jzf908qcRdRUL1pi/VsM0kpABI4V2dopHXSGddDYh9S/adWuVo0eeZTO3odlHIhMGzX
h38zPqw6emRBGoM30/r0OAVukdaAL+ogGW74kfNzoE+qfTC1R2l8jpePiQpuKDYKfkbB8gZwNVKH
aB/jruFaUdpoIHCyS13eJ45z0ymzf31UW6cU9S9gO1jO+YI7YpQLEBiWNvaydezgBkYSJP3ojfI9
iQo36d6o/r0SLKilTYSlyO/hGY96Ij+oRQM1PKjHtYdG77wku7Ny1R2nl+vD4u72/0falTXJiSvd
X0QE+/IK1Nor2G17/EK0NxCbAAECfv131PfGdZWaKKLnexjPREyEsyRSqVTmyXPejKCHiIFmUUlE
Hnz9rYx8MpzE7IzI5a+OFy2cAQV/XySnHnNKVN1wfSny/NcapkjEsDHqc1LkUVnXAmYwGVGxEAUV
SLLTh5LtTOKEjcXvln7cqNSJo3ThGP8xKF51aEGgCiKDyL1pAn0t4OoRn3b5EKHuCyL3M+h3NjIK
yQH/a0fwqaM6gJqHFOmMNNVKCrKhqMuNIcCzHpznqbZVl19fzV8rUkhrCIcEAYY9owyKixY7ZFrv
T2nrb+LLRFLyftswgAFENSqK8raVrGrzHHiXyFTUoIIKBqGWn9gbF9/6cv5a0a99L51aUKf1WA4G
o/a8eOyMEfJxnf9RoMZ/v85fQ5KTKxlK09SEIXifP9QxWMtdZyMPX/MA0SDHSQWUDbauF7PMCzoL
Bg4SmwrzLq/I+FSY5Qfpp99WIupQcCVUvdB9vbZCvYGX+tKb0eB9ctMnS6Vj7CXqodHHT6litD7R
p+l0O0SsHVrAj4E7FchgiNRe2zTaZshH1TOiuut2bvc7UeKlIgA2ziGKKvvbxtZ84tKYFCHcZGJl
3ijwCf2hIf+YzSnrgmSL0WRtSYK0HzSaADoD53K9JGXs+8WmxIx0nn8Bc/7i5YF+r9nZsdeVjYtj
zZaQAcV0kQMpYfmTGWVLBsQgM8o+k/G7DUhoavyq+nGXb2FdVlwQrgfsAJ6DkL94hxA209l0p9yO
0mTpTrwEsDYvi+7j6xFRDnS06P8j1EmnFuTV4EZLC0h+14Puu6MVjVoXUMAOfCXJf2Ay8tuHXQIF
XgfXBRhWQQ8jfSxrMUE9mFdO1OD0hYpeWYHTQoIgKYrAmrd0ilYcEGTV4IgTbOuiunztGn3BGaUM
1ubeyqpgTFmuoeaL2z9AmcT9YQ8q4CC3VyhWIIVbCFOh/IhLUZTrpbg+DMRAuRe3FAjpjBSVzspX
6hMY6R5pkj91abdxyFbCu44ogkRGlHvezW+14Ef2KmYZUaKBsp6+VgJ3jfHn26ta3ckLK9J3q41+
aVugJiN9ORrgFqkx/svR/1k+SFssguLVcqTty9WpQD/DNiLNXIZ9pQEOBb4t1FTbTfnblcOMsItO
KzJqQewkeUdr8IwOkIGLagh1m0ukzOS5Tce72ij9sn/0DCh6Ub+FrAw0tu9m68ngoZIGmHhaqjKw
2nardCrW9s51BGGGKvBCxpvu88VLtdYFCqlJjGhB0utBzqwEivMxsw9LEjUYR/ELnh4//l3xmgCt
AWpr4N2RvuvUUr2wq8aKSkP3HbXej8Wnav6dsa3SyYqbgmkH809IQgw060W8u1gbq2dH7ZXOjmbl
0VUik+xGe+Ohv+KjVybET7gwkS9zkzOjt6NsWcjBre1ToRZjmOSl5SPa0I2X90qERrcefEXYPiFS
JG1dCj7NXHcT3DuUpHfe3FS+USd0I0Kv7Zt4e+EhhG6G7krnwZ21ifRjYUVpjyI66BfHDo0beOht
P1g5C8BRCGyomOvDk+h675iNJH4eayvKzF0Ops6yzvxFoegivKjTFnvrip/DGPJr4EUF1Fbauaoe
BwBSOytKPPRM0z7gY9h3P+r5hZXZXtV9o/hye3mrFsWzWdCFOhiLul5e44Fcx6SwOKf6i5FlxXmo
jBfWAS3BJoglOiXJTuOsKOFCnTm8bVwsRzrWIA7BCBMo8VQA+CW/rOciTQhEfSLb3FvJqxEqgToc
+XDO+427YO0EoE8L4AQ+JebkpGW2SJMSVelxmhXDr/Tv05D5ZcKCYoubadVd0NF0ETUFXkX8kIuj
Znt8ss0lsSIFarK9+rs3Xp0u7ge+53zj062ZErgMERChcGFLgcNjoCVFiLIjzS8eoK+DgsfWNJaM
MxCXDoLSXxvSF+pdJy+1orYjF5J5OW9fUpDveN1vWlfAe2QBUyD/lCbPOdkK+WtfDKgi9JyBHwRh
klReGSDZm1JvsaPKrlGJN5xQ50lg9d6Tq5E/t/1QrqK9LfPSmOQefUq6pc5n6HfpCSUHlYCseVdZ
ZXPvjJr3U1u4fSQGsUFgO57HamkeFDYU3+dRcfeZ5i6Dn8DH04AVuvf19m9b3QeMqUHEBH++G97P
M67xyS3tKGnpz7n/rqfQekur71Wypb4jt6b/swsozaJni3IdWL+ufRdiJe1/rgk6K76zhIoWJjXq
QL0SgKUyA/vrQNnvfqr2uvZ6e5VrVwaI7dAMxLSxgK1dmzZJPdsNSeyIF7tDyTeuirU9vPzbpWTe
wtCMZpf42zEuM8+HIiiXQ/lyewXiJMixDJcREM2Y+BMcT9cr6N2FzW6aOZFLH9Hu8ycdbZaPv76x
NTjseJ4iWloiIlwEl9Iq+7JWqRMl1R3FWoYtpsG1jRJMqwJlhUKqrFRA5il1tLZ1oi7bWWMwp0do
Y5Bho1y1tlW4aYRQooXhVVn6GyguWrB5AkOIfcjIvv20OZ+4GrcuTUiujMG3yp1GmFCV9OC47an0
yC4BzrzId3qLZuyknkjHg7zRPl7uAZZePIOBfcAhkvIFqHCgcCHiFk12HcRYNQY8h3nWh/FfXJ4X
ht624MIZvHJUinHQEbMyBvXHQLPuFQ0FOQUaXWBb8ox/89UEIyRGjsQbVVrYYHSzCxy+HTXojKoe
3aeghiy6euM9teocf83IHW2tXwyeLzCTdY77VDGNHyc+/WSkONw+sGshBx1xlLrxrMLglhRylAyU
wig+OxEw437V5wHvyv1tE2vHSSCL8QJFUxlqQNfndV6Mae6WFDFBaQKds2DRo0oHuQeUNj9sCe6G
I4u5FXwcT0oc52bKFLwi7MjBMCby7aW7A35qqf9FNnxlR3KCpJ8W8I5jRWV3ctzYzTN/gLqyo0cz
AD2317TiCX9tAZImZQAeHxJeC4dTe8PXp6PigvDcPN42svKJAAcCKATPXNBdyK8IoM9GT81xNSBQ
mCE16sbPswUAwg6jnJ3ufFB+Styx4MeDJilwg0ht5BK612su5i5QeGn7n1SzgaP9dHtBq7t2YUD6
Qnm6LGpiwgDR/inKRwZ0Ub0lobe6aaAf0FGuQt4u6/MUVZ+yZq6dyAKiyvrTLPekiVixlX2Knypd
qdirv2bEz7iIcOZoaEo3YCklZFV3VkeLg1ehJ1BTjQSMza8DHaxTa1PvU1Y2G+FuLRsCJlHo1QJj
DWpayf0MIGqSpQaXi5WzQB/nYz365vKCF6fvGt0xy9DJfB0scAdskcXLHeU3J7k0LYUmHQKEC3Fg
2oBNzejPXbcctKwIHUSpnzW499PkjT/8WHvlE0u2aF/X165rwGWiSgg6fukH8CJXdTC/ulFf0f0w
pee5zM4oguz6+Z6byZ1uZ3d50+R+7tKYFt9uu/BKZDZxySALRSn+/VR3W5rFSHHbRPrIiF+WehEQ
Vd1Kd1cen2gFgtkJ2ZSoVEjJ1LLQklZt50bIDMH4/k9Oyz034zynATDjfPhze1Frbww0FoB9QI6o
owspHUwrtwtlSlQ30tJwmj4VbkjpDljDRk0wPKGEvd2Fi/tZGaeXpoVgdBaO3lZjRaxJPlF4zoH6
AjhQsbfXJ6phA7y1ByHxA5TYE/U4guROCcut3v+aGYA/odn0NjsnQ/sKANWcdEaJXuH2jnvjMcVz
akh3jW2fUn0jD1oLRhhCwaMeFsHaJu2rM7R2wbhpR+BS43u3Rj+yZIZ1qvTG3uvuR3kl3w4nagiA
26GGjYKQ5DfzrKRKQQw8TCFvAqHxxvBR0x8Dmusb6f7qygTVAurXAkchRSB3LKnljVjZPPbHnjl1
0IFowW/T+4zYG/egPNXw32X9NSYdeauHQg5DRhtNGrFyn0Ps79hY1AWepEtouKjLCPyKyUIjJXSn
TdXO0nPgLHr9M02oCqp8Ou+5kekBTxzt2WXA1k5la5zxKqqPypzn9wbZkgVYixRia8TQzZsA57U/
Z2jYql1l22CBm1+geg9+aHvjHlg3gcRKzIAi8ZVyuCJr6xkySHZESvt3o7XfZ3XeImZbOy8CBYEh
cfCpoJ5zvQw9LdgE/QHsPYgAy0Q7uMNwN7mQEte6Q69nG9j3Nb8SXHN4pKCBhufetbm5LCpCobYR
LRXXHiyjRLNu9vgBhEvzj3Kaxuh26Fu1p2E4AyhfXKUy6bU3zMwePSSnmWH71rzsCaM+o2Dnr/e3
La19LLgwxu2xMKR0khNXChSwORVp8OiQPdQVRnBeth+kens7KiKpN8TsrI22xPX+Ncyaqd2IFKvm
h0Knp37Ug6XBK6z0Tv9iQRemxCV2kQK5kCvVJhttSKVHKZgkpPfdyv6gQOF/FuTq4AgX4+eW/JTU
BdwizYgTeUmjg+6/Z9APXMa9C6XMjS+0lp4i7/2fKekLcV5iaBb6z5FK7QOvbNfHoD31y2lTiFxE
R/muA5gX4HIUlYBXEb/kYuuSpp8K6K7h8VU/5+MfxelDGwMl0544mFOjxc4jz2nyLy4jED4JYjGh
oiC/XmfNA3Q9h1GrwYTUYD53Ln02M/POsln8L1wD2QRyCQzRoi12vb6sTfg8lqjVqGb5aGRoCapb
419rBxevYyS/IK+wcQldmwDltQ0lnMmJxrY/ca/b50n6pcnUe9NSf9xezVoIvDAlZ9slyClbqFI7
UWGyswWeWuOrPrR7DzyNebVha21ZwENj6kCMVWNG5XpZyBNGFGlcJ+J0l0JqsAq8EcP9h9sr2rIi
efqiqTxHSdeJNExWLHEzhahfN3TjPK1ZAX8ifA5vZdQ4xf+/8HKsUWu0ChFPHzAaSc56avjzBLgl
sFkfXg+aUoh4eCSLV59kKXUXkFiJ91CDuZ0Aj65vWkN2bl9Vvuth+u22tRV/EONDoKZA9uOAMut6
XYmXGrPRZV40MXKoFw8ZCL5mMCs0mIrhd2Uk5UYGtHJ3WCC0greD5FCwPVxbrIHmawfwH0WWXf5u
CVDJ1aRsjeKIny0FJQt3IHwO+SomDSSnYBUY5TnvvagbAr30uxM8I2GYR/Kb77TZ3d7DlVgLrDyS
CnSvBTe7WPGFb1QasgqXDF6k5Rh1ViFz6jObfG5Ma8PV1z4WCmnQpoNOKxRopQOVeFm7ZEbnRbn2
G0w6XqfsbRgrqR44xtd/sShBzy0eMfhTckOk5M3sdbMXpUMMkFutPRRb9emVMyXeaf8zIZZ7sW9F
nhFMLo3YN88M0CjZp1kNcas6JPyDsyDi5hWPIfF+QV31ndKxPpGq5S1WMzo/xtw405eu7PyleUWS
uHF+11wPOBX0lzHlgjka6b4oQcftjehmRWCkJA40unaPOdDfPv+EjtLtb7RWPwCt4l9b0umdC7dL
ZxDiR1oZVOflBxCcXkxOZPR3SrFzpw17ax/srzkw7F1/MJ7OlCoQro0c0EexO729n77a6q/bi1rf
P/A2IKYCGSYXc8HgrDB3Nr2I8++MfNHMl8oLORt8L33CtFc4bY3Hrp0qAE/+Z1AKSKPFLTfVFw+I
sNR37XKnat+K5Zmq92PLNoLfWqiwQYQpwh8uEpmMh46qNqNN5qETHzH+eaTPvO03QvraV0JqLg4t
dGnRQbj+Sos9zWAWKZNo1DmUgyMLrMKJ+UfXX29/qLW1OIIfARAzlAXk9lJNStZrDI6eZH0RAkza
xF6nVg+1Xh9uW1pdkQWOT9GBF1Pa1ytKe7Q/FjOB3xlfVFPzKYlRW8n+RedFBAj0EPD+RoNRujQa
E2TgntolUZeEhRVAaa9yPt9eydtwt3wxOehboqKL9uv7u6LqTa1U1SQCqVK+x+6yk6v1DFOLdR70
LeaVtTL/CsWmboda2hJwhyvnmjqY3aw06NjO2ggBg2w5VJmh7oyxADbLUOcHPesmvwf11cbdJqKV
/HsFkAPFLBeofhku2ZrOPPWOl0T9oj4kXfpcK/d18qkcx4OF1tTs/XN7g9YO46U9KaIleZbSkSpJ
BIi9xyCruQPu4TXdIqZda1y+AVT+uy45N1UV7JdmJUmUWfovL9Ec38mrsEPlBNAWn0D1zaLJPseY
T2du1QXWDg4AaKK5h+rru4PjLmWBoUHXiwh/xciLr/Q/3Gar1rF2ZsBuBjN4U6CqIiUlDi9dg/R5
ElWzU4IpFKKeWmH807dm76OBtUXJsvLdQHAGmkQA0hwwZIufc3GXa1z3kj5D0LGsWCd/2mEUp9SG
BGudb7jkygWB15jAaMAdQe8j3UJeswAV3JRKVChDaNL8kEENRhvv51GoYgRmkQQL3brVV74Zap7Q
DYBKKrD9co6X1OBQKBtHnIMZ6DA/U1J/yynXbICXG/MsAtmN5V3vYdspU67MphLlXMesauUnNaQQ
io3te29FQAVRNBaabwZy/msrqdZa09TAMXScrzQzfcMbfX1rkFi413XcuLbyLpYmIP82SBLZNTQ3
TBpmW2zp7x1cWEDb1wKZH+b9JY9LVAFL5HUSlf2RG98SnoUKpD7H59sBaX27/poRjn/h2ANXq8Qg
FOeoVro74pnLWUvqI629LY6V90foekFS4kgmZhLQNyQRpoYtFmahdfAO05Z055oVFFiBBwTfI8Da
0rZVhCEBGXVPjGhViRuo6t4BoipnEHEwNrKdlfwUCTB0KUCphqvuHdVJZ0x9pTUNvKAHc9STOoPM
yIRGWhUo5d4unkv9c8qhXOHRDXTIyj0rLAv9I5AJA+EpfTa8XBrWWNhMyn5o+UsHKkMHFG7VvrEP
uhEv2Z61QNgR9yl5rru9quwwOOlNT2pWfMPo82dw6YW3Hel92MIvwmaAWw4gBbSFrh0pS0bLIKjx
Y6jrez1OPrGDkZ5x+Uwv+oAx7g1zKwdQiOxi9EAoP+CkX5tDcbEDIx8u7rREUOxGJQtz2pgbuebK
6RBpOlQegGVSobR7bYUrarpwzrDNM8IVqBtZ77dbU4UrO4cxFNwtyO0s5GXSzlHw1ULrFgF/aae9
x4Jy/JIBpYubs5nDef5ZOb9uf6qV7AA0QKhvA6yrqWheSsvSDG72dd8pkUPZ1O1aRdNKX8GoTOG7
Sz/9sMcuh4y5rlWfFTSmhqAFfLf3Geu9jwMZhAODA1y03gSfzPUOW2xsFbe2FJAeWmjOt+3rZI5b
A4cyQxDex7AiLgQ8jdE3ffeym8fJm6mBBbslBuKrk+nUIQZXfWN2A6/fl/WO9Q+uUTxhZGE/KJjX
+jh4ED9BIHkB6wITmvw0gkCdnaKxq0RcP+fdVyh0uSz4KJP5fxZ6YUXazqabCyvxHCVSmm8Q8zDm
GkXDw233eZ8zYyWiEoQEBR0r+VAMSt9BX6hIY5ROSHk4OPwlp+H8iX585BHFGYxVgt0FKD90SK59
Y+GDxhetSuM8PQA8HBbNg7fkwVD8c3tBa6f80o50ZzjMHlhvl2mc5QC+ze25FbN7zcZtsXIzXa1G
CtlkaVlq2di2PF/QHDnT8ZhYtl9nTjBufaJVh4cuLA43SGpUW1amaKe2GTSXpfFC/ymNXWmGueYe
DUV7tswTRM/CvHu2ytafIqa3pwHMYBuRUybae/PEy18gfTy7ytJGUKXGX4gNRkzf8G0eVhHoXRw/
K4KGoHQUdElwH1Ttxu24ttO4lUV9AIwlyAWv/abVSxfX0ZjGZuEn806I1aoBDtw0b5yENccB3y6e
OiiLogYnPdwXBVTaim2kIPR4apqdOxwyvuGbK2kgWOn+mpDuOZCX6jRZzDQWRUTF6HzbeHTK7LA5
9rt2C7ma0BlxBGboHW1bVbtORros7p9ncmbk99Td9U0LlvvXoXtKVLJBSLt6CV0YlN85INbozE7t
s7i2bX9cfkO7cFeLBSZZsKj3VAOfFYmbMmcbZb61+CXmc0FFjyIVHpDX7iH6rs4Awem46Jp94VpI
k75ytJFnEz29BxfMlLfDy9onvLQneQmEc3FvOiyLvUHz2RwtReInSjhvDXK8TVtKjxL0xpH8ilsd
/yEtrAXb58RqnsV6cbTmrw27y+yf3KV+59wDcoZUmKYPOhND3dryfao/MWXfVuOBfFD09u3sX/4Q
acUOyVQMsOhZ3I1gVf3O9C/ZtOE+a0cPPAUYcQJeFUhzKbyUIPJeMkj4xg38pE/0QC2o349b3ao1
X0FPDPoSQpEB48LXvjINupF7dkriPgs1+n1q2i9adczj3ulfC/fzxx3l0ph01t3M7AreuxnSdxdp
pnlXaM9Z5+us3/3/DElZQltpQB4xJ4sJKcJm/q2VdWCC3aVXtkTY5f3DBJog6cGUAQo+IK2Tr9Ye
p9lIch619c7L1T3Twqbdg5k1zJadl2xcsW9H9/IEyOakO3bQzBxjdgWPTNx46PPpdahlPxbnZ2rH
uq2F7vxrJnuLbCBh5AsHmCGQuuOZ8Dar6MlS8zp4Yi0rMdRo6do96N1z33R53EGLLqCsOPVE/XP7
A64ZxGsLNSLRrcVo1bVbVlrXjXZRaUDOetC8tY+l+sUBb25ikWAkHxRzAXBTaNhCVU3ofwvi3Gtr
OqdOy41Gi6aC1IHFnB9Jre6Tzv02jHMEGZStR4F8F4FJHq8BDDDiPQCojQwYcKuGsgYjENECtV5n
tO5rY/miKvSMunaQlsMzVIN2oArbqIUIt7/0HsmsDB6YiQOiowJmkVj88ZCkeCr7cvvDbZmQQnQO
zgs8MzPUfwv9XJX9Hg3PjcMtR0YBfwAQHQV2HCNwAUhfq2vSrBkcksZeWkFNyTvgujiS7uvthbz/
RNdWpJNm2h4ZkxK5uTqVPoaJgtrwAihKl2VxylCT6L0HNCI/3Ta6tTQRbS6KVSWpEn3sYdQYMNOa
AglKd16rbZxmsUHXboClCVVYwEABbZMriHNhLs1kwYpZM9/o2sAB/xOmSUvIRtxez5YlyRsSb66V
Yq7TuFfOqC5M6m6ih2Krrb66a9B0gXgcKuVAnF3vGrfqYWINrFiLEdYeeF2g8Lh1H79L5+B2QnUE
6B4cW1T+JSut0kDhYEIuzCcHsPpU8ZmD4ePyme3rInubeS4wPReCMyK6vYvvzxQsw4mRtqIaBiG5
6/XVZW2yeoDeuJmBFGyo8yycctPZ37aysouoUiBrRK4B9gm5em3XZsoS3Gaxp9cncCj4vZaeCnuD
xmrFI66siP9/4eEgUNOLDECIWHPdXVa/NPY565u90m6M8r97IIrPhfc7HogoPaHsJJZ7YWgyoG9h
VkhsjOS1gAqTm7mhVUfN9KftHiv2fVA1f7ZOfMJYxngA4GR3ezvlG+zNPgrCQLFgUzHmdm0fYHoA
YdOa4JbUwswiYT29zJ+A0N/Kvte+m5gAENh8cFpZ0hnT08plXoaXRJ4sh3p0HtRROTrmxtWx9t0w
iAihIYH9wdvzejkTsINumU0k1iwCZhcn0JMnpgL/3Gy8bVcNuRB6RjIPSI4sJdPbdecM7kxiyz2w
0j4hZmQQx3OmZOMBv3aqoOGGKjroztADl1eUtmlRjyqJEyP7nqRVASWCdEvG4l3ChhI9tLqEK2L3
4IXS1wFJQa1AmamIq+GlmqPBacJF60+luXcLugf8I1haUL9Tf2so6N0chbCM5ye6hypAMzjR119M
H2YIrBlGHivO7Ftp7S/uQbUxlP40KcuxdcjBaYKB3JkO26t9G3blty43w9un4P0mA0CI6RRQdiBu
Ahx5/SM6kiSNQpIiplEdbxHXvCvBYIkYfEd1Ar34N7e8/ttrkzdK7qRlnFaYZTh59FQk8TQM92Qs
jp66K4C/I49O0Rzc7ODV05OXHWmjR4g4G870/hBiFBPdYLy68ZFNTbq4O5OAXGecq3gufxrNL+Ak
W74R0dZMwJMA8wPKFPJHkr8SiBCNHjDocfetHZ60hw+j07Cb4P/5a0D8gIuImWWlRfWOVnFiWb7S
3kGBaEbC/ZCjUH/bK1aXAskMoWQH8K8jvQPnPBHav20V82E68eRo0/qxNJUPJx8Q7RJqcjZwJwA3
S9dmt/QdG0ytirPZhrxg5evlDzVpn6v51+3lrKQGsIQzJioTeETLBRcH4h/pnOj4NCULSFsKjYka
RCvFmQ4s0OY8sE0kkckWKm7tAFwZll7vS2q7s5LDsN3EGW/9kb4Q89xM5qGsmqAYlbDBv4qALaGB
i2eY/yB1hZRz78W3t0B+BgvfAXUamt+gJoAMivRFQUoFEPdiV3E7Dn6ag1GVf6b8ZCP0mM7DjF74
v7D3lv8DnAxIr7RwJytdB0URnDdtfjGb3uz8sqk7lFon+8QNLQ8WrS73EKYbN57g7+91Mc6JgI72
ElIMGU5e0lGZwKQD2kBzONslXgJO6Kohcc2vkzJtGFsL4uAC83ARipIXiK2uz2RbWl3bpUuNk1Ih
WQHs5MnMGxIOTRLmCgQLq570e6sy+xCTcMqBulDASlrenTRaZce0n4vQnepyY9hn7XOjOYtzhYgB
KiYpVHAMPtZz2yCkezX0Lq2Xyi5PRpmc5iZ5bOunLgd88fYXX/V1qMQDyiQaXOhIX2+FpbFsGohd
x472OH3L+AHqioE9tQc0ftv0MLaZT8dn2znrGvMFSKb4Up6bLUbClQsNbTwMHwkGP2CqJEenLXA5
aVLTuEsx0LYYrbvTxnzeuE7eJ0HAUAHxilo1KkvvhAh6zax0vJ1o7B7QDvpSOqG68QXXQvClBekA
Gdbc6YsKCxlSEKL/ypbI3DDx5pzX70xRWcHcDwY9gBaXdakZ73WO8k4dL6rnoztjKt+Snc5/mgd3
7v26Cc3kqGeqz2tIUJ3L8hUcafwuAb1t9Wem3+pH0DMs0473B44Xl6XvBxVdlttutbIP2GIIjQGQ
jQleU9qHXhnyetIwnWvnM1Qt2K/GBOdo1m3VWd/NKiNCohuNeVaws7mCB/nafZfKGrTaHGs87aHO
7TRuSHI1ACJ8N1hn9UdDvjTojjdWUCShsgleWHGoK+tSHubVy8LrDHVxFXxV7uPCHxXtXJDXf7GZ
4rUjiMtRJBc1lYsMgtgQVwXAEWEhUfDQKfy+LcIc2h23zbwVVSXHQqlaPMJBGIHBZCmpVmsvUZQM
oSBdjqzJfCV9GlH7Z1DgA9yK5w9dc8gXjhcsDTw3rskeGETQoAV6ASp195y/EPKUTvt+CrRm8Etv
OtTuvZZ0Z4VvPGdW4oVQZQUfGqI3JjREJL3ckp6De0p36rikoIGyXMxEDk2xBQpa+7zAggkRGZw4
iAReW2m8aZlG26zjlr+mk3ogYGwWehPun9s7/74ohp64oPnElBO40OS5aFUrC7foSxq3zicPgFfC
/rhJEcwAonk/eBnxxN741ivX7ZVFKernU1/mGVofsQs+ubYO27wOm+KP3lbhqJANY6uHFLROQHcD
eA0gpOTAWmZUxmJyGs9zkFOOT/WFOs8eY2HX9UFK7C8gqO9GEzULM2rJRm1k7bGIjEKQIuF+AXhe
jhElEHcowyCXo41f88lXSfaQuOO+dZRn3szfa5pCCmP8XE3MTxa2bFw7a86KU4UqOOjMkOJIzprN
BHp/gEnGtZooe9a39deZKepGKWHFimCkFSIleMdAZObaWT07K/OyLZp4apmz4+4ynaq80zZSpxVX
RVUEyRNe9mKITdpLptit54xmEw/mtzJ9JLVySFTtqBFt7zVO4HAgIcbvt4/H2srw2BVzm3ilYfbr
emVdS+1u0GgbV0XvBlCMMIJxNLdoR1eOBAzAO8CUg2KdrFlZLlmdKgprYxCkfFbLHUnHo5PygNi/
N5EGK9fjlS3p3mjM3G0pqgOxNaP9uJh3GZvPlsc3PP/9x4LTqyiZAUGEQoEMarRqSBKztu5i1dwP
w2QcTb01992Un/O8edRJ973vVX3vuNnW6Ob7TBaWQXorUi3g+mUITomDMEM4qIvn6kyhgTl4j6gE
KXkRGl6sJlsTP+/3U5gDAkEM3KL2LnvIqAN55thdXNkhG+8U+gjQzEYUW9lM/GKA11CQQDdLHrvu
hEKlV9Z9rPH2DgC4J5d9L8gdCCT3aPF9p2RnbKY37z0fCrN4/CExx0MQU4HXns87rrcOy3tsWWPt
Z57rgTIAoHn7fK3sHqbwobYgKCNFqeLaymh3damV9hB3zk/FimqLQnH7220ba7uH0RvdARE4gEWy
1q7Hi5Y4jTXEuaGFKlGQqBbZeWRlcLZ190/RpAAbscNtoyvVauDSoaWEeQIUEPDP9coor21WFH0f
W5XxRHsPaEXj5I2pj+ZPm1n3C+RciyL/NhRZaCckHPPHvGQbgXmljiF+BeAGwKKh6SrH/2opSZ4M
tI+hjBDa0w4XpT+UOzb/YxqPmqL6lI5Bi5mAjdWvfNcru+KbXCRJSuG2nE9tHw9/uBu6pl8ocWMe
6yW0HrMvzm7OdhO6U4bv1YGz9UxZuXWvVu1KdaIqXSxcurCuEvW1G39xfoDCsj9pbIcoPrMjyLTA
gROauHRvL/x9JBd9JA1siAAZQp1MugknlDchJdTBcv3Lsk46PxUNOpqDvzC2u23qrQJ5nTNf29Kv
9xhkoEWBFwA8THAyHZrkqTe/1Bw0BhDBADP03Cp+8+Mfgz/VLEVF477yfqIJ2fHdtOFmW6uWntDm
jL4+S8c+1rPxZHlgg5gOpfVa6e79bJINYytvBbFulMIRlrCf8iMUIgwOSA6rPm7sUv/lGlw9o17k
QQyYqt2fYRl4FxBoXC67AuQOg+8muaqdiq6r6d4c+bBbIG3fPLc9WlRpZZk/WJ03pU+gdP+JVrXe
gJih4NZusXUSmXmnsxAU9YVy0NSyqQ4ZtQb1NDE7h+CuUmdPxOD1FmO8rOboAoeooxSDWiCUVFCU
kVyYDV4x6daMj+urO3qYjvmTcXSOyVndNScFMhA+Hw723Sf6w0596xQ6G7Xp1fh1+QMkTyadMXVW
vfRx/63J96afRvquKu6m6eeiHvMWkpanrg0LbSNhff/uwbqh8iNQoEBuuLJTNzwvhgzrHshQBo2d
JP6g19VxcpLxq1MlabxxisRGvjtFFwZl3y1q2nmgGYrzqfUr0h514HAc/VQ4NOxRdaymL5W5BMrW
eNbK/YoWB4YO8CcqrDJ5E85p6Taa3sek0o2gSAvuW+OS7m8vby0OAzGPCwBc7oLr+jpGKFbf9apT
DnFb3fXkn0T/rRsbmd5KGQ8PjAsbUqbgJKmjptAyim3rmzrGbXkeux3f0faeg7KA3QEIw14gPnqn
s4eufU0BwL69yNV4f/kLpNum1vmSDrwYkKWfs3R46JgRFt3vrMBM9K6/c43+ruPD577Y4mpY+4io
/8Bdxcw8eJKut7fJmO4pXTvEyuKqn2iO9AWTAcnL7fWtWkFJAZV4NIlQL722Ao6atG30bogti6qn
Uu+gGYxJ4g144spTGVU9JLAggAAiE+2VazNJN+ZJUxj/R9p17UiOK9kfWgHy5pWS0pWybJfrF6FN
tSjv7dfvYc3e6UymNonuO9MzGGCADJEMBoPBE+f0j+jd2+jfoOfllq66r140t7stdMFJqbKNxW+8
U3Pc3FFt6PoqVvvHMUbLrRFPKVhjp/6rPprUg1ZwH1SNtNyhlRAt+5pS3GhmiDqQYvcuCHtif1mi
zkNNQ75F+3aCF+zc3mdTMWxkuoybVkIfrq6G9UudOtltKS+gV49iUQvRZYIFoD/Dq+P1AMiACy7+
GVcfvY3t4TGXKvpTqyFPXYyNcl+OkRIsbRWiD1vLwGwArQYQ8FRLd1DAJvvjuodcbHN8Ba5Zn63S
YNrjb1u9Zg3tnGQj4OPaPgYvSUOjfdeJ2JIuHJGZgRuiRqehGZt/+pboDKCW2o/Y6Ub2FtmdOYHX
ZUSvw/XhXBwCn3ZQXgbfMytOcTFZk4o0GudmfKzxCu1lWv6rGMAIqGczVKri0rtubXXyQGr3H2ts
1Ce5qprYRhEhYXo0nSJ0HTOT/CUDy3uDQsmfhuPPgeGZiXUZo2WWO1SLtG6msG7HRzw5kFoND1k+
eFa8CA7v9XX6bYY7RGuAfhINvFmP1Da+oLU9PKiDQwVxf3XaQAAAImGVZStcVIrlfqxiOmDakmZb
KJNv1s1htBX/+uqs+sJvMzxIq3f01B7QVvrYqR/dcBid2R2Sp1qdBHYEw9G4pbHSpTIkA0tjo1PZ
wmtG0vbE7ERa5CyqnUU91JGwh1COBLoHzYdckK2cVI3TcBof5aSm76UVgtGUNuFARtkcfB0Ycaiw
q7MHaTFRFWFlhKDLwuseqCgAX+Jv9FkFFQMrz6bHXmpdO8NF0IR4Mbqmry/Y2ghBoIpIAXUL0J2x
zzjZTlSJMWtKOaGY5Vf6o9rOJM4mxW0ohtbbgInnos6dFR9h1Pno5ARcA0kzN6lq1YJDEBrXQI1o
OambviSWnHzEtERvxtTNu+sjFJnjTi670bQhMcfpcRzHjWMtLenAH0CqMJ88I7QF5/LKZkaDOxwG
1RH07F7Apzq1KTQqT49Flu90edjicetP4aNwylMT3FbWe3UEX5w6PZrZq96OXisdU/1bGIrkcVY9
8PdQPg/TE9comh6obFWbHtPsFaIkvpLW0CGZBYGJT2RQhGNiQii447+YlCfnDtpS62qSh9An7d9k
9iLUoOpnKdWN6tBDmcuuGrceE/8Bls9uASYJG8GRwu2Biy/gPMSJ6riLdakMen0DSe00NShJzZak
Vn4zgG17EVGucTP7fwYBVgFaBYqOfIqoy+gsxl2pDPRs1w8h3lt3qCW7f+T3n0bAnAtOQWS7OC65
Y3laigLSAkkZTMZPbboJS0DdTBKJwL98Ov+PHTYQVMSBguT1yOUhokvKNG2dKPNs9c1xMzz7KQZR
XEfdqt+H8qmjwpcibld/WoU9eAzLpJDfnMctedZZvqmXQfQiSYckaHOSfJHNTV4UnraF5hKpf4bQ
bKi39exOutf2m+vTyzdD/d8XQHYKoRPAG/7uKy86hL4kCzrsh7uaoEsC/2gbh7yVZMO48w/Vt/it
fr1udc1VwZ0PHg1UB4E1ZdNysic11OZHxYKMcga+9C67i3sdwJvSzWN05R+raP6z4+FzkIwCCWgb
4Hgvcrt8bI1BirQqsKfuuWye9TI+FtlbgUdfS3J2U9s9XB/g2tZgzS4K0ORAcvF4AKUCIaVT0jpQ
Idl2O6pzv89G65A1s+iBiq9M/TM29CMynjFghDUu71JSVDQaK64Dtm7RrttHu2gHpUZf2UR43tsW
+2pvH6Kbbp/udDfcNfQYZYHsARERgPbj+rj5q8nF13DbVWmWFBwpSR1o5XspJW5ovyXhMQmtbWtK
m6o2DknRkUGk1czXAy7scvl0q9tLOBuwO03TRserbm67kkNCsHtToqSuXUueE71F2UZ5HGbwKUIB
sXN70XZiUf4k02Kfga55AGZRS0KuzTMGDGYSFqgm1UHqjF5iHRPQMSlTTzQjcnURu8Un69KFNUDm
gGWCyPIFGMSJrE4Hh08d3IC0gtQvXQBBedJsyh2aNcnX78C9EOpFPt3883fqfgzu4s6e4ockcg1X
9hR38mdPJYDECEqmayciw82j8ZBhh8Gmdb7J03nI53bCXOj9QhwUF8kSvy/GdN9ay15OUCdejpLd
78d09mcj23W1JUBNrKyGhkImbsO40AGhzUVXSOVCl2bM2wC3R7bVI9LMe6rcJcUfAgnZumOfI77Y
TBLE5jucY53Ky5gPbTDat500eVp2bOXOLZZDM+06ur++y1ZODVgDRhjnFBg3PqscJ+EzsUa1Goal
DVqwNGwXD9KeuahUeLmT4cOodwN0AiQInnO4GG20JU3bvKIBOlPVbPDSnQ0OiKz3MtUice0NVXUb
Ks/XR8ZW5MyjmVGWFzLgPuNhP/eZWEoLx+hGGsiQTPSXQS0Caaalbw1NeixytXRbVUvdXmvvWigF
ClLSC39BWYV1X4LhCdUG6LCdWwdvlbmU6JcN5ixPgtFSAKPS8xC9U1ZziMbIJOnc54K0jUu1LbRQ
4dKC+hcAE6zLgx0lp4s5VWiJQLIdlKrs1qHyPrWDiAXs4rxlNhiTCRwGTsqft6He9hMo9mlAqV8Y
vpwSy9mEGz37Gv0hfcM/wzkxxeb4ZDhaaoO5tjJpAFd5irWamPO9MTxKtX6vFI/XvWVlvc6Gxa1X
CRLeHjqSNIBuR1Q9qW/Rz3BgJJvXzaxtBQbKxuMaw+uiHeh8TEMvzyjXKPCL5LXpTVent1a9zW7Q
55Hd5N2ym6oPgUn2k9xGODPJnWeROkhabjCvqKZHCMeiP7xz48nwzLlz7ah3YwB2+3B6kKeImJa7
6B95KtJsWp3fk3Fzrjm0XWNByw0fYXllu0l3+REIIkkQpdmvXAyV9ahDpcfBDYob6tCCLneGxEnQ
0plk+eKCGX1JRSzyl8cR2wMnZrjBzGlXFNCehmO2W7VstowH3dHwwBY/xN5R6T2Gxl1ILkLXXwRr
zi4XR0s1HyUnhF2qflB78ZdJh+IJyZtOEL3+nxGiLGbYgDZcsDA5C15ECjzxB6mtR35c6THBDSJ2
naV8UhKI+ORp8a5U84+yi3NXK53KnWnxRetLU3D2r41ZQUkYIAScTmiKPt8wKcouAHZjzKlaHQzQ
VtuD74ygcxHYWYud6DREUQsMO0i7uLntnTo229KmgZFW7bYv1Vdr1EW4grXgeWqEi2hJXiqJNhsY
TJN+mKNb/qj0FFoRiSvHlWdCyN69vvlXZw9PZ6iu64zrlMvo+zbVYjzqw1Pl+3R+d9BgZZlupz5d
N3N55YVnqsCSAnDCsiReO8820PeROGMclINHra3SmW6SHAa5J/MTKLJngG/uVdAXXze7Np0M2Iae
B5A5o5vt3DciiE8WRjPBS+UdxetE6VrfwW8jl9DxFjXIr/nHqS3OP0ZoSqVxDltKWbkjelmEfYYi
C5xzQBhKnacZFhwFz0EJ+kf6PyvFfR6oeK4FmAjSrHiQ42rENpI9NWuXOIgJIN2CTHIt9p7+OOdq
2TAnNrRI4kCuG3cyvxpG5RatAM+4en6eWuHOT8ApaGEObAgg236F4vbuh73JfJPsrruWaDTcSSKr
jSHJEhaDRs96j5qJXEM8TPQ4sL7kvxeEc+AsBCpu1uc4WNDdHPcPuf5frjjntaFulnZSYrpCNXIL
+tCCde76RImGwHmt1nRQNp0xBNRGyeygzBMLujbWYhgenJBygg4DBRAukQdTHk1VG0tRK5Zbq7Nf
JDaYfL/WItb91XDCqmcQaYVaK/+APBhDq6O4jy1u63sjiV8c7a7VHnE24XavHIdUVIhfPWbRpfev
RfZFJxnuouq1UaElO6D3EqoqaMmrnrKb2TMsorhmge45wXmw6tYnBrm5HOXZSkyUrALFeo7S3K+b
42iKjPDgn884gxoCiA9UNM3j/nU+LHBrt03dynGgPoBoSrmRM6I/R7657f30Jv9qPOibjIxfkm/W
AY15+zrZiLSfPiHHfCaIaxDeilg9AziV809oaymfVGgmBBm0rR6WH0AP1jdOeFiqByMDYaj20qKK
dSf9wIswsTTv+qZYy3ZPrXMT0NIM77+ahVjYftMG243BhibXR3v8yOe/OZhQNsddk7UH4MH5fKQO
LSlYSXW2xU2HlOmYe+BuMAUjWtvmyL5QY5XRwXqhqQiqHWQAlRYHph7vHCc5zLOosrq2zxnEky0Y
CgU8nWnRtT0jFEBol2Wigwr8zZxfpklQTmUezjsGI0OGjB4o+i8Uu0ZwWKsdxOuD2PaWAkADNN3o
vdsZJBt1soBPVqOZYNetnlqnRjlvTDVscx0o2SCfv+LdZgxl0myNV1P5MKN5Y/Z0Hw4v111wbZyg
zkC/AUhVQP/MHcddCOqPMHHiAFmXhGJu5C+BfV/nm78aHKtPolsN7IdINc8dEOyXdlm2NAmsacJV
aAtmK2uOwZqHNij6QCeNJOBHGkX1UR4/+hll0PSDrkfUSFHp4U6esm0hINphk2k4dYDBSUmfQ7YE
GCZUSOvodn6VlLs6rA9q+DDrrvo93w/1pvlIzC9AUwiOwU9AI+9X5uf7FZgboDLBfY1kO1kL1Zk4
mP3pCTjWB/v7sukfowcADPZ4RdthYrw0GB6a2I2+44Hi+nKrbD2v2eeOkti2Fgciagh4JQmPhmf8
mO4nLybjQ1eQ+KuyXW4cX/KBqx3C28idb4p9tjOfr3/FqtOdTAJ3vKht28ZyDT9Xx+faxAOpZpNm
cZt8p1obijeELEoFE792aOO0Ri8hupLB+cF5XxUlaawm0CjMFg14eLe3+uOArizqbKJ7kf7UWlw/
NcalU048OjRKYWw+xLvkqQdWeSMKg6t3KdC3oWcRXeuMJuB8P8VK30tlnyXBoAEam5uuYXa/IkAs
Zl07VGl9z9JSzUmPUfgeC3s11rcVHhCho4NXaPzr3HxZRU3YNinG6CI+pg9l4hVPydsCvZnteN9E
m/gOXaLv5ZP0Lr2PQpIQdge58GN03qA/ysIzLb+eltorS2SgZgpNxT248sKXNCX1W3gfotnu7ed1
f11NwPB0+EnJjCZFHhFG2wrSrlGbBE037eTxYTzaP+KeqKVNpPG5a1zDe+4FxZXVTQJHRUMf3i0v
1AYslJ2rwhmSoP9m7frn1C3vMtA33YjY31d3xokd7rYHTYCiGpIxCQzjxVnwWmeDiirQ9W/Sfmgm
QfxZPeLYHfw/o+LOG1OF00JVMQk67xfKUl9Crw+WWzxYCkuobEdfeAhaoyy8WeCxm39NyJfOCVMJ
81fmmTvRTa0TAz0gu9j2zf3wMmnbLCXlS2sdVTyThqIC+FqawsRx/2Oe256FtIyAmWKgm+m7tkUP
5vfrPrnuHr9/nwvkKaRRIEeB31eP+kwcEFU4xdGyvuDGU5kGqQXm/p+F+22Pi9nJZI9KClhEULTa
BwQQt0WV7zv7PixNNzT24XQbQcQ9E122BKvIP+kNygSZ9RxmtU0aHEQiM+vH4e9V4uXaygJ9Q22N
WRw2sx9+6zbg41D27Yv05nj2NjrQjGQymX+E79ZXXSHycd5kBlH/kJb1nxzl5DO4XaEOA7i8WnxG
lMZElr4Ow11Ti2oia7k52qPA8oKeA5ahn0dsKaEImWzrLV50eLd2s2vcdK+xG940D/FT7Sfb6x66
GlhO7HGBRdZL8DjFcxKk5TbXGWMk3mQftfFozHelKswvV0+EE3PcHBpSA5YhG+a8RSXJQPIHfbtU
Xh1YqWtU940QSK6tBZgTg+z/n9zKqx60qXqE+Rzd3J8fkEgc2uDn4kZk8tu9iPVrdb+fWOPuBqUG
vTpV/rRWBaqruxMZfhnur+trthq1TqxwaZLWQ9bbRvtqkO/se8Azb0Rtq5ewCVwAT72Qy43QHlkU
VIOF/tt0g1z8ON3kfuUnAB+lm27be9N2fkwLcn1cn7jWi9PgZGBcOF7yAtdiCu/Qt8rgpl91Unit
B6gacAnpwfHbitRfZmifvEpbeae9U7feljtoh/pgbPYoCd150/1F1e10KrgQvoy1WWQ2ljTUc9gx
LFAs5L0IKLC27ZGzABXxmSfxD9ygmQDyiUpJEAO0T8MKFQbBRl+dXKCq0FcBKQ5UUbiBoMSD94nY
wdVuM0jI//TDeKi3w0+o8QbTU3RTBA4qOdAa27VBte1+lW/tNv+i+Z3f73uvuo1+VFthaYftd37F
Tz+KO7C0UI2jbMJHSXfNRvUrr3U7Evv0m+FWrr657l98H9lnBD+xxuO3ZzWuQPoXsoNEd2M3Bqrt
R0FytyDZdiaSd93cJy3VlcHxMO5FxfOlmWNwvV944256+6lsKBya3o3ftDvZ774vr42fH4ytsgvv
KhxbyRHpDtrpdtG2e7bJtJO2OWA7gu9ad7Z/PYF/SIqzuNdCGd/lyUfpTtrrrraHSkkOJVR04X+J
d+lhftF2xTdc+g7mDfAx1gP1Lbf6gDBYi2vol+iH5sr3cpCQ8JYKHJVnpbpYJS5ktyCzkcoUq4SO
XPJSsz+W+76ginr4EDIoChxQ4yK2DamwWk9gTD44JCbadvOmEJ0k/jfRXXAtSTp1Pi5qG0YEGAbb
f5n+0Wf3WvUrF5UqV+P2qQ0ubveSnKBFgTk4oia9k8hAEkI38ybyJhekAyTZvvy67k2rd8xTm1zQ
LrVGMpwWNiN73lR95cZQTCrDbNtF864Kl4PUt7t47EB/3d/ZDr0dxnBTZZMnLfNWU2o/Uuznpb+T
RK8ZwtngIt4094nTzvgy5ykFAG72tV3vg8uRlK7kDj40BN6Kg0imbTUHP50PLqT141jTccE6gyjn
cdkBkvGge/mm9jpBrriWbJwY4l/TwV4UmnKP4Y0+WvhvdOJsE38k9OH6Aq/6rYOOMpCxMTJMbjxt
2sqzlEdpkMaN1yjb3CrdZBJs+s/T5yJW/rbyOasneZo+hK1RSuiSVJp9nPxSJrqz7J2DW9M0D/dT
XBFqOq46VG5S9O6gjTuquHk4ux0gbtmSfxlB1Fb03VYLy81SdXjk03dpLflR0vidpd05cnMM6+zJ
gXzE0Nb+9UliG4v7fCDvGLEBCJRBX8Sl7ZUyAtWbdzTQq8WtuoboGnXV6LkYBaux5l42IH4oJ4Hc
7PKJIO8mfZpSC1C4rt6VdnbXNps49R15q6bPvQbejwia1qL6w4oTIHUAIR0Y1xwA7nknmLMGN7w2
DiKA35qBbjQT2XO5CIAbAjN8vWqO9LTtQToYZN2BDok3K9Tt5ExwMK9ZAYSRdTqjhQWQyfM7ARay
VxIdhbcW/uP38ofwqXbFHYCQ/G2BfcGJN9eSU3Z6i4fUbCluxtI45Pa0aZr5ZelFbXwsiHGeB+lV
BawreOoEOpEL+WGz1Mus4lVYzcAxEEOjQYFg0bR4feJPZpttBypq0WER/dIkGMEY99gl9Wk8DiBt
dTB/UGEt1IlAdsNPehNMZ8UOeAdBNWp1taAt+x9r3A1VsdrJUkpgEfTR68xvafg9FGVEogFxt1Jg
Oe22l9Q46Kxl2qKH3AFJngM1wnz66A1qkUTXRUX+VZuQmWG9DlD34Al3FYqWTinDU5/SuTI9bnpr
Wy+bQvSiuHJI4F3stxnOE9tKr9SoxNtp3aiPELfZKFHoSp20mxbFr8GezLA90iQLrnKrG0BHAQO9
mJDh5NEpmZo3odEaAEMk44/JWLaOSr0xzUo3RRvL9di7ugNQ4QZaCdEXmuDnm80sWxUy2RhirOxr
VwNaVnOrhdSbsBKcUiJLnCtKujlrbYF3GbRQKdFzExFVCxJ/7m5Emtar3nEyJs4j0ZbQlVAg+7SU
Ql0vPtiFG6bPY/g3sfDEEJdsy8Bc6XbKDCXyNikP3ZL6Qp6vtdK8DTbmf5eIi7hjPThSumCJQGu7
jVVjU36jw9YEK6L2Ncu3hYXnNJOSqJ3dthEsGvvti2jFiF2h9IKOCP7Sh2ZCyTRqPEJoy8cSPUyi
HhPR73NOYWlhi5Zg/H4U/zLkr8KzZO33weYg43EUhP+qyVzl5CwZ7NZy5i7HaVXV36DrvRwm1RkE
e2htv54a4VLlzsiz0qiSzz0EvFeKDqBEv7f7X9e36losR0sgAxeiAHHxHKbP3RibUE8KGueYph+N
Kgniztq+QQERHcV4L4dCGTeO2bDbIusxWahdmc28lSGkgehAlPwgJcILxurSnFjjsiKaWn0Iov04
SChIi4kSlp030whtNBmEhdJeHfxcTrsvZdI+LFYzsHaj8bbvC8Mblbz1xmJ8ttMlEyym4LMMLiDa
S1NadGTYpziS3FEH7V3ayCJ+/NW1RMEKgh4AdKGodO6XTVvP3WDWAGxqk4tQKF7MtbML7Xn/WuB2
1tAXU9f1sADM8lOZpRtpCsE2NBKz3w+6TipVP3SxIFyseBB6tUCAiBsPaJ34oo3SUYVBA3BymZLb
DelN21b3fS+7Ssd6hWi0++MtcWaPi/SWnU91XcMe/IhQtHhY0XGu/+I8PrPChXlKM1xQFFipnKM+
HbP+VxYfe1NwI11xCQedOqylks0cz16uO7qWyjVymsIOd5mR7NFAZv+5c4MMEOQz4M/ToCt37hTX
536tIHj2Y9zk9wC+mamOc6lN+mRTRPG+lWh033alPyexQmIwMm1Kq/yVDmkaJGYN3JkWvc6Ntuzb
qRe1al923YIoGuAXE5QmjCWJ5+QwIyPW8wynceRkN4VZH+ToW5WGrxCa2zjUJGaFAryG1s2FJCXO
S3smdrYpU3VrpelNpo/vcmJ+vz5JqxsCiDAVNwy0ln3Wf07OHy1yujzTMEeS5MWLb9zUYIiFAJ2o
FCeywwXTJKyrTp6RXNGqPAyZupOXgYCdEFzzyk2TlIJ9vnLiIRn4d1j8jV3OzNwYIfSF3l8CmN0Q
eqAmqVvB5UVk5dxb/6e1rCqfKRY0J3J4/5ZaL6FIRn3dhG6gNw2RGJfA8zisJEYXTg3mTU1Qmp0O
I0hq3rTh4boXiKyw1TvxgppaNB0yWIH+7AQZigBU2MIotXJwYU1wp0TfJJp+eLKEutX1pF+APqtt
uyfJZFjunE4ieNdKFn9mhcsRgJOxC12VWBJysOzR1VttGy73TG8I7E1uFx+uT926Y/8eFefYGphL
UQ+I8ShvdDeJWT2n2dcqu5fNFijuRuBwVwenovnlfJ0gbaijFgtUU6KpRLFS8J1kRH7ry7tUZXRQ
ArdYjfggl8TLlYOeUz44MDJalIYwNohF4Jxs38fk+frs6WyLcPk7Io/BMmAT/ew8S82g21PZ1BiR
00Wxn+RW7UVg6nXnOpXIPBTJl76QDRBXp5lfJ3W6iez6bdLakThSrBOlakMX2QtEJbv61zwBZBVR
qrlLPOQu9o7jLtP4zcjaHoTuBaTjoWlh5Ul4A3CrTVqqRRHaO0OgNyCN+eJAGsMdlIjeLSDV8soS
XadVndmkqEE0h6JI6eqTOQUKBWWELheWr0SjRAq9MUHVoGmb65OzPv2/54ZzZWrXoApKoiSo6OhV
dPCkSOC8q/sejWMAN6ETDxp05/6EqGP3KMuimm08KFGgzdDKHIghyrrWyppY5d922EhP4ovZZ1ZS
yrBjHnLHz0IiGW6oI1c+xD+kvVYKJm410pyYY8M+MVcuCV4iLDgVvSe9gPFKNGVcqISAU6eGCn67
BGJUv2sOy/v1VRcZ4FbdHLrGLGfMVZSEfqM9N6PlRur9lLz8d3a4wFVkmlZBYwFP39mha7Y2EMHt
UVYFG1wwGoeLWH0Jrbxcw3SFz/2tfR9/EWkrrobE32vNZYz/Y0lDmUGNjT3DKjFpZfTJ7uj3sYOi
rmDCViP9iSUunQR2QVOXHJaUbIM20t72cS9Cu6Us6qZe3/f/7haHS+fVSJvxdA5DFt5lp5gM9IjN
Q64v/+po8JQBFn0FNAl8MgrypR6rz5a/eXQAsJLMHrvSJtaHKaKsWB0Pu67jL9Q5+BymlaKiLKYC
wA95i/SXaBOos0Q4stXxgOCbwR8A+OP58zOwGUixUSeBPXoaGv+K1iK5RZnIYG0KzsVVn0PxE1Vr
qBDgtnIeX5w6DPOyRFGozf0k9qdhAwRemaOx1q9EGKfVWHZii22wk1iGcvyYSD1s2Q0BMo0KTgDR
z3PhTF2GPNRHQJj7HlWhNtUtr49EtKKrDnAyBi6kSbWWN5aMMRTTbWd8GOUBfH6C1Gh1/UE4orPO
VlCMcUdZhCcG3FpRGELFnS5oOcwU0mTQdZIDiItc3zur5xkY7uBlAAZDwopblKjqpR5y1kB+4rHE
n4fl1hpreRu1heJFcx+7aE476vase3M/VWSylUoQjNamlD3ZomEYcB8U4c/dIoHQNC6ZJaZ0+ZlE
X6a/6BGFysDv3+dOB9OmVZE2gFvX4D4tUpNYxfdaexbM49oo0HrG2iohzIWtdD4KkJgWqHniRbAa
bzK5rl1Uq4Ouu5/6jORqTQpoN1klECxY0DR/SHp7MxodmYx7C5J01z9m9VsApIe0MaP449nv+jIx
w4niWxRoMHmoCdVumWV3Qyu6Cq8aYiQrgOwbGsq+54NuSydU7WxGv8+ifixh4fhaLPVejH3nXx8S
WyQ+uTahEg7SWOiFXxKrlN1EK6tHw1mZPg8VeG7nu0Le00V12/atRCvjkgu24VpoxAwqqBFBwAvN
oOeDM6Y+nZp2wk0yjTb5DhpvhCbuHKluOEckFNEfsI12McITc5yb0ryD7KSioL4WW3vFyb+ANx0g
A6UmjRzv/2I2f9viERmDWoIRYMDQ7PIF7fqEjg0pnIVMj5r6oNHFk0X9B2sNJiAfweWIsbQ7SNDP
Z7Po6jhZYrRnFtPGUNKbEmxJ2aMNClTbyUmWePTGjO/qeBTshbVTwUK766dmNWMJ4OxCrwOSUChs
0DqOfqEe37nSWCp/EcNOrbC74cnRJifOgtMNozOGZFdpuOIkmwWCzteXbc1FTq1waVueObPcZ7Bi
qfNXFaLl6nIALZkb6yKYy9rGZuy+Ji4BIBXhCxwtnIPqMq7LIcoFuzbPv6NRWXZjOv3FGwD4rXBt
Q38nEhue0n2q7XwI2R3BXOzOzxcoe2RtLdK3W/WC31Z4EVR1jixJ01GwkbQPHXdy0MII/Gy1JArk
CYhLgHexwetz7gJdgeZHrcPLlFH7DtD+3aZ8lqXbOiKlduN0H9B4nX+iG96Y35KocLPFzcu9KhIv
WcsdGPEvek3RMguU7vlXaIvUd1ZdoQk43cdjtKHlvo5vB3PeaFTUnrvmjmg7/NQMBD6FXzrJghpY
1QDRMYT5dmjd9zyDiOIg0j5bi8MnZvi1o4qdV5bMcBXPfUrMkdg/5fcwuUtFTT5rZ8ypIW4TT4Nm
QLcVp1n6q3mHqXQij4vkm6Enai9Y2154ZkZUgkgQO6TPV8mOW5YKIdbfNU8gkBP0eq36wMmvc6dy
A4xBFhr49ZwJwMqBZbxByINYxnsT7q5HpLWBgLzPQH0aySquX+cDyaUcLGusQ7uYmkezNiDZ1u0M
6eMvrOClgekqGRDW5RZmpvjVDgRAQd4loE4l+vhkzSKe9tU3Frz5Am0lq4yqnTuhoIUgt1MGcM3U
+DUeLbS69wznS2rabl44JJt3Tr416RYsJ6TQDpJsba4Pc20/MXFw/IF4GpSXziczlZsE4tmYTKtJ
ejSJO5sK2CwvzYuGRFJE/7j8g7IrutE/e/jR1cbN6tKD/b9ycJXpptodOhA91uOOFU6MSpBuXA4M
lnBwweVBew4CsvOBLb1jRTWUEgJcAGMwzIBmRo4bf0JDYKhvr0/ipUee2+I8cmmVvq0S2MpfzIws
WEZVYGF9NEivWfs5OFK5zZvbUlW0Bq5n6Qi0Z6Joya4o85YMZuwQ20rt/9Iet50XDZuiHXrgQiR0
uDi/tOIXdpiQ8WR94lAcBxkVroO86lXX1FE56DNu51L1DdjV+6LNbqUoE/EnrWBsVPBjAN+CZlAH
73QsfJ3kSmFh53YRYTxKVhA1oq6VywS6X14dJUjjO2I6yS5r0VrSfuurfVdZ/nUXWVvA0w/gNrqU
g7l7WXAhTJxnxTim0lHzRxFUbyXhxTBxK8L7L3qKoWd5Pky5aHWpxaU6yGK/ayqCJ1A6Jl5U54gs
aAGCIOJgFESvfePPHzvOTPM5bxlpdtiyXrICvXjZFuANRVRsWeE6wbM25G0/SXstkHieDw9s/blc
TR0msZd8iGnZ7xX64PHSAWIQj84/ptmrjcEFb7eGFe1TkI2FhyRXX6+v5Qqq//w7uN1hZtVYNy2+
I335aF3z0HhG8D18p5vqxTnUG+lg3udP1pfIE9hl0fH8unZul7vv1zUk140CThS9RIVf6C7DeVRE
3lfqQe589JwVojrnSq0GNlEPAukFI4XlZRNlJy/HsMDOiYoOXfi6204EGGufYeHM8NAPNdH6gIr0
UFf6E87tcvHbbLphyRXMcUmkktwN5pZ6+n39DDQmsr3usbYJBLVoSsbX+btgnpkfXcwzqCRRDzPB
0ML3vVRxChoOCdFWl6Dq1fxweupTOm1VZ9r0tDwmXXGfxRtVGTDw7KtRQIXi+ieweHTxBSayelAj
ANvLU4001RDWEN9F/Wgeb+UG7V9O+x051msNyv920N+vm1sNHEwSFjBEGa21vEZIv+Q19JsX0API
pQek+yGWxojMlf1oPNuJ28qvzQTBuNoiqSyY7bXICN8yGQ8CzgGeDaexajxq9yqeMO/gy8WdVviZ
oE1xdTZPTHC+ZCGPCUNLQfSnng2N0aIB/5RJpLh3axFY8PLWB789scXlArm5aNFs6Shu9/aPztFJ
rEiP11eLRfEL53CgZQXECdaLr9XPRTOg2AXnWJAVap3k4/GpHMCrpnzE0tGWeohF/nHOjVFhhUzL
ACkd9gQ+6eT81MxlhlqTiWzKwPY3v4LjSVF7QXxbXaYTI+z/nxhJmrICs76FC3PulH7imJE/ODJZ
2jQhldVR0tQ5Fdhc9T50iiDGgSkJLyznNpvExvmRG0kwqS+FTImdvljT1xIgxOtrtjY2EDTjigVh
WMbmcG4nBnEclMGwwSaMxANKcwjm0Bg8fRmgjT6mP8H2oAhsrsZu9jANHjSWe1zkwCEd5tzBmTya
N/XrNN+bFA0JceRqheNO2cGuH3JLsNfWJhRiquDWh0Q8oAOcp6RFMgyaje1MQcckuWGCErR0r5ci
/cHVCT2xwznLkpqTkZmwM0zNd7l8alO6dV5BXrmZpdARhGMdq8PvOJDsAm3JysFIQM5Xr16qMpW6
OA2sVwX0CiLecOZk136ecw6tUtWpGPM0qJevYxSSCgz4lfTUSwcVyvXz9HHdF9nPXTPHLREU2ySA
Xwu0k40GKcf/Je26euNWmuwvIkCyGV+ZJioNFSy/EFZiJps5/Po91Ld7PdPiTmPv2oBhQICKnaqr
q06d82CAqo1L8rnmpM6njFmfxmyjKqsXYGBvgqfqPhgyRxof1NExDTcNAfmqOLW49e1+tkrMWS6E
dhzrAibDclPU2yR8Bqmu1SPHLNQvbbOR1F/JrDxcn8zV/X5mlAm5KagtxxyyQkh8gI9LOqEjx5Kk
uxm5nOuGViMiJG4gEQy1NTzVmaxy18gptFLLFLRxm1oD71ibWeFgQnyki+4mId7EquaOkHKs010v
Bp6Uz27pq6AKm8XyAEFtTq1ibRuBEtLAoxQNVqjlXh6KUcpaCHHV6XESb3TlCU9EbvvA2uR+pxRR
SoO4KjtkRTAVqL2q6RE5CUvqvxam67DRLFnize7adkUpDQkwqNlo4My7HIwoF6ZQzVp6LEHhGO3C
Xjq0RXjIlr7vYk/m9LGvf19f0DWnsvAwL38gqs3iFHqdTGJDFGhfktFK8CblAtBWusUX+tslVAAI
De6YcSx1bQZDXKEoaIR36La3E+Fm6RIdnCH/PR8kiu4qgtIEXqSi2wxep3GO5OoQETd8qwMsTX+X
s1pFwkjz5VGYdkbhRVR4KkwIqV2fx7V9iMfuP0aYE6hE8RSCHw+vwqDwSJ1atT7afP5Xjplv73MW
nYRNZbYGwUMoa+RdOD4gN7nl78NVKwBZLoTk6GhhYztKTSjzAfFzTGY0ahQSALhVIf0RzI5H77R2
6SCVhGZZkCQvjXaXa0PNDoVPA5EPFTJ7yMxNZKLWroB22IIX2nRNKEIggCdGuHqiwbQOGk9sR5VV
Ww9jFSUqcQkP6t0k6IcKzR8dlqv6V8NbxBtARymCMUi+HB7BctXFMjyA7rcJ0bfg0FITPG5i4uXl
BD0CXri1unRnFpmsgIi22ahUESNX6bQj1aabINmicsKr1VXT8cBAszlEN9iGLbWuSND22B+p9gu9
M42nBjtpeK4oLp/6/vrBWj29S2WJIENtwC1eTmEbZXWOsg9SOvrQ3oe5LNyVedW5162sjsgAdB7P
TmxGNiWsaqUOlBZiqw5ZxqX+MQ3WbdeAQ+e6ndXlObPDbAix0dN4MtBEL7uvosXxQavbGk0kCw0p
rikWRterYVdWkYG8towuS3m221GBTNZ9mXPCDbJ2UYHrlwAlsLT/aOwuw6mdZTxajkYzGK+tkKrO
FIymDexMtA+WZtVkDpE2COdjUiWyDWKNyFKUTjvQXnCRe9ccMcuVbTVKT5EgQQSpkDOPmkm2kyaC
XvmAzk5TJ81L3I6qB54K0TJiZEjLOTv1eT1YOnS/HSWS6V2f4DvCsZMgWELj7ZgNsV1qgNyJpTa5
QP+km77Mo0OI32yRBOAoKB5pnKlfewgs2lF4oIIiD3HR5S4FyXNllOqcHkch9adW8ZHK0B6ylGRO
RcPoNRJqlWNy9V4FwhkwDTyuIF3EXDl1qFEtJiPiksmqHQmkKLb5Ij3qL+mn+J5/SLqT1DYQdNd3
8PpI/7HKFiXjXEpFksAqdUqz2Y/6a1h/CiTcDerTdUtrJx8k7yZaKlFEAaHC5ZymKvq9mxJzqlQA
HNZi+lgHFW8Sl3iVfYagbPxNBQBiCDZ+RI6rljphStEQJW/H9iU163sR8CRz3FTmNi8GS8wqq4sf
r49tpeaGe+3MLrN4MX6r0EOt9hiVEIsfxPRpluLqjqqBeMjHsHgIizBB28swOYOhCrtAln4VoUSc
ccrpDpABntrJ6sPl7ItYXjsDKLhKQHsYNJQsetTfQsmT3/s/otWVjtFwdtGaq0L9DbqbqAHjjc4M
X2gaqe0iGAsTtOzVuyxH82/udpjr6xO9bgiIHyQBUIpga1ZxpEypCa97hNSOiOqD1LaW/if6vG5l
9VAAswi6D8hfQQ7ycqs2UwP2zxp+SLfeQChn77mi9auH4cwCc3FMXd31BYBZqO4RaNA8tFuwmGyJ
+xFZkyM4BviDrg9p3b2cWWR8fKbqadIPPUiU9ffaRZIvU7pXoWi3UrQFdBqpy8m4UfvSItAH0DOr
L3jKP2uX8oIE/Z9ZXebkLNjNwk6dxmVWQV7hgE51l27ix4i3Q77Tyj9cwJmZ5c4+MzMJVR5Avhm+
G17Ugmb4BtpXm9gKfyPFb3nNEQ1bsfOCPKCLMoBT7cK73n36nF0e1G9tvEi6oSCNgAZtG8x4e9KD
sEQOcKtWs52ANacGmzitnifFzRsNL7P/o8IuYAVAFQLDAKUfssA3mdgKacJYkfIkQxsyFDFMMf5A
g+VtnvLSZGtRj6kiTgC2G+3x7O041YARAGACO83DSPeKsQO96vXtumJioRXGrGlLOoDNMurNnGVV
OUAf01VfskPEY9xdOeESIngVirZoisdtdLlJUPLqaFyO2ZL3UIAa2FY9NCJtOeD4q9VxnNlhlqRR
er3QzD475vQLGGvQIXDR6CsuEXASdOBjIOgEZgVzwzhNDUGbsiPNdG/qb5a21Ub85CKsV4eimQu4
GdVujW1yj0JTELNOy46DtFGbmyFxAcT5F6t+ZoLxu6GRGWOdwASQK02xhwlw4F83sVa1XzBegMXI
C30U22SBHG8rZB0wOMFGPQRe4uG6tlp72n488fI/a1HBhS3GyyON3pOoga0kedKHPRnACg6QqElK
S4ycQnNAXV2X7pCdSPbOS2GQ1Y1xNlLG48dhVwjVMlIhssx3I7OmQ3jbH8Wn2UOK1s4Ob9K2dcZD
68Ze53R+Ymfbyimfug00jw+Tp2xrF4WEeCFu9cE0x/XUK8HaxfQwDrLQakryZXqeJUd0R2veybCm
25pV24HzUt6LoHl5Nq3Ivb4HVnfy2cQsPz+7ISC6MycU8dkxG4JNrbqDKG+M2btuZNXDnBlhTv7Y
Qb9aozCi0keE17lwEscXyZ5Mzob+RlMx993FLDJx9RgbpaIuo5Gczqpuu73kGTvNJng/lHZkJztp
m95Sb3b0g+ZUtnT7u9nXuwiMfBvigDrdER3FA4Wb3fnQ/pK97EGCNm20nSwNM0+s1Ik9Pifmsrbs
Vy+lxiX1jPuRzSJSM5gqeQGyQke83k6zc33214rPgPLh0kWaUQUFMHP0okDs9EyAmAJFQz+x5twL
UnQet89N5oaVRTNL1/K7XOfcW2tn7twsc+ZkTWgyNcaw9ET32hHNLukoHyWt+6P1EU+xdCXAwBih
pr1k7xdG9ct9rGEbh0TFGFNZ2yXNBlk2qQi9bGuqXqNvrs/o2n7G2xRJPUQYEItgfLMSB4FKl77U
pq7tRCwOyG27TfkQiyN4rP/vGamlX+EfY8zq5RmUG4IesG0STbeq3tyE3aum905cV5Yopd6g8MTE
VhcOStGgzFiwEQbjE4wQOT9aoOkqaQDtm2gF0mUN/UpFrUhWgt6Q7fXpXLeHhKwKsQoZj4zLtTMT
UJGZPdqVQmn3e5ckiNdGynsNL7uNPWRIYaCYgjotEkmMDxLjMZSbpSOJSs8ipV6PtI0c+3L1K1J2
Q7cL5cjK0Pqrp5+Vss3rl+tjXPOz5+aZMU5FPM1ZQKGhEGiA7ZbIXgWzH1b16bqd5XX5c5iogC9p
Z2R7mENHwX0UAlmL1i/yqojqgSTtts592fhTSfdZkrt9y6OZWB/aX5PM0QuBFgYABKgp9Es0DijW
PpUWGL9cqzhjWzt2qLf8MzZmX4YkF2YpxxJOSb1pNdOhU//QGjSyiVZZAjQGrs/lml8+t8dsmTkW
AjSFLfsSTEaxcuqMj+sGeDPHbApx6EwpWAzQR7WLbFr6ispxwrz9sPjNs/u9StCi0VfYd0UHebIM
dLAdbjnxHsR7JM2gq/RFgPG6PqzVdZLQYoKjLEItlFmnCdlNQSYAIdP7EVFMaKfDNiVWS/9ct7M6
fUgQIh2Ml9EPFsOgEtNgXiBsSaO/TUGf2oEU3Iwjj7JzdR8QvCcWErelJ/lyDtUqU42iXeBq45PW
bQXV/xfjAL2EqBjQXIDs9uXvj6OuREoMeKMBVFO5CuQKcKViz6MdWCtwozPqr51lr5zthUCcUkEb
UNsQJJgKvDwF0ySa97+QhtsMugzYTKXYWW28oruqtYrmXk2B6pbHY47FDNEde33ca35fhjNGVlle
UNfMuIkwVlM6LBUy5ArVHdL5c2oZPCGgdSuIPiFgBho+VgdIgKawoM4YNZDBDX1r8SRUhnsl5cSe
q5sR1HL/Y4ZxFnmoDS1olVA4AmMiBI7TEf1AGQ+3yFhByVJaFCzxXAeWD1kNZsrMLjH0ptXHUwDp
bdJ+SM1TMHPcLM8Gs01oF41DUQrjaQQjYlRB2b4mdh88X198xkn8ZySgwgHCTkfykmVWKQSaQlIn
mk7AXIh+1ILgSS3FZFtRKXeFOpZvtWAaON5wmZ6z2/G/jQLrAO1kuAwWJYYKMxpnRXU8RbWiDY4Z
CLkBmqdqmrw5Vup3VY+Vl7IcqTdEQtBw7hM2D/1tHiEOLGugrsWevzyAlTDPQi5gZoeE3hrzViBH
FdwGZb/r+9ka5OTUqVtz4IQ+azOtoNKMkjeA3eBRvrSqqXUBItRkOindSREyF9Ulofs9aPshery+
psxR+8/4UGECXAfIXjSHXFqKU1NTIjMaT7oJJQkjqD109qI3u8xFmwQKrwFwbTUX9UVotKM/G4H/
pTk9T6ehEMh0mkLSnMxmQGVMTWqtB10Zoi2rrw0gP6ZwArFtoJUhD0O9NrEo30qijIsBq8o+A7I5
lYpenk8zrY9DBfrj3EShJf/MhPGVEOSPr0/vD3soKaCqD5zOUgn9wevQixCV7ZFsPEXgPZ7UwRqy
HnzYb0L0XhScu/XHUi628JgCggAan6rEOAEJLe1ZIxjdSYsHr6CyF42jPffhTpY52/PnqYAplNtx
DXwXwQmzayA02usNqfuTpnWuNtxgu26UAEjw4CPTqRUicOmi+LHTeO2dyxguvIGCCv8CSYKgOdCp
3+/ms/tQz42apIMxnDIa2mP8ZkT7OBLtLC/s1z5QN93/8WGF2in+oLi8MJmDVIqtLWcVWoohKCWe
aulIi94OIvogj4lXZj0HWrCyfLAE7WG0ZYMynR2aEcV1nZaJeJLjFypb1bRJQhmYx5CzJVemEBKu
iz4vCFxRhGKOQCjF4xjNpnhKa/2Wyq2rLZEC+FP02mpBq0PH5K3MOS/itcGdG5Uvzz0IsNS4Q1f6
KWyQs4l2YviB8z+Rt+vHbdXMwsphYHwiCBEuzSRFG3XVhLFFHyL05+XkWQP4YCKcW+GHF4MDw0vM
QHUdwR9upksztA0b6KY10olG0as8KVZbOrki3SpRj2SG3UU8Kho2H4RtCNwTGPURm0tLHMEMDNi7
UCSjopwASUFH+2STUt0YmWkDqWAhdD+MxmiLHfURYB/G+P36tLJhKMyDlERGsQTgPKgMs70QfR0I
gPHMxgk6vZs2ui3KFHBSE3kptxR9M/6i42syPxSbimwTqAto2m/h3ijd65/xI8pRAEfX0NOt6xDC
QTfX5bSbU0GKAHo8p0wAiLXQCuEwoEaCuZDI3XVTP/22jiYXzLe8XFUoE12aio0pkwCljvxcVCxy
NIW7qsG1RBdO7euW2Cz7Mrcaas7LhsUFjN10aWoIhSjXwfDiE+Te9mFY/RqGWLpNp0L21ELIX8xM
lpxJJJndZOK8qyTtrkmHZp8W7YFogswJuH7M8gJBMzFsBakyBODLz89c7CL0rFMJ39Mbd03/CM5h
N9V5RHRsvxhKYmgmkjBs+HNIR7KjTiWcl+h71KGTf+l3vfM2bpOv2B5eSwgRUNuwMhfgmMQa7wNe
Kffn/fVtHW596ezBK2ZJ7Z+Nkcp4w5Oxj/3RQC/n/KjnftQhLxG7qfxV0tqVZUiuEvf6UjOP0v+M
GRw/CwGCjLuT2b+iHOqQyMPMplXoqpAlbtGjd93ET0exjOzMxvINZyPDqIp+ipbV+4XQSrYTx3Tj
Eqpy1KJPOqd1eX0ez6wxe0WIs0LuxTb2O3dAWVywNadzQlvqHB018v/n9DFnUlGFtAStQuyjDc0K
yEcc8Xoa2G7K/14hAGGQckTzN0vySgIz78IB+6Kx6C49hA+m2++7xOpd0alvhq3w2Doqr9Xhh69Z
lmxRZ0HED3gr21oXQ8daS2WMK8FNbEu0cyI9w33cGqcmTn/ncshZth+3JGOQWbUsi5AyCbFHkMKw
cjPcJ/Jbrf3SaM8xtPyii2jt2xC0PfBAQx+9zmz4Jq6zVFbH2I8lJXF6LRCsDBGjPRjiZF/f+DxT
zL7Xo0wGCQJMTZk/CYYlmsgLo6/tupX144WnA/QBliuIDdI06BqNsxzgeImfYSmBh6B9aHJyE4/7
LKM78meQq52QCbepzgMp/bwoltk8s83EUFlAarnVzdhXdHvObGjYU0/q7Dp4q4SbSkYaHBh9MFlZ
eNZcH/bKhgHDLvi58RZV0XTArGNYq2Dh73EsRL3cpdV0MpURTAyF9EA6UEFcN7aykgvLMt5MeKgp
P4xlJQCcQ4yVrAl4TPBaPAlqVmx6g6d+tnLuoJoKZUP0GkBcwGAu3mIwMnwI1lK6Uzu/UtyYWKBD
yHnFvNUBoVYPhwKObszfpUsGdCkiRSygcCGbW8F8SrPbxJA4AcuPqB6PkwVVBjeiAxzAysN0YVdH
XZ0lvpJaaKmL29oRpFMibUrccCNtHcLjc2MhWYuzvDC5jPvsqklJJOOdHiV++QU236i0fhWO8fop
A+uJGrhsWhoYizibg8U//LdRxEzIC6L3WmUOgVQA6atFeeLPxM6/ytv8t+IOmxkVY5rucigmcEhc
1uf1rz1m6zeJWgFIBHt9tzdfaPYQiVZc2KALkNWN8HF96/OMMU6sqCehTQhN/CQyXRrg9Rcatj46
uuDn5m4YDTwtQo7jXHNpWMa/I2SWsVfBcoIqU+KHwWB1ymMlWmPqUDLYGRndNPgMB69GrkYdOLcD
dy2ZCz3TMiKOE/as9F52ya6XjK3wVIWTn7RoYQxxYei20Ue2mQD83nPecMtcMnfTxbAX73C2e5Ws
r8S8xlxPioD2atrPiJOqwr2+omsREh5scJ4ACxBVZSPNOqdT2SdF4hdHaJBYsr7Jyl0sgyjaraGq
Oh94RGure+jMIOPVcpReGhPMmL5mz1vAWUucRbAgTC+cvfodof+YwDNDzEmsgkXWAXg9P36evqiv
H4zP/E8XWoOb3Um59Z5ZZP96lKEQOtrFSbKlJ87ULgaufQB7NEVlTKYW26ecrPA0jRa5GTzRG5zq
sd3oO4djbjkH18yxh3NQ57kfYW50IsX+LX/eK3fUhWzfuDma907yyeuP5q0kczBpBJWdVMDWqYMb
lL5t1R+QapCQ1BuiU/mYJLF3fYhr1zyo2RfuJW3RC2QMChKIjwUFKzrQ23HwpOIr+13zSlrr0/jX
CHPoKxImU1g2iR9Ucu51s/YWybVkx9PIA2itBUw4ezo0L5GulGHy8ogXaVI0Fdyb36oJuO33kxfs
yLFrnlRtHybvFYA7jzUa6ZNR5DjV/+Vw/DXNjFJvZLUAGXbiG+NdkH022oG06Oiyc/DQTeKhkZ26
etceuz9JZyvNcwhkQ/Ce0clqqgfVfFEML6E8uez15f37TYzHy3OonpkxpiNMhMBRq7TzckBKHHSU
+sI8uNc3E3cKmLAHOeI8hhQKLrMm8moFekdz1kPz7y1U+/u2RQ/8uNcym9L9+BUl0m4wtqPkJel2
7jxaggFgxkX7QMiuy3gMB+sn6+9MLD8/8/2NUhu1uqyOmB/kvWaP+a63zKfwXuTp6KzeMn+3INut
q6Luh26uZRLUWrKmqY6dRil4FKnrN+mZGcbpl4oZGXTAgEzzSdZdoOTBbkus3DFekj2vvWAtdwPg
FhKCyFKrgO0y0ydEndCGbY8rJndF8zaYMnBtPELY15pkrzKfsl1SPw2NfaAfRnOYOi8Tdo1kSa//
Zof9/Q72btXMdOxEBa6k0LblbKteV2yU+SbT0Bit3+XarZY4LW0sWXUgDGWNZbOUQ1xFP6bNgxBs
O+GPllvKifNZP7LDS1x89lnMYiT9TEmmYXr6PnoVDK9otlO0zao7PNaarASco7Jnje5ruk3Ndzl5
zXvwlJyQ8J9I4hadYkXBlk7QdnQAxttl8k2Yl85c6wcyWJkxuXnMK6usu8qzb2Yu8yFTshTSnHg+
PJW/Mz99qG7yzegOj8pL9JD6Aq8OuHoLnNlj7u6MTMAMgRLDr4Jw9qYGPb1KFdR2qw/h7vp6fNe9
2Isb3l9ErIJ7AJD5y9Oe5XWLbBwOR0FCyCDldpyHO7E/EaCRxG0LniaxeySzp7X2bPRWkD+CV1ia
LCUHyY8V662Vh5ytuxoWnn8T44spNA0FaCVgvg1h08yvClAdcRI7pTB7pH1PoRBC+9+oYXicyVgm
9tpkMF55QKukUrU4M1F4KAuflIlF4jsdxNjzXRl7qE4G+4E6VD/GAedSXHtvn4+ZcRsgCCN6Ar43
n4rCC5ZCSEL0FUhW9MuQeYzYa373zNb3/J95eI3WZtLir1+X6EQUAQLnHZm12/TcAnPKoTwkNSg2
JX4uQ+Nkknd51aATSbZFnUvytvyuH4uGlmMdJEpA3bBZpzBGL6ksYjRN4eJWdIU/uk031B5v+hue
7Pz61jwzxriCedbBQQiGSL8RXdQchs7pdXqgbiDjTgGUav41aTEnWFjNJUCN6p8RMv5A0FC8bgh8
ptzngK/aKiCQsl0/mnfGtC/DGPyOGwPUVOWDLjw3OedUrHmjc+tsaD82mS438H4B+mY3IXJCjjkq
uLcGhPecA7j2ajm3tXzL2c4ECX5dlNEShZUHDeTD4o0k1laU30DBShhBzRnbYX1XegYvFFmO17VN
xLhBadTHOZ1gONK3I/mqkMIA45GVtsEm1j/0x+vjXLsEz4fJOLhUMNWa4uXrx8VtLRbQex7skPwO
QLURhTOiYee6vfXRQU8dGUO4eY3Ztf0oyELYTnDyO7XazQPAwjYdNnnrGD6pubnY9RP51xyzX0OS
NvmAJlXfROMSdcMbsNzYKnoO0B6jOMhC895mqw5t4aMF9Ars6CYzn3VddJBINmAwEkyLDPFszSqS
CNdnca0AArzhXzPM9SDHhSypMe7lJLuLiCXNnl7dQVQJB9RSIHynfiqBR0DGXFjltJC62rrGSwut
etazb2DuiZGa2awm+IZBdPMNOUiSJX6WhU2bl/qD3FNHS28z6dGg+0YoUHrn5Ri/iW1+nJR/PkAV
mepgGPXx0mOFy1lEkXUfPvWFpRpgvQZaaFNRT0m3bXpKh6PxUL6kdGMK+zhLwCya2L2cbHIdqkHy
fVy9DsYpyafN/2uNVJG5eaBX2yH5gs/LIX6TeH13GwHt377NqVckVm14c/AgQPRC7HeiMDvJ3FtG
xWuiXD3fZ3PEnLc5GJV+kDWkzzZm5IBIpH/weRyFq6lJyIJC2BI7EoTTzKbPZLmrxBCQf/OQJqh4
yJOrxB+5fiza30ndWR2VnNpw1f6VM8VrTvrcMHMM5iFFh+owxX6QPnfRV/54K2gW+EStcPoQEqt7
e7hucG3LE8i/mEA1fbe/Xl4KtJ2ivCoa+A012UztnZg/NaFq04QXd6+5kXNDzMDibG5B1Vih1jgO
Fo0HWzWerw9lbWOcW2BOb9BXqt42GEqqUltOO3sejml2NyRvVeGpPY8ufNWcgkYUTULGCkjey5nL
pRiEpMtKtVJlV7RwAkDkc9B1B7qa2GWnSA5JeFLGP/EweOItIigwLOKxx+JhEknQqSChFNc67bvg
l6OjBs59DmEttCCmH8S15d7ezhyE2GpodmaWZbpJRzqLcwWzHXLzVn0X/iYn0Zt/iy/Cvwlvz00x
TkaKQTahDSiOJRnkEPsD0Z02fNBMTpjwvwwJXWCASYKgmYV6A/migGt9SVennYgXiDA6sRyXT3Vc
H2UNxMn1lE5WXlXmkYBdDSBwyARf37HLFmHdPVoe/vkEJjAyG4MIeZckvi45St1aEdSii8kqjIOg
WNdNrR0/IBi/YS8ggmQzkp3YjoVYIR0EzUljn9NahZaNJDjXrawmaHTE0tia6OhAG+HlodCbvsRF
jreJPvl9uB+qZ5w7Mn9VnwUgm8qDBCa++GNWveQtEJ3B3AbUHe6Mt+ufsTbY869gPEE5gcqkafDe
C0NR22glBSpVzHhwxtXcF3CogGoBOAmVeCagnjutD5oEwXuGdk9dsMdedlXhIJT3AbIKqmFXxo14
7NuPkZvdY8kavquR57aZrdNCClSvTYSB2nhXxPE+aIV9V+a7fHySxX0PYh+aJvbYvMr0Pe4ze5K8
FL0iAurMu755m1QHOjWqtGtKD/vfCYM/Ak12qZRslRhtHrmwA7eNG/e8EGLtfsPOIAuzw7cgwOUG
0bSsqNsJ0fKQu2H7Voo386xuBUvRA2t+jqBZgnxoTT2dczmsPbQWQiKAQQBwBbLu0m47m2YjIkby
m0gBxCYzycEgUbWZBKJ5/2L3nZlapuDsnaVlA9LNw4xyDToI3Kil85ZKEsd9LVuYdR3n42GeAb0R
ALPZini2UrQp76N6srUQOk5h4Afhn2AwXD3kwaBWo6Jzo8u5OxtZXwUALuVYPEMKdyEUiNUisXWC
52oXOyEpnQjoSG0+jo0lJhPHt6ytoAGWBuCUFq469p2VaYDPDwPeIco4dq5cqoUnpJHgpIlW/Au/
jKgPZJpo5MLlzoxTAONXabbmkqrKrRb197h3IDjrir3mgpLo+nZZHdcisgQPAupJ1mUiw1ppUxKl
PgmixgKsZ7LjoYmdrph5j0eeKcYvKsUEQEuep37VZtomxXPYTdMw9sQcPWTXR7XqoAAG+Z9hacxT
RgSTcyCDksIXaZ0RtzXqhSEVFESdV8f9XN2gG2/Ip72gIpdliwNRwCcRD8FdM8yS6qYIg2KXanJM
tiSBstIun/WwO7SmPMqOHCf4f0gKUtndoAv5gx6Wcf0liVGFPKImjxsQOieg4StqbToYg9yYVqiN
TbWtRdrUdt+LTWvNU1QaNo4RyPY541/LK0HjDLxkYOpfNKeZuTanPIsrmaSImCr3bbYqB+oEsfWO
rn0rsXlZx7WLF1EhnmQAnwOurTP+rZrTDAe+zfza+JC0eq/jTgqUIAKiQvSF8hOSKFYkIPWczcdu
Km6G2FXSx2IIvIF8joIfqB9m3Hxc3wQrITJBKkaSgGgGexHb+l6YQ9aONMx9JaotWRCtQiw8LZtc
k3oiIRYdXq8bXPNQsPjdL7HUXU3mWkTgSBuw7+Z+67XoQXd6wbY+yZ/5qfNzLlPYMqeMDwawArE4
ml5kdMAwPjjpcr0cTBjDlernm66y+udsb+d3yb7igIFWTu6FKcYjlRFsyf0yrgzXc2TonxGN/qhS
znN9qxvpfFDLl5z5eHUIAohGwtK0H9JtV25QiQimJ1KWTiBsS+GmcAU8hlU3yK342RBf1GGb9E5C
nzhLubZ54A1BdEEkMJSyNzYkYqhO8yr3x/pmlN10tDNxdM0h9p7kX/WpqtyFHM5JKisXJyuLT4Vs
QRZCLU/XP2QlSF/gM/98B3OdL5IISSWUuZ/noMObHKk6oEAMaEnI4/VfFvHnfvpridlPGi20YTBh
qfDih5JXhF+rRl0MhNlDegje+yLAhMYThEhBirhJ0sdkYbcpPqs36F31nzMgCbb4Mm2LJ+N2wMLz
Yua12vzScYDOQnA7oxWOcYttpkSk11psr+C+3mnGLe3s0REb8GZb9Wvd29Lw3j6H4x6SVw1xy+6+
6i1po9d4bBZczPrqsQKgj0C9Aaz8JrO2eTH3mVzha7r9mFF7Dl574ZAbKERNdNsKB2ACIvVV0e7G
rvXyvrEyId6rEae1ea0GCqlF6P2iMRGEVCweFOotoyCRPvefJeXPXJSWAYFkvXcz1coTR+63geQr
wmuq/BkI76JaXRFtUShCfve7GfPywI9VUNWGMWJ/n9Dy6e6U3fxWbeJNvtMfwO9mbsBL/WY64m25
bQ4dx6+tbfm/xn8kPMWorwuqzLlPjRRIheaQi1xo/bKI7LFa3qKQsgSGGX1ulwNUs6nR41TElpv3
GrUzBVR2/XCMNFt9rp/MyGp1l8tK+p0RuWaVSQ+paFKsa3EZmdM7g1s4cWplXnunQDzWGq3OSe+F
PXFfd+2dehwfN8Wpvx1vo636VTqoAJ/it+tu7Dufce2DmKd5BFKvxijxQaol75s/1HuL7MZOPm5A
6rPrnc5VfXM72MFntX0oDya+sT4Ip/fG0d1wYz4ZDrACu3Yb3mTWK+K5DXRp6Wzpm+4xsXgUXN/t
Dtc+lnUTZdWGMjSHfKiPoc8sf4g1O/Oh3OrIL650Ut1uG9yKL92utbfX5+nntQMkM4L/BZmNoieb
45abSk8UZar9TGgtAql6M/JQMu7gnpBlC5D0vW5vGcnlSNHyhN0JRPECFmPLK5SkRV/VtPWNJwy0
370Dolk/5w4v/7qS71rESQ3A2jWktVFAYo7BoBg5OuRgKN5FABh0J1M+DgO4ZUbqCOmu6tAmzMGG
L0eLHRyIFBD/IjJF7zNzozVmH1ZlWba+kqgHKUHHrhl91D3xepl+XZ/Hn55EX/iKCdJ5CxXRd1xz
FrcEY67EBqBVftiIR6hz4yUVc5IXPyOBSxPMpjSSoaDaVLW+Powe9OlQ49tWlRMbEjAynDuBMxy2
H6iYUq1TY9gaW+UUZqlHAh4KmmeC2RAi1ZJS6pbhTDVEQVTIHrxcX5OfZ2lh0VgWheBfSGpebrmo
CcqqVzOsCZ0C6ER0ThMZzhyXjppBU6gavkyx5vT78mwyVzrwNooYBHnrg8x0ofrZTUZoFfk9/InV
9cDaKByHsTaNIEsAkQEBjS80uy4HmZBEL5QC06jOk+ZOOhipak38dX0mV3KNy1T+tcJcJ0NYK1kF
jQi/spqn2Yqc9PgSdNa8t9XYGTnp/vU5/Gts+fnZWYrbopxVs2j9yZ4mK/5j/m4nS7Wfr4/pZ/B1
OSTmOOVmrZp6ACv/RdqX9kZuA9v+oStAO6WvUi92u+2xp+3ZvgiexKOF1Ertv/4dTt7NdNNEE/FN
AkyAIF0qslgs1nLOvMuesy86XHDVaf2zYsDQuFTCmrALaQ/f43F3a6wnLxwR4J0wqTG48XVNVG7u
XJRk5xNt0HC2Ch/O/2rsMuJs92L0OlQytRSCvkcbGJzvnpuW22Y8zyFlnY1N2exzy9l1TvGzH4Lo
I/r8kSRM/mz/wzAr5tru+1NdgfM+sdPPuVXdoe/oi9HWmghQaQUYMkfwi9ZvTP9eyvL6fqaFt8DW
2nRTgRLLtX6uCMqua6Q+P4iswYspoLblIHBCD31jrRCTdfcpR1O23W2NsLptAKlOsq1N0ocscWIw
Z37zmnU7p/P361+g1FNgnWDYGhA2gXSA87QESEdl9idGv9ch1GTHNNO1F+uESAfXH2q/KzMLWobG
LpuyO2ZMj6WRa3ys4ikJ1nfE08AhgB2i1nO5aQkgbQfiJjCQ8g04dRGmB2N0bJkY6uyKqKdlxNY3
e6pR+ykxN7AtRmCa16hH1MUnj9axjSdomz83a3ZzfZUVgePll0krgG6VNh86gisHj8iN0W2Szx0a
3X8l67Z8IDeTha7gDXkhD9648/8OTuBJjTz3pHvXvHc++AzU1PHGtQEFJg80DL1bBck8YriPhnFm
A9rMAn3RYSkjz9cW3cSVdhlliUw1XtNoihbVRElnwzC8hbvNILqRV2Awlrcdfa3DrfcjbV/xxo3Q
6WmUb0AT0pzd91cfup6AqQPIF8Rdocy8EDQzQEIIRhgz8sPz7zr68/puKmJWCBD4BIAnAWu0KzQ/
c0Td4K41c4vx1PNp9KOwoaZ1P1JU+o/lEIT5Hv8e/rSMYHA2bhmsJPJpS25sA31am+vf8v5oYbgd
tT7xJsB0qFwBN+ma0iDJ5hOS1Fa+AQqHeVMsvtlsQFOnw5t47+ohzAa6pXgUCNSZS70Ho7RSu63m
k8HYrVsuPG4s+Iy5mPF2rHShs1I1JxRsOSi8h/ITJJnXegh4M5/Q5mIeFj/xH2bXdG4B2FdoIgul
KKASgbkP+dlQbuBPct+klTtCsQXQVZhNZTe2Vzt3ToJhw+sbplxDIGl4eOyIx4f4lHPbCfKxzRJ7
PhV1zqPUvgFPvYdBiHkLOP11e12YIt0vcKWQpUQriBjvkDwiKu8ToulmOZmzET6Gqc/HqPZSIFsJ
kHsQpZGloY84xyymadrtSNmT7pC3hP1shhFvPlInbI4qYo3P/VSy8sv1D3x/VPF9yO8IXgZT5Mel
1RiGeq0wEnhK0Dx8VxK3EpNdtmYZ3q855vdd14TxAioS89qXUsiaEqN1jOXUYqDrDlP4y8E3jOy2
r3n+bLpTq+nYU2iF3QUmDnpwBCfAZYx3fYXemya+/ey3pBVCgshO/NRdTv6T85Pe+l+v/7yiNHH5
+5IvA6RLmhg5ft/OYvqD3mUnoP9Hgk31Bbx2+FMj7/0VdClP2guvLJyBOpAXZkfW3zFQLn4t/B9z
t5/RKxq4n2dja/WCr7rIYhTpoml+6rK/W1c3w69Ib15+ieTN1sb30mZ2MF2bbp3hzn/1m3sb6bj2
tdi1VWxWXsT24fDpVbMCYvcv78VLuZIHCG3XWFG7WU5D+K1pNx294euuTHaoVX9N/9JRk6hsH5OL
ok0WZFC4Di9t3xmBy1zyaj3l1Eb1vc5B914mn8K8TaLRrjvNm0NpT2AFQk8+xkuAciHtb857tuB6
XE8godr4+RvNo/Y5uf2+WjfDGMRsmwe76wuqOm0+MF4EAxku/FCKM5bQ4rkzmSueBT7fFWbR7BbS
6xJV4lfkXTuXIq1jy8IsmadxPQUd2DOtZF83++EeM/9Rcgf+M00oqzolvgWMZw9Pd9zv0qlkPasK
qwnXUxik5YOJd0LEetLeWgZ39tytT2NR1LcfWMczmdLOjVY3TXDSkGmOBZqEGgCBt3Vw8xEpKMEj
IYZO1nczaoi1e9LnqP7abn/PgvXbhF4ljRCV0QtwwRC5D8R/ssOfaRiQwUSJ2e7n9D61yM5OnM+M
BNVmyT1Xs3AqFw0PjX4rwZWEqcPLI4b0pVEnTWmewLXtRVMw9H9hmasHrxpazU2mCD0BaIZMooAz
BIJiIBlGOrqry5NgPaHt0bmd54qhlM7rGHSRS1xRM/0y9qg7kqmpH9qOLQcyhb4mWlKuLmrnDqIX
/CFHS2IwxSITchcr8qaHggZ9lDvDsqHInMTZGvz9AYsBCjjep+jQIjIH6krtciYJYNXIOPPdWlog
m+saQ+O4VF4EcwQEXQoC11QG8vVKw269KTNPNZmeQBAMVrFw+PzfNTmXIfuQcDBIzmD7tDSsKB/7
NB5DXS1TUSpHD5sgTIJHRIZbxtcllFSBU86Qggz+AdO2/I4ES3ibzEv/eTCRmKMBD7ddSgBZ43bo
L00XP7KSdNm2aPTeerkR7iY+gcS6BZHDYPj5c9q4LM7Ykh+ur4jq6AADBjUNjCMGaB+8PDoopbdV
WNom+j+TZENxPZ3GHoBPQ8Ho6SOiQOCOhiYAncq4uUZhVymnoXnixrDENsvGl5oHbuQt6AS5Lkpp
SwGIb/DyRY7Bl2K22fPynHEHtmQO6cNaFOvWtXvzI9Z0JkVyBT2IN0kOj30C1aO7y4amvvXZ4O6v
66LcoRDcTejhEekwyWYDm80j9VPrBGQLIHCO6B1sVrt4QEpKx9KoGLaB5f6R5V3Gzf/TuGjCKYzA
PJXIKKACFHTVeLTmpZ5uUmc1h+O45M4SGXwdu40TtuVy4+ShySOLrBwle+YNSJEx14/M3ONp1Hce
Rp9rt8CgwkdWhQB61QRpli+/TQezHozeSkwMyNHmYPXE+7aYE39KhjrUlFzEAsuBR2ACCk28X9Ah
LR0RtMSRpg+phe5G+2VevZ9da3/OvFNqYQAE0bPoLek1IZVq0wWpK+4YMJ4RGVSoy9y1nTlkTl2T
RYbXDnFjZNkOzROpRpQq0gEYeOihRAEYS/mqXhAOjFbdWKesqKL8rvc3c7Id+a6bNDGB6lCeCxL/
/ezhnSQJtYugFoZcPZZZHrO01CSeFBcjric0bgi+T8CDSls1ueKpLawi5emhApt8AXSPyJtKNLa8
XDdAVZyNCi1cJpB0HFCqSeosYwcu5hHqmMA6j+103Ph95u7yuZsfArcz4j6vp2Pfuajse8G9PwTL
19JwGs2qKiY/kC7BJBJiVdiKJSeQG4bZ6XQuLLRJ+FFas/vZxWy+/aUDQRUmDOL24PYA+EntzdTg
hb/4D5wNYJIcP5V1fWtU6aw5morzcvFBweU+Nx2w8idbnJcs9t18Z7P6LsEqDOAMptMCHGEwsm6u
74bCtiATgHAE7gBvLMkVB3PjmlnOITMtN27xaFa6WXG1Vn8kSMH5jCdX2HeQ4HZZsmOo6IXzaZjy
l27skMzIn5o5ObbhpHmHqBJIF5pJZrYirduwrrdOS/W3T78aD2mIDNK6PBemu69BrVP3oDDJY9Au
bDFR+0DrKA81AKyKKgkWF/xuYNJFmB3KIOnVWiGmNuAj0JXloE+lMaaYEg+UixaaNasSycfkUPj9
LrFmP6oK5+jMOtxrYTaSG774BsmsCMeNEi64B7uJDq+mYeLlV43j8HUeESmtAPs+TnS0N2tZcY2L
VLqVM/WlK9ifgsrKhfoE0whG8Bei19glP1emSyarncofSfIF3HZtkaJlGT7yBBqhooiMBySviy/t
8/TJ/anDTVHcMlhSoGKh/OQgWJJOTZfkeTYWnXXy+6PrnAy+cxdNJk5xu1yIkI7NONqMLVML7+T/
BY2AMmiXr+kU4Dq7ve4C1Jv0RxnpoPTl5E2+j4NSrjE6hG68oIxqv/7EZk1AporvL3SSbhnEnEuT
mnAFA/KzLb3typ3P3dhx32zUKY1sAtl0bBQOmEjK3RzsmxGbl286dwGdpP/VLZ03Lzf/vq6+0j+d
7aVYnrPb1cLbzCo9LHRgfc/yjZk0kbsepvwHNz5V1icn04TYqocw6vRIsfrAZcbMoSSwGoq8QI4C
ccMYdbBVBygJr/7fpR0F6FRqPnNdG6zaC51JFLZ2pmJZr+Yyi3XnWbJt2jYia7hv6FO+pHvXeK1B
hDvY+6YG6x4fv3i9xhUr75gz8ZIDGsp2yfxkEC2XYbfPAquIeNoW2+v7qIrBsa7oWQIavuiHleyY
1DMA8yqI8YPYfrl1cfpXQHQd7QjZGoBrxLpnjPKIngmUzLk3AO5tBDg4LvhDFtZFQ2BvDet72WSb
fv12XT2lyzkTJllNOvRNvobYw6ZufvCBVXFQWFZUMkbj65KUB+JMkmQtE1nItMyQtHr9tvSeaLDt
nBvuH8Mlbpo1RjJKI1Hpgc4kSgYSllNZTAQSyVjtg+RmGb/xEkNz4+66ZtIaAuMXz54zliBJMzK7
ADmtQUbksHHZ5Ib/NOQVRuqHX9flSCv4jxwB3Y2ylYPxCUkOpuWSdQWz17Euk/CuWMIgRlrD27S0
zDHIPHX7DqOqt7XdAtkVY6rXpUvH7f9LB9sMUkLEQhvI5WmnS0mTFE2Xx/EY/nR0uMliL86iid+/
Dh4/pPIAfe4gZrz89SKzaeKUwKXF9bRFX8Bt7vXxxMdd2TzbfF/7mhBKtWfn8qR7MJwxX0sMyCN4
kLgGjeumjvzm6/U1EztyTSvJd9QNtyrDskDc58/YofB+5eEnv+8PY9jcFFSThlTtEMJeDN+5AdI5
8msL/itcCvxz7NzVjOsynWOEfTqwYvmi+WerQIyNNzhmhZDOudyqpq7LnplgNmu9eueaN0a9EUg8
AUB2faSTGdvglbbhhaE5ZtJxfidX/Pez66ZpMgdDoNgyv3wIx31f8l3YPA6NTkHlMp7pJx0zj1HL
rlvB3AZCnpPu1a00vLNfl5ySEU5VP4rVs7ng5Xg1U3MbUEtzWJVSxMi6DyPHuIJ0nKbGK9rZM3BY
w2aPqTrAzrjR1GiSlUrzPpMiH6LQy4iJfoujZ33xkybubQr6InNbL2/cefnAUQrxvMekHnpM5B4W
w+Rws50JsnkwN0WOR5PIobm5sbu02INAEi0DDeX760JVy4huAeFwRSd2KOXf0iqxYGY5BTLvWw8y
RzaisECfPiAE2USkskRlRp5iTaBu2QQVPc4giBk98yHtvYd5CT9fF6PaLLTTIDUBcj4QeEibNZbl
uNi0pUey7Gj3StxjlW4wFbihH+EOPZckeb1pxIvVsMH/B7u7zbKoLTSeQLktnsiNYXRQ2PelJ0gn
Zx6aHgIA0LwN5r25gAck1Ri3yt2gredfIdIR8plhDuaAILbh24Ru6/RAqv06aoJYpSpijAHNjpi1
kjvvndF1VmpO2Pxua7YPBWiqMtzm17depQoa+wGIjl431KAln0PXOgFZgUePXbZ15/swiUP3ieqa
SuSevt8O+lyMiF/OHLSJ5jZOnJwdzQ7QtGxcp7hbre/WUiMjvSZ+AmbKkm1aH6hUczIAq7wnTVy7
xhCZfXIoa8C6OWSp9oU7Gdu+8zELDIbfzeisY+zNo7tdFmd9vr42qg04+2h5/rmzmgakyVibCZn1
du+sW0tXHlTFNh72F4VrBG+gzrlcF+CgFunYgdI09e+G4QWdG59stB2FI4mq4W1yuu0HVMIsr0gj
oO3PlLYbgEh1PVhTcSzDHqQavWfeOV2FCZmu8DQOUnVXemeiJNW6zkWtuhhAmr0lW91sunJrLNGq
hbwuEuLShb+yabA6sW4MDau8JHGGZ0I4adyv8nCcSRF+88xqO2dJV+ZCCrfBToDihbewOBxeV384
fWBfYAbihQ6BMvcYty1kw42xOPb5q0ee1vRpYh9RBi2CKExZFvgE3zktkJsxgNwdveJlETNDaxX5
4ZM2fFY9RbwzOdJl4oacGvaKWKwcnK3X5LFrAFzJWGIOCoJsMePQAuz5f81x/ONh0MeKvDLmL1G5
vNyrJU89vkwInhZAR2XAjOqsPSi3kHG88as8zpK/wKAUB3zQmaLSzkVlH2UMpH99SXBT28UMSD16
ZAU6QZJfIcZwP2AcZxLEYTgzQ7S9IJHN8bibk5dpPiBxG03Dl+sylI6IgI0CbUjoU5AbB7Lc9ye/
wBMuqPZmHoNsx7G2IVqElnguNJ5BFW54Z7KkFePTSJfcgCwMXezWeopm91OS7onb7WyPaRZPuT0h
5t190ULzbhgw81fknBaEUEEKCB8T9ay6ZprMqdxM/9v48NN484ja77siNpn9buq7gh5T7ykMOGYM
I54fkFB8NextX39xT4Ubm+xr0m0LjOFwJ3JgmvOmAbA5tavd9b1UrS/ar3AYAEeCkSbppKPaui4z
KwHkDezMqnyyR8yjhqBaLp+mOdQEECpPjO4roAGhnwexoxRw1YmDwpGJ2JHd1iaIp8L7Etm26wqp
XIo42MBXMQVMk3QAFitskrle6BGVjUNRlBhJYNumMyOKRiyoxTYOBvtrz9DVx1TGI4qToHrDOr6r
VfU+BTKcifSNOVVAgG7iaaa313VTbtaZCMld0sH1ByMBj7QZxEBiOVnefeF0wO/GUD1xNJulEyad
vBLMl5bhgYHbYTs6NccujZwu36UusGNdXY5N5VLOF0/aNWOYLV4AwgXHfPnksRUdjm7EABpFEtQ1
QZtia8NMpTE6nhjkAoAZ+tkuPWVZh11mN5weS448R1QtZQ3YdKNELGlmtvEVtI8YbmFBWVWROVhh
C2hg3m/qpbZ/umjnbqM8a8smQhg6/FV2hD+WC82LrQAJ3DUrW+M66aa3NBSDxIQn5nM2kzyJ/IEm
jwOzggSHe+zye4My3USfWjdR/AGHJvCTpJDHCmZKh0b4GIb8kBWlPUZhdJk8pRC0fWNeA3+BJ/dy
AYGnnpoL0nlHI6GRvQKav41M9/W6yStPFcAagMwkXje/66hn91lpsAovDopHIDAC73KyLltk0nUY
XqrgDf4eqxUAHeIdek8RrEMXWHiktUiTT5uk3K7eobc0x1epiy+gwjAPYeICuFywbOYVJwTuD1M7
YTw8X18p5XYQE0uFNiyoISUZiiCkOQ/w6x6Yv4oHAgyePtPc/EoNzmRIDtx0jdqtcryY+VR6t0ld
GeCAC/jmuiZycfyfKxK7jTF5ADViWv5yodbeSFZvFW9mQPaz6FuA+siYgqjjpssjRj97N+Adis1h
771cl6zyeWg+CtAFhbkGZKgvBc/Lki0+83FB5eWy5enAUU+o1ltjXOs7YzKPYFsJt9dlqvbtXKak
rDWYVcF7F7ZXTbvVbO5LpK452gevi1GrFgCED2lxVBpkl5Bzjj5kQo+Z62yA77xpC3djm9VjOJgY
49N07MgV799b+JuEDr20mDKSe3crcxrdJh1h62FkjQ+Zs2kPXbX1AVvo7/tvNzp8T9UqIpMMqnWB
rwA6+8udI3OVpqxH0qCtH8Gni5SotzUK3aCWahGB8YVZSF+0jMiG2eRO5ZUjMI9bD225KN+Bd64K
70azPDZaBB+lSpgssGw0O4piyaVK9ZrjKbk69JgAcAk5hX4i0aAjfFZqdCZEiv8M30+QbbERLtVz
XIwdkJV2qzPHSRJsnOHpug2qNRLIN6Cqx8GWbLBeqgJDWrDBEUj09fQ05100zpqEm06I0Pjsxijq
kE5mBSF0QGZ8Bej86G08UzfmohMjZUdCB/yRrYFj2w/RnO0pkLI0AZhOghSgjOW6cDBiIqUEgOFm
9BC8ciDoazKHKpceuP/uiZy4WlJvTp0WyxV4PB4HHnXrB2pkIsBC0gpVBHifyw0BxJhXJ0QcmsKP
SPizKOgGlFmauF+5Wn6ISxwjjRjzkfbDAiRD6BjQwzN/VRj6zocYD7j/oxBpS5qcDUnAAnrMOah/
vPtyafXlEFUwgvbj/9VEpnKiQMtuM+GpA+vQvrLkzmLbVHMbKGUQxwSSHcFoj4yWUCRAT+FlguA3
++oMvypnP2XH1tXsvE6K5MGsJcgzjKXDKVv31aYrLITTj+Oo8SpqKSFmdQWwOQY4Lu2rG/GCtYuC
HblX3djZgfbhzsGEWf163XuJzZWrsGgL/VeOZMcpUPJI21B2XGt0YIYYogNAGBofA1JgTuMnG81Y
G3DpdJNi7HpApRvz9ciF/yjCl+GBpBF1tZMN4svfaYassoUUtZjnlELHvnRxXeL/OFbr4xrYYO2w
0Qx+y/rY6fFeMSPuvjXrc7t2Ueu42+vLqjq4mB7AvQ1wAQ/14Mvtc9cKr/RwRjtCs0cRpu3uSf7l
ughlrRk5NzTwuShdIG91KcPHHDkPC1T9GmBkxrbJ9m6+PJCRb0v22Vk+DR5AY8Cs4HEd5pziYYvp
WDEfiMw9itzSbTTVpsOGFM5vrb8bdTS1kccOvRmjvP3rupIKUwEiKKYDEZr8Zhq+1HHNQHM/zy07
FpN3g9Qf2L92jN5UuoycWg40EaPxmNaX1rJdgRzdWh07Bq7xMrv8dZzIbbWkhxrP0f/ub6HTH1ni
W87u8tSs25JWPTuS/uDlW2iVjRofpQiALkRIG2S31FtqAnWAMsDjMu/HyHaKRxCKP9GZ3WAYQnOt
Ky5cTPsJYBJRd0SvyqVOpeO0vHZhi2b2dSVDFOjKmgo/dSFA0ogFGJGZe8SNq4GAcdvayz4tb4PH
tM52fsf3brO/bnlqjZBaNgW5NSLwS42arvcsZotAJfXfDNt7xNTL83URSqNDv8c/47a4Gy9FzOFK
jHmBTv0QV383/V0a3qSN5lJU6oFGLzEdimtExqaZuZm0hgkHX83lzRh4u2z+78EWrqg/EsQXnNnz
aqZh0uYMZyfzI9RuerRzXl8ohTe9kCCdTuTmnXJZIcG3n1q077DubxRTPyAEVSE/QNYMmXIZr8Ir
iFWnDPdFSe6anwNG4LbXtVDtxLkASQt/ahaXVhDg1FHiRNN/bCIUr1O8q0ywJ6LCBXhv6QyanTm6
KBNDAXNEQ62XxusS3jCbRGTJI3d6shbz5Nk6uBqVFZ+LlQ4K5gQZMOUqdsySe5O/GS7y3+hxT3Vl
JtV9d6GfdKfOSEEVvg39Chbkx6SyMbbST2wzevkj8z6xxfq0YJygmoCbYpSJbl5Hdemd6ymFyak1
Dq7dQHyXfFrZ8zhN0RoNS7NdvDrmiSbXoF5VFBSQsUHZxpZipHzkGWscSAMjfQYQddvdGOxQeTqa
X6UcW0wgOZjRxYPm8vDipWxlbojdQ4/FOhy8+lCxQ0g1pi9MW4rFRBsoxu0xB4x/k7bOIG7RpSuu
cYhIpidooi1V60RI28MywkkqIgXXBc5lQMlXgqw7AJg194J6wf5VRcbQoSQ0UjPA1Uor0fpSTvHa
7sIPOSMQxAoET0CeyPep2aCJsO1GduyDlyANNnBHU9N+4NLGYD1IAnC1YvtFBH3muK3F6BKjx5I5
hlFtyhbFEKPwGs3ei/P/bu9/v14FpAxSdZdSlr6yMekGKdzyN9j8xHxsrUNXjhtbN3aj8rC4KFDD
AZyEDVaTS1GlMVXApLHYMWzqbhMSZsbIfy+aZVNZmm2hmRQ0EsANk9uSjNX2xhy0vcciB9qNk3xf
7XzDQlNX9VZZGl4vOJaodaBQILmAZuyD2mMOLBr9Pns6RYET50TzzlQqg9Tw72qECLMvl4xZdQdU
SRsnE2HI+IWbG5AOX7/3VAaAAfP/FUGkMGcBnW/W29iV0jo0XYFW83s/3QNGOg6pLpepsgBHdHgE
eHXh0Ser4+S0Xb2xPPI23eHhJdLO17VRSkCeVEBloi9MhqRgIEpEAgCxiGPQyADnePWB5jogof2R
ID39y2acPef385i/cloequGXyV5Swm6ua6K8UM8FSec/S0luuxVUQbNjkh6WYuM8eS/IMy8jhqs2
3fSBCOtcnmTQxeCEUyfCOLF0oo+jeyqJ5uWjOjSuiQYExEKiGUUytoAOy0B9PK6A4bE3Oj+i4E9f
+x9J3Wm0UUrCmDu6/XE+gRNweXLasu7IYMFFO+aXun0MkVXIHdTASh26ueqIYk4LoIuYYnCRqbkU
lIV9AnyU+fd7EeA1tzAGqr3WVGZ9LkQ6OPACtCl6OLUUqCQIAXjva9ZLqQZA6kVdFS8eGb2hcIdk
HEZImEoe9ahJcu/N9DRvEZ0QsWlnV5qTWoYPBBD4zLzchMMvcUDDadpcPzk6KVLIO7ljSnkOKU2V
1hs2BiSeg5bHSVHoukvEusu3J/iC4D0x0+oh6XKpULu4VYYZJ7zkv/m/2KlaaXQDDkXefdUVm1Ru
2sV8+D9MJ6BKvpTEzCQ0qrUoj2G3+pu16qa/edoEUZaZxtNSVa+jP9gam1CeITEGSVDAI+BXuZRp
YbjSNRktcZUmKH3OcUd55FQYT5/erm+ZShLQ823YHzCBkZi7lJQbGWBfK1YeLe/IQXTYZE+YzI+M
ToMWrjINtHYJDEsfZK9yw/oMDASgtFTlcdgmbfyzCz5geue/L61YU41G0AFa72iSu6E+ou06HR+v
L5XK5M5FSGcIc1qAZ/RKiMi+ztMdYDinO/ToxoPzhtJArJ2UULkeQH+hMTOElYMp5XJrLJSEKrBq
ljizS7T6LnDqv1zXSHhI+RChfeo3yBMSb3LMbvOOz2kHjShwzAYK1hX/W/6963YBqeOS6thdlRcr
Gn9ECw5mCuDxLjUCyxMzm7KGvIQ/8jJ7qlEiSM3+rih8I5rZz7T6BQ4YK1k1W6ey8nPB0lJ2Y2Jb
JYdgnnV7Y12iJR93SfnEdI3BKjP3bUxLoPUSj1QZUKLPPa9aQpi5MexJfUiG/UdKnujC+SNCsvTS
bNaZY57q+Hux8ngZDmP667ph6NSQTN1vHcBRmDAMiz9NxZbl90Q3ga0TITken2VJ2AUQgZXCnARW
yq0PH9FCdMcgU+5gQy7NzfEKDPh2fXm0nXTdgdnSijuH/PIWK91el6RyDXgnIl2AmwKlTylKKNKq
AYMdJAVzP2EmwxrxkPPQURx2sxkTcIjfD4nf3qxtb/1YR1tX2Fcu5h/5cjtQw3K/8AhchW/+wH4l
9OVj+xWAYUWA9fjvzm6fGkzUMXGEgiYOgN5Xr7GrGw1QntMzIdI5NYIJZGMkKI95Ou1TgDxP41Me
2I+NDpJDuWBnguxL02BJaPpL6cETVVsxgYbMC+GakFsVOAC+Cv3fANxAMCzLoIDva72kPDqZGXXd
PQfxT2Ua0VZz9am8OO4IPPDRaSxYrS91yas1JNxwfuti2JHbRtkpeB6ze+2NpNLoXJIUdHm9z6tg
dHED2ukmq16S9pfLxl3Pk6gZb64fKVVTkQ3QJNE6gvEz9BxeqjWh49uFg4Vav2oWrRi1uHM2j8EQ
g26C/QDMqUaeyiTO5UnKjWU+5lYBk3DW4UhGf45agFQGlR8BE2i7YHwAHcXzfgrfKKcAYLcP/eB9
C+05bqmv8VzKhUaGA1gQQCVChuBSdzMZgYJQZNVxMA9T5uwGnsSkuuu9UzLpgBcVsvD6EPNKSKkh
WS7pnXvzEmByNT8aTeh/ahfTj5y0LCNjwkAW4WW9EUDdGof5G0VeCj0ArIf5MoQBFjZYOhxeCfhK
J+1y0NaC1PFL7e1KP5rDqLU/LU27DZ380SrumTFGJvsxT8goW1+tetj22S+nGnbX917hdvAxItEL
uC7Xlpuv/AmQ997Y5Ec77HfgE+dgOjX2eVtrbEwtR2STcEXgCpfin8rzMrOyhxzzGkW7w9QNj1w3
n7eYx5puMObWajyD2Lp3i4zbD38jwMdM1KUZGQb4NkMs9HEBrl200qTaDLNna6QoDg4y5H+kSE7b
Jm5OnAJSgMY7Vd0uy3eVz26vb5FSCBAZRfcSph7lIs7UEJD7dlMOMK5qT+zHEtgzSf6R/TkTIo7K
2Su5KSs874MRRRTMhhbPifOWRbWjuRaURiCKUnjtIx0jZ5epUYKtgkCT0XYO1Ny+rUscdFSTXPz9
Oni392diJBeSL95ir8mcH1MKTGrrQP1PILXfN94ST717ClD+stMnq3pZTGBV+3HI503S8o1rP4Cz
Luq24XwkxSs4YkhwA9ANnOWjQfltPYFH0Prk3aJ7djs0xjbh94EuclP5JAFXj2QiGkXQh3O5EaM9
tXVmOfmR1VFn3LW39Pv4Bi6K/25TZ1LklGVZA/CtdyEFIShiu5hSvLF6HYGMUhfkKQI0pKCgIKd5
Z0CtUiakVE6coMCzAjD+Mem/uuT5ujpKQcBOQ6yBSW0EMJeLBuAwYwBfTH700E79yIL0767PgaWV
lMbeSxdksBtcI9dlqo4lrqh/ZUonZs2MifEByuHKiP3ydbYO+aC5K1QHBtP0GKFC3hKcCfJV0c8T
EvF5cUTxJ+rLe05+1mSvg1B0Vc4S80q4AZCHQ6JUUsUqWGOnJcS0W3c/Ho0bYC1Um+S2eazjaV8V
URqRyIrqGJR1u2xHt99fvnaxc3gZt95N+tjF3I6mW7KvYpyemN7SzZcqquJiz27Ht+urrvtUKfM5
LkOW5CQrjnmFWIj/zJz9dQEyTJPwG8Dd/7MY0gE05pEzO8FiOD7dox638+c+Gs1nMGpu59JBH8uh
857ccUNIDQQ3TbZSxkOUxf+eGj9zxMlE08odoKD9RL6RPBrWiP9A+yV9CT6Nr8m3/nV+aLMoe0LK
77rm6qUNfk+9Ywnk7HXqdqNZsBoYL22KeXRWNZsMCM6aYyPDj/2jILrzA1xlGEQJpTvTT6oWF3ZX
HIF44hU/ElA2E7+4aYaIRi7PgcVKIhQEq2XTz+yzO92gBunTcYcJT8EstGiLHirngazCvx8kHbKw
nBOepphoJlkVdZh7mK14tknsAilwnTWXuVp9AV2Bk2ah/0ZyVV6WlWY2VDAvDiCnhALrMoto8i0L
IjrcO/fVz9muI2fc2WOxm++tz+ayS63HGhmbUdeipdT87Fukc98Wi5ECYw4QMf6GrH9NBlh26pva
jxqqq16rZl0w9eihKQhZXREGXrpoBgzS0JswZZ+YT1URYGanj6h1b7SHZCG7JAUJZb8h4XOTb+fm
ZnGzyJ5GTSZWGXqff4Rse02OaoCFkXK84Ke7EV4rXvl9GuV1lD73v8J5Y/0oogUDD8/8WTf7p7ow
zoVLdpah/wXYeRj+B2D0ZvZ/oGQV807jvoR3kmMfge/uYKgHiywHiyG4Sdp5hYbdLUPga4MTtTpM
5U/TOY7jK1o7PnBDYQ7lN3ApsiNy1g/0Y+BS87Ct6Fxsc1Qm0fWZ18j76DoTVBlUgPUBGV4kbfEs
kKK6tGgSAy14xbGiY1xln1uLxKKal+RNHI4Y4oCXxiPx83WnqHqLO+idQhCDMggSm5Ldlg4tSJlh
3HVuwl27snhlu6T7G5id1pEW4X24vljVeig0obLMLvKPm0Qkg8ZnRIOohlyeF8vMGodNdnEM7b8K
e0Yhsd4CFzya6rsqSzeAWP5/pF3Xbuy4sv0iAcrhlUqd3A7dTvtF2MFWlqgcvv4uee45003rNjFz
x8CewWzAJZLFqmKFtdDLNZE21EFKNhM9bjZ4Y3EyEWvxB7Tovx/BGKsxKOKk0QAgIBqv6LizB8AU
YORzmxgcNVpTW8RSaFNDp6iEM75erTLmmtnJYYrVOmbrzT/bjIS9Hf82cRc574M1P4eSAkZB0BcH
NgTG6gHiNRfmWcdTJ9Y+SloPdiQkBsfNLR/M3kMDPhRDdgub3Bc99YUbb9JhzuFToDaaK4+PUeUq
P8voAE7DjlcMXrPil6IYu4IGONRpKUQNdvkiHbITRdco+RfX4FIIc/vUMprTdIAQQ3Z+dAOhOent
ZCZyYmMqNnq8LW5190A1B9IpDXRcX5fjYveMpDQTM4S0wBC3k7qUn8n4GI4SEDp6EjQcNV+zzAvw
9jKttRBFMHfcMONk6RGC0RyU2C6q4M7Kss+gDnjOf+2oQENhYXBv8f1s7DPpYWilIvBGWqXeaFLv
5Pl+bv2usqVon02HsAKGuX6UrZeFbnXwMlHfND04Mc6hxOtZWrsGpgWMAvyDSIwt7o7lINZAvwLm
mULTrWm0iRuHjcS5bGsXG5cMHbQmbLfKdq2BcVWZ6Kgmh7kP/CgT3CJGu37UONYYk7bYNVX/mBiU
4+jXDhTDPmBIAxoY3jSMtgIKB8MfKIIcIlAGAe3BoKnDdbVrG3gpZPn7CyWVpFKVBvTQH+b6kc4v
ajRzLp28pi6XEhgfEMxI2GigHzhE1n2pd06AQX0tL3ciQCUKYyZ5uDyr807YRfl9kt4JiFhTEB5X
qU/zdsCIm0rwyneHLEYbp3FMBjfMZk8FBZBECqnetLJnxLx5ed5XM04jnWoBw9PLkaeHqXTD0SRB
9iPO7Dblmb71czbA2rS4Dtyq6yMASARoNy04SSABoF8pJgJSipnk3bZGqweNZnlMtCMKwEDDtZQZ
+Al9GkBKVIOAqo5tIX24LWF1HRcSmIMWGmkewYiNuFRCo+qg22Z0KAtee9K6FNCxIxOD2rfGrKML
1SzvGtwKYzScHqWfJYc1Tv7ttazZbgt01P+Rwqwlj4MqAvgAsI7mOznQHGv4QNGvrzMEo04hhhx6
i7UQBZRn4F1ERwyy+Iy2lQDJVXMLWCFxcUQ+Lx/Tuw4om+jUCznXcXX70FaF9DWA5L8RacR1kBZN
MP4FRTkhYrCGZ1niIbuurudCCrMeLHUujQXZFYQsbtZNj2a/VFF3M9h9bx/UmmleUoygK8KcMnp+
r9Xa0NO6NQIcVKbHMCelXWm2lr1hVIOqqSv1LjKktyWuWoYLiYvqXFjMuDBCIYpxkZqydwJZ9iar
ConZh5uyjV7rgFdqWVVFDZ1lC40spp8YVYzLNK/SGStMi9rC9HKtbUa92RZFSkmVhaA7hT752Zjw
HiurqnIhmDnECEiYY1zAz+vLiHl3J6sfGLTinN+qEBARgd1UWXAKZWY30TQXzAHQcgNL8dERmiKL
0uicSGz1yIAchhourJ/OjsCEQdRgVgw2AwVQ0inJdny1gLPdqqVvpR0naGbBw5dHjwrSIwksaHjk
oUP8eklqEfRNK8AOmjQmkTRvgFdp4aXVoyKekai0oztxlxPQf2S+obtG9XRbQVcuHzpF0cK9sJOp
Bpt8i0JFkLQsS5GbQvpdCelbFVU2LQfDDsKSE6SsCkOyFRNYSFqLJuO8jK4es1QA5MsgToUz1llv
l22uOCaA01wEpDzgplV5JtqTF9APVMvZ25CaGjgGWkAgjAoGXHtptzDwinPhynH0+/ZGrugmOq1B
4igpCKpNNqOcV6ZMRVw+lMsxPRBmI9JKGI53VBokHKXhiWKMSgMGoEgAdM5BCpABiDsijQmpJd68
ylpiFpoJW7JA6gJ5lrnTQxjTCeUFzNbqTzEBgriTntOtSIL78kDt3tN2gg1Cmu3tjVy5f1dSGSON
sCARcnGJpOzINsiH4afObQnLnWJequoCO4SgALOu1lcQemGUhWzq887AnGY99ICfEU0PU/nvt2Ws
uBq4NEwHL9zIsMVM3i0awsKgGiYn1QoUE0AB2Yth6s6lqzSSW8b5O6CjWuHzttA1xUBnCJgLVUzM
o+58bUymIUvKUjERh2IuK61/ZMjjC7zzWXExKG5hwg5ZGgxMsM24uV4bSYsH1KENGzu1ZE8Mn7Rd
ZNii8MxFv11TBnT8wlgA+UhB68L1ivKp0wVxhrCyeMktzYt/KElAhiS30dD3LzYPU0DomF9wWFlG
opbSWgS8CNaVlAoBxa/oowkrt2k98ciPVld1IYp5rAlzhjcOxQUG5x2QbX8Mw9Nk3tfIk1SU55jX
lB2DJzC2yGqheMG89Luedlk+YFlW+NTr6PQsVY5XXstTwnUtaJ8m0j8YiL8+pCQdImNQ4EMwRUxC
q0LMC9KoerLTTCBxM/tx/kdD8tsS/8VM7IK1iKe8amK4l1V4RdDTIUwwPEwV0rz3lY0n/W2tWHMh
CkCBTBgMmPZvSUljiBJk1ICLNWXnrBtJWZa7OLHcmFcGX7u8l5IYa9tH8dQlOmBnwramthTrlCTB
KNumlokcA8gTxZhYZTaTsSyBQ1JFnzT/7OsfpsppalrfNxhyXF0k53Xm4tZ6bmWlgdWIamKXwsLn
tivK0Is7jrtYXwuaxpYXMSZ+Wf2uaDbXFGsZRrcvNxmCF05ien0pf0tglmIqNGxUaNoBfLG/0DMU
gHWdc4V4i2AC22Duqi5c4JMC+T2ipO5/zjynxxPB2BxAqRQRsAyBHUC3qqdZrrW5fVPWjBoA6haQ
cgPulTU0Op0ia4qB9gFWibqjJKju0mA7mI9/bstZM2iXcpjjqJW0S9ICcnoQCQBfVUhy/59LACg2
EiwWsqMwa9f2zAw0qzRGIGfVkoN+mEl5uf37v5o02QDkUgATwFl0EOQgXWAVMtIojSu7ZWmjQBdu
jPk0xJ9zsU1Qfs9nd+ipTV9bYDTPdpX9mHKLJLsk3FIH+MICDwBkTUcAPI2xUcR7aPNiFj5NAgjz
THyXYQKRVvgYw0duM+7a8aGahQIaQEbgaxkzN1TKaPSGBd9XgJYOYweqxrmvawVnRF5/i2CWEYRy
bpVCiLnhPNmE8t2UDLY+OujUvw8SdJ8rgUgkND2O1bmtTVKd0tLRJsMvpdRRoict3teU19eyFjUt
PS1QK3QB4LF1rVOTQvu07/BNoVHeyfopmv5ISbWXC+VYK+oWhC28NvVlld+UDO0ty7tnmTVjNjoT
Z7kHoCPwIsoHSao8avzplox0vtfz59sKvdZ/pi7N8LgtoHaV2YcdDeaypDLQs0CbuSsO4sa8U5zW
0/b9RnbA5GTnrn6K79r7+RdgCh2VUHtyBLT1tLbq5J7hi0Tnzaiv1d8vP4qtv49CLulhio8KZFwi
Ndkg7AZ7tLqJRdNPp8ZpAUKpdnfjpNpmHD8WzfhgtuYrOn292/vD/RTGZqEy0gaNChci3OcbYZMe
813gSa/BBriTh8TvtvHptsTlcNnDx6ljIBNT7UBLZgSqQUrlcfFZHaZZo4HI42tPARvOyR6safWl
GMZv5dB0WYiwxWN/kis7Ll044XQD+9RyJK1VpcFkCYpdvKowmMACPUm12iuJgRpmV6knS6v/WGG7
VzOtJXN8NlUnTd0CbQ1BbThSrXN825phxNMeDxG86CR4hevb23RCLlfA+D2kih/Mhl21kTeWvK70
tRuL1my0MqAREilKZjdDZVK0KkFPH0wF0ZNKQDdmgWFajEjQXv0dNQKnVLUqEPVaAHdDUzB5dr0s
ZKbadtSxp9HW3Gqxl9s1iNzd26q4uncXQpi9k+QhBFCziq5B1Gp6wBBW1g/Z5NywNa+CUcP/rmT5
iIsn/Rz1aMDWtfjgEc7Rf0EzsFfp8lczdrSjjZHS5VdPbubkJN0rfkLRoaY67UH8aB6Lh3kvvSle
slVtvBYfgIYAiunnNt6ZvNYTZTmQW9/CeDZLrPHYsfAtVuSE++hPZGtvmoeuKVTCMzfYKQfJg2Mr
vOEQtfvRR09R+qDu8/fRLe+D3/l9e0y9lIzPFpoNnNvnvBrVXG7UYiwuzqCPZjGIQmgTzJsLVFjY
AzcEqp0LstscSe8dfbdaYkKh7Wkbb0fhOPxp3bi1xY3BeRTwFJt5kRryJMfzotg5UlTZS+wk24jT
trhmYf9eLfzs9WoFkbYRWKig1k53p3v1HWc7b2s0anDXvz/WslLUBBy16Lqhffuobm8P5gWuf3eh
BkOpLSeFqPI3uKdt0eExf92+9Rrbu2QJaYAAD5+v63sx3w36RjI5JUTeDi1/f6Fvgj53Q7a0Iwv9
DneUNBKPNYK3T9+sShChgrPsU0Z6BbigYE/4kwK9B/mN2yeyVvgG4Pp/DBhs1fViJLi9sDchygnK
o2x/otH2PXHSo+yew/3wHFfkAxiNspc+yPsJr2k/feufsw1vape3p4yBSUTwfqdoCTnM5l05IkqL
eMH5orf/twlD8HC90FkSw7rq4A5U9FsrJHWkl9ZHBfNeGIhxX/i395WnhowhGMCmptQZHHdx8MbX
jlPPWK3eXJwam3xQ9Kipw2Ux7Z/pKNjjKfUzZKImItv0hMddvKnpcSjvJl6osJqbv5TMmAc5qstJ
qrCwklDHwh+HpCfhRn5vttV28K0jRtkGEMZx9HTZrxun99VKfnHn1D7CaGgANZ2BjWySMvYajfRO
MX0q5inqOMrCk8bEJ5UxCgIAn+ND7WBq863fpNvQluzI/X8pCdvtMEaCOsbyYkgEp4qolyqZW+kc
f7G6FrCHYAYIhT6MUVzrfWZ0FkXiDWuB64526CZT3Gi089dpz4NNW1fLC1mMctRREelhgn0TBXSi
jDKxZpmMo+H3Ftpl6gkkKW9SSaIsf4w7A43Qma+bmm/qeU/alNcAvmpTLr6G8TbmKEftZMIVGHGf
2PNoPKlU4XZbL7/lm2ZeSGF0xVCnIRAXzQzuMmf2jI3oKQfzgHAj9nqPN9C+6hkupDG+x5yUUUe2
GN4/JjlmPrbG4FDj3wS1F0IY91MOqWSN4nLHC8mdqucpFziazzsaxut0qtZWuQUJVvEjH/alyOu4
WH+2XayBcSiYQoq0oYMEQXlJOtUNku2UdF6euugliYedFPVOCcoHExnD27ead+EYR1NmeiI2i0Lk
n/Eu96kr7YVnFZmf7W05/8dt++pxXNprWZtYx2M9WmGHblQ5Bf5v0Wm6bMdd2sU2HfNCckyxnDQ8
6NJpICB/Hh4TyQShcDUbM6hmSoVuOlkqYj8och3TsG0Md2gVCg9KbVnw9xvy93cyNyTqUeVFwgQW
KPDUEfF4TYkbyg/jwNmR1dAYr8mFsQTjQt8ywdIs68oyT1SngY0JGxJMXjBUTi98cLZ+9dJfSGIM
ndjHihlOIbq1m8xOdIzNWHeJcB6fWkwyPqsgqNBh0UC2pUin26JX1wiSbU3FUx1gqYxea42VCYWS
g7JRzkmcKBLpTcvVA2WHc+bF66sndyGMUWVlFsu+GzG1EsXzj2kIla1RjEt5LRLtqseo1AR+M8+c
al5CePUOgS8X3LYoY2MC/9ppgf201qIcbcJt8MtCdjQe7if5EA5eHd4n6CZCU8rtbV1d6YXA5YMu
4otMk4Qg6iFwagYfaMfoVzqOQMOJJFSRNM2J5t1tgYsN/XYpTIxZoNkHc1bsOc4VmD/Q2oPL+5ko
xW6SmhddwjzQbSmr7gK8qooKjuAFlO96WWUMYj1zbJKDZ4BTb/TBeZWoJOThGK5WYtGssRwYJu1B
8n0tZ0C/4GSUWE0BRIMZk4vy7zL2JyEjUv2AwVRSVmil5VWvvubk2E0Eoin0A4OvKMExy4u7qOxB
mLJM8I2HaaPvIn+4C38MT8ZAusf8Ud/CC/+SBTLv6aZ4nLwS6d/uVHWkfkbq3ee9plZN8uUHMfvQ
DomZhssHTbbhWW7qGnbp1/vES59VL71X3pPHmevqFvt5axcYZxplkzIEAYSKWH/y8CtwalfwZ1s6
/M4feA+bNY26XCFjfwwg3Ri18LXlhfeB4TJSuLd19osg8NZ6mMs/N6oWxwNEoNh0tMDSfLQa+4BM
615+qJ+qDbW7DYyQJ+2C93Bb77qt+Hr7E9b1+UKxWHOQgzlW7/AJ2VZzVD/dtaQmAV69vCfAmjm/
2E72IRfUcpCnFgQBxqduHyndAQcbhGEvtxe0Zm0uxTD+Co2FM9jOYN6QKBeJYvPaTRWOWrCxSB/O
takXWIdyX206d0QRJrDpu7ojxrE8qtvQnXejr5w0e/AmJ/azgqhu8Svx5uPkjMfoMLzi3zuZpL+i
TWFrnMhgbcYLTYb/tRTsmEsyJxFymPi+qXip0fh3p9o0InEGyiU7PhaOaPwKrL2OZ8rtjV+NQy8F
MyZqbEI9B44WTJQ92CJJbGOvEtPJtzIxORdnzYddimKMz1z0VZ7TRZdcbVs/IC3gLhlPzoJ4qsRY
m1BtFXAtQcrd+Och3Y6kIb3bQ6c+QLOxte5zTq6DtyrG4PRSO1VxBHmto7uW1znLunisELxryJgc
VaRmbPUQMktEOM67FDJu79tXQ+sNq8Y2K2nA/cEyMI2M8U1kpSng0u1yJ7u6o73Qe3Hb9XZ/VxzH
lxLmu/vzExQwt79gdY0Y6lzKsmhbUhj1sOZYTIwZPtqqHzETa40/GuXZ6DjphlVDAPgUjBdiLBZI
KteRwIRBpzDIWzSea6QqOhv0bInlzKHNZZRed7YYEAD1KyIOtFReiyqBJFnkCqYElJMB9HvTGzD5
YsYvoyR5vSnbKMGSDrMXRqcCZwjDc3da/jMHAsntfV0tsmJgD9ObGKADVevyWLiIHRMx18ckwJKl
1h7on1D3Kur2YJV4i8UfNaCU9HkkVpK7uXaYlR2vL3INRgFElujhRownLVhW1/Jh3DNTG5fudKra
XfpbnUaiAiuyGDbDZ554A6hIh6007kbrD2fpq6cN7LFlcBC9pizis2hGmkojdJHLZk9gV8fyPQZk
AmaRBHVTdqLX5j6K0MtwP8JGu1UfxbYi80TJwo7C49JavPK3K4aOA/CCASEaEBvXG1GAQU2j2TKL
lhYmyWrh1JXWKW7Bp2dhpNJNsiQiA7q/AbGVvnO2YnGht4QzLjZtaV0LFBMXICJzolo6q8p7Hx4w
47KdE/XYdEBMy0O3/Iz+BYuAil5fVHDRb66BfvZ62chyhGXbYS4H1C+teRebh4Hejzy0xrXNXQZY
zAULFzeO0fKijGu91S14l7rfh3Gxk2mHlVXnKpLxWmp/zrX0BoC437f3dU3DLsUyyYOgmTFfNEOs
7LcYTAhp7gpBQQKjumunjnOV13wbmvahyRbgatFNf72Tk64ItJ2xkyn9BJlgiXlbLnPUmj8D7hGg
Vpc7K7NP20bNokhAwguaEdql8o6oTy0LJ03cqQM6UClxzP5qxh6A7Ki1I/+LSQHGTIpyVf41mkM1
VEabn2EF8P+qIUX9aG26TPBohCoTpqZFCxWEeFPJSNy2s2tS8yeNRE7xbHWLMUkD3BewHqBT5HqL
O0HMVCHCeSpqTQTpOVUwkWvw5u9Wwy6g+WhIBAEYEe/razHDlFA5NQXcCeC6KNuuTYmYGpiL7J0+
cQG6olI7LmzUfm6r6+rygLeyoOmiT/2rVn3hC4J51vKoTcCC15sL34I26s4QcNR0dXVAnNBAKQQ9
Qsf99epkqZUzhXboTo/jcm8WomKnShO5ViAm23aWWw/5T2U/Ufyv0nxXhkrfd8i2c3JRayAf6L5C
p+3Suoc+eSYWbOs+sQRkHA/99BCmTh0PBKyJRNE2huGWs6sJyh2Ioqq5ccIiepfVTaDeCUhClAuX
dRtu/vnmX34Oo+ngxtZqDNyg1dRINh1AX+bxuRB4urVmCIGDiRF2oDVgZp4x9KASLoahgpfJG8M1
rB/TWO9LA8PBOkAcm/BoyBWpyn+IogxvhkQYXDwGBDDEhP++PnK1BoeDZrbSSa1zQG8OiS+2yOSA
uS+NK0fKu3+myKw8dlA/wCB52mqNdBr1bYP7qcLoziKnD4i5Ld+EMFuZSyWoPGIsSh4st1Mx1TED
kOj5tlaw8dE3KYznQqMYGjFrSBEfm5+FU/lPwZ968zs5VqnNAzFhguxFFrzVApKL+R4U1pcVX9z/
fLAU8HmK0qmsa+1gBYH0FJSa+Csa68QJB0vjmNN1eUDWWHhqADHA7KCaKGYbVZDXG/6k7Ue4D0Eu
vEkwOHeLTYn878r+lsTs4mCJZT0Is3QKSxfAi5WFufbiLnHU6r3J7gGiMAw8gHrmpv0lEqMPmAAD
IC9A6q83c0F1GEtlkk60mIetWNPsqa+LwsMcje62nTg/aUmdTSRX1XETjqqy5WjOsnsXMd1fH4Bo
B1la9N59I3mUwyhplyHKU/6S/IHLHM/acXjLH8RDeyx4Q4MrlwFkd38LY4yp0GetXkLaqYnpPhdr
N2tTe5pal7MonhxmV1F2K6kCQIXT0OPtGYX3XWU6oTnvKmVHW8lO8VzSck0gelbc08Hammm6E6PU
T0PZkabev/09q4d8sWwm5gLgjxRGg4Zlh8DeUJH/mu/AI2NPkrKPM9VuChG02w1nF1bvzYVUxpwm
aVzoTQmp6OTxWj30giB20kL22p7HWcPZbzbFNwplYhkDlKiVgCmkzm9Gc5xVg/cKYFNcrLJ+BQ0X
pqfvkwFxJ5Yk5p+58QYYgF0nmWSWSswMyZjCFjYRXIaoz14pqASoVrae8vimOKfJ5gE1jJuXYQ/l
EnJK4kHbmWN9VBN9r7W9o1XdNstqt1V4e7xm43F5LAnJgIWk5StXcLH4sEpVwYgFmIp3zB5KGE8l
s73r/eKRgu2G9O+3lZaNwP53s/+Wx1zWKun1SkeQe2ojc0OBDoVyjlvmvT1SauMS2zMofXMN1CSK
aDdW7HHkryoVXg9fb1100DLW2LJSVNB7UzoVQAgypuQOEa8tKv1xBspqbw2+Ns12N+n7Zj6oTXqa
UPaZ440uAONY4WToVs/84luYJ1o9Si2yD1A8JUOuIbEblWB+ZXITMswxGXkIHqtXFwPrX08IQ2KX
LoZClTU6jnoa3ysAZc2epJKCl8diqxB/nfCFGGZVjWQ2xWCU8qnImtqbc1Da9ABFi4gqJr0AQA8k
v+xkaPBoapLAzrURzbktHVzFLC2nMed0Jzcj5h46Ab3p8vQeG2O1N6wmAIxMrrqzPLfESMvZiRu1
P4Y5Tba3lWR5SrHeCykZgE1/8bFpy7ld3IkhtHpdVUP5lAbVfVuXp7AzhX8eJgLbC/5xIe5VDBZm
KTaTrjekBLukT9MGYNvG1mwkoNIFpckRtWrggD2CKAcgbRgtZTwF8EfURoqpfDJS5Uea6J6e+YN8
BC4Q0axTChTaTPwZVbGdpY2rjWVoF6XF8RuLc7zaU4z6gT4JUEcIB1CGZp6vxkhngKI2zVnUKBH7
zFbjAO2En1QPnVB+un2Ay4IYYXhngN8e1U28NNiJZyEWJlUS+ubcp/QkVPJjPJZeSNuOUHHeCjOF
3mN0mOOQ2bwq5s8wvGFi7ACkMJiTUpg0WlgJQFRTxubczJNntr2/0G6mj7hoQjN77fRWg3tJPIet
2wMuYmi28+CjoYfzyGV7zr8+A/x+yGsCwFr6hmOeNkk0TKbVnOf4eb4HrjFgrLLeR5Ir0FA8AgWx
4BoAr/9EwWyi+1j3csntUEJzI23XThtxINUhkvxYAevMISgxegVg8j2adTvhvjnxMEK+Ht3saaHL
boEb03BYLBNDZFRKA4qb5ky3xq/8I3Z7u8L80bwJnHYvPtSuAn/UbGqv9YZNd6jd/DTsW2e+F4/T
hjc+/FVOuPU1jPkSSjUVUNNozrIPwma3sTsXBJM24nU4xoD8/pichHyGDueZsHI/ZKSadAnhMjJO
bFtD3s1VaBVie5ZiAG+Wdie/Ghq2voTFhO28fT++WwQg/mGWD6kHZEKgtIymVg1679oWmpr0dGMU
9blI362a+mnUIlsYHspUcmZJA9D+8NkKH535OmQSR0+/hx7LRyz9FYD6MPHDmARk/uVeoHpzTi3A
iuj1VqmSx/BRK51Ele2pdTASiNmTHpRUg0HAG//G2YUVM6EslOZ4d2IkHYN+13Ye/e4YLCvi9qwm
r8HQArfyIwnlrZIXBGgTBJBvNI2240tTg8b0jmbhpo5aGz0uWvgWS6lNZZUTEbAlkeXuAqEB3wMI
Ud3Q2ByJAF6NrsqV9gzUCdQFDmVtC6GPxt0ZiCGlpTlj9xmPvp48VCI6wnLqporMSS4s+87cANAt
LCCXmNHHH8zTWAdLQBHAP53DspJIYk0AlB5ApMHZ/W9vRCwVnTUod0GWYrDp1b6OJhSF+u6sRnYT
gtDKTc2XWDkaAN8bzkHpiKXTdX84UuVviwOsAlDYcOxQPZCXXJ95byVdKiaRdjLnDfptpuM02urY
E03bo4aNiICA6GLczNzXzPc7Z4kSstYg8sJbAjQWrGFJwO1gVLJ5coSNt/0Vo8kFAbdt63uOKfnu
ABhJzMUC/ztY4GtImnwKkF0A95CPArXzmag2aknOZHsSibx2A9jGTe/GvunozmhLbuxEu9wT96E3
P2jO7Z3/apm6Uivmq5bI/CKqKjWlAyWXZJ7AEWOPTvLH3BXb4tB7FXDblb20ybzMKe0PdMbUbuMM
+BEd3RN8AAD6YPckmZ961M84/WTfgnDms5gHyZwpYoMCpXkabAniDbcglAiOwVk+O+OMnPr18TOK
JzWlhT6vLznli2ij0xH49eeQ/H79iQ4Z0hwCIhKOtrO187+EApVfBpg3Hnlsn5clCkOuFZp5mr0B
e65stM28iW1pl6B7JHdqO7HvBYwD7LCv/u3zXtbDHDeqFEj/oK8NHuYL0P/iuAu5auUx7q1TVJ5N
+a5CS1tSv8f0LktijjtbOUKkeDHIjC79BfGDjdeVXo/qhAqnGI3ylY1GHSAOyxRxC/Ixjkg5R6l+
X9mlOJasdZaiGapcCScDsOhV8itv/vHWwSeCQ1vGwL2Ch9ryARdbp1WjItV1H5+VlqIm0BCTeugS
thFA2FLIQzT7flASaqAoRUtLMzGCxmtpqhA2SwIE0syIBEpIynf5VW0wtMQ5plVBi7EHlRscCxvi
ZOrUl0WrxGfZRCkbVf0zRf6s2lQxx4t+1wfsGboil1okUG5YJ4rGWyAlCHFyNk4ZaguRmrklgLcq
TBaWJBZld+Rh9nx/9FoYMl4qvBh2Bhkpe2TI9JUUbcTJufXAu3L3S91N9qdAkvschBShn9q9+y46
rU/xg9oSRyO/55gX8Rjj11C1W1opFq93oTGm2ortqGTJWX+u7NkJPLppPLt7vX2l2clamJNrMYwL
G6QqqRO0FJ1zEvga0cjkojhv/wLG8rZ2Qx9tv8fOqR30GdsKeX+mdujw/MgXHO+1Ybn+COZ2ZAhY
jCbGR9C3cCMQAaNbPelgumcSE9UZ3QegztqY7iDUNwmMa2Zr9+jk4MQva9p8ueWMO9OTXAp1EVtu
kEm6V8DFkJCI7tP6dHvTvwWp2HOg/KEtH5DjqK8zy23USdeLtE3OGhKDZhGRxlZFmRjS47Dl4zUu
gT+7uZfSmFVVXReXQ9Ak5+Zn6maAjLMI1Mk2XdmW0Zmbo2Gt8zCZQUZndn49tZvZ14GyHfvlQbNB
suK0gHXSCTpLSe2LPt5Q9mdNko3gJCBesRz0NzrClkdb8FUv/fbZwJcE7pOmwdcxnx0lSV+nspqc
e09x+v12xmSdgU7m2ZMXrBYy2eKudei28hMvfHzqvMHTSbnFxFEG3/szd4rdOJJT7AgPkf8vzg/e
CdYBlU+AiVxfzXFo4S0ANXzuO0DBmJu2m522kjY64oxEIbn4dFvetywf9AU93foXtDTAMBl5wPSw
cqGv0nPZ6NsCZABlsNUFAyxKnIa176lcRhJjDequwqNuhCQM1ypeCMq0zguMfVb5qiMgt/Amltv/
39qYuxDVmMgTCoq1gXImiR668djHI2l5K/u+hzLwW+B8dQCP42XIBBRxnhZSmQrJWTacutvn2TlE
MDpvIyUF7QkaI1TEo/O+FzaDn56khNCPhmfTV7/BAkIb/BjiKBYKU5yHCLMVcXrWp01t3AfxHvhM
svTr9o6yTS4w6fJ/6vF4jUkWs9RRHvHyFtP0PHoW2uwrN/+kD4kjb9GC77cbFNOIWJKKU33liP2W
gFjmHsJygtj2AGrZx/KxcTr0/c+7zhM9ugP2Mz5H5iz2u8lGgIhbuOTpkN9lGWezLByyVB7TcyR4
wR1ay9LNFCDFIHHwntnximVTEXmI6NPRwaQMeozrOy/GePfSUMzO4MV8fANIIEGgH7to2iYjefIf
DodX/+Ph4yN4G+7Te4GSntezurJU5JaXMT596XRRmGPNcytBl2lVnIMfhSf8lNyU64i/Z8qwygV0
CqjFCuB32bB7olIV9PVYnKed+tL9iO7DH+iv8LWN8DQBJ2I4Ba8wrHepSErqJLw7uliXa5MP6aCm
RJoX0FQWm0AHDUKbV5FSnKkzHlAV2If+q2SbZGH1yu4m3pv6u2O8FseYVWlK+yzVdIjb5pv8EfxL
uQ1qvmO917doht8APuNZOzZe61p+68en4tk6B6646V7Rj2wehffsmRcJrWQUrr+JMcCiFScLK+iy
BaJLPd2u/MjT3MGRndILjrwJlkVnbu04o9WU9nEdl0ZxFgRg+JiPSnanTfdqZ1v1swI4k8S5bZsW
p31LHuPUqdAbo6ZCnhgc5T5zlGofq7wx5OWjGSEgn/6iUkMWEsUC/P1F5Bzr4aQYtRidm/qXKL1S
XpprZREAP0LYpiPvBBhsZhF9YZU9IIqis2b8GdsHofDjgNdytHLZEfVjFhSUyYgTrSWEvFjDqOXW
qIIj63yvOKr7JJOG86D6npbE2+JSAmNOkJYshIBCghQ+lWMGgrkHKbsTJ7/U/piyV57VcK8etJ8Y
BbBRw72tByupk0vp35wFKlK5LAND+az+CCt7eEk/NG/eZ78GJ7wjymZKXHUb0y19VjCzyxG+4oax
q4DmBTT70kLGZMrVolA6pa7w5MnJgMfOpn7UeWwUrA4ixEAuHkJkcGWowOi9Pr9mHuJGL8PyHE4C
yDGOJjKinC1k7y4rgrm7RRcYbZhDRIG5SeE3lvPyP6RdV3PcSJP8RYiAb+AVbjw5GA6N+IIQKRIN
7+2vvwR1dzvTgxvEfidFKFbShgrtqruqsjKLF/F3sqVPAWIlZRt5xvgdPyTH7swv+M6bRP9f46Cl
xkxijGyGoS27MtOGEMbP0i5/pSZ9UvexzaHHLqDG0s3AnjjW2nRaLk5DlPVF3k/WsjG2+noP2LDh
tS/3J5SNyiYjeGWDYWyqd6M96tpI2OojOFH4DK5XQ9vCc5SY/QgZqG4hF38T2bOGpv15MZqiq9Ga
VIzZWUJTtunvsud4J2zzB7BcLi0Te8WxppiJU0c084joXD5zO++Qb+JHf+Xv6Sk04oW7e26FLieP
8VeFHsHtqjBEIBYme38KdRNGq/sLNLvpUNqRUQWeIONsSkRQOSnyIIBz7rayjS3QfuSv+nO4jp/J
UQmNZGmh2HIGZg/JTklFQ4GExJ3MLFSJR2E+PUnO0qMYG92pcrVHvDR30nfwuOSUZnbflS1mpeqR
A/ksFxfnaBegw9JbF07zmi3sh+kfubwZ2QExq0TR/6wTAiN0Ex+lNf8oolP4/iLNjgPoQIiPIZZE
0et6cwdeG0EYrCjOEHb8LT3QD6k0xFfv930rP9TtzEhwxaPEDNS8OtX7rs2IShSjCycrzvEbNfvd
aeU4/c7AS/HBM15Ndx0azcLAZuYOFkFwDW831XMZ95DoXdT4fFWck5NfGOJjvcK2298f1swpQl5f
QSSDzUbA4Hs9Kj/loiLjuPLMC4cw1g0+MX1/ichgzggytkBPA70BUm3m4gexTiK0Oa3OgbAJgQ6L
6EoDkOD+SG7vP4RLU/YexcBJx4/ZaUqsl0VepMCGkBwFx1iFSgHkM+z/nxVmKHwD+HnGw4pMnzjo
l2b9Ys/q7WxNA0GniD41aCgsPaOSQaWt8mCiEbaj/JvndAfMIqqKdNQxH4wB7KltZur+lpPQ4weR
l4UtMTuR0BnChkNvH1RXrreEEKmRAqnn6ty3tW4kpEjMphwWG2PmzUwyqQrq5zhW12YU2njD4ANe
A7plXjHAsg0q5LQ1xcoARFJ846P3dnxvKgtUMYvivOyDDFtRBcpmcuzo2AOQ8Nr4yCWA9nnAZ+QD
9On4V09FA5D4UoVLu3JuMS8NsZMJCBvg76Q61ymq0zL4QvKjsnRN3VRF2eFMX3Fxv3MKuCtoBhCE
Av3qD6c69B/+V1qZyN2tgVJCTTCw8tUavAy9U1quaGyp0RiKNWXffSTanxr89t8flImMeRIGAPMN
W6imY6YkiZDX54oE9DSxT1vjSJcEDW9KJj8jB6IflwiZhHWZXUTGYaSaxtUoJmhbYZecLAdcPI6w
Q3MISBi28VrdoeYrWqa+WbisfwBg1zcCNtGFbcZ3NkU7UcTAdmZwrwcUo83cKjfqtn2sHGSEnWzz
O3MS6wWq7E5sP/25P8E3dRR26EzQGbe5JDS+35wBwXS0Vf6Ill+DX+UbLzaQY3eUVb8maPhHEeMk
7vuHdLtU9b7BCLCfwB6jLuk7XsIM+Boaij7Ia19tPfIGmlzyGsrQekSQVzlRAZLGVcqNq6TWQRHK
p38GqQBQZt9EhkqyfRBxVlaFZpmhYdlKdPzpeGr8VdZ/KUNrdKLZZGudd+5P4MyrGJkPoNAngQyA
3BRm/SDmq9KgAXbERzdavq98W+V20IR/TQ/6fukyn3N3uPlQtkS6a/I910c0bwS+LDi+OfPN71aO
DKELrPvjmfNpeJagcDExCQMVem0hCAOZ9GHUnGkVxtu+ztJNmWqlyTe6bgACXyzYu0ndT6uP1LYE
9NdEYslC7qohIjEHpT2EL4pxCJ+Uw/oJkLbv+8P6qTWwx+zSDLvJSExSsP0352GFPtSt8qR8CjvH
OQiWeizX3n6lvBsrwzi1xmmj2+Fvm9u4Lm/Qd7cB3uMJbJbG98LQpels3fumabUvHC5fVqOiN/gm
Fcx62i4kgJadeOroqGKgmohMops8o6qVn0fFad7SyABXIxDZxCrWA5jQK7t+lsKd8F0Lm0r80C0R
Mqh7b7DoUv7rptLJrhJzN5RJVad1FTdnMdpV7UHKzTUmxHdSU7fMzuh2+N1gIIK2Q7tcmeLJcheF
JX/QDPfmi9mbYt/y0D7ImnOXrIZoBWB6xn8Ar+WXpr7mdLdStnriJt1jkY+G1O3ifBPwH7kamzEx
UC9JElPi3kZ06B5IaemqNeinFnj3yJYRMMvbTnSSDv2k3/mmnLogDYFbldFjFtm9ZuoQ+WseaP7Q
e8ewMrq8Mr1BheysAR2e9itKVg102OxRdaRN8AmCq53mA9Ns+L23cCn+ZLOZeQBHCAoH6KlCoo2F
TFZ6Bb5ktanOb++PHwDNcEa9KYz0yBkfAag8AmMqPyO7D7lKw7dDa/qZmfhv/CEkZY2Hh6295Y3t
73j9LIGHI8TV/kRtCtDVgJT1358dKFxwBu4fw7nTTnCZI7eEZ6kksszETVkmSU8GPAvJJub5z0Bt
DvJr+Jtwa1V30rI+a81LGJbOfbvTzriZMcg6THhvHc9RZvtKWRB7yNrV506BHF81Fu9yqL/xoX/Q
g3FJIWfuSiASwJMorcCVAvtxfa6lsAzSRp1wu1K8S4ZzpVRWzssWQWZafQulR1BlVsVSbnLuJXFl
ljkehVTwpTjBhfXHF93Ij3JhxE/R1n9G+zJwa5ItmKLBbXhLQJqN21S7dFWsl6itbyoB8BQo50wJ
5glfcyOB2JEgl7kWkE2R3078844Y+lb9PDyBU6KXAFCwESA+ykuKDZOvZFcYHQUQpAZ+SEEJ6HrO
kyFM5JLHO4ZTDhnETCtQ693fQ/MjuzDBzC9HC+Skeq8+F8Iqx1LS1GhFump9J+K2uZnleP52HxBf
7F7uW57JGmBOLywzyQk1D0U9oRgcghin3EC6Bif5qzU+P4FvwHIKZolLyrd0/FzCxN/UR38W9MI4
8+YQZT8dG0oBjj3I2xZ9nPAp/pbCpwAPL76hN6tfFc6wSAx3mwO8HjQTJHfEK32Nw3RXdgmoBjVV
UwBkMNorQMFLIKoHXCJzUjeydABfxIXC6U2dgRk2GxPoiee3mQTz3C7fcw/kQT/1r+SBHPpV86Ef
6WEpbfd/rDJSuIBbo1GERSGXvtiqfo+T4/VG8hKd8ifqjGvdzD4pBk8NqP5xv6TzU2XzvpFY3sMS
+dRMonKa8n++gFlqXgKiIJGx1Llkk9j0VhXS8OuI3yXg4RSh3cgXNt/9ub+7b4q3f2caZAsIotGx
ojFPM43jvVSq8AwSPvuNin5W35DfeVuWnMDfoL2bPwrDXkNw+STHZ2hAcJYIEoiF9Z78w63/+Ocj
mLdYV0EpjaqYfC1uOpsK8NVdIGVmq+av98c766l0yC8jVoAy3A0Q1u91McsVtFeMX2J24MvavG9g
WqWboVwYYFyhDlYJEhK+Pvd77k1ZKwiEduOzujBhs7ccRK7+dxyMOxTGMiVSJ9Tn6Fv65N6iL/1Z
28tPxWOaLQxofl9emGL8H+TH8jGQYArM4eL7iKNwiKkJjZN2x+/7g94Z9a/7c8jSYgBrM/XZ4hdV
RlZTYbONhB+FpEhw/CGtW/4CbulXslWUbWf1L1FoVDtyTl5BQQKZ3wXD025nV+/CMKs8JFc8h2eF
jk4QBOHlXl3pb/quOAgICb4TJzguabvNuZ0phYVLE+8ibEpmHcMUXaipiIivLg4IqqlarpTwuZSf
y2Jc1xD/QGWpMCD6UXCD0fNrWTbLVJrkhZtsWyaemUbpOkudrFpa9pmpuPoyZtmbrpQEb0DQAf0l
sdgp6D5pj1T8lUaWPD54nFP8qg/jNg4/7q/BdLNcLYGAvjmAkCeaDrxV2UbkUqNd3eA55aIfTQfQ
XzVxCZ6a4Vh4pS10Hjr6l3DjNw176MCE0/9ZARCvISGEb7qIBQPIBKJwnlcu5R79wfV0zurlx7QG
YqfcDq9UNSV1nzWO1BlIgoXDim++7o/6NguGTwAsAJ1vk5AQwF7Xn5DlGqWBXlduQ9B2bHC1OfDv
sVjbNOMdQeFMlSDWegiGTVxsCLWK5Chy3+MwoHWreNRXafnH5wxJMxtuYUFuPNr0ZehA0kEGhEuI
rUqPSt2U6ButXBDkWK28L7jvujp3w1ut6msJ1+X9mbi5CyZzqsxDNwP6zwhXrieizhIO7CBd5UIC
zJTpTu8DU62O943cPicZK+K1lUzRknhQ+8rtkm9Sg2q6JpbeFlbFI4PEn6LICcV16iVm0azT8bkP
goXzNb/gF+Oczt/FnuMbqig+2p/dpjBDmq4IV9thkZqEGzbVmFlCYMpRboDtNol+/eqLvRy91/Uz
KGVsj0JrZCuTCqR4R/SeCX66vj8/s4uAZOyk0aqgMMcciExM+UANx8odAUFo/HXvVWbcbv69ESS7
JrZxWYbWKGOk0bSgrIlXua3GfVRVUK6jSdAANfUlaofbLCeWW5VQowdJHlCxP5HxxWRXUkPrJhdq
t4Vorxp4tt8fxgAoZXklQgwZbBJT55G0ThOrkk5tc5L6rdKsg2OxCz10TyX1HuRPVHQo2gjeAzO0
O/TDJt5jW2yydpURowPvR2EWxRJiY3afTE+zCQAq3MqnZX2kaqNOajfihF3UKTbXtcZAh1OA5hY5
g3SVduSqbw8LRSs8TckH4nCjCo5dAGRxEhtR7IhvDeKTOrdimbc47Or7C3n7RMD0gk5LI2jyQSXm
J4F1Mb3yMIRFAr12t+gsKgAFl6V7dJF7dgvx9ifyBxDOwbpvc+aauDLJ+MtaCH1FLWGSmm1yaIA3
4vqTNLgtApX0d7fYLzhtRuZamiCyKDTpKLXKbK0rgINExslv3Oa7rtEcrxr6KfFOw7HrSwPv1HWg
LDSkzZxBsCeAkxDtJFMbJhMP9BJQqqnS9S6yOaOV5B36RXwxMiue0AVT0yuDGdzk3ZFDR+sxugyY
9zef6SUVhrF3gbmychF6SRO1HniI/ff7qzY7pgtD099fbBShFf0yr/nebesViXMw/G+bYYn16OaN
jwfE5WiYN5VWVbhjK4ymi1798CP3Xu4P4jaPxhhg9t7gCWoQ+jCgCIZA1mAqpYODtgiUPVWrGB/a
l3bhvX+7QOAxmDwYL6IyjsFdz5ssNnFEPNq7WRZkK6rk0a7u+MHSxgFst424JAl3e+ejvIEGGiTs
0PsLCYFre6OnhIBklL3rB2RdP8ayb3heZUPV3RojbHg/XOoCv100ABiAzRBhFuk7tge7lUFThWJc
78aajrRpgJbvKCVLVm4jCzAh/AQWBAEGNjwzkUOsNFQLFExkW5BNGSeaAxwDqKX5PLKaMsnXUC6K
1nGJ2KIa0u9WawY7gPCt4Se9b4PFyTfQYtI6gOj5thb18Uryy6Uk8zS91+dxEqtEQDBl8sDEyuzg
oFUCvZDo4EJw2ND1wOSBOhQ6zdI6JwSh+/39PDf1l9aYxa50vVLEAe/etsgsv1LWcpUuAEfnBgSW
RQ0PewjNEpZlbUBasunkaHAlgL2850DBNjqo0gsvnO6PRbwJW7DAoE4GhQSoVtHUz3jNKPYCRU6a
waV55tD4nS8dDcD6sDb7x/JIfLQ3aK9U66wC0G06vAfhKfFXob4D00GO3uP2U/mVBsTQJk6O/uP+
1926P/Bw/FTTwTIrooxwfaw6QhJ9KLrBLSJ/HyiAgujFYBQ0jRdu5LklnYSaEVgiJYsjfG1IzRoi
dlw9uKNWP/hyuRYT+nx/LLMm0D+JaUY9AYauTRBObiq5w1ioQBGypIKCwfDjwkBmnhaYMmBhcSlN
jbAsNGzIVKEoVWUAl2wKbkP4hZVPhNoqlaw2aaMNr0pQteuUo6WZDENlq4BBb+uyrEyQaIvW/UHP
LSDiMwLFekwvKs/Xg47jLsvLUBhcpSKPCjZO3CSPoDda3Tcz4+4R+WqCCjYuVLZZSFccE+wNlR/c
oKOnFKwY0ZjaZfl7WGIbmzuXqgToBqh0UURn3/mjUqliIUWjW7XhVxnpVopfDNSJLFAGn4u6WirP
3D7bENNfGGROQF2LvqR1Pgw29aqDNoyQf8rpOeYB3DZE7VNq7ftTObuBVFSfwKkC1D2c/vWSjSB4
TBIAldwk3AqNZIlQvVBjMJrVho+w2pf/DI3sDKP/SMD9WqVLnKpz5wTNiKBUnDJHeCdf2+9CoZDA
ZTm6wFCOZin5+YoTpSUZjJsOfw1+Dyy9qO3hAYeIijmOQ0m5pAgIkhckWgu51Q5gkzXE2vIS1Qif
JLJC0zJYuFY5p6/yprCkUdyB2adCaTaI3iHzGSbFtqylp4X5v30448PQlwMqTwFcGzeEnmJVl6mC
D+u5RxUwFlEyKWeLxaPwLOVOoLx3SzneuUOKiQCgCNBsdD4xcaUoo1QeydKI0+OD61pygKnYpPFS
BDJ3SKeOXJBoSlAPY4teopjqPbTaR7fv2xjN5SHYK7SiNFQKAqWO/rk/jzMvMjy+weWEHidsZFaG
vqZ5pPe1z7tCVvOrLIietZhTTN6X6j1EEZJVUgrEbuV+qXFl5sTCMBhEZdACCKC1ut6/QAdr8lBR
GH4St+W5W4mdOabb+ltoft0f4sy6XVli3iEJn0hCHmKIepJuCgWUH6CWpAM53jczNyAUOyYitKmf
knUIchKPep1mg6sdYhNnpHg5ZYopUTNbEsWYW7NLS8xtMaQgvvEyWCojR1e/ACM0S96N0L/Na+eq
df79uIAawqYH8PyWWc2nOd+Fejm4hI9tQn0AsQRL0qxBSwyeP6U5CqTe+b7NuREiKJmgmKDEuema
EssRlLyJiBGiI0F2B7R0gzkuBUGl04YLYL0lW9PL7yJ2jH1N82Iddy9v8g8ZcPygqRB32YKVOUeK
VgFgqSeq94kj6NqMXGck0Qp5cAcdAMQme8y61FL60PFCdRPF+5CzSyBQuqMSdKt0rF84ZBy8P7r6
wCtmgPS8O2h/mvHz/kTPOJurr2JOYc8JHccFeAb1PjqetXYjhiDGAT9YBOLg+6Zm5/liAphj6Gk4
hHyDVIovyrFRpaj6iP4f1OQMHTs37LDES4zgM88QlFyhdYL2eDgZ9r0zpH4UxmMAj13zruevco+3
dbpp4w9Fte+Pbs7JTESLIpw2fDeLePOEMWpLKRtdgOuadedpg8PJCAVDaSw2903NlBUAn8WYBGBn
J/fJ7NhsUOE3x3x0o/ipFF+S6Csmn/WjFlrB+FCXLzH3mua7OrGAqQST3ZIG4NxQ8fAAUhH9scBl
MPcgr3FVB20zzKrcR6skrT61YISOVBUtyW3PuVQkV3E7TOEqCjfXZ0YEdZ8+CLhxO+jinqSnbHiU
dqMYgODA8enSBp0d14U1ZoOW/Zj7XKaOrlKg9tgCJKwFdtH4CzHrLexuykbgYkdLBSJKdHBcj6oe
8ED3ZW505dZKILWOdHvu6vqvFPKbSQWgV26HyrrlSrML/5SV5SE7Eh0hjR1G2wJqzmJoQGUyzk1x
fFD6c5BrRtSRg5ouBCVzBxbZVyDSwIuLDhBmnb2+kHtN8UYXiG1ok5XSsQH1vNlGpWDqNGitCmTY
ZqbV/0GWCD0GyNggL6qgOZJZ9mKo8oqAO88lbxEI7sXK0nxAxDdJ0VvJ6/3DNLPoeGWh5I23JLDo
bO9ghE6nAcEf71IQCdoCTQQjr7PALps4X9839ZONYNIvKHNBfgJBEZJurIpJGOpdp5JOcDXin9WY
T6zMw8s57gXRHIeShywD2pD7kkMj/6iCoVIZBacp+WTtw5GdoCub7iM1KI2xUSOoSyjEIW3bOVIQ
+EYZ680hFCGirsVCuc+jTLPTssljJA894U1q+8ZGtlmygYVIjvHA01NPfc3g4zazYvR7LXipmZvl
p96uITRCd7LM7PK8qYuQNqnkZs0+qctDMhy1CiUDTVvYpnPu8NIS648SGmTF2MaSmxAH+AUASEe8
hEqbptlaCB5IDGawNjAjamSy74Tvg7drUsjB9tyv+wss4+Ay64sPURET8jq6bW8kVFD7K3UdH8IL
qVXJSLAvAeJucVs4Fpcmpu188VipuWTs9TSS3EjZqdkDKdFggLdE14gr0u/76oEACYikajzsa3Uw
RbAThbYE1E94+k/GinAINzouPbanSoiqqKrVQnIVnttLXGuSKFgK8aYQ+nY+/7HBbKGwbHihrnPJ
HcxUsmJ1lZhZbJJVuY1Ku/Cs+O3/NSZ2I4kt2qviBGMKkHpXgMwCBPu+hVt8DbBBaEnBkQBdD1rR
mCFJfZmPWsrJbtVvevW7kl9rSIJ9NZ6TfBaizTn37d16N5hDyxjKL5PX4RlPWtXiWFIQ9LnYmU6Q
PvbJmo+rBSO3215CGYlIsgoXicIrE45AkqVSI7B4uh1F6/qQ1mDlRlVp4ZhPM3O9GUA9AOc51ZLw
i8rkW7gqgZoWpypu7agFaOTHPWdygVsqb89CuISPnJk3tFWiBwQd2Mh2EuYpEEetX0WBr7hqkewL
QMc4K5XahTblGbAAWlKRPEJZArDpmyxZ2RO+k0iFIXl56VRCXUI3A+I7JT9E+7Snga3Ko+YUUSes
u5yA6q0h9IFIdbYqRD9bd0oULqzl7YsZn/STUMKljytxehNc+JdyDMFM1OaKW9kaeeN4o5A/O8DN
uNX9jTltvOvVRH8ddoYKPmJQ6d2wSEHMC5TkleCO1FJ4ycg+1d5RhqUWh9t1lEUZoTJe5WhYRDb5
ejh0oj8aElVABFnEK9CpZYZYSrqNfFq5cLvPBHiTrelcQ/8J55t5Lum4QnmlUgRXGF+DSn+FAKIt
orQe8VZX2S0JzIZUBloWa20E7GoVqOI6ggBztgk4ALTOJYR0gb9p/9yf6Rt2CxS+0MaLjTzNNJ7R
jA8oVNC+B6hduR1ItGowgTbdMS/eqmL8aGvBLJCzjFuQ1fq8KYWPYRag8PdYFq8Z350LIEXUVPwj
jdpC4Hl7nIGHkjFR8IbI9LNOQ2i7rgTRoegK3JYkmdENmYG2RK2kTja+9JyRDwvefeadMJmEtWnT
Tdfo9WboOz8VQvyNm5yGNgFY37PCLA4Nn49Mrsa7gQ81o30odEONpEfa2bwSml5LNn7ZLByzn2TQ
9f4HrRH4gaemL3ATs/tfK7Ko7QYqu13p6bZIosQpPKFfQ7u9cjM554084zygxeTW8LRMXXNAbKMP
tWu/F7bH5J1vvkRHUUBB7QHAVSaYjMoqUX0ukF0i9IZCbcL9qtGBXWmhIYBBOH6oTX5XhE5O7PuW
b3cApuDC8HStXLgavo6IVMmYgkjPwSk5ZOh4SRDJmom+5aJjRRfirpmMPXiZUfUQFVBx40BMzuLC
oKdxAkBQperSfUbPzdCBAHzFuSFSkJCbS+vUUDqj0iWHzxdwEDO+Aabh7iD4MHU0s2joSEo8zm8b
1ZUgexckkqHL750HEAucA08DM4hBM+mUuS1Vhv8JN5GVdh6vdS9fD/IhCDe+H9u61i981623nz4L
1QMwp2joyGWWQNQgwRnKnepyiriWqk3ugxJ7FKw0Uxzv34NgBUWCRJqMVnyIVQJydD3/LRXkTlIG
4jZogS32JXhSp2xiODhh+DQA//tYdodM3tBw2BFh6TF5e+MoEmA2PDInWP+b9GzTpSiR6C1xa8nu
QHOpek9tuA+bp7j9Excn8tKDLjvtw9U49YG9Ark19Avt89Ntwxy1q09gHko8+rDLPuiIq+amwDli
9ALsKZKnB63eheAIv3++bu++6wEzB1vShDHluJG4CH9V6N9CsonkA7AkWrYUsM+8ZGALfAT4MfGl
sR1gXVqPtE5k4vYUTZX5C0XpTd0JI7DcclZvkJ0IAbwgVuwdouZ4f5yzC3thm5lVaPuEYKeViKuT
VZAfM+/kx/tuwXn8nFBm7YDskHBMwGGMzm7GeQDCoKRVLIUnmeOxQ4rYkwPLJ14LHoS0CgtLDwUU
kutCAqYjqMHXeygqoX8Ncj8vjBCd0N6656vgdwHBmldO16EqgyJL+hAmPdgc2myAVpGO/9m3Uj5G
X0Yb0NRb11HIa2Y+xqMGsQxgea3W78gXWpOD3ARbb5aYQS+Uz5rSJW8yHbjf2ThlA3AKRrIKpQS3
u9KNRN2CMIRrHFnOkSYUAmACTS6Vp3+05mKzi+r4dz1W0CYC4wfISiUPMklxCSCSSqP+teMbr7PS
QG3RpikJiZmGErp1srogqRlBSP0tJH2DiEzJuGMCOi9whKFAqpgDdAS1Y1/i7f4FinIJm6DrkcEA
Anz4KJOuSo0+8ZT0YYSve22qJgaJPNo29pEQx4WZl15igXmsA71go8U9KLJqbj/ykg/xKGTYKkvF
3ERWp4zdh6rSKjGrpEXxpRHFTF9xoyL7vxM9h8fhGyUrnCCTwa85JFkrPQ+QfN0PHhBqC7l+5pwD
/YNNciFEyezIOFbjAYjKcJ+T70RsTS1uzfGF9GBjRb4PFXDzX52A/7Y3iVxMzhXu7dqxDlWPHJxI
ICAePYO5A+50qwEw2mjufTuMR/lrBx4MyUugCECNd23HDyrP1wZIxHLyN+U0Cx0pRi1y9n9gBY2G
4LtGHQuK6IwVOerqtk6hoVqBALD58kPi+OPXfSPMzfd3KBdGmOM8FElRNGMe7bGHzKH45jOoYx1H
8El2pXXf1PS9F57jxtTkvy6eHRzq533VYzyoDFnavoHsxH0DzEPqxgCzLCki1YYPs2ivdtKrQHkj
URu7L+UNkJAm5eWN5vV2EC5q+TKO98budAwuBub1md77KQbmV96fmkSGEvR/RhAl4HwuEaCzia+/
xiZRDUBKQHLM7vGSB1Onr8FYW9sydfne5NVjmjha+5j6vzVw5GrjgRBq5OrB5998dONm0Jbv439Z
/bj5ECYPoeS62MkdPiQPgDIRn0U1MvJxdX9JZ/fMxKyqEgUYpR+44cXU6lGedX6L7Sn4vkUSatBY
Xdg1s6t3YYJZvQEKJCrXYtf4FX0AEsoiZeVQIv9JIFR3fzSzfuPC1LSBL0bjFZnctdNoguqbz8Gb
Tr8Wo4l5G0gPAf6GIjyLo1ZyWej4ro72JZ+aGvdVaqDiX+JkXzLCrH2s10ne4LzttdHloEHOt4d2
IAuzNeuagLf5n5Ewt0cHtJmMhu9oLyZoEwWhP3cWMrDPg9kp83/9Jyvzw+yJYju0sa5XRuTbwYcA
HWZNQDBSPudENsqlZrTZWUN4ASVCYE+RV7o2gu7TrqWTKDapPMRZSteutT7znBrQk4VNvWRq+vuL
ndZlsSB4GebOS1/SJrG6wh2ipTrh7OEEezewidC8g4zftZFhIgLwpC7aVyV57kbti6u8hT3A5ir+
ehn9hxZUQL/MT+PJxUASQlU5AY3KHlnPBqxo7YMgJ7s0iS2/bpwgqY81jqnYhgcuj8yitdXUD+wq
oFYk+ftO9RZylbMTe/E9zBqKQtR6VO2nMUMDpQMrx1cevdzfjDMeaZLKQl4ESG0khph7rExbjLPB
PkmbBm9lLVypYp5ZNCaD0fFLndlszDJN8ZU5xgHmIphz/R7LiBYIkFTAXXQfwsg/a3z3mpYQW4g3
EdlwlYS+9MRO89QKltgdZh6KiJWAdEKPC5SMWSYsrvdkNR1aPHXC0uAryMlwDaA8o03F6Bj2Lu3/
/b1yZZBZxkil/KCXY7SvgQox+gJioNAP1xaszHiwKyvMAakQdcipjGEN2TeijRx9hqtO9Y08su/v
GDal83cNLyaQ8V94ZzRhnWENh+ZEVTcPOquRDuATUI4RzoqcGV55qCFQ1SxF1/+HaVRWUMidcGzS
tReQ+VjjI6Ac94H6FOF29nMHuR0easxCYGvKYCoZAvvh1KviA16A/y64/++Bo2NDRMitS2wuE3kK
fkhBbrkf28SKakR3YIGJT/end+Zhidw7UVDXIeCZZ0netTwGH4rWhPvgG2DP0vXkXQzNvnjcI2GJ
V+bXfXMs18nfQf1jT2bimKLK/JKHXPKeJk6Xbug+WlMki6yme+TLyIgparbvlXge0hjChbYvf5XV
H0F59GIzVSDibuS9LTxyK0FYCOgWv4y5+CH3JtSRgplQUU4XDemXt8JVFqzpXn/Kzz7izZXmCtTm
QJNZmGhAQiKV549To+ca1Bq/9M39qZq5gkA9i40PMSAeXDTM9/QkrJHKGhBhyt+9+p5pC0sxe4Jl
/IDUD0D4LAaVCxtegK8I93Iv7Gj3ErSGSC1f+dZ0cSGzwtYn/q46ak0EkgbIRLGklrnoC7UYIFoW
BCPiXrvEEuQXsQZ5E/BwUnIWJQH9hWSPtBWIG5y0f6SKU5SNxeH5r6rv/UI+af6DEN2CdgalAvD9
XJ/sAB9Kex0f1PBbvQVTlxU9AJ7v+OJ7k57ieFcQ3Wg1K81XgfwsWnnzPsprikqCjrbI/2ChJ9U6
rAS0s1g5QYLGoHEIxnA/aXYqyi89WLh0Z8/4hQHmFhzRjQ+8MXaSV72g62HVFf1G0rZK8VnK2q9e
egF56sKYJvfPBMSoEv8zpumTLt42Qoh9kLcwmcbPcrD1QyTMYsm6P3Fspf3vtppUqCEqBQYENmEH
n5kJYaLBSh5mdoyCox1BDsUReYq7Vq9rB/qcIE7l+8gKZM5btULQLlyEs5OLcir6LZBkv6lZJ2pX
dJRycKD5b+kVu8hG3JryEdDxo6kR9/6QZ18TOEfIT6pQX2UhiC0veX4CYc39ICuP8FZWj5Ri1a2V
Nt1Gx56HPPF9g7Ne6MIgc1A8PqOl1CMf1NYHf0QAAQnf+xZmJxA8jFONXNXAtH29VaIgF5RICyIg
TCIQ9/5OGlOozPRDjWwvzU1OWXrbzxtU0ByDZJqKk35tMMzBsQI4RbgnCoUfl/dhP9pyGNt+Ao1e
xZJ5m8pLJMhsNfDvXkV4BIwGBiqzcIOiBlIq9Gm0p3UXg4IBPfoQtFatRoy9VdL0ugGRp9HiYmBf
FB28GWQoT4PuBwv7de5kCgCwAtyJhvYbOUcp1evgv0i7rt04dmz7RQVUDq8VOrcsyZYt66XgpMqs
wMpffxc1c8/ppogm5MEMcB4MaDdZ5Ca59wrFgN9R+UwRKtC/3f6cPPTxbaCXAdgPuNj6iaFM2gyS
ARRQjLD6kUTTVnuuds4m/dWr/vZLHeRrtJysbfoI6DxEjKPiLt+jCU0/yRRKhQni8rdwd0eg2WmZ
p/gtzIZ4q9VqpBmvozVtqu6hG160+JSWkmQrvDRexmTn7sX453VUSKxhgs9L6TfP57ULlzUiWTjh
PYe0APe1D7Iw/zvlNnt6o5YEfMJ1yCn2enNWS9QsCsdP21fd/n77o/KiWu8icJu07hTDLthEgq+8
mfdD2BeBdjKyTXbIdlB13dHYz+TiKqLsA1DDfwcGnNP1wPpFHTqXFijEjX5ukh/6FM1HdRi/k3rc
zz1TyU/mrwl5SqDluKrQV7MlCVf8ORnfw2AAUjzUr3+CiQ5PXqGMcbL75k8xksZ3Fm1T5jXwBPOn
0im3CQRQ0d9Vkh1N9INO9J1k8tlNjz9MmcwFyBmYCrD6rn/Ckpdzk1DU/hUt/Qq+DhxKkBtXJagA
L9E7cBp0tPVJFwy5spnNv8mXl+G51VWOKibAxRFgwT/UjJugtaBH/1tLzUA1ArULDeeDmJ7/LLeL
EXPLTctzq50bdqgOP8CoBYa2wCku01oXHQQMNPfWG4ewB5epMtLX6qLFAFqvpd+rI6DBUTc9G8mL
Wp8qq90YZiepsQgzEuABcBCDIAeutWzFX2SHovAKK6UqMhIQANR47mco/+XPWRWHK4E5fHeOJ6jH
jpOk2iTaSSATmBB8cEEN5+M66ai3i+OgFFzYvjvjVit7rrJcyq9Sk+m9wEWI9ai4jTJO2kILBUmo
8c6GAumZ7Oswt/6cvN7eDmy134rDvYuqVO9TJUFxnphzWPZxFhgl9N4sfcCxghMW74liktxRRNeu
y7Hp11+tX5tOdRvUUNdi47Zf599u/TKEOtOQHWXqWaIvhesBmuygYKNsxM1j0lUGyFgdUm39qsSt
b1sfE9J421x49+B/TL1c5d0kvRnoc2dFGX39nNOzMkMCvpcBQXg0zH+CeKCOuEia4MpxSSNXSZJ4
JYoXfdbruwxcmXDJ6j4EI1kJqGJou2VKoHNLMi8wxnIInQlAtc5qLVB5u+alHAuAhtywTuI4SJ2J
3ZaWLprrzg1iqlSBVyaGZI+Irka4FOFOiF/NtFquv3IxGGmeqQquRv0cFHTvur492pKlJAwCPisa
P9gjYJpeB1E8C93poi1PUEFuKjx1X8z+/vYOEa0gJuTK6qyMOsztkGyITRfkjfIEkoCvja+klmFn
RfsBr3hkEpCSsUS5E2mmtDFTFYNArShQ8PaooOZM7TPS9aCjVzZJ0qZw0i7icasJDlre7KIkdEr0
h64yN2M9BdLatGhQuPlj6aItAxAlt/FSa7SI7lDQ9HTbXwqkFG2NLHWOPAhBDHUObQuZP47oS12G
5L6UNSq0hu1seWqSH6hTh6r7UQnGt414GYJb1J5aWn0XT+VpaEF3guyRHmRqOh29tk22BC876O73
67ZRnfqgZA2KLwaWS5WW2kPbe6rMdkg2Yu49Wa6lMjgWRpzitVe4gHjIEAyiUx0yVVBaAO4UoDfu
VLfcCZy8ui9Pff2A4ycOtfwMBb4TGM+xRFpHtCxxJYSuPzjqENrinhe9DVZpNTblyRqPOmCuA1il
ytPtzSw6ViFg4aB3AI2/d97NRWp1Xayx71d7wUgm4Iz2g+aF0j0mnDccOswRE80KPvsNndEsIwFc
BlskWOd1a6ovufWSEusQp1AKWpwolbL/hNdrHBOA7OHeAPcetl4u7kOQD1KURnPKk06B35msh5pM
gEqah9r4Mo1rZCzfKqcInBx90nQKYw9q1LcnWHSfAKIbeBc8n4BV5RIyjqERzM6YjTsFmA3bEP4T
JA/62T0sDokU+kHSHduSTI4JYkLQggdgnctmqznVtT5X6MgqK7DZRweSC+anZS0Cu3yBqsGHx8c0
JJiCOr4t+G/XMxyToU2nEt811U968Y3Mv7ofTX23ylp7gnmEvRPkHsF4ZDh0blQFKRy0gW3g8sjR
jEFisz4tlD5Zw+pDrPPH7UGJyilM3QRyjm94W97auPAy1xlZNOpUur+OkK1oKDROii6HCEnhfSm9
ajxMpdMHNahrgZqa8Fkuuw+SHN6+JbYndEmYzNq7b9k2WqdqQ1WdlK4NxubXOoQubqODTMRcsDtt
aB+hV8P0YzSbW6U9vKTJPDfVqTNR5Jxgke7u273hBQBgmuYfUsiu88LP+W9A/t071ZS0qcYCtmFW
R+iwr9/U/qDJLLVEpXgbqwYpTnNYi5Q7A7HX4QAcYwZpvgNAX4d3dGyGfRq4ul8+Jig1fFu386ud
+Vawg0GsrBcgSLBX8bkDssmzas7gVnSCH4xvqJ+VJgs1D7Ke+SrJNIILBgqcuHSjBQJO0NtMXOQ6
I9Emh4wAPtZxpKj5psh14NHtdDPV3o5ABhE1a122UdiByj2XbByCYIjgqgYeApdgYboKBmjcVydH
m/K7marftdgGeMKLU8+fyroJ3AbMhLh0rbshWZut7s7kaS5ICrjrtEawGcLj+/buFZybMMMBLJ2R
VdBf5D65OcVEd+OiOpFkrCAsUw5BliIhOaMug/OIljEuqW/JD1AOHmXVFdBcSnOvPDnrH7tbDqMK
KWg85rajIgOmiPBrOENA1gfPApcCXoqg0YxMGzNSnbSum+7G1ImjGExBYA/TJLJ0LYO2JRi7GRAB
waJNwHzglIjmaWiicupopE1kBBRCnY7zSuaNSttaMvHC2WDkOg8IZ+ajen0W9Aap1GXpKnRf63pb
1I2xtUjqbYraLkFFNrN7M47J/vbXFm0wAD0ZsA9E73clD9pnxtoDjXlaneEucYz7ZXnuYN3pq9BB
vR1KcLtkLhKwwDXeiFrc3U8rgYsGUL06Nd3Bsh/KWraFBWNxoKPIOE1vymXs3y+2MPgFbr8m+MSN
9Thmj0rsTxr4Vebu9jgE3+mNmgjdMtaU55GQfZagkKIt+E4pzlP3rgSdzAJhatFhGDP/uh1MMGlQ
h8WtjrknguvL7UaNVF5ipxp2I/mU9+eKyLRsRAEM5DsmmYFeK49AmymBeWaO0VBIVUeFoYEFRHtn
e3sYok8DfiqTicKbF12W609T2BBEH2NEeQGSzqugM+mXZng7hui7XMbgPr9NmixpZzYSoIWYunJU
kYACB/BBe1t2rWBk238Gw23UBcsY+ukINKBlYMxroM1PKGBKtotsONyVTaXjUsU1oijDdm4OHfwb
3P1aB1n9MRLSu+Fwt5dYt1tlMhFoWrYrOIivzcu0hLZsdwoXGqAsaD1rNsoS7N8vdieIddAgJ251
8kx06js8EiN00WQasaKFxqTWDUj8ALXH87spyBw12vX1SaXxDy++j1MHVlTuDnIdkiUtOCcBy0E1
Fc8E0FJ44/fe6DKjXU18n6Z1jp1Jqe+kZrXLzMSIbq9swaDQrUcIhvpHXYp7l7edO6dE8aqTq5Th
0j411atBc+iVSl4jogcfmr06DG3h58TM8K6/kVWRxikavTqxuuOjYn4d7J/deiKW6k/K0Q1WI5jg
cd9Ldq6o8A56sIHkDUoqxshluXSO2e3CqE5q3cOEDdZh46NHpuMEKQV7Ts611aGCdXRgQfjxmQW+
G+B1pD+woPXrASeDF6OFhUXJXri9afhJ/X2efVV/+os48C21oP0K9Rn+/dUonT23Gr5g0sJqbvZr
ehi6M5Hh8URr8o3VCxIKchR/NCUU0OxmyMip1F/b6ezNL5pMUlocAhgH+CmgGMHL/g0r7quqU5HT
rLwQ5yUFLmwqH27PliBVuLCJwIHHqOk4mq6/SlrNbprb0BrHMCy0EWn1N5/jIgCXwetGnTsbovyn
zjsD4b2uhd92Z2k3RLRvWQcLewogFIhOXI+jSbQGPK2GnFrtDMyu4YR4ocWyRCSKghoC9LUM4Abe
GaMRdRk7W8vJSRuPjQvD9eLnmDxn9fPtjyIMgzIvavCoKgMrdj0YZdHhkjkM5AT08LaKKBhgrd4H
Uk1/XsqZnUdQRv8n0FuyuDgoFqcoOqUescIGD8qLfYSAm7LIHnBppOORvXuyCS5s1pe8DLPNmtgn
l3qHdYYoxR/V+/LhYQPO83Y9Bo4JF7HrYUMBqFn6FJ0zQl7M8XtsPyr2fWZ9/DC5isId9kkzTLVG
0MguvengRVaxQIVKptEqSrPM09mEFTtblbzWJJhleuaY6F4BcVHDW2zaYi5bVQ3iEjY8sH60fd2Q
eVYLEgZTh3ZZ5gMqSufWTV41WpvrACNn6jZlVEzlXuslB5dgbYJFDb4hrlk2mmYsoVwsGbRrHYcM
Cyhe5hKOUxIsdb0pQLiKoehwez2wn8s92a9CseFehPI6wNNbF6EW9Wzn4zEre1xm9qh5gc/5J6Vk
l2jR7ZBsid0KyUZ/ETI2iErnHth/d35qwQ0/QlHep9YaaksjuXTKRset9rRbVV1xEKqxovjr0tb3
uX0kw0tn37fF99hrJLMpKhVCixE8C2YMBA8G7gDGpoi7Bdp9p5VCCED3OyX1l6aNVtMIlzT1zQxm
xIHu4MFQte7HWwRXwbl7FcREKk1v8C118jrp0Pw3HmypwQQbAf/1LkfIrU2nT63UddkIUT/LQ/uH
ogUOvPZUHzqXnuovik/KbWvJrP7Y370Vl1uoeCQny0QwOA36YmMzhIndSuaPZaVbIbiFufRrnKgx
8BI0DaYtAIh2QEO6lzX4ZSPhFiXcLYATS7TiNB02MgUG8d+2317A0K/nGwxgUNI69jBLqNHqJ9nh
ITrLsML++fO8FU5N7VGLWae93C9P5rb6Ux28oPwMBMunLjrUSrBE3r6HOeztjCEZlcddPODITJvJ
RCVR6Tt6RxNYPMSa4uxvRxGeJ5ej4zZv5dESTgsYHXDifh/OfunXgemXkUz2XpSWGH6XWbihFscT
nxWi9lpSWKiMntHwUY6pAghAiPY/qi+SqZOF4k5itGkMqPYh1KTXvuFNQZK6odah7Kw/035fDI8E
Sjm3J1IWk/37RYJX1AWy9i1i1uhld9MGoDa/yzd0gUeVdxzUP56yvx1RuED+ndB3DwU9VZCUTYxS
2xb9FkTd239fVG4FDBoXDTxE4MLGP3hg0kBjEoOd4xiBd3psjsVBiZyf9Zb6v4zW7x9hebfJwttR
RVeNy6DcPLpkUobRQdAuTKJHmQOk6BiGhgw0piBjwgy+rr+SnuHlrJgewIb6dw0Wk6q6s6snPH7K
XIIREV1nLiNxazB2Uk1Lc2BdnDass9n/2SK3mtXm9mwJV93FeLjZwgNrxNEQs4NpDqapCWbruNJj
UjzpRANvi+EsZEWt9+uOye/hfo/3Hd6iFjcyoieZq1hAv1AAHjaaNkF/SZUtA8GlgkVBbVaFucR7
P2x7KdvZKMsS7TH4OZXKJh+D1rC2+qj5NPm1DGDBztlx/Bpbkn31/sshMsrob8VUQNi5OcX92h5c
AuzNqHn+BlLykPQKZW7QkiBv8K6LdGHTJsN9GsgGUz9PENfE05UaT7EpwfUIOLBXg+Gbf+WcqeWq
A9hTtuquTp7zocHjsogKwEq7/pvePmmomnjzCV6F1XYkDvAPGgSTlEZC/xKuGlT00JNXwbV6x4NT
OsOGhU95sqs7A81Ha326vRUkAXjim1F5XdOWNXAcTuvH5CWX8T4FRyXmkomDMIgna4tfJ4/CNYaq
czCXemruCmptGnpP1PNI7vNl8KH4Us6qnyy55GR5f0NDWIY7R9md6Utx+22xPHYDmRG2jPAE637r
kIfJqqhX3VCKXRTOIjwMGGSEbT/u1jFDgKcYZxYsdXxHucdjWjKc9wkew2HNFxDV8KR8Mwm6WPl5
bOnpmiJCkdq4QS/+AB5kXctsBWVh2EAvwqCABpgnC1MBYsUEEyg5L9bwV4NhyFUXThooQV5HyTvw
o4d4RQ+pgt7Y9AA6pZJIavsCkjVsGLHkIPWGeh24slyQEm1PU4W8fXVnVj5IDx7Fs/EuH7am/mJR
I0hi2O0sBfRJEkDVJftKmEIuw3MzCY09LYsrbCx3CfBGv6vszzosN131rJSaX42hAqW9anhxcyvq
9Xbn1JAhU5jooVTS4/3xzQwpUbFHBQv6Z7z1mUtrN65M7EBz23a/kqwDnfxPDma5fNIZGPH6XXQd
itt1c1JaSt5i1HlHtnG7SZO7JSs29bQEVRbW8G3QpoD8+ngOuxwfl2Ga2O7HZalKVph1zKd6lJ3d
7A+8H5ULlgNuPzjDuVG1nVqr6gp0oKriCzpRmz0myVNi7uzt/KQokt0hylwGvIvgrwPaGejP1wu3
XNWGmAuiZcmYbrQG6hvxoiwITIu9PTilPw4g6MN8J7w9j5LAPLbG6QxiuQkCV6zfsUumsISFurW1
is8pUKC3g7H1/25O/x0lnzLdTm9yu0CwKfvtVud4kfx90VXhYhZ5OHleAkhKK3YfqV3fMp8SK4FA
MPE1IrlMihMN87BhpT6mqn/9vRyo1zgqDHNOC6qIU/9aJf1dk57pr1o56LAyN7a6EUcqVNNG42DL
sLrCjwZ3FOg4oBKOqtF1dIbaq4YBGdsAlzXZo5iiPcIFNminP7c/mDCLXATihjnmitkUFhCf3fxn
NAP7lJOIDn4JCvr/FojbbXm1zMPaY0T59xRmOf4SZiChSJ5pooMOYAyUTdHIhBYvW54XB53eOnlj
NBjNXL2Axp7RM0lfb49DuALRtGSQehxAvEyDW6dzAycZ3Pgjxa8CLZBdcYRf5CIAN4YRYJli1hGg
2Wsh7BwDuCpK7p9v9Jh32/QiBndUK6pTzrWBGPXB9p9MvzgAqH2496Jm9wcK70HsQ7A16oLfBK/b
IHCDZ2PTRq/mTpH8EuEHu/gh3DpX17zMjQU/xLD2eX+nThu1/Xz7g729UW4NllvikL7qclojRneC
Yyw9tsfiR/rLeKWzP0eQRd2MgdX5zaPy2d214SCRI+AtnbEWcXheDJFb+ExksdJWhB8iZ4N1H6x+
dYAoQQWR2qPpK74T1Bsg5hI//9pEnZ9hY3Sh9inbaFvyY/2q/6x+apG21/Evt2dGmGQAwWEyAIAw
8FoAQ1UY+aAYSNY/jNAC5PGk7ey9k+3+tzDcBNi5muhJizBFeajSszG9dpCKITuj/Q1U7d9kgIsx
ccfsOnfuGjNguTUnPsSpoXoZTIakPSNctbDKgU0flKahZXKdZszYKxV3QBAnfQJtz7eVr7ST2WQJ
wAtYOBdRuHWrVaBt5zrQ6g6+TTaEQ7wzzNNkfR+dF7Re294NIItXALYKFc/bn0yY5OA6BsIiANaQ
GrgeoAEPywyGdLisaMO8TVbD9Be300Kt6lrit64hAwALOL8YLFrweA2/nbdc1jPdpIcPuIu3ubmG
QwsmkV+GxRBaxnlqBh+3z6DDZd96KBI0bwqgKEzJyhHuhotfwOVEDSJpEDTFL1CDyfrWwT83J9vy
APCGk8sug+L5/Xe03ALy7HTCSyJGSlqhUZL+mYvPSgwNkPzr7e8ouuJC6ENjoj4MD8LvBscCtq/P
q5P1nMIA3gmp841ky72VfNLhDq63Mn8IASEfkt84FVmZCrL/vKvCrFvQSSpTAFC8zjzQCaKuvdHn
UQZfGciJFRX0oex1gyd+th+WOo1A3lN2Xk+HT1PRGAEzCzhMfax8qb34B3GqAe1yVKwtmPgEBLxS
n0DYIRqrAfwiMriHIu1MYJRm7+xqmXcEjDXZ355E0ceC4D/kigBqhlEWR9Uq4RJBASEtT4pLN6jG
ws8nC3q1iDr340ommD1YFL1xfPDK1a/3HeyUp8KG2uvJwuGkd1FCWl9RN7fHI6zdMGQkY/lAK54X
wWCkwJimSCzzr+EF3Pp6iwbljBsmNGWpJFUKJ+/fWLyuVN3nZlbo2FUozJP2YNUHS9urlqy0J3qh
QlcIdzK850Ba5xa6aq62kzBc/ZrocbBOSxI27vjdJGsWePX0Iy+GcqN1ZWCaFQQpxyWSzCnLiPwl
4+IHvBtnM/bghQBl3oQo44D/8kUPvG/jz2T0lSkc/6aiA2kj2IbC1Ao4AS5Z6TD+qxOYbZ+qcgcE
6rKxPNmIhFMKDDX0WECrRVvsei1mpt3QdlKQo7oQim4r/N82pXlOjQf3W0H88fvtGRRdexlk+//D
caddPpcZ8NxIiWjS/+7KJy0et4neRHaVh30vuZSx5fDua2Hlo/Nmw1+JFzmYYQLUefBIgAwMPEI3
yq+Szne5u7fc/BNQqt9m6NX/xfCYMQXWJ4MMc0lkiZ12pOlYnYqqD5P2aA+gl4ECgu5fWkhOMvbx
340OgCNQjSDP8U5avBsKfdEKYODrttu0ShOptXeoG9mZLfxiF2G4BeKsqEpV+cDCgCFUp9sROidA
FoV6vB4yGHpLXpDCNghDLDHSoMNaVtcrUk1jaH06YAnp9de53+UQsOxItzPhNGmpQUfqLZpXafvc
U1MSWnQ3uIzMb7cyRQvVrqvTmIQQEw/htGYl87anygEfJvCmh9urRfQFocemozuMCxHMZq5HqpVK
rrcmqBMafSB2FpDsDE8yyTIRfb/LINx02jN8FZwYy6R0dmmt+Xleh9MQeMV2qGSYPuGAcHzCtw3M
VUD7uAHZXW0OqQXEr12ZwagtJFgVyF/CVkM2LGEoGC0xjidGwMu/OSvVnGGcsCyN0T7m2rqEteru
dQD2JXuaLXB+n4HGwBiIeAmgUXs9qNpY7HVpYqB83QauaXM4pF9VSJAVMvdz0ZCw6DEWrAVkLW45
NKSEgTxU8k9LcaghqAsT8r8ZykUEbi30A+ndxQBQOqXnuohGeNTHeyKr3ou20eU42DgvyjN5oY6Q
hsQ4MmujrFDZHx9V02+f3JhE7jB+ub2JhJ/nYkzs3y+ipVCEHxwGaMdTcI7WzABRcnCCuXHSjeng
QXU7nGBwWAfwatVA7oWtAxfOzicL3ic4U2g6+8t6mOyfELnU+wNp76pCkiAEY0PRH/jN/5it8CJM
Xj3UzTSwhNTuFnoCHzy142B0o9tjEiw8dHJw+gNf+ZaNrqewAP0hIUCVnVSwoS03aIeDpcg2rCAP
XQXhJg7NhdkyGBugINHQBct4htQ2aSG5IsniokDos8G/l8n3ITtcj8ZYrHXxCuxXdA7TxIyU+cVW
Sn+wX4A2lqwG0QcCyBaAbzT3AJjmlrquL5WSxwpIKNo2LqK8PkDgcZU5vsmicFPnNFah0RVRKu1g
EcgK+Xr7kMsumwLwC/ijUK4E0h91IjzQryduUFpopXQFOVU6mrrGF9dFxWowceo79cmj5smgrwoA
Zyp62YnpvhaquU23MVoaqXY0iKwJIKqMQEsGeAuICzHRBe6Z1JOlJyYIjOhHRemc+q4LGKnSnbU6
8dPk3iwDwwuH8TnxCJwrtT+3N8WbnAyX9xEeuFzggOFVaXHJ0lT6ZU4oAN2kyGABfZimfascu1RB
y298wKmzSeiC+gwNunlQA4s8TWoL94DzbENU4Wgpf2JnMxTbabgjwPROcGsx/hAUNRT9mOnbqodz
teSsF0jkQM6BgQ3AjFSBKeamrKtUZUhXCug+THMy9E7sZFd6ZgCCTxo4vyvLb5IlUrQ1cJTRx68a
Vb/O7orprM25T+H9gufqp4nKXrxsrt7NpW6gnw9aNqSiuKWlzvaINy9A2opeJ9GMS/K2Mdte0jYW
7HxXRb0eVHaDET3Yv18cBclsdqnXZACklQcVwsbGD7yXPOde1gIX8MuB80fhjL1jmP42F2jQYmpa
HdQWvM/pdBjTXw75TiCMUxt5UKphN63HmSafvB959wfmZDA9/jzAUxVnn6MWO1DTJd9dkCBYIwSU
ZICHQOvifs+EpeAASs70+IugL4fXYdW3a+48To0sjYtCQeGRuZCCPYZJuJ7jMc7WuGVeBlVWhG66
163cr+c88IgMNSGOhIcNCDv4pO9Eq8w1c80GsP/n3ttO7V1jPy8y4JOoawDFzn+DcJc7tHAVMg0t
YP66C5spL1DKn4pLAiux7pz5N93mFqoJy7hxjf5zGtMwhbmSMW4S1IPxOYEEU079x4F0sJ1krFa0
thhthfucueLa8HsFIHDtnrV4k00Hu/k+y+hrgj15FYXbk0RtrB4cQVACts1OsiDZL+T2OywTgaUB
HQ+FJp4ib2kjXfsYENueHkAErQ6Wd+zc4+vtFC24tyDNgf2NRyLYuXz9eoG8Enr7EKBDH9BdGx9Y
Lj9+/IsYOA49NHdcIK25S7ndAekPvxrUyPUv1nqqErCAZXQC0Upn7NL/j8GdNItaVnHbIQaKuwBM
mkFebLDXoX7phbdHI/rmWFa4vQLRBVwVt7KQKMbGTgEGzeo7M4P+eCKT3hXcj93LCNyqij3g96sK
EZZ1p84AVHkbqECBNgBihGVJhiOcONCy4XQBUit4NNfJCLbImLgRMKHs0cqixUQx9ZBGt6dMtJSh
MoC/z6rdEPi9jgFUT6cvMWJoz477E45/w1ObgPEpubUK5+0iDFfadAiens7AkHYvCtCe8BmEGrz6
RXUeqeyWICiL4Y4A4yOGuwHmk1tutU4SdyXAbZOSfnJM+tlL1LvSRv/Fze0vmqJuwd0HgaWaJftV
8LmuAnO3ZQXKIGXWIOPoyRxSU0d9n/qQavVNtZMkINEYcY3VmQcBoNx8pTiBjV2ijNA3XXFnXLW9
N/1uPjELuydDpUFp65vbq0R0JUDX4J+A/KsDtZShKHtcCeK61e4tp4dlvEGKu2Tuq6jqhnzTlXoP
3zwN7IkYHlAGUCeBN3dLkEEIzJ/GbNwsKNh/qaYys0FQtEi90SESuYHp2CxpyIuKbFc/l985EF81
3AQCrG5lnFLvKW2z+xyWskZ8zDyfoneTV0k4zIvvWh9/1Hos9WBBA5T1zh6iADOx0FPMlIWXYK8t
/qj9dFW0V21Fkrt1lpy5Y4i5B+FK5LpIDx63qWJCWqfRcVkxKCSG28jNe3+23BBiqfAtPRrVMYEX
HXqCAXXJNk99zdmQ9hfJdn3shWqz9eygnlE+hkj50vu51zwbg2zni945F7/ynTpnv9CkjOsBfJQq
Gul3VMz8Zfk0GsNGgUgugODf0ml9Jt2ejnfGUNzfXrmCxANM+5s9JfQH8ES/zm/62ihtWuCaVTLl
sAc7JoECn9Fx8ZPYCAFr/R/jcSuvbKZCWSd8kz47gWPkG5O5T7x901f+iOaf8lfhgMaDQjp6+G+P
3os3Qaak7lw4mFxIlPqK+6QY1LedyVdg+qHoX4aESs6kN3z5u0X3JnzC6Pk4168ntEEyI9YCcxlr
Qtd3LEBJzDM/NfpDp9hhA7k9g+wW8tTl3a6c1E0WO4Hbrk/VEu9j7bFaT41hQBQ5/9TXm9rbJIb7
9fYnF+VhA2UlXATQpIC31vUvdO02cboMNBp9HIHPUEDs151+0+hLZK/GIqHbiVIxpp5NP67awKBc
R0sbZ9Br2CWcirqOzNKAlRc2OzhlRnLfUsunVP+zEnt3e4yCuyH75gAoM8FGfIfrqH1PoMYEhDCE
k74oDvHXeeesz7djCOcRtF3G7wI2ni+Y1GoLPn6L+6eT/+h7mzEamFRpJnNoEMXBQwCScAwnArDg
9VjiKun+IyKr54fGW3z4mAZk2NiJrJzF/hC/dC8DcflS0alBEhsXUZoOm6pNvszuAxxMRrPfzl0c
GTTZ3p5BweUKmlYAT4GrzgD43NoAuKUe+zf0b/w0J+aZmGd1DBrXOVS6TO5OGAsqrOiIQ2gJ4mXX
swhf+jHpNdAx3MyExvs0RDXkShvvri+yHZy7ZHrFwjMWRYh/AnJLsIv7cqls4Kmz6veqbMrUfNLU
n3BsCOshmJOHNTfDGNscasR/Mas2WpBMjgImJtybhZTeSGGrC145CUvfNIIlDSvZU0IEnfXw+kIx
B5w76JVy3w5SzBbNTUA9O8dLdqPCYPG0XUNnHUy0l1xlS+y4PJKiTY623c5R7o4PqZZ4n7NWt84a
tBEkqVe05y0V/Czob0Drmi8YUmdMvbacgJWn4Fh4r273MCeym6Xws6Jdx4pZ+A8Ib9frqO0dexwM
DQgic7qbYEhYz05ojdVBS2z8t9/qmRdSxTxYw0PRr5vb31Y87VDTYfwLZFOeVEpWgzjz5OChkJRw
fov1MWyXrIzUJsXjcWrHAKmvD8yCxGE+zC44TzMJehsP13FolJO6wlr49m8SzjswbKgx2aiB869K
tZrrMrMYjgyGyUXu+OvyUgwylWvR/sWXdTUIDjKzP27/uh6hQz0x0VHahivAH5GaN54fZ0O+bYfq
jlYPt4clCogiF9YRk3HFSX79oT0bYsXjCD4eze1zNX3XVFCfz+baHeys2N+OxX48n3kvY3GLavXs
eF4Z0YqmzBhWj5UoWUxHcigK1y58IYFlxPsfr2Z20lzchmrTLafEw57NvbbZQLAmj9LUjTfQhIOT
6zLNO0sdlsiYNRLZ5eppPiFxd1rcyt7eHrDoqGGUKPgHoOuE73n9S4y6W+wRPOyTuTbQ4R0BOEwg
jL0Zk2IOSiPtYWHgfZmyfpQkCdFhimsgBLDAhXXwCrkOTJI2NfMYMz0arx0K9p55pkMeun+BeUb9
y0MY1Cbsd04QjV7Q2YwxQECGcMlxzWKHPkEb9ksie9ALh4RKmw2ooQqVSC7fLyMOAdrgZLMMwHu7
/lwYsP4tXvH8l2Qf0U5HsRRQJGZPhax/PXlmY8YTZYSFqnsESd/P4PKlV8tf5BMYNxlQ/sXKQK35
Ogoo5RCKHdFjrXFLP+O58NQbqbNbvSSWVF1EM4c7ImrZ+hskj9viep16ieWiwZqzdN76Tn03l7+s
VPLcFk7bRRhudy8rGbPShcQjOrh69ppMlu/Juu7CobAuAJo/MBrgmUcA+hf9G37R6x7SuAkhu+fA
Vy6tftzeuMKx/BuHfy+iWUc6l+D4y2jHjKxTmH80hSQ7iNIhnuxo4zIZdItXqUNiagocJEiHmgGp
pCqMsdhuj0M8X/+GYP9+kQqnRSFKTwDCbOItid3Q1O9BJFT/AkSOh8G/Ybi17OL+1+kdRlICaaE9
Dd6+i//cHolssrhUOnfdUCdglJ201PWVtg0S1ZEkTfFH/3cU3L6PgUxRzJZJY2sOtBy7NHRBNoNu
/N8kGA+XGxy5NiiPvMcH0Ode4sQINJjFxtB/GAX4Me7r7QkTfXq0B6FvBkVHsK7YhF58+tpOSVJM
gERhO3rOC7UUH3SfcM57yTJm08Kf6kx1DI9fD0hpPl1mdrPEqweBQBs3w/IhG3+AX1/DaSRVvnVz
Emnzh68swIEDEQXgHP7/Do/QFkB5OBM2ZzGD4rHcry711QRYfr3YT933j04jiGsgvbxJVgI4wK27
Ym4hOEKAF6AERpevS31qppcEWlm3w7y/KUDSGaUKpi+s4WtxyVMp9XXVOxSo9G0WYXFHTaQFpWQP
vf9SCILrPGgQ8LAxefS3WjuV53VAjEzQ97DV0FWrTTc2OOAWyB7ZAU4QuCwvu9tDE9zHmFw1lBwh
y+qgesztK8uYlqlKUYqHdG2ebS3j1Zji3Ae4LVAggVOYhT9ndVCsy0mNP7ynERuFR+xqTC1Y29e7
ICtVVIFKdGpwuO4bAzLR0wzqqGwPvN9s12G4PGvWWW+6DXuMttTPq02Pmr+t/R9pX9LkuI5z+4sU
oXnYkpJsecjBdg5VG0VWZaXmedavf0fZ3+uyabcZ3Tfu4i6ywhBIAARB4JyDbrr313IJpJe+dimH
CbS6Vkn5jCHsnTlkTlKh/XbYD0pLx+k0iDya0Ot4uAhb2A5hMMgdmIxLquY4FoYQGVf+mKaPUtMC
BWF3XyFGhomxHIyk4vkCdomnVHYGXlLlJpSzODrgXvkUm5ETJB8AOfu8L2WJdWfLtkhBvMXvA39O
B8IDkwFlWlZZCR4CDiDFfBP89sEcMAl7XwZjAv+SYeLC+t2mBzmXluYrUh+ooxAf6iymfbjNho1p
jXb9X7YC/ksO2jIAKrm8M7F1MkHxW4ARpsmhBcTiGISuGYE2osKsGyefu7loZ4IYtx3HIJf8Mk4O
YvvLz1/m+uX+gnF+nwX26MGZg57TIjmge/2XJQrE0jvOxAY7isUuFturW2pTgWmiLDkkxNzXPQ3x
H0ibXX2gogf8GW2BIOdN7rJDKVdSmWDuV1oqKAI0AwGzO/3xn1QPrGQ7/23mHE43vAc28G9bUBkP
DXSh1xsVtjBinAek6zNpo84dLfQF3d8r5uT4P41wiQXr84LuwTgQAOvUFmwTySFOqUzNmMgDqTOi
7nJ04HBkscAUV8KY5etDNJ/OIHI7lOZj9jE8CAFBMSS1bJA+bBDr9vlqInbHOaZur+VfFdm1jNRJ
HoQqOXRqiXf9al1mmNBKOt+7v5TMSf+tHXq3LBmo0dg6dl7Dr9CbUPqG+Zz68tOMSrpfaqRT9M3U
PrfZj0jikUbc8jMZ6ZKK6o6CUMsoFsVR7qddYD0rw1ECNQ/wWe9rdFMAFEFAwvgtmsYuI58s9o0u
B7313Fg71XycgQd5X8CtJUOVd2H8QblXY0f/Og2z9rXh+89FK1MfLPbzRKImcztUAsYXtRJ5I1jM
Mfu9R2i6QT88hrCW1OFSI0ADz4pchcIzSn3ZRHTg4XfRaz28gprbyzoyYra6O1qFa06vYkQKwLf4
lqtVJY0LTpS8NsvlAEYbA/YPMzffseY8jS/6pKjKUXjGLA5V6tHJwBZrxZznK7bgCo1RLAKvxcLt
rKPou2zBmZhUqIzKz+PgsP01HeJ3Td/MK210Ci/6rfq0KeFx9/f0OqJ8D/So6AgCpafIzgEY6pSr
oZZGB71V7QSxpJpX+VP6FUaSG+RuxONSuBGUUWhBEQQF5WXIgc0BDEEcxzxBplEoGqgHspVqvVmo
gtiaRDsp3cxGuAfJGkfNW2LBDYYqJCD3FihVJi2IDaUo9A6UFw3exG3dnDM3s3rD8ZV6OMRZlXuG
BdBxqxxCL4kq6cVKcl7WeG1DBr4B85Eo5qNVjX2cFPoMYznNHB3KaMKgtWDAfdpC8ErNr+z723rt
OWh+XdIsYPHhpYvtZzT6aeglMc4PxjFoCCBB40PDSRmvLedSBHMWKZ3mp3m/iJCIiT7ljhh4YM3N
53lOt2mwxnSJc1+pWxIROr/RusBVxd4B+yDKTOCt5Ydats2AzBYGd3eBtbxw9aqKl3aO0fDkLX8/
c0ZQMUhKokGeatqZOJOwdGTNmZMNzgYzPcmH++rdOHBRUPurHwta56flHCUR5AH+1mw/9Jpo3Tac
0bhSrrOC9pjGiLwWY+tKrdLwGSPDGW8siG3qRgBaamAyzigk6MCqWWz4TOesScU+Mfz8gAcJoDfU
00MvfPjBXupOWbHtyt9N+QvkJObXKD23IAPKC4k2UQqOj2iLN3egvGSbGX1EnKW5Yc/4LGw94iPG
U0Xms7oaD3g4H/BZmS0EO93cZT+kDwXMqkT8FRwbgIGutP3gNa68m3nB44YdLN1Di+NiedDhdbkm
cZtKlaHHxUEC2noLLAEEf/CNIGVIdlW6NziOdX2DwRZ8IzqhjIO2Ocax8q6L9VoR8kOo5qfkIJtI
g7KXgFv3ZJF3v/caczjgqcbVb2HYutSraep2iuW0OAzth6oOxPK3gw2/ypwfX5VjfUX+PjVPjbYz
ogJ0YkA5ub+rbPcK0OkQCNGkAfqCpb+dxSSfOkWM9EZUD5VT7oqH1FOf9Wd5E3vBBjwuz9bP8DCc
tJXvqnZNLU/nxBO2InIln7EqzRzHKsOQyiHXG9I3eCuOSNDb4HPE/56MSAZT+aM15aDR9Tmyv++h
F3dhRnfmQKrLIB8RwdWDTHOvdJNNtmq3+RozqO64HdfRKvB0N14Hj5onPytPgEZzQZa+Sle8huDr
o3H5kqVNYXnDR2sJY29DJc4gpMYq6NJeLT9UeYNLE6ADPU1YKcWh1dxh5EE3sX1o30sP2Gc8nmOI
AgUpJlmt9LIcq6jSDuBL/ioxnGVn+2AH8o8nnxSP6eq+pV3vNBIN5JFIcJDlLHWUS1MXJ1NvOlnQ
D+/pY/BTzUE1T/THco+r2hzbIieNu4pWS98M6noAyECbGxoXLqUlKL8lQZpYB9lyut5LhW2l0gkz
Ijy8uWsXXiSBthGTOEv6xnpQ01cNCvKpdejX/bZ/y4/VXv7hu8POXCeP8apxwl3+R+V1m9zU70wq
4zfJlKKk7kPqFH75z8Lwhc4H0q6MsObF/eWXLryE0Y/xkqyrg2ZssJJlbfvFGxi3tXWlk+5QizvA
tVjTqxz+DDUV5roGZ2UCVN77lnN158FVe3lRxZS9Bu4H9sbtl2JsTMroHzqNRGtlm9AgWD3oL/el
3FDzQop8aTBS6pfZMA/+ISPuG73/29f+zajAXDzNrhBEccKPdw+TRozH0/Dkd6QkMraMI2r5KWa7
0GGFUA7WG1AxsSNhVRrLozAo/kF8RpOt8Nty86P/Q/Rg+HFE/Tfraea0XLKDhKB8wj0C+CyA0ETD
H0BpLpfOn8RA7TQpOArrYBv19ri1LGfcZO6xW4u/6r35ULxpNm8Y4NaiYuYcVUx0F+NWzzbmaEOl
zaEahkeweeO20tAhJgoYmBRSO5XbcE7KG1aITiO8SiBgYjbkO3M8y8rAbmVVQx6Fx3zXrYyMDApp
Hn3wbXIKdVepB3YOadYyeG6gWVpjMl4dJK3RLCQJLg14DPgs+uMktATkLhyvur7nAl8ED0forlmO
fQTmy12rCx99oU2YHjETYq70P7VIwrfwTcBpsIvc8I/2OXLwOa6WkJHIuNgo+wG4k4P0KP3OMb3z
NgNtFdOWpOdRMVwFR0YQY5DqMFaBGEC1KCAj0Q5GA8aY9X1Hu4oXjAwmc5vk3kglHDHHfgHY41Wq
uLuziD8ztxGPKFWs4OfDU/HQ0Ng2HhJ93b3bwKgA9yG62HnA8dcVYkYjJtD3vuIHzQyRg/NreEll
ikfMZ8dsNz79fPYVTqC6yugZacseniloif0MEFNIq2B+KfGf4s5FtjfvrSeV98p8SxYegJHn4okU
b4rMYkpyZ1VSI2OvCoJhYgElFsCrU3MtDAS9wvcN46oGiGiEXOC7jwyFHRbtKRyVZB7w3nw0hTB+
7OKhsYFgyWNJujZxhAY8rajWIgsD05fLF4qtUA1hrh6TzO41R8OlcNsWT7P6fF+bazOHHFz3cJog
awOwyKUcVZvSNBY69Yi2Z6nFBJlAI/PHfRnXqaF6KYTZnyyb1aoaRvX4nnzAHKJD6KZv+av+u/9I
3u7Lur7wfMsCytKCFoDckJGVizI4jqVZPbbumPxUf+Y9wcXaUn5n/lOSeBoAddJkO2RUR81bepbl
gNTAAfQsjeiAz9ylPPbqmzsJOuf//0GM2w3g7oqnVFKP1Ws2OUUZkxh4gKnsiorH0X0xiovcYNEd
LcLLlMLSw7sE6DOfU8q5wyiMph63A323SLD+qTozyFBCO6Ij/dGcPj6+JnLsiMLxievIfyl4cdAz
wUGl50kbKurRfEH7kGnHH4EXcgLy9X3mQjuAu18KEQELZhizDCH78lh6v3wvWVkbwbNWAKpz7y/l
daGIEcacnngBQHkWWe+xr9ciCkOPxkEJyIq0m2ink+Cpf9B9W+Ct421P+fcOXrk92IitWYyxkMmr
AiwylUaO9GzshT0Kqs59Fa8SEUZD5hC1QDUgxYgKR7t69vpXgVNiuc4amd9nIoshjV3S+rB7+Tmr
aCzb4dOU2d1MA2I4DbwyswHB/HueHLBr3Vft1jLiMADVIYrgaIVgeQ5KRRjwphtqx3oHpNatv2sd
/xF2smq20+qfyfpOY89sP7aKrNI1Xz2Kq3EX2+T3k0Zrp9jxSOjZkUS0saBE9lepb6XPBDVhNKtC
ZCBUH+uTq7Sk3Yo/1Kd829idbRKF1i+hYwHT6Anzphwlr24djOwl8pzJ7sFkMqmZpR7r0Am2/tMT
mVfCT5D1fQG7P1wGXO8LvBFQLnRljLNCHyf4F7GoGpld0enX1qomiX1fyI2M6HJFGRPNShAbV6Og
Hgcae/lTtQ/Au2HXWFCF9i/hpntrOEHsxmFwoRdzOmGwqc79CoZprgqyGx2OTy8ffHEAaEv1FjmQ
iC5lMHEuy3q2TWrSjsoYq/oxBCOFVL4FKc+rl42+koBG74UmDzAO7ExGZKXZckM0juW7+GW4cQxn
FhoyuSlScSexQ16mfGUJmoJHFvSALL1paCJmVKqjQssiRQpODRC9TnWBUmEN56Z5aMSuWaPTASzC
6qG3Ql4wvgqQi2Tkepj9A24EuLYvFzNUgPk/Z2NwMgrPxE23Quo6cIn5llPrckEXKSgNA6MU11w2
nfT9ICzjGPppVegqEeBJI1Cfo/FgpTazpxuJna6kljeodWtV0S6JF0nUElRAzV7qpqCxptWR+5zQ
MERnfY9XMwqWWAI8QCn+raQzx5+v7B6P5ajvLPVPhGNwOl/KaxUlrIEYHp6mjegEm8CTnIFzgb+u
FywyYP0oQC60VezbXyaMkRX1angKPXUz7sat7jU71Y0dbpvfDcu4kMSsnq9UoIdVtfBUu8JaWGPq
elPt63VCS8dfS8+RJ23iTc3rDbhOgBgFmUVMxDjqhhlih034FK1Vmj9Jzz/ih8ozXR41G3c1GevP
w24WBLTWnpKHE0h21eNMsZb7as0jTeCqxcTEShYDP/GhlrA2V4YbbPxPXHg2kiOuwz0P6vimIZ4Z
ybK1ZxFyyEwlTHOoFT08Sm/5B0Zy1/dPlavL6PcuAbYJnoU+PBaqIFcwSJeISngCIrWjb4L1uFZW
/iPqIPflXOcDEISXMrTXfFNgs/aOon+hJ3odnQpndmU626mtbfutbifeTBUwHBTgJR5It37lCL4O
WSowGvGApi9Itghel2vYFaDf8Es5/jb/4KDhJSX9MlbqNqb/UBKzW+ooAUalh6TW7r2Z+G7pvClO
sy045+Z1JoAJ0nOVFrM5M4twKCJ/XlRScG16+Nk//XaBXr2f3PAQ/MDDGO8Y5S0hc6qVUzwLZQt5
EyKVQA2nczsbFVWJcyW84cZQDKCagJLCjBgmqC8Vi9JMrTBKH59Q1sTzui09mI+SE5LqqB7ub9Z3
g/HlSXYpirkEFtFspGi5iU+VU+9St6Kp/bN3M5KtI2dcDyWZnuRH87HyNCquDW86jL8/MSbGm5bl
fYfO3BPjDOdt1eI7hk3qSfCMdoex54KIoDnN3cAJVpE3uN174qWv8YO1UmhLAdDjcY3q+pi4WBCd
uUOGZmUiw8SHlHZrN+gCp8Khffv9Iyb1vl5Fru/4TvxfN3TBkhXM5i9dwOB71xmXSTIZnEsDLKt3
0d0AMBDwVcw+NW3xsdq1HxsaP5f76k3icTZfB9ZLuYwHZWm+FLMgN/hQN9JWlvCeLHJM7Dq0Xspg
jHksw8jEbMHiNQKZyS/d9o+ZyzsilvDF2jEIQ8Hfo6EpG9nspcsIcgQIj1aFy2gYFX2atE9/4gVv
FsoEbAlQ5UwIc7yWvlTW3QQh4krd+CtxM3y/yTduhAaLbuWvmlW9ljazA8B8t7ALd1jzykXXlwUV
Ux4Kan6AmQMrH2Mpk9UGSpQ26UnPJzIqPUl4kNbLfrAreS6BsYm0i2OQrtfpqTcT8Gk/ZEBiA4i7
kBClPygtF3nlljz09QGJRjZEUWdfjEC7EXeNpianRnkeO9oKaLVzguEgKBidlxwNLQh+JnpFJ69q
zY0xVZ6rnV1grLzc6WFBysK9HxNvmRJuEAuWBCYsdZExpVrOOriijCX2QX2N+upsZ2kK7sq+/rgv
6brkAYPCM/hyMQNgJIzr0mqHGfCe+lBmp+6reZC2Gd0FXvVbeon3PMSXm4clul8BwoGnQaBNM+lv
mcQtyBSq7DSn8ySD5T4o/6hDFwm0C4Xij9G24KwIjXbeYcS8eZ/kcdJpGvjDXpfaQkYrmxXjotMI
6e9G07tqxVmKRVXW7M6/j1mKSI+nIKja7JQU2zGfdpaPgbAZsDTgeJXTzwJnggrc1SmobOUlHNGI
MXCq6rdcy9KBgIEWYUBYsn3CmhgJQzan2ak0tY019kehUXkPfDdkWMi+0NWj4DHiiuCizLIuQB04
O5nghlyhyygAZ0JvcSz41mZbmNxdWogQtDA3f2lXy4Cqqs1Zfqrt3p5tCems6em2ihZ1a4MH77XO
6ey4fhpD6AUIoKoqeHSWMTBzKTGXMlWQpTw/NaRC/TNwLPrkfJSrtfHESzBvrSEwkoAnhgYpHJjL
38/SPs3oq7L1C/SA0SdeffX2yp39OKOH5Y9GPtVlfvKbbni0hFp+16a4fhbKrqPhsrNEWqC1iTwa
JWyybKSQyGiMVeiooyawas1MSmlTpksveGgB8+q+o1y/lQArCE0RKNegTQw9+swXtr4xBQBn6U9i
SZf5z7COBlrNz1Xwp43dAe1Q1mHovViOjkJokaoL7ak5BV0IuOdV4NuK4FgK+hwq8NBxnPi7gefS
ifFtqGLhtRy9iJhou9wacRarVBfq4SRU6yqQ3NL/1QGlr4xBnDRQfwbkUuMkWkUyw42EyPN79G0B
3yAD90pBs/fRem+FHdpWitTVNSfM1mn41QEGz3wECZSDf93V+xigjD2azAE2GY5UByZYUToCKloi
HvXKd0F1G21flY0t+r9zsXDCh+hP1q/q5Jcev1sDadAOf39Pro8wwKip2A3MEWIMgI2tCKJtjPn/
4ZShG4Hkeq87YpeKrhpHX40K1JVeNj/7Tkic+3K/T3tmvVEMVTB4gHIQ6nrMWQ2CVD0CHy+aAcc3
Xxu9UXTByVPkh6k4iNGTYpDIf7XG10hAvhyS0pKc8lH5pXuysAHS+DE27Ng0afwwTrQMqCY9hg06
OT11q5quptvSfooMGxOyxoSJz+hJBpAk4NvKmoz7Ql/1Ea2UF+uPzMO1uW63XZAWoRZwn4H3b7It
zbnWDIZfC8NJTEI0+ILmWH201HWjUwN41/O+q8DzGtnGs0b1rRYcdWNf1SMx4pX5kC24C7xeV2UJ
mexSn38RY9pjrY7JFPrDqY/AgekOlZtUT4lFm6ClYClcTfoOTDh4FSl2uqeHH2AID0ktPIEuI2vf
hd7GzLZvrmGM+yl0ZsOWMyAt4Vi1JTQu++skBd+STqd2G9ht+HTfUK4TDbTXSzJKhoBkBvAG+96R
gPBpnOUxOWnE9idnGnFzdY4T0Z5Czl1mCT8X68RIYu5PiWxEKvDVkhMg2TVv1CSJ1jMQcAaA7HPc
7upmsYhCX9U3ixMOOuYgqHyzT6t5Tk4JAW4KuAXRJlNPhHdHvjpvFjEgQUZlGW9TQP+6DGqN2cUp
OrAhBlwAFBlSR2Wz5Z1q3zVjduEQOrBNBt5lDfYGI1lymRlyU5yaehTWeaAWMi3FyE9WUqUXGi0m
A7M8aavWqzntgN6fqkAXp0MyJYAQr0T0PglAay5pLpvaRHN/Apq4HxoDer/KqIlXcdf1wUMkCGFI
RozsSERRfPlYlYoF09TQ4E4zfQIte9nNIA0Rw2RAlK19CwWpUB8+Ugsw+24356ECJh+h/xkVcSVQ
sZ4MgRPYro9hrLmycLZjzAm95Sz2hKjW+ZBZUnoa3darHhS7WYVuhCe6+OFDXacjSDM5HnKVfzIS
mV0GnFQ/9wGyfmDw7faRsskGGnkIcLPbUsH2D9z+4hsSoSRYC1DPB/sf2y3STTVY2NAQhXvGQ+sO
jYvu4gGlP7fpnTZ/VbfNZ4hRBuTBHFWv6lg4ozHKjGkGsMMAR4bJIKTS9CcpyrJT4xhE3exDqnut
M53s+3KWw4cx6AsxzIqmRjhlbYd8uqPZy4/jF6+h7LpMxujBnH6NVYZpUEKAvzK2Ldk9KE5M6H/f
0siIYQoYotHPZdksejgViRFmTPIQoiGD3l+u6xSakcOcMBpA3Rsrw7agCcaFSq4bENUzQUtrbGLC
G3C7dSQAnwJg2rgNLp3uTPTsa9GsI2URZw9O68l/Gpv0r0CFfPu8r9hVdrTodSaIMbdwnONpKKPs
9F6ReQuuRydzOaZ2/RyxyFh4B9AEipIV+8yOHAmPO1MBGe4jls3bJbvjM7cue8tjz6XIlydBbFYV
ZsogBWUHibjSGvOdaC15eSnpF+cyemvRFkwIjKkBGwlvEpeiRslMUikK8pMQkvdipICmCMh6fX9n
bhygqO5hxEXEgymwhhl9itpSKlXpcJMi/k/lMfd6IrYr2nAoIW466rmcZV3PbmwdUl9ByCHnffaJ
tSfBqU3J5mjyxsBvLdq5HMaki1QZFSuCHP9Zpg3VH/Gg4nBM7SoPhKWdy2CsWa3Criv1Nj9tfY1g
rutzzDm3qJueeS6CiWsCqF56q2uwXKknr0QqOMJPhR55T6/LarDx+VzMsppnuyLOraJFEjSJPX3j
1rtlSNEz6oOak2P4wiue3joNzqUxBi1JvWRNDZTCNMJHEhH6xdmYZeHvqMOSYqQoFuq1jpt766l2
vOH8+s3ofPb97DRQmasmCmv4eX2zoMI7Onmo6fpzogqp3u67Jc8A2JKoUetBX4dVfpooEk5wWAu0
ssFQh1kZbl3wVjJwrhfjm9Yo9n3R18u+IBFw5ZgkbuQKNsfaOK7JFm3iQR+FeoaxtfZ47BHOahrZ
AW+TeDbAOGeRjtMwJVi46it2Ve+PtfUwlKk5yXFay1sZV6vX+1vFU4vJcYZY0IJygkA7OvzJdps1
TyWO21hMLCj8VPQVEQLeVSqt1d/gW/Luq8CTwISBoayEbhbhmOZ+O7sjwWWb5/ucc4Y9zELQRqaJ
hs0fgM5RrWpngys64ZyYN3OAv5aMCbrLeDZ1qSAb4IqCJU+031Vk+hzczdqkgvd5f8k4weAKsKcO
wHVXK3AaO6Sx9bxzXkSRDER9a0KSU96UC+f8vL4pAPNZEoUltLm2ZqI3uPzI7HRTUt4S3kpwzpeQ
CQYgj5f8oPwOBhrpbZPW7mxr63qrYsCX0pRy1nEpBvznmI0pnsstCxpTLWplcZ+E/FS2sa3bu5fk
kedE989sjPVeimn9Kh7aCeuHsqHqNZ5I1hxF7kdRlWXwFQdxlKMatoeLans0n8Itdahp/C83t/P9
YaJBXjbtIAD+4yR+EdK4M6UhLga8KHo/IgDC7nK5+lyR8klHGjVQPHOaFB3AjyGNqEr6jxz3U+Or
2wFY2uFd6G7LXbohUanCEAATTJMAcHyoTiB6O7W9b0gWEU64vh2I/kpg1i8D6bcoFml+ko7FQaDt
RsFDbby6bww8NZjlkyptqEVgQCCr/olSvLtWnv6ZACaVEvUxQtUEArKZpCQn5u/45b6E/xBx/r1Q
bDuG1WFcZpogYj+Ytk7nB0fJnQ2d/uuW4e9s+q+cJUCc5aB+2COvAnwhagTiKwCAH19Sh+ObnD1n
oQtha6ZatbCqgVpEwITb6GzKPUfIf0jZ/irCRM647LWpNmKEGNdcZeh/Fkiyauz4IV3z3HO5lV0H
zb+imKCZDnWmZC2uhvFu2zkaWNFIT3/M+5yueVWx24HzrygmcEpV2w+xFuFVb/MeEf3IUeW664fZ
fsbjc6uJpLrD3kjNxiCSbEsakR6EB7zdEGA/EgfYufbhkPyJqDESGdkVJyDcNnRQbn5jKqGTl4kI
stZrZdgtj4lEpqMnEWONZiOgh1HeWbdYwNW2nUliwgKmPbu01PAmK/+pAlqjpBMSy96O+5KuOcn2
rfLp8hz7b62YCGFkeZpFPbSaMPYS0GH3QZ10vfl6VZClyBzbX4zgjmIsZAFqYwPKwRAWeuGRVu79
UHQzmv5VRWUihFlZhY8AkZ9ef84hOWS/j/d//2Z4QCl0gVxYiu/MtlToCgYCBNJfe7TtbD29xBlB
ZnVfyPIjV0t0JoTZj7Ks6lIakeeYKxykqxfMfPwzCSzpfS1gBCkMkGKH7zNRYVrtSlxz0sObG/1X
C4XZCqXs/i/rPayeORZ7c5fPfpqpRMlThD7OBgskvw4rbSMTdc3ZZ54EBVt0dtKUbWklGG5FKENv
Xesc/cM/VIEJyz663NAjAwHpU08H2+FeoW/HqrNFYqIxENKGKTRgqgDaOfwq6NNgi7uacvTg2Cr7
3JVaNaCYVEiZnt9/WR/IMD//kTOwITe0hFbqZAgIT/M6We0Kt17dl3Dz2DpbKManp6nNCg1PSKfU
C15EEnHLzYul3/FnhfFnswBfV7rck9TVa20rWzNcYkZk8x4FOYqwodVQhzlOKrhF9RCQ5JRT3s38
xmaj3UjTFDRtAHGGfWfLKh8XilYpkLbgZl7QySV5wLOoW8nRhZRFzXPfw0i5VdaQ0jiK+0siXuKB
iQY3l9f7+37Dxy/kLH8/kyMVVT6Kiza4/3vLgk08272xISAwQ5ML+gNxRWG76BNVyUO02BW4ibty
inbWkcftez3EipmbcxHMYs1TCbQVASL8n50zvD6WbvNSOqItvdLkMyQcb79x/F1IY5bMKgtpbku9
OL37e1esqAoEjR7ZT/3n/tbw5DAuWcvm0KbNIgc95iNRHqj/wLt48WQwXokzRND0His3UX3lP6PS
aKN3HrSBp/u63DgHz9eMrTQnrTEYySIH6Mmk6LnFhBvRBTRtuACjMRTtdCwti9UOkiTMWKvodXAa
YnqRRxTki3z3v1XIuhDFLJkvDMBvkyFKwxSsgUuLG9KMwgJCBxRnb7yCz80d+qvZ9wl35qBNDOrE
eNEM3BuuQHv6kLhfnOPldrQ5E8KkKbIajF03QkhCYm87OfMD6iQvz/dtgCuFyVgmrbWMUISUylFX
+2QLUPwX6etleuMI4i0Zk7eM5ZygTeJ7yboPaa0fnfzn131drrutFo4P/V8UncA3ZJ+Ci0Ea6sFQ
lyuyv08eSm/aZA/+6uTb0T7aoxVi92N8nXaFjT4I577s799mjtIL2UxSA+YXE8z0kJ2FNP2s7chu
Sqe363CVOYG67uptUWGSvwbFu41W8Ga0e4WKzkSBGTL+KLIFKyTaYkxD/co2hlNtFDctiFmTbG/u
5U2ikuBPlZA6JtmvWiHqROL3YZcHduCvuyCjyj7NLCKtxQ/fXAlganszExqOH+g6jOpTO6/63IlT
D8yCPY8t5sbhC1QLDbOVGFtAzw9TsO7zHADgtYTbr2SXWxAUvUS2fX95eSIYX+gNXG0Va1hq4jJ1
9d3HkTd4cSsrvdCCcQRFkPVJbsX8VNTkvXJkqgRgl8Q6PvNme29FqwtRjC90rVqAlR3aNE7slSl9
BxpiTauULu8uhpdxzsYbcf5CnHqZTlihDMz8DOK24h+0Qkk/7u/NrRBy8fuM6YO1Km1ndIye5ke8
8hvo6AppTtavxVo+3Bd1IzG6kMTkFBU6F5RAgqRpJdN9szJ/r/+ZACaNUBOtjhV9Xh6RRPpLf6o5
CtyIghcKMOnDKDVFnsdwFZSGPdWpU/Kx/uJsN89Xlm84O5yqIZKHLoEhR5i5c6fOmZQ1r950fyPQ
NXgpo078Wi8MyOi+9sVKtctXn9OJf3+lAM59KSFR5tb0ReyE/1KQ/jRYhBY25ZyxPDUYn/crvZfM
CmpsexTqX4b/FpNsQc34d2C8msBJpWZUKhGvKQXZRyS2D5aT8CYxeCowzg0U/TwYmwl1HxGPkqld
2T2nE/bGXeFCC8a9fSHXwQK0hI9ogz5hV+a1nXMCiM6+Oo1J1Mi+DwnCVtzsl1cTQGmN7ktg82Zf
7/uGLjL+LaJGP4PaE/5XEZPQAJ0I1Zob32+8ol2sGOPlZQEY6KTFnrzjbiXjlDdotTNeN5yU6n5c
11mgGYygFUquQpmTBz7x1f1IyFkpNsWFVatWnOLHxd52Z5L9ifZtxS0mc1bq2zLOYlWRZWozhIiH
A1Xcn8tcpU5AHs+77nKCyfeT+5kYXzVCzS9gYBpxXfFIPwuHE3RvSpABrg0yA1A0XN11dBP4CL0C
JzHQTVXMRHsmwycnC7rVW425jL9SmNDe5MocBZYMR1kbxG7SdYXqg9sCXReA2QXx8bjdr0Q0FRdI
LJIHfbVuMYrfvX05H+LjhldHvRl6/n4NayLIxSNFEKFzQoqflf0D/dWcVb1phGcSmEOgkIsiqHxI
aFtigc59O8Bd79v5zeh2JoI5AjAMWeZyDhGv2DYdUgoeLyRPCSbbi/E4JKgtbDytbTci5i4EySHl
mAbH/r5fUs4sPO3CSh4GCNFI2JMGNw/r0cVYTHG6v1w8OcxhoHZmE1UtlmuiP+vZtTAUQR3t5b4Q
3ooxaV49mlGjY1dO23rnojfRrl95zMs822UOgqgfxqQYIMJ4dPttvOZFNp5ZLSqe7UejG4VVNdgP
DBqPdgtw4eP9NeIJYEKBlc9410b8P83Hd+3Qudy+6puh+a9jfF+2zzRQ4zFMsgWiHtj7nkXek4eR
4Fkz3QTufU04W/E9KHgmqBsVDPQKEJT/LsgjPD365Pi4xLFamXHyRug6vZOw25XT2pIrUg3vSjkV
8NAcYaa0r6nx7NTk+MlrhudYMsuerqlht8xALoso2U1M3jYD0T7vrx9POfXS1MChVE5lBRmxNzjm
629pZazmP/8svny/gJ9t0mh2VpkbEDJQrQDsli3RH/XDPxTC+L3iV1MK2BX4ffWKAPaQeRi6orz2
nFuvyuenKDttiAO2nfrF4OzRWmEctqdee6reE1f9tVXXPHHXaAvLLeDMkZhQEDd+P/QNjO+930m6
E+32J0whPiUjpovHjfJK6Tja0FNKnC9Mj/6PlY2zD2BCRdwFqQYggMUI98E62KhHkxwN2/xfbmx/
xbBPt2o/Dnm4HNbv4mo7fTepYJKw+HXf2m/Xac7EMDnBHBp5WfnYvRFHA/rgPj98mq84PnXr9eJ8
074zsTN7FxEsJiPEmqGXdHBAXwRWX5QR8bAUyvuYlIgePOwYrmZMohD5kYHhOCyg3eakiP8fad+1
HLmObPtDhxH05hU0VSyrkkr2hSG1JHpX9Pz6u6i5Z0RBPIXYvWNiesdEz64kgERmIs1a5BV5tNBZ
g/zkX24hZTGCLioHOcQW4lWa3oerx9fM1G5YGTWG7aNrcgnPeVoqKF8tvz3x3dbmb//lQiiDoYGB
L1V6iNina8eJ3rPKMZOn60IWl4FBxqmzRgchNnV99dAo+0uuI1IAqPNzDvA4dR3+jeGbyaBuaBGH
KieA1PsM5qMYaLnCRn4atqwk6qKj+Jbyy6OXioKCtTrFbtGzdEIf/tTsqzHWsvyan4mhLqgKztRR
Q/x2tgYzuDGIbNZE2NSH9fVz+epooTLuGBr/78HQTh3MDbpf55ATFyvN1l48MqGOEdMGhqa7OVTn
beRyjr6piIYXUQGgXkxUM57gy6nc2UdQd3bifFeLcFqsmG/9EwiE1Dv4kMeAcKvUYvmSZRMxE0fd
3BFk7D03QFG2exHTspbQTk0y4oq1rMXgbyaHCvPDNO/SvNKmpx0qE+SptfzN+Pl5/QQZN4umcr2k
bRKCXhwNFDkpH7ZiR/AywjDKdSmTDbimJnSk3xuBB/BmtOQAaIh0oKL5q1h/tlmUhRiyNBjKdlJE
lcgWhpvf/90KKOsQijXGmzr8fo9ZkEPGbGuYot8rO0Q7bgyBD0OsYIe+yrTOm2+Hrvka2Sw0hKXJ
hvmNpRuvgk5EVozDQqa+BtE8jgRdv6B7Y/b/MzSL9t5tr3q552NFKQHws9mQ4PTQYEiYOwY3hXvh
Vy2qwhjb0c7XT4phYenZd07vsqkMPb3CjTvu2J6BF+CogcVQ6cXlAaRj6vVDkzm9j5g/u8C+GjA6
zUO9jd372GJa8UULMJMxKc0sABq6MOa6DjK26irb8RvB6skgma9/987UMb8LvEpAR9HoB4DNikM/
DHOc1UNyBuDyg09CYKbANV0/nMV35kwQZdPUNm2qko8mQRr4XDAdyGozXlbwmQgqHgGT8ygkYzy1
IQmITge7Mj96E77cCggry7yoazNZlF3r634Axxb2rY3NA1D98IIILYMVMyx7nJkYyrgZoz4WWgQx
T6M17m7UY7M75Yw03/K+gbUTU/zQZtAV/FS2qh0HEEFkU6tD6+Sv3SviUrOyhpzIjmgxVW6KQH4Z
vG9x2qT7M92uItCFcXyR4zE7OsMDUArJzWh6T4LN8HDLuzeTRMVCpZEZbaRAEg9G7GNgyeBlSrEg
ljIs6vZMDnVbQbnacBKoI88WqBc4+DnuL2afDQ0dGiAEmUbU6SJ/08lt3KUXqBvQJFVzijumdDO7
k33JX88FUVuWeV6vpl49XdP4EIIxq71Y9e6tJ6Ul/oFGVLvyXJt/c1BzqdQG8lztyeOADZTI+JTi
XVkDZL5FToglaPohWvfmgqiAsRdarh/SJj9ryAsmz7JZkduMjPblUGwYKcLFazWXRUWLScT7WV3i
zGoHEdxgC9OtciqrgLVgkVYsmaO5LMq6KkMDJVRxbO2ElrvGJEduAa7fum7DBZZ2TH8/u7paJRkg
9oaYAvXOCXUYuKZHMFVA5VuztsFC5sMMMmHhWGIpY4seWUGrjWoyUKNzcQFyaMmvso3e5dpODv2L
8KCy+e2XLvV8SynTGydoX46BZ4ibMOakeRhszdEc46l7DUwfhTJNN3nFTm+Yo0ZMxaHscdhKva5c
sNwLdhkDbGaxBYQMsGOLFROMYlLC//tC/GJWkdJEFRN5UhxHnJDTd46wU81Usclwx9KepaDme0eB
kv1Te/DMjrgaYzJQ0uRdtH3yp7Ma19ueGFo6/c61NVHWpOuKrlYTyAEK0VtqB85HbWcHESQSzJia
tSTKnhhjXPhdDlGjI6P8D4IhFLYzdD0yg5vpl64tirImCieLfFDioDQ9IkrXOpL0McgnA8XHjLcu
iKsvltquu3plNK9l0f5j2GrkUUGYKn/hqAHcmFLKRAvDS1ANU9OlhpqQBGdqF3jxZ+b101u+dv+V
8+XTZyYGEbfC+c2XnOqlcwQ7W/1F/yhgM4GQBQB1HQNO1FI4XebqROsnPcTs43Rm3F55ZbMYLukh
OF811Op50RDpqrTfGVzlA+sWaAW86WTQjhtldR8779d3bNFezOVQ61GEaghaDXKAo/8HVLskdAfH
WAkoPvsWq9f/6wBoRZxJow+oD2U59URIA6kweeu3f8aHDQstSVwyS3MhlKkYve5SBpNZ6kBRlxLp
D55zljoQYBlZx9vRcvB6vfFdWbb7z2i9MVwWW8timWL+BZQRSUJeTFseXzC2GyXf3m9P/qEhPDl0
LsIunaH1Sx5uLo2yI97YxBo3QpoC1AEkMpqn+vW6lizdq7kEyn708tBDSeFU/Ff01rWBqbnXBfzm
XIaFmEugYhBNHPhaqbCGiyVOoDajlaEPXCOKm5KnvX8KzYR0zo3sW/29bb1uMvOTZSWXnubzT6Di
k4bTjNFXppALeAMxErki+WRhu7NkUMGIFqbgcplCrebBLezafvUt1jIW85rzdVCxR1ll9aArX+qg
gf30jC5i27NadJvc81vj5vrBsRZEmY8g4YU8ncyHdHQmMb05oPBxXcb0G1eMBp38rv3cq4YafhKJ
IPFVJimo28CtYF2XwtBxupYtDqMY9iGkdFA7gDuPgXn4vC6CtRDKLGRyX+kch82yQgS7JDZHM0bH
FKuvcNEeAC9SVwFdKCv0k9yICiHPWz4/v0jO6MY38vr6Mn5TW0+X9VsA/QgvOJA5h+WIdWSB7agb
1ewBAhERMScXePVDdjGZdGmLRn0mkzLqkZT4kVbC7wIR3syJimHtKbpVrdbkHbM8/ts1Umcllnlx
iVNsIuJ32eRAiijeJ05squfWfA1szuWnAdd2xdDCZQ8JcH1RxB2WJFrZ266QALYpIO2waq3ouTID
nuTnTdQz6x9L4Segbf8ridpRToYxGiRIUkRofO0oZN/n1rhqROY4EUsUtZmdpua9EIiTh3IiK97v
NoDQZ1dhp5/5ZShmK6IcIeB8Qz2VcGZVvEa6GNzPMpH/CLbZjQ5LP1iyKJeIgDYrogRLGp0WiONR
AEg5yayOpxAjKqwc0WJNe35WlHusOiVLgaSJUR8gMEl2ujMuSATUq+lVgpbBbb5GucwMVtcv+qK9
mu0n5RGBytrnfAupkr6qqoeiudHrlXLPJ/d846Q8uS5tsfqIdCX4voC5jOQ4taVxofEcH0t4pRxd
B+123X7Xo3vsbyq2czHUXoICrwC0oTy9zQ3SyETYFi/qG+seT7fnty5+L4bau7gGdLzgYzHo6StJ
8DQNg+48oj0A3fD6vi2f0rckKqZoQPk7VgYePbyd2h8J2U1PSFaMyTycKRCYPa0uRtH45XQ4VrLb
ZxYQ9uHpJZt1rZZ91/dipsXOxASeJnNqADHZjeX0VmNX96XL3/WvHYnMi9Uw0tfTV185Jbp+xiWg
nMg93OKnMSPFoUB3Z8bEmPqy2b+kyOAwBwjpRDM9mcfZogQO4KNBCY2boPQE5ym0zIcmNOO1tA4c
8YzOfLe9TWyPpYSLmjGTS1l4tD/IapFA7gUVjZfy/qa8OV3XvcX9m0mgDHuBLsZIqSBh6+0xfGjC
rjNOiLUGyqYPIL1HuQwSwLqSrv1D7wEe7thVa7/7m+ldpMi/z4kyQEp28YeShywM8FnCLU+y1Yk1
bThZl5+6ABBvjFcDAF0BPQadjJdlv05yQ27Olstys9PnXfvpn8d9/WB/R8M/P5M6WGVshsAfpQaI
KpWT7jvHZBVcWRtBHWwHCOjOl7ERb7c3rL5U1m9TB6n2dao2Gn47NZk8YQvvq59bQ/sP3+AagGk3
Z8m6rSzA9dg7H8737v3u4foZLMwM/JRE+ZAClpBrpy2KiQvU4o5sYTDuVIs45t1tttq+WLhvtmVj
9NBmdAR+FaKvKRPlVTxMVMaXFgqwd166+/Bet1PzA+DTe6s93gYW6N5dcx3e2WZj3a0PqeWZvmO4
79d3gHWOlNMBa2zEtxd8hHOL3CjDb/52NT93l3I1TasP/KDjx3vywbrlC2m1+Y//mrLTG0WpfF9p
zg+xzR3SVfGWEGC4R/cWx2JQu37t6XG7f7Ph4Lv86alEwRsvijht+A3jKFlfSV33kqs8Lyyhy//6
lyfJM+/ajo1keJOpAnY0q7HzugKqNGzjwPFp2A34aoUQwsiKL+Qpf+oIdb2zOK1DY9IRoN/fVoYt
5ven5LZ2kFK2du+7Brihw3YnPdSKqe2Dt6An0S5iQfF/9dr93xf911xdJ3iDpk93DGTWpkRisC46
uymvXZFsXTpP9wNZre3Pf6kO1M0eNC1rOR4b2xOT8dMSS9Woi90XaPyMVfw2HmVxSeJTvtrYx91A
bk3r1JDd+tV8v2u25sqasN02UmSVrDiW8QlUnvv6nfxNt6T/0JOv0Hym4GEgYJxjxHq2Lw1BhTuy
nL3nXohI7A+wAFyXBp69q2GE+mXaZuI60Ri1LoFalsS1DOL2FvcWk/cYJdNqzRH34mCsMCV5SWTZ
ig97NMgoLme7gbN1B6S3RZ9Ib0fl8FRnZiNuzz1A/cGWm9p7hfA+KW2/sNfjulk9VaujztvSH/Uk
gN1tJYPCd2XsJPDpkUAnIcgn+00JZAui74VboIIQP0BbauI2Calv1E8BXZQu4BfwfxitcNuDqRPU
X6tk9/gpRSjR64eLJdxVmRXdtB4oPG6zXVHb+YPm5GaNz+X+6K9K9NUREWWkW0kOuEUrM995SC6l
KwF8H/ubfMJL+9jzbu2sCufDIAomXF1UzEx+U9r7DkLDeN1bUYOaNlIayhtvj9v+WJL27qjbgYlE
NpjIVDOwCifSyZNbEhBMw5vlZn9ED6/D1cR1lBU01UhNPEdNwAZL5HW3WgML4lZbhbat2chI742T
vy0ylDFO+ia1Ae3ZOQVK58mbAga9kQxWL5jGh7YVXbkmSoqK7+EmsPKeuGo49U2pWyToTjXoNTvP
elcwnaGTsjN3r/xbuto8lttDaSkPR7G1W3IH+rTMSoH3JLmcdfI2xb12VgoCxFVAGoM0yOYQGq8A
OCygrqEe2s4a1rztNpv7/C2tTGUVWKbeADcmdLQDfJ9dm1oBJC/MtaFFAzoCMoF4RPbOc+1ifdcR
CZi42ed7Z4nH9ft996hIhAQbS90Mrn6LgYsNumXX5PKhdmS1UaH8I0fqvUkyRB6mDNP1BxRNZ00i
zgXUFdGHZhpudECry5HYdxeS2KUVW0D6asFx/NiaLXicNrH12QiAgVpfiLuR9uZ4OoQOT4Tby30A
C3hG4IvzaA8HF/+y05Gix6Yhc9XiWyzfxO6v1feDgs4gU8ePYic48ymwsrdx5QCdPcP/FOxtShxw
LT1yKPa/e3b+1gHiOkFzrkw6KyxsI7EP60cz+ZBXx3x7aEysFIASGkrCqxD8KOdiZdwIwjYhjRXf
f8DLDdD8nbcDeGyxf8egKJEL8s6vRVKtR83ZrJJNTm6Ndz8jwWdoDU+ec6/dgLK6uG9Qc93kGDm2
cNF40tvI16+JtNq4XGZ5PrQysBsz26PgvTKV99fYBHqsdDvB/mwaq6pMsk4ItvYPMqGce0hqMhyr
bWJfYkLWrl0CJN6wMDPt2+INh3gnPhZkPZge9uYTtgp4pKTe3r8/pceH1OlPwT56tbLeGdc8LkOT
7Dcq1n/doC25WQVARrImSzKGfGnzqQaRxnGh16IHV3Jw9XvyEh6mhozEqlOiH1VngoE3XBzVJkTf
N8MdMeVTMZUwVtIlkY0W8JFCagrb8Hx2QuDpNw56h25yt0DkLN0YMKPZnvGC+Fob5dx/rJ2KutQ0
iPhMh+xyIC9nAygGoekRZCnX1zd5obkHEwizTZ4c4sxp8LyvYRyca89PVmjvgXojHconXBYFdL4a
u8b1O7v2Uxz1BvP1OhnVC860KMjjs/AQka3g4AKwlrUQ/2FZEihVJFFSAVH3c1li0QZi6/nd2SCo
9me8AwuJUfr8Br3uEfCwyhsmgtxCBWBa27dMaivjMmpSX4dMILtnAdwguF1C57NjrI0Vovxc2vXj
Z/0W9cm9lItRWyBCsW4ZX/k7/fMz9qEOOvAr4QI6tykAN0hsKwcFwP0dyRliRJYcKhYHBFnOVQnk
PDkAVCNkf+TMl/3Zt+HqyBpkSw9bmyd3D2sWvuKChs3yQepXrW12cfy4KoV0er2gmMV6vbAiYXoA
StP7ouOm58vDtnWcwDpH6CPJyOMZAYhzS9a2q6w2DwExARX/Ppgb32K1y3z1gFMW6Mf6qGDck8Wk
rHus78my9rfvx+O6JM8ILZ1tTlIbTZSOAz3PzW279SxQTQH/zSfWiOKo+bk69aZ9Z2/k7R1cA7kJ
rdtPOGt387H+OPDwUI8S2e8DhGBr3b6u0V+TpFe+m67DcUZbAbABUbDgHD1r7+6tDp/64ijrCs8G
DKuljkR2YDDMj6wKPuM2fb0HZioRjQLIqKe0T2raLHWTf5fiflwoevRK7YKsL6fHhHX2yd6ddnpl
2m9ntMQEBGFaZjWW9R7iLTggpzNFa4plIrRSCZ5OjNzuF4z/tU3+aYP+RyrUhItFfAx4Fyz36fbR
P8nu02pvuaWp39TEXq9Mcod/YnIGbQWqbeMDzdX6DiSbgMlYs7SVcRnpChQXaLraTocOREWWK57W
Qq/VQPpfAlkqRiZ+uZJg8NM6BWkuHiwXAWFQ96SvMSbKWdWWdcpL1mwui7LHSoC+MkDatbCaod2u
/3jkbjrL61dkKbgAVfX3iijbPHhhGveqAoQncx/fvqVm8oppBiYC/AIEALzhTA5lm41Er3JDgRwN
D77OfpHeLqAEAdptBuByDi35YDkl9v3nxbm+QNYuUinQpopQ4U2+dpG3/RcNvudO6wirKY4lRv8Z
YwSRMYxhgeVZiUeklHh/UihFght4fTmLmR4M6oBDVDS+yBd/ClICLc69XkeMthcwvAV/cFlzeHEG
aA664BWRWr7TrTU3+ZgQFkrGZV+qKMylU3ddKKRiCMtJenN7W7mZ/X59eYsp17kASumHpLoIlQQB
Quqkg5VrtuiZz77LV7bxMHgWjo5FXPR/yAQ+pCZqArjOqbPjRy/mBgOXem8AnkjdREiM1/Zom9n9
X63uWxLlRzmwtTZShNVZ3kM0WpWFx2tsNWseB8YxMpOLKaBpOvf/L4t2foAQzy5tiGUVlkI6cE4K
xHN5TCoBwl8DKhFhLG7JKc3l/axc/U8s96OfClhc8jyulcPKFFGIDTb+3XU5S08xWJLvddFPMS+o
PDnEcwiJlHwtW1LrcHaxRSuFuE1B0JXsPcQVeNdvItTQ1UOpEZZRWQrvf3wDdQ8CsL9UwXSQAxJG
sV2v9Z1g35Vv/3pTqfvgRRyH6XQc4gAOHcyPgErHudcPfzHJP5nn702l3EAkiqXRDl8LmlDsUgAt
dA7YtVbMFU236bcL/ZZEOYJQ1eUh6bGiiS/UAHRWi/F0TM8dpuk5D7FShDxFiIFKpmSWglKuIOO5
i2EI0z13AF15o1rcyodE4ea6gi67gu8FUuYkkoOMC3w8/VLMjMSrBJjLryGzm0icVOzaPlK2pJF0
A5RLODH51CGjCs5fEwDCKDAWCGwN03NCQI2uWljPTbLnXP9YrVn9fIyjpBsvEq5KRU+Gbx3M6r5p
gBmj+oWlBnbrff7jPQW+rSqLIgIvgNxSR5d2Q3HJOSy2dZ4qgIRdMHlwx/Kty/mPmRTq5NTGGEcf
bODnB4MEZtyTHoitPqksEU0yiR06/t3wxpS6cJA/1kYdpJwmkpzKUMvW+Yop8VYVbOQinQ2TeWPh
wGaifs36VJ4Y+uV091LCYzZWsUXrjtWCK7GEUH5AUNXS9wHyiOEKY5s9Z8iT1WvZLk/G7XhK9GmE
Gf1uZoFAJV9/Xk7iegfrnZHNPXKkloURVAvoNRa/NphN9ktR6I8NoH1Hng5ZNp0w9prXzdI00Mvz
5u1uPortY4EOQKKuB8K5g4cq2nUVXvIZioBmUEPG8Azo3ynZmcL7cRTBLgwmZgG93e61YIaHXxPu
lFX4IYRyTGkXdegHhZDSTg/GQT429/5GdcuVYoenGDO9k088ZPZ62yMV/tmgIeszO3FIoZMBgxas
5MXS8+LH91D+y4iVvqw0fM/F2Ys2L5NVb7eHGg1arPFy5v5SLizltKJRK4iyvKkOEwMD+f7OeGa9
mBbM+48VUf6LR79togQQs3/zNzc6VKYjqn1dVxav0ExVKHMnNiVfygNkFDfe7mLLzglveEYoz1oH
ZexiVYh8vkb2dR/dhPYfbnXBE+xvfO6P3aKMG8Z4xOjCYyWlXdm53dhowoZ7T9mEykth/FwU3dCe
+EKvwPF2Z8woE20rbX2U3A65U98Xe9a6lpIeP4RRRs4Y0Qstc9g94Sg88TAke1dD9VOwHAwbvsib
Ye9vEkuFPbGeG9fMXpV1bnLmzpZkAtPmEbN0N8FeQh0KRTDbcw6bdft8XYuW0l8/PpK2OEErFsm0
I3qPYYXHUELxC7POWufk7TpQV41EcskKLytgxkfCMRzIqJjBaF54M0ltL0LxCI3zQ2FHgRWNm0tx
qsoVX9wxPnP6jCs2S6NsVoSdVOsaZQfe9DbKo7/tvyqfK5vfAiB4HRETG/T2XgIQJXQeGMKXr5qq
SRiykMFeQx1kr6qDkgc4yMHsXp9Qq+xIjYJ5ZoWbbp/oqO+NZjESOzzLR3iuBn8bk25rWIXF+JJJ
0q9tAAesijBHF3/RZfIiJ/kcmCURGEctEuUCyuCo3n6U7k2/DjHK9Iza211E5C2m4CzWUNOypf4u
/vCUpc6ki2cELZ5VUmPGHyAeTV1c0jvGKhetzkwKZaT9uFCFzMd28+blnTPjZ2TlWbi4y55gJoQy
0QkgoUQ9ghBEEg8qhnRCvAa7M09O149sIRsyr5fRaNYNX/IXuYAcYA7fincSXoDr6xKWjdpsKZSV
Hi+pntaTesKptceP52SdW4zYmrldlI2WFIz2XjLIGMCcIayLbbup3s1oxeJBWLxq32v5+o5ZStwP
WtTMvjQM2t273K3qtMhRXd+xZaOnaJKsIkEmI0eLazaTEsp8mDVF3CFtCmwR78GITWmLXhGE1bqT
rM3n6T0mojtLRpZAebis3hkqvhxkzr6A0nE5SPx6lILu/NRnBFCC/qbdGuhcmMbqIsJvs71+AA4l
mJezFfM1sWhMZ8Ip3R8MSeb6GML7BkPabka8nU1a22YY7aW2VvQ/a6oig/jUMGRqkWEUNFKgXDrc
MRmdCm2IMwWYhtln4GLbh2t5UxJltOrHJiLVGSyC26KE2eIjgEWqj/Ed/lwXrK6xResy+yhq8Sj1
aKOatIibwNmUxKZ8vgfgf/V4XcWWL4wuSBhwEWRJ+OKimakYuGayMAGByHnYjKgkPZv3zELDtH2/
nIEON8DzKqYNaKpzD6QIfeD100qyJ/VlK5+So+r2t31KMnD1vpxYjbRL+QQFI/ESjhN5IFmjDjTH
/LrCeUl3Dj/jh4l3dsosh+bOefxzQBXHJ9peOI3ou7kLVkVEGFs6+Xh6vQAVRR1CF1VFkqiId8j5
vI/4tIMpHTBfcTnHNjArdzzIW/vVHWtSWZiMwDVxlFkNc6EI9bjsADcDbojy4PSA8PfQfWVyK4UF
h/ZV6/slTQSvgqJpuC70uICfXboy06EvF6t3onOdmr5mqpCWrG1z9/w8IhjMn3lMRL8ztnVJjcSZ
ZCq6qb3Ry8O26v4Di4+Oqt2U2QAF7rvoiKREho/hEpdu4FwgFXL6g+TlXIOlBh7ZS7uEKAnhnZpl
5JesHFTVkDRt0hqVUpc2HsfkAgBxdLPpRAIdYJmZlXxKC3AY86+97qicYWLUzjSA9ZQfvOQ55daD
9hoFImmLTS6gvTFrW6LmayHAMD/P+MCFWT8FLdbfH0gpWCXmoVRMtwlXSXPijU/8/YcHyIxn3+TX
ScmG/VwKRuYSKS+uRlkr6T52XgLyXblJKljlSpq6EDnvSVXdw7g3UBAKzBYxPvAomKi2S/GrCJvI
G6pqKKpGfUAQcpI2RPgABXiVu1sDQwW9eeCYedxlS/UtSJ/yvDPzq3eXYawnHXsAsjuGop5iItuG
k90JwC7fyNAE6/AqbguzyUi0MW7qPSvHtVSFw/H+d630q0FqxTbmS3zCdsIzb93uo9wXj9l2XKXu
K6ZIQW+/tiN7Ha28AyuRtBRGibKqYrpS0MRfgLhj4olJUgx4UpdT1gy9fsx+loXhcKjvTAZ1lrKe
oAcvh4x9fZPF5pRL2SBwWd0jL0nQQsNZrJTH8o35FkmXqzyhLLqhGzsUopVtilfY1Cxr3wCwPdhz
luCWb8zC36LTmYmkrKPnxcXgRXCy1kRrVp3A2A3MMYwaQ2vYYDCL0hQJJKmKKhuyTu0pPyYtWEpk
uHTXCXkzswB/pB67Xf0SbQZGcmfxNYdc+f8Ko12O16TAT6kg7EFDrgW1YQH0TSKAiRJWJLiYNZ+L
onZRDZMYWLVid/ZW9TsApIKDqLlV7uA/pR2gHNffK6sRaceuYVRalkqcoOf9XiXlbYwmGdQuheja
0cgxEu26JuiTSE41ejLQFc4KkhYjv7nA6YxnpifNyjQGX8mUY4oEpBhh4ACzRji0Lv6N51bUidBP
0jVRpULZGG+yITWUKQAElAnaqaY3RG/+Ea11YLP7ChYfmggUZBFvMPxXobRTilWOAwINrEovoRFY
b7h2JPwlHo9qCg5k0ja5UVtFqgGEtPXKsCR1chEuIELUG9X2GrH+lDhN+HN9G74YkH+FThi51Sca
ZkP8avmbbTg/xlwudHF/TvBkk02heRrETSKRvumIEeSODkyZ5IUHAKuAyRr9Nhr/NDEppVOCElHy
pLwaCXralfItEU5iRsThEak7u7rsc+kzFUszQVum+BYXJObRGE7izFQvq6FyAdWgqYyK/KLhBkAO
omxgQhn0WnIl4rVOivozKAcj9aO9y3LAkr7Gd9L99V1bPsxvSXRhrtQE/yKKkBS5BuC/MYnhvw39
JgYXFk7vJQxWEbJancsQu1BgVVCd+98Ffo0jzg5ritZ8gJP1GHUU0GOHOp1kbmpmpn8p0plok9Gq
YYCfVaNiq6iXRp5DDfkcgsh0PFQ3rFzY12uD1rq5BOoy6BKXxxif6c9ajn5VziPqYA/2JcM4SLgZ
d71BWjc7FrKpPImBmwQrr8BcC8hZQtL0a8CzVaYoWbwEatFuzyOfFkFbR3MoXN1fcRuQQLbqIdGt
plgbzKfUUmwMmyjxkiygo0qhjaLU8XFawJFerPRz33Km6hbgW7HN4qPds8O+Ja2ei6NM4pjJ3YWT
u8kGTy+3/TkDJJhmP051Ed3+vEPSlJnkWNKAuUwqxzN4Sl+hU70DbzryiEeggeXgd1HdFOAdu9jK
LcR+a4UFybMYeM7FUk/krGjScBwhNgeWNfAgjoBQgCkicofoXramyIhfd2hoLLf59mJF+9xGlZOR
Xpp0j9bNKemCHjBVA304pZu50nipXvFTe8FbYmn2aL4mK9a8xWIOayaFztVlER5xfil1uMoleTty
BCUUE1R9Nanv4l201UrWiMViADgXScUReS0mgIjCwgZb/hjPlvNitTvZ8m/albyO/wQ2w1otxWNz
edQ96bmMRycn5O0L8CuFhfkxHmIQfaMgM73P3lnpz6W3uAIkJ0HAxeRBzP0zdqi5uEiHFiGZ3HqJ
FWh4ofZhnZjcCPjG62tb1pFvUdTzuBs8XhQaHSnvlfRUKaTULA1DWhzAfEVnlBnSFt2NAohDWQN4
tI4Wmp8r82s19AIZK7MQ2la3+caz4F5u1W3E7A9c3sRvUZTtb9qBE7oIYdEAts3eHUriWeguQAkt
s63qjnPRNMBSlKWH7Xx51I3jy7EP0eA8PWx5szn49p/GGtE6kTHL9/KkA78v93+XRz+CLmVXSZwE
UUkKvahNQQ6sRDUF9GGNm7ixiiyxk/c+3ed5aDaNVdvd+BTpI+mAQZZtJHlvdFbnIUO4CStX8X2o
snlpHK8xjZfGOCf51lPtNvlTB09VsTeC9xEAJtl6iJ0AGGO+nePldfGUXScf+eoQ9WsvYdCZLr4t
0WmpCZqhyBJQgn5qCxLHup4Ahfn8tH3hVTNHR6dtngzrs8D4nMVsUvqKOug9ncujjs/jpbxqJa8H
NveALkgD2CMPKO1Z7q17q5k39uOzNhBTMZP1pl4BnwTUyf4Rswjv1+/kV9D16zvQ+4E2O1FSNJn6
jjwG3W2md8P56Qk5ixEAqsD1G9doVegxNkJ2xH6N0E3Qru4Ks1h9glkctcjt6fpXUJYBCO9gLZjS
9byMUN9QqM1PvaTnIz9IdnJ+EEfTSAn3GnE4dnM4yxq5Loy6rL+EUSse+MtY6IKf7IqIv5VKg+h1
uRe7imF/GGtSqXxQetFzXc6xJg+gkyMZeTJ0xEtMH72uudn5/25VKuWnypbzUozKJTsVI8xJtS+E
k6oxlIWyA187B1A3XVdBTyfzdIjbqBrfBWOa7PgIjPLVi9H4JB8+rh8PSwh1PHUFTPkE+M+7VEIm
tLsVUiDjybE5sNJlSwekYlrBgH/QFFz6nze+xHKKNsmTXZcCuz52e50o7UcnKBuNU5wiRcdpmjKU
YmlxeCEo/JSnwx/T38/eIsJF1fqxLZKdFvEk8dxC952wjaxKZdizJSWfC6Kcn6R2YiemVbLTq8SM
+U0evvOqxFjNohAV1hLd6Yj6dCpWMZQRMESTEDEIsFkftbgyfAbFwIIMAX1pojJ1p0m8Quk1uu6b
iK/4dKfJkZOVm8EA+RA6Q/6x0gmiIKMRjp9KW3R59tKFyaAYcrrLOu6kAqtQr3RTU56jfnVdkPzT
lU5XCII0RZ36YGXZoJTOa/UmAxpsuqubflpOqRUMCdPJzgz6fySIAg+DKuuiQdfodK++RF0hpDuh
OsVdYSL7bibhvjR8p1Jerq9m6XDwrv6PrGnrfqpzP6hxG/E4nCwx7C6yaxmk790/V+UpNSHLU6YF
Yer0EbM74yeB0HqFlO4qVat3mZQnDndp+Z1ctf8Q3Ok/ewcvhDqBCiprunwcZXzGiW2S7UJ+Vdep
1RhueLkwdG1p0/AOFidPJwGli9q0UFd0qc6ibOeHJ/AwEAHpQU2QzH9+NAoG07FzKhDFadIh2U/V
AI4t21lctX77f6R9W3ecONP1L2ItjpK4hT642ziJ49iT5IaVzCSAAAECxOHXvxvP+ma6Zb5mjZ+L
ufKkC5VKpVLVrl1WfnrHz+OdAtioZbpEz+Qqf5B9XVUikune8h6oOLrVO04+3PI/IrST31HuTjnH
CoZ5785fRXFm/e93rAJPH0IcD5VzHSqTc8M0a1TpoqyeQxBEBqVLMD1hw4BXnL6F5DoojxyQuhOm
RTdcWAhwFKS0FtkNGUpf9qPnfcP8nPfsOQjdMcIA1U5U6K9PCilkTdvEEtFU7X132RQlftzW2Jp3
8f4VoT8FqGobt8htEfnJZ899bh0k0TMSmCbwyUa9vy1sTXGL1lDRgpkBI3K9ngLkQRaVvojGTJw4
iDhwHq1K7NJZHW5LWnPLl5I0H9NbRj0nPRGRFXzbggBvrWL5+4X/yggIdtKaisjL9ob70Kb7tnwY
5YauVjYGGAmYMCVLpdvRpHALXAxpbRTRXHyfxv5kibvZzO7KYgFRbpQBVlZ0JWv5losVmRNhRmpA
1nB2p2zXgRwnKqwta16TgrvFA5jHQs3a01Yk7daoDCXKyOwEuH2MBON3mj9n5LF31Cy3aNVeLVe7
N5er7B9x2qLmiac5yIQh7nubtkHbfm5LeXATzDOSR7f54o1/eTJw8BTjB5ZE7pGgvXaIfCcJ4UZ2
5nRnbGlg5aa4+iTNcZRJxUvuQwOpuu9FNA8fU3L3nw0fIsBfAug/7nFfC+GAV3AwzKsuI3vCZKXk
syWfbwtYX8O/ArSApyqUN6SLAErRyOCchPw0+If/TYbmJxoqnak1ZBn17EklzwMDD0m54cR1cM4S
G1xpalnohdFbvas4aCuhKY/0oW1l3RNrfbYj3piEY9V0H506qQ5AsKf7ucirwDZM65C5XX7qRr8A
jbPtofav8s+3F7/iuq6+SzsmCQg9aL4omLEnMf1lqJ//2+9r5yIzu8mNEyiXFPPe99r7Ps03SlCr
NgJUGUaREAfhj7Z/s9HmpDcREY2gPX8yrPPjO5aAmgyibrxVTE/bOjXmNDFy/L4FxnM7PY/t1kld
3YQLCdomKCcTNJ4yEVW9DEvU0enWw2FVR4jmzb+fQXoU7OB6Sogxl5HBf2Tj2RTfW7HhC5aPfOMB
L0Roi5ickYhJQkQPJF2JYoV9MJ8m1m7Ev2u6QhnIQaHAJD7witcHyTVbxZseD5Ss/2F231tn3BCw
pqoLAa88FRcndYr7wTIzPOZ8tz4aQ/9QEvOBJ/nv21a1JUaLT1uSJ3wgEOMqcNwDh5gam0QIG7py
7WtdTYPrGONsYylJH1jsi83+ur2ItT13LIe4eCVg2KYeAQvVe6ZadCUG+w5zGH8R40NNkzno5q1W
gtW12HjBIy9BcNK1d48lXJqmmF4TtfXLqEhQeVt0B8t9qBswxhr8I0HbEaP2/JGmWEw8N78FzdES
MZyqpv1C3a9j/jDTdEvi1pq0/cGw4rmn9rKmIg9AXl/0W9fO8s1v1+T4QBpgMgbztUPZl9xCwYuW
kUoKtZNW+su35W7OAaJzSJgjTW0ytMF4XytzOpkxO9y2j7Ww0rGpwwB1cDDnfFHAxVkSUz1Po8tK
hJU10pdpem6Ue6biZR7cozTHLaD8ukL/lae56mSu8X4iuGWV98xRGlYbV8GqvV+sR1Nna/dzRQz8
/sH+7X79tvHrqy4BCke2AnQRgCtfa8vrO9dBxqqMRuPgsSyYzPui2rK51S1ZshMopZtIlms25yR4
cFU0EVE58Z9NgdRyMu5Je1fY7m4r4/vKMvHG/DCAF6QekPgG6WLlfTJ0GTIiQ6EAKED7X6CmZL6b
2aRCC9Ds0Mw98sQ64JrArc8PvG0ea86/KWZ0oaxnN1RJkuwsn/t3edyh07apMaLG78etN9yq8gG8
QNaLLIG8pvyS1LJvuhzvLOUF7S9u9tDMf097gKwN6EYXxRJclVpEPhaVS2UpEEkkcWjNflhB1shf
bh+6VSO9kKLdkH7XO6XtQkqd7LrhmLkfZvnM/rwtZF1dfy8FJNJ6GooDwDwVeE1HtDt3/iEbnjq+
IeLWOhYRmj82CR/yZNFWLvZjfRbuQ12HmymJrYXo5wF5UCNJIaXpf071s5Ifenn833SlPWI8DhDx
MCwLsR9Ry/Gt8zzv3yECg/8cMEHbFIwP167DFVXFWSpFFDOAcycPtKoG5gAh/7W7LWh1U3w89hh2
xEXMfS0oiZ0Gcw/wnBxcebDGLBCpFRAC9tBxI6xfzFT3HcvTHZ0bBGkvPbYweWebVgffQUHXa4DI
ftix+C9j+nNg/C4tf0w03ljb2u1xKVE7ngUDVLduSxEx0why/yVuquC29rbWpB1NpupBlgYkGMN4
J9WnpjaDjpwbBoZUGbndPuffbktcc/ev3sajmOuCzPT1fmE2lSlyH+d0NPF+CaYqBERLfHfjL7fl
rNkFkuzIsIOM0npjgM5QzbRuYIAzu6v5x+K+nw95viFkbYOQlbZ9E3O+0LujqW8qS172swvPRn85
HPhN/o5jhAQYepRwyRPM0bzWVttbhNMal+OYivIbLRoZElqmEVegMb6tMB12+5oRIJ7pLN1QLnhq
tMVQp4sxHwdewZv9NKgeW5B4Jjzbm3ZUm+hKAoWt9H6VAIPeFrzm8BamBuIj945Gr+XvFzFZwyta
t+mAc9VM+5qnoZ/9QiP0fxbioCCPypttIljXo3Wa8mG00zGPqFeQJ1knoLgdnfFcdyreinFX4nYE
uID5LnlrFyWe6wXVmeyHhE15VGXxoUmzj046HpTd7ebmONJzXI0INUyA751newS5sq8eierBact8
AH5zCzh5P0MpGtNbbith5UxcfdhizheaJoPqzNxXeYQR9d9SHxNM0S5IMn7H6Yav1EHjizFdidI2
tZsETb2+z6O8nw7CDJr0nM3PPfMDx/loOXdxHZERvfvZfsw5rp9s956lAtNM0Clj4/RcL7XylFnE
yJTgrm6DKfltA3pceSe7+HpbzorxYp3/ytEOKOqFk98SL4/AnhN/7IayPHnZ9KVVots4n6uS0G5r
2SZOKNXH3DJvNryhnvPIScTO876nKSYIjuRwez16o8HfG3chRvMCqiFxUdt2HhG0IVI/C5FtCGYR
H2ZL/cyVCx/Q7PNOPqgEvb3VcKB+d3TtsQ5Kc96zpA/NYauTcHXpOLpw4/5SetK+SRIyN3TAgcpA
Y2Wf0FIS8I3S78q1BJdHCDD56IxE3HJtL3NhVBMq3TizJsvupJC7whufiWweS7N/Gdm4hR5cFYhB
dQiOlkqdr53FMR6aFC+3PEqMP9LK25lzUH3r82GXj79vb+mqO7qQpB1Fx0NsTBpImqYvtvXF4ACO
o5eCMCT7pwOaEW6LW8ssO0js4T8kRSi87rUqee7ztOFGHg3cnEOzKfneqwdA7BwzCbsR1I1jk6Oj
C523Qd4XAHmrpLlza2Fhkmj+M667cZdKtBze/q5VI0LnK0qjjuthetX1Z7HBHpVn4rNacUadOWhm
Gdj90/8mRNf11PepBarDCOQoaESMBmvjslxx4S4CXYrCGGICz9PCXQFQX80tCnTwJP2dOz32SyYt
qR/Bljftby9m0YgW8EKWC08OgAcCbM2Hihjixxq+zRPOdym7u7RvP90WoeMUF3cDGRTBIKIoXJra
O4FXSplUQGHd3JwEA6enwqObBH6LdjgbWJ/mpUKndFkFDSm+2QMPk3HcURQgBjSeigllq27rm1Ys
5eqb7GtLaWwPhTrG8sjPna9zNt8VAE24ZRYChz6MTyXGLgtL7VT3QcoWxmz+4Hb13YWvzN1sI5hY
cRNX36L5pS7mmPecAAcHOKF7IqqggZlP9Zn2NVqwZgOzAcp5ON7eldWNR/cMsjFwuG/oWkSW1kM3
YFMaj7dhnbZ4fVjmfLotZVXNF1I0NZsJxs/0iY+QLD36/CMB02n8clvEWkzrApryz0o09Q1ZC07c
GuorMZkLMZWN2MuUv1nyOwYzmZwwNJY6d0azRcm1ekxttrSGgPQGBAPXJpT3thQ9UFiRax5JeU7V
j+7ZbDd8wZqnxer+laIdnrpKm3l25yIyMg+dW/bY7YsCM1Zk3VnFLlPWfE+JL//gA5enuh+ND8hu
odXGaJLQMkA9xHiLmag8jjfCv3UD+vfDtK0t2ioVQ8WLqN2rT8bGfbZuN//+uLanpG+nGE4QsE1T
BK3X7KbxV0Yfb1vO1gZqt8Xg5k4rGQynT9CwmtCgn363Kaj12VbDy5akZbkXQbkpOn/hsgTSYTwk
9sN8p+Y76fz358+VpSwfcSGka/Oh5wnscezPzUIfGZ8YqDtu62zVV+EB52CmH0qTeu9t3jfIdS+Y
3Y5juk9/gLvk7U8fDCzVj9uSVu3rX0k6XMsuuxmbj7vcosN57j/zjLzHOV1I0I4WSZC3n2w4p50w
P1jqU0Weby9hiVnfXK4XArQjkpSK845DWdbgwbueyyYNSvqJm1+WwCRBM+i09YJY3x/PJNSzgQrV
M+2ksmKeTsC3zqpsj3MbJ49tGR8TgPVLOCtE8T3fWOXqWfXwCkYJ5LVn8druKrhBGAReE437Lffv
W8IDz9hCIOotY38HERdSNF3OhE1jORLcJEMauWNY8d0AApfRRbupDXqg2W0DTP596hGADkxiLEbe
ogsVbxaFPK5fgtrCA3uzh+lIctw5gGR13k70MXIt/RO1xFbWbSUiR6ljKd9jUgrx9OSoGtWCBsL3
ZnUakHbaDemfjnMuzK/dA6FbT+HVPSBLu7GDXAQo2K73IOs4ltIv8TiTDyaupWPX22HjDv4GjmpL
0PL3Cyej6Gh2ZYW4CdCB0KOPtMNLI5mC2wdn9exfLEdzZZiNbqiCYDm5eQcofb8R++hN/X8bEzYF
D22G0qutrcJogTzjEqtoxNkC44klTrnow65ECeaLyMgu6fZPdLObbH1ZvgvYCEC0qLddK68qyrpF
3JlHtv3o0uSBKn/jUl61OiTZ/p8ELVVRUDqiFwF3QO9XwejQwM7M71lyb9QNRoam0ehuBdKLk3zj
4y4kau/2ScRZPS2tKUVq3NUkRWec2tNeILIH4W/q35HhxC1zN6fFH22zlQG+rVHvTUUI81TMnGK9
koiT3ZV3VbNxq65e3f+sz9MLQpK3CP1GrK8ZnKCfk08scz92LglcvtWbsLUYzcX1aT/6+aLKDPWa
h61n69avayFVb3QgzhihquY8Hu9un9f1A4V2CoJpHmiq0LWkMqMa5hyfXjV9KLk6qors0mk+idn6
mlXOEKKQ+iT9/imVaZT2W6j+1cX5gOagHcsnVM9rs8GghrU0xrQYfBDYaFf5LBo5/ry9zDXAJfLX
QEeAEQ85utfO2wvv59tp6RRcFBEyn+GMavlYWrvZw6sxscOqvgeErptALHlG42HWzftcmYe4SO+6
HKNEaXKYrOYkuXUYmywaUvKOiOny6zSvWXei5NmIrzPbIkhaFtT5y20FrAU0eM2bvutbDIGe5sCc
njp53aAXqCxOiWz3PGsOapjQrI3oAO95dSdcvrstcy2iuZSpubScMFEZdNF58oMrN0zyPizrLzHU
mbe/b8tatWNr6Qg3UdfENaEdEuUWklML4RN1XkoACMvGP1XJ+C0H19MsyIMLVhuZ7MfU+57lmBy4
IX5dv/+KX8z8wr5YxdOSJVMRoY8MVB75EaV7tKs1R9WYD133OTHS3UgA3JX3DSpEYkgxqwTJg12f
7tJeHgDiPPiIveZ4Dl2xNQhj7e63lsYMxhZgqV7EsdJuSEsPyrGmQ5V9KL/k7UZ0sfqWtxwIweoY
kCL6mzonjqx8vHYrzHwsYnBstZ8trwrLxPzcMiuUcbxnLRqw1Zbql53V77FLydpjwCrA6a5sE853
mIOsxRid4YPofo31r2b85TigcBFAmDX3BsJKK3b37ZZz+f+sfZlFRNEHgVr39eabdsIqRSXubrMO
afNYMdCsGGaopjmcbWDW/fKcdPcyUxvee/WEIQPkgrwXODc9L96V3qBUMkDpsR2VHvpiWifsKxlQ
1h6bbKuJcdWMLsRpRg4ARyGzdETEkHzOh+ZopI/+Zl/J1pq0CG/OJLEqt0faxJFB0/gYCPDDKs+l
X5+svNzfPrerwtCDhZZC5J1donkNVg0NuuRgO7b0w2zYSw/DN8zvNRJ5c7ZxB23J0rRXqYYJueSD
MrHnLd5z7c/JCHq8fojbbA1TXwt+rIuFaVqs8xF3yiIsLTEbhp6ZZR8A9w0LnIXbKlz3vBeitMvL
yZSZmIaNxAL5WcrqPrfvY8/YJ7wKJ/oToaviwMo3UV2rjQhv1R5dBtZqoDztNw2us0Ek8QWcrsXS
sBt+y6wJh3pDyKpnx+vMRlkaBA86JhI0cJXV9dCklbIjS84tL3e5gjOPD536glRi0Flb3Imru3ch
czGli9uEAl1G8gEyfXkq7e/CRZe1Ux6ZRz/f3rxVQVAdMAUUtfBXz3YhCE1vTKiuwRVdjNOxmsAH
2QGFuWvNxA+6vtp4c6xuGENO9O/yM9OOW9olsukG3ENFUgaW/awyGZCt5OBrLPfmQgB4FTGti5j2
TWeayVXV1fCKA5ivOtb2p5iiHOvVVlj2LGhJ8Sy5WQXzn7wtjjXgFMo6pGV+N4NTfGJbpa1VHfu4
Gm20fkPH2mbKziz63oeVyv5D02L8Kqv6wHXnvcMRBNzezzUF2xb6a8CMCHooveU78eKqj20XURAQ
pxCl1LPaPPGLo9L1eylEW5Brm12bjR66/9N6J8W5BKbr9jLWXOWlBC1yBL3JYHcpwQ5WRWj3f1nq
SFIn6FDntdH8d1vY2v7YmEcCUgrUHQGlvT5sk4+XdoLwDeCTKmwEP9fjdGrTD06P03Bb1Or2LENx
Fz47B6+Ra1E1ICQIAlgR5YSHEvQpLdBVWy2AW0K0Q1bSbipTAuV5/rNQbZBl+6Is/seVaJeZG1sD
zRwKXgt1ZoYVEvFgyK2Ts2poF+rSdkbkaAaqJdRlDiG7a7boWhcremPHALqDYdBF3OZpa5h7zj1/
RmehIs0XpFdDOeeY4eSeR9s8tlX9Z5L6G2pbNWxgtU0PT20TCLtrAwBnqpE7eItGWdZEHgG0xjll
NSqHQDojyXnb2lbVRwAfBs0MOp08zRBqx42btsvRnG92uIvBvHdk3KnD21JWzY0AKYFmUPQ76Tat
SkekxliibzAHuS63Gzd0SW/hPh7E8bao1ZNKGPrTcVmhW1vLWI0G9z1pokXRH9xD7b7INDmM4Dqk
/MNtQetr+keQXsfvgFilcYU2t7r3A6nGvT885z3Z2J+N5ehsE03X4s00N2Xk0TgYSvZTsk9pgalF
JNnfXs+aJYAmDRA75BfBqKk9UPKpKlqXJGUEVn4grojb53+iM2HL4NasGwNEQAUBvha0xmhiCuW4
fU9w+wyTup8MXLF1Uv9Ke+uzK1EZL+On28taUyA8tuMvre5AGWsGzoYySRoTXbSNlKFgv7iN7InR
HsTweFvQai33UpLmKkD5mcyD2ZYRB9FOaE8pENN+6z22LiOHxGR5WE+yO7lJrtCH4f/qSZyEvWMa
4N7xI240JGxLJ3nHebj8Ks2bGBnP1DjiPNTOC2V/WSaoPs9pucWEt3YamIdgAhE2WjNcbfH2IMoU
4ET4kbzek+683CZDt8UptOaNQVEBnC5wXguG+9o1koIxZ7TREGhXbQLy1V3SV99p15xb29jzHjnp
zNo4Fmv2gzOBbgGPAQqlk3VKL+kE6oglGilnJ0jVJww8Br9qYYJbdctNbsmyr5cHQFnHMM94iTLo
V5Ht+4LvEiQE4nje3TbWtVOINB+68gHYscGQfS0JkVMFblCvjBx7jLhnRZigubfa7ogZwIe6yDcw
MGvvI2DJGLC7mDgCFOC1ONeSbl12AEGDq7cMSE8+tONXp/fvU+/eAQQI/+rsj2TDQ+uEe6+FIODY
bIL+JwraEe3sY8IIGY0UbbZeiqxS2j3GWftRIElQMufoeMjYziIsK/5gNsM9meMgG9p3uB8fjK5g
DEYLkK+7O3vi2WRT9OH6U3MeGvpHyZ2wztUdbbaqQ6vWg8w1QMvYWkC+rpUMm8wry0N3g5gncK8O
HyjAgWryHthm7L0iCtUY8AVhsgfBs17bT9EJ4vsYERgx8cIkJmH1464RFHiB59t2uioIL0EEQqD4
Qhfb9Zpsq/ZEQ7GDjfXgMe+TKH+L6WwQ+t8fnZ6JTgMQiVgW8hzareS1LEdaDF0UrmGeEsAaS7M9
vqdl+kqKduoad0xbptA5USNtxelj5iUBr94Rsl5J0byIM3dpnS5dAEoZHxUwmcR4sg0M9kFKuct2
Md0aM7F2ziBxofXxX+8AbZdAsj94Wb108FCCcTqkCP38kXgvE8GNXu8rWQVVooLG/CMBzRwadE63
rWTl8gEbN8KWhWUG512z/MoXhhoqE+fcHYO6/I2HxnvIf65kaM/NlqAyYveQUbp1gNK4w9zAK3+8
YyGo8WNaDsWdo+M7sqJALbIGmQ23f1OBVIR85P4W2GLtTNkmCEwYSuMokWva6ufGVE1VVNGcudWx
n0gdxKXzqzabj2DUkhs3zao08LiC5QAVRIi7PsE9d0fPzxl6Q5L5JG1MyGmaJ8xE2gmxNW1w5VLD
aJ7F1QIdgw5RzfBND6SNmZtUUeo/yziYyxMn93S4c7a4o9fszcY9hmwNUki+3orSmHZdk9gQEWmq
vYi7M/LDD7lyPv93a7gUo7mLkRMfBdm8itoZL6UjLQN/2OgnWU6m9rxFG/W/K9FUZrN2FJ7Dq2hQ
RWCp3z2GZbxnEWAvY0DK4AW42MdF9rBvU7OiPRZBmhcIIP6zqX7fFrESXSy94P+I0Ayajh2bM3TC
RhYakINsUjLwuxnwhH2egWN7dHdGU98bJXm5LXct4kfOFz1CFkorHlJD12urBYLDjnog2aikc/Tr
sj7WmdMHWYxxZqXJ4HoRaB3H0fZeBoeiBbmmYS64s2ecuieUPnlo1hNIK29/2NqZQys2BeobnY4A
m2vfJYd08JG1jexmOno+xWNkPkzOQzVv5cXW0N8g2AYH3hLW4YpejsrF9o6WavEgwFGwuHeaWHOY
85PTsD0d/JB1oYlS6pD5d2D6CZNPfucdYjrspir7NLAxtOUTcbfAUmsmDWICDA7A8pFJ1U6NnMAe
kWRVFYnGawIm3SRM3ViFt1W85gIupWgHRw6DXSkHNjeOrYT/lF5op2CCZPFUH26LWr1ecb+iidAB
LS4yNdc6dqrKzqxZVEgG/aaNFQ6AmdXZUqQcTDAY3dfW3WjfTwJAb5+eSDO+w4UDm8cWyjM0mry2
5F/scZ2UnJRCVihdnjFWovze1nWwcYbX9Il3HcVTxPERUmq7Ng0YGdL1DXatNXZZcZxlvEvHjWfI
lhBt07yxBHUExUIqwNsQfzHwYttb5HqrQpBswFUE2k68Qa53yzfj1inoCCHpI3ICYSMfhBresSXA
wwAEimoT9KV5Hn8o5wohT42G/LYKaPFQK/7L9tCRWLwnXABCapm2CmwACgbX62k5aOi6rqkjLtsj
F8bPyf7TKrN7HN7bdr5yfeOGcB0cK1TRqD7fduJmBt6lrgJLThcHfm0cjC45M4qnBR92XvnHbXEr
+3QlbvEjF1ZNu7hEHqytItZPQVz9sHLUmarmv/sJdOS+FpoYArvXmXcXUuKxbMw0NmHXwASLrj0m
d5mXb9zia72ahKGHcdkfFx2Ty1ovpZgpLHqs66g12HHw3U9p8lz32QMI5w9zW++q6gegtKHgMmjj
8gjwSJgX3cbpWnG8KKeBRfaVRRQAj+uPQCOFKLK+rSNW1adKyrPYot5dsRA0+CEnDmjn4o20o4Wq
RV/0vKgjuZD1xx9S95hghphTpkE8bl1tK8tBshphBepkDmV6AwgliWC0mGqkRixn3sH6m+9emuLJ
dtsO1xaFqjrGF6E/C6AzzSkNbh/P82TDX/hdcSgbW5zIIPhBCdcK4hp9fmxO3Q2zXFkcYnFUmLA6
EGfrQxZK1P0GBZK2yCvqfT73GEnK7Xe0vkN1LrZqaY8Eac+1QXQW8wx/9Gt0YPjs2NVGfs5S3zi7
1dhunIAVJS67ROylmYZifMS1KCHNHkld1Esy/A+H0VPO2W36LCAzcQ5CZH5Aq87ZSBqsKRECkUWj
KA6BT/Va6Nj5vVHGoomKWP4w0gWi7sfH29ax4qXQJYiGd2Tq0Pmo0yFmsWfKMXWbKG0fGKg3pF+D
uWKLCWtNCnJk7BVgCXyWdnRzL+aiolxGDthz6fyMkrA09v99JZcytMPLk9FuHZ7LqKic8Nig/8/K
N2AYaxsC5ABetYiWfKJnwDo12S0bMolbkd+xWf4q+XuauEE9hZ4wwOSwJ/oj0+ksT/ZOLdHJTI4J
xci9Jtn3fXx3W1uL7Vw/zLAIc8lyu3hagND42rZEJdsZTJ54pJMkku53YslAlh0GCG8Rbm5J0k8p
rwvc7mmF1osnyr+VMXrsyMfc+HZ7QW/3BguCH8DW4LH2Zm9aTkk3OQq3+09rCrqtJ/nWz2tphhq8
TkmPiCjCdLadR3ciJ7v/bQFayOU2JEvSHgsY9m3Yn27/+NsDiKcK+O4RXuHSAVvu9XYDsDB1NcHn
y/hIfYzD7l5YuuEjV2UgV4usgQPD0lHcZiOQGE4odkA+suwF1MWm/Xx7GWu7AB/yjwjtLvNs2SbN
SGC1bAqEegEB3W0Bb40VLFRwuMuxwIWpHwtXmOlUYGBtlLejDFJi9pG0alTl65qHozHMG/fka0hx
fQ6vBWqnox4HtCWBiiaSKmTTsa537bNq9jI5GOdMPFhqwxC2FqjZcSKEO5qoV0akip2QuU18Gkvj
mzABTHVkKTc85mK0b5cHFgj0cFOE+MuGXgSOZWykondmLM9whp3o0GrlIg6wBrm31V+N0+1GqzKC
eBo2/NvbC3vR6zKYC+GVh/bxa8EqnjOKYTPI2ahjWR9KkewwEyBu0zDLH2/bzNoal/rBwqmOBiqd
7RytY7wXNgIsn8qoBPsdxeQlzG5g5cGOeVAxGpCtoO7tQUB3ISiFcEvg0iZU02uVVw6CHLONHOdX
t1Bsb0CpV9R39fua+oTN6ZA7+P1hzJB4+BAHPPlYZUHONpS3Yo+46KA2RCDAiulUEAtFp+/Mdoug
/q+h+ABb8NCTV24mklYXtIgBuTbiHH32SVm2mEk/xm2UEu+upuBF+dIbVTg36lx4G3XBRTma0eMK
hyAECngr6UgHzOstZ9vMOtytWVCB1sZN8Zr4dtvqVoVgDsmS91y4XrSQSlbGnDAXQhLoq+Ivqj8U
7cttGSuWzdiFDC2kMixwSvVJ0YFQxgxZwc+YNxqOGBMxZeY+rX85Qx6MnZ1tvFhWjZtRhLyItXCy
NOOTyo3JNJUd2Ec+C/E4DFs541Wjw2sWQ+5RpQBv5bVzKFiFZrqq7SKz+VSMMXI04w4eabTt/W0F
rqwE9WEM2AJFK3K4b1YiGtOZhrGPMlA47J2hUae2y/ytS2S5vTWDA64Gb1ZUvoGA0m+tzujS2O/d
PprEHBZ+8VKl7EFZ1mHIu4CUw+epLz+7szh72ZHkZ4u9EPX99krfmgpgV4D3LGy0ePfpjh73Iyqb
xFHgTonFPgWy4MANG1lhe4gDaefFPk1Qmsdok5M3TuXptvS3GwrpSBx6GGqBXJJ+ursaYWHXMBWh
4S5U/hwUmLjH0NtLNp5kb93ItSDN71qKiTiJqYpyfieKw1AfBrT2JA8G2drT5fxe7ykq7bi4UG0E
VzGC9GsbbbNYspYozKUeeJODxLtozqYj2F6AODfMZjBY+n4Zh0Cfy6AeE+tgmG11vK3Xt04GH4Fu
Gjx48RpB3fD6IzKrJLyDBUflHO/GBAwSGMhrSHfjwK9sH/KyQPfgoKBoqCegxzgWkzeAjpENe/6p
TZZWySitxYaYtza6vN1BAIqpEXj8eMtnXAQjLWonBc0lWAW9xryvnX5+SA30Ojmq+NFRsHKTyWzv
3GJ6AhDd2QhIXjNx1xsKmlZ054BiDqBwjN27ll7PamZjRa3IA3HR5GIY1owJxA/FXwPf5ff+/Hmy
eWBiPGR/8PJz9xk/dJziL+q3cJ/y+GSSLNziYHurd7a0MYNlEX2JyPwvCrtQSGkLDx3FqR1lY1vv
J2lK+ugLrprQS70KjXk1KjobLnGlUQnkeiDyWRomsNV6eVj1dqG6YsY4I6oCB61npd+jvZEFIDUN
3MbfVQXdTzPfS/Lf3TGKtpgZgtZDJMLQpXe93sTiRdUWlhU5pYEpeDnxojbrmi+3D82KVgEGApIL
zwdwm+q5oqaQCvj3BFoVmXUyFZFGUKEdL+gdPLQHUBFsOKW3pxR3GOJBgMgW7lE9D9bweWS0nuwI
3ZU2KPsIuLR+FtKT5QMfq4xtWPLKmwXVL/+VLwwV/jflv0qirsGr1opMsiub0KWY5hbUzg70+Rjw
5n8o0YYz/mcPfy1TC0VMHntyYJX1SoZRD5/6XeVhbPgW1fSKiwBLLKwSWDywlDDtgZk3eFQg02dF
tHSVDGevs8qwqKTAu6XImyoEXhdzQ1jdzbskndGCVhqgbrxtQG8vGcTe1mtOHxwQb3idMbiMGaOh
8BGGZR+RY2K7EZxnB4tLevLm7DD0brZxLNdkLjE4SNmQP0E17vpogCh/HkGvZ0XjxKKJpA8TKoBB
5fgSoz7MKPH5xiLXNA20Bgp+FPA5UNxdCywMp3U7cBlGQgx/pimaFcE2aZeAWIJ28k7wPDSqNmhy
uWG9K4cFtwCOP25XwGB0vK4lU1tmI3weUILGno1D96OySz/seKumjUt8xROAwAOXOPp/gJHV2dH9
skSgiWkG4HhKPncKbex5s+8JuIgQm9y2mbeRJm411E+RdkEfwRvS3HwwaqlACIdJAG76oyFSHWxD
mhvKW5eCRDFAnTj3Oi4v8bJqtuCBIuCqs6Cc6v4ur4ctpPjaFuH1jh+CWaAwuKj14loahq4aCsqd
iBXlHJlO/9tNky5sgKTc8CrrkpZWYUBvURrR72SctJznhRPFhfdzHLynyes+GP9H2pXtuK3s2i8y
IGvWa5UGz2633eOLkKTTmudZX3+X+pyzY1dru7D3RfIQIIApslgki8Ni6/6+fzizZOD1EXwgRAdm
2i1DKEejfBonEhptRAD49J7hTNmSVV4IIycJN7kwJsoALyrcK8JwOPbpqXAlu9EXlEXlqSIw4eMN
GqOoVLwUpUCT9kFaLBz8/cesoSIHq7HE1BKW6TKsFZom+g0a8XdN/5aOMTEw3CbyYGO+qx2q0NA4
dGAid6npDBFBjgMFAOEqQJRljKjnw1uo9hHHIM0SQccVCi3TKgOdMUhZUEKfew9E5KoRzKLIUPbr
9FwP/g0hgIPjkiuoJrEjMUYT5VmqFOoErllQMU0Q93hjWn/805PB8aNeilUnMOuY+7vVBGEs5RBL
PlUsRK0SwaoMrS1W7YAQiDRpsQwf/zk56J2AWhwqI3hY35JrarcEppuv7WKtbEirtWfZ11fqP4fq
QN/Nf4KPaVpUYsiMTdEBhDrQdv6i2E1UAML2j9M3Bno9kVnDth40JbDwPkacqFm88LRdWwdPeLS4
qPJpH0Ws8ybxvruHiRBQa7+SlDDatyKTQ5R/XT3SUFR8r6LFJcOKo0S2gyUvQTBHSEE9G55BxrYp
dkNq2TWCm/uAcFYzg3odEHo9jLULQHbmHc99St9WfXZo0RQaAccD2CxLrN8lPTe7BmiYOs+3fg9Y
EKj8xRMWQN4Kz68LAw9SUJLc/TIrD8BiyhfVYekVeKRysqHzXMEoYNUe4LrZt3hX4BqPBeQnhoFP
U0/07TIPHrIkS7epXnEu7owhQnMZ+izQZYo2H5azBsDtTSJ0iBp8VObJYuk9a+h0/nX/vs5SmSpl
iDMRgbFT10EkKm4qFiKQicK8IKkkls4Swd/v+2Qm03zrjwAT/9W2DfEhtmR0vMiXtZcnAIivtTg2
QwNjO/FCkGihLnvrPqlZjjACAugVzIGg1/5WI7JAXKZdVSOyk4OWAiO4Bf6HpnMqGvNUpuXPMA8w
4NP/XzlYwO6Ouu63gLoIE+MRE5ahraa+bt7n5Zt2A7kXRhsDbJqABCLbYbnoAMTnAfRo1yQeKV35
EQvjzEqCO9fks5RVHNGxDT6oIiBgADMQ35TxZZ2FUjV6ZoRud9kKQCMizcG3EY3baG20ylPvfN7n
7muP6ZVWfCPHWHFgSQmpWoBcRzOi9mSvxiQpaWlJdPks7Czx7VDSxUNJ6E6j1lNgf3YksSNzw0Nh
Zdf9fPsSJl7KsNFX6QZAXO91zXzXf0cnw0ZG+FHLt/Tps/4x7KhPeI3kXKqMEhlxU7dJDqqm92gn
pFopZKCihVdQ+0mkkOIVnzr+npfvYWEQv3E73dYr5W1jpSwEHXIfniSf1Iu1ullMRR3aY/O88Jo9
9AUN3urn+rMYPIrqRWAbl1F+CQ+YuUgBzfXzviIwj8Bv38NYB7gkP6oqyCEhUkocwcYmDppTjvn+
muK5p25MmF8Zglq1Jci0ZjTSdC0AHJl4h+eQ/Ggtcm6IcgQMlfco0n49Eo1q74GT7MXXg2A7b8YP
dEY4LqG0/RTszjy8CbZETwrnxrN5sf/KAlCPMJLYqMkOk7lxEkWAwuwvEWlNn/rUs1parD3Kw8rn
UmK0L3C7JMsHUBpts7+EZkyih5pGNkfsbJ7oG0eMtmlyrwcuMMUuTUne23W+lUkVkE1krnhpGy5L
jCJhG2qTKzFYUvfRoTk0+/FgOHlFYod3d1kUt29cMcpUqmoC9EdwlZsLxXI1gbSYPerF9VIj6ee5
91dpQfJNklB0EBQ6UMnXwCcqN15oa5l9//6wSeX/fgxGVidPjko38zFGil3fogbNznd7HRu9CQCv
fBLtH7SBZPanvqKjVa3DbbnvVjyFnUzj91v1h/b0FL0yJuqId59cQBB9aeo/+mZbPpQy2pFpbamX
7KTYtW/LYvuvyE6jYGh2FRAhMSz3APlqq0jvLlG0qjxAiJ7Dj8TDvGVipW1CBAxj/pJiijf3mjeC
zTyu/yPtK9IMx3qeBqU8TG7LOCwaYGOTfjANZTvk5pIHXDdPC4tJNPQ3ClgIfitdxUMk2rc42dpu
NqOJ1TrFOjE/7usPjwgTRMuGW/dDCYbEjesY25i8LZ8T3oExlaz/Su0PJ4yzj5osU8fJ+ordBb6t
j2h9lAenTjbDsNOyJ53XHDFd9m+KieLx/0TH+PTRKLGYrwFXhZV/SJsllXjhEo8l+fZw6tEQy7gG
BYWYxSPWPMOG9lbv8HISLIzQN9kxJtTNkSWNJRDSHUUkgTWk2KhM30SyCRuzeemIbun0vk6wU0f/
pWnAAy2xdAHLBW+ZS/DoilIXNDuqNdT9xGY2/y2yHuIfab5NzNg63yc4Xdjvx/WHHnNcgy9EbuuD
Xq18qFr3lL+jit0+GXXBITQf5WKe7n+cMcfmoyUgSlu/v7z+9HqS0QfZfItX3apa9ZySDI8n5tyM
NAh9PTQQ4CkvQUbcR5dWnIfIvM+74ob1eYKcyfUUMAif0ZNfk5QAyXHrmQuOkZj341eEGIubhBir
HAeILfh8hZG111gyN5gi2f4rS4HSEqr1k+Kxs3yDIGRuiuVXcK3RwVsdNfqSXEKyuq9v807zigzD
Tyt5cg0MDcQlCoaWqRLbKNA56uUl+qit5BW7LNTdrgtI6yw2n0DmKrYuJ8U0G/defQHjSNqxFL1S
wReEeP7QnlT20tHJD48n0Ml+f7taV3SYJ3EYenmtF/kkUJ+Gtvugm/L6LT51qyVH4Tkcse5qiTy6
5FaglFnewaeP7ipaY26NY5t4VBh/NWZxGDYlqEhn/6LS0CxMwR4/P+8ryLwF/CM21gJioCbEGi2Q
cX9LR6RLneS3Yemmay9OsZXvNx3hEJxM3J1zYjHpMiB7e2oCgq2tkWO2r1eeI20OAzHW2+X6PjGe
DBkjKERCt2w80MJ62h8+lE+xdvIrrx7Fo8IYQCVAtRrwRf1F3C8aYhCPCGdtr5OMo+LT77CSw1io
jkw32iGxVAL/fxWEdsu6kuQhGi610EpWJLil2QZB5rR5x8PNmn21o1aDtCMygUgxTTxf0UqVsY0F
P+kvGvG27UN+NHIzNGWiOUsrcwnyxLZPtrpL/fd/9cC5oi1NEckVbdRE0CQUg7YdH/2j6z+0VvMi
GKZuuZl1X0Fm1f+aFnPLFHXAUpwctJpsK4/vWMcVB+bQrGNLd81IeFArFN7XlSni9snO/5M4E33U
rpbGRhXDkHy6+62p0s7x8CSf4qvaAQjWiUNvLli8ZpaNPoQwbuUE9Eo0OFmvgbWgwlo5pdsYvVXW
m0c/M5dmHBc0G9dN7S/AMwLmAd5Qt8dZ6G6AQbPJBT3ubQC2y/RRJchaiub5/Lng3JHZSOGaGhMp
BFISAXsH1GJzOOQRxZQgEhqbceCFJHN27JoQ41nLzAsjVU37i4mJNrR4E5GsVp+upR54z3B2aPkr
Sr0mxVz8XAjLZVCBp1dAP5DoIP+QElMnrcVTEB5PzK2P1MCHlQGhrQ1A6RdtG6zr95Xp0obwQu85
o3nFk8xc8tTzlkM+gJT3jDJGtVuYJlduPBrM5R4qPw5i9Npdnjv6uo0O75Jp+yYKXVaSE3pGMuz5
/g37yh1/M9F/dF1mbjTalNW4aWFOtseKRtbPnwVZ7+13ybcushkOVrOjwvbsmSva7+kqRWpt/RHS
+x/Bu3Bsh6gLaFXJXU6nuM/tyKPeGgOddLXy7I9Vm/KoTUK8xzLjY8uilMpmBMsDfdVIfFRNlSxp
SDSTB4fNO07GkChuXAtFAUoRMYODbHprnXxInPjkC0TlGz/AFQd6O1ysLDAGRO/yGIuFl7jX8o/6
GItW89b+VIm4wwP0USKqtTLP1fFMuy2ST/ZAOgK58tKJs67+6iMY41L35TLTfHzEs7kvd/7D0rab
HwVp148vSLZ5PJyH2dciSmN/Mc1YmChry0oLQS83n19bs6DFrwOlJx5f0898ky0q9EBgAA4cUJBv
XUEyDJWUJwpki8DC6tY+oRrPAcyK7ooGI7o8AkpYhnWlFzP5kWhWuzIs1dwtnzYN2e4BEsJ7/s5m
3AHH9hdTjOyM2iiBlQOCwvs71shsIs/2yOPj40gK6m0S57i++GbhmfmmOH+uTtnP08q36BO1+s/W
8ujTip5PsH08RZ74vCdrxpbHkY4dkYDJuryqTr8d1hwjM1myOz//5YevgrQYW1q1JMfPA5Dbc+Tz
ZrM6nU6cw5y98X9E+/VavyKStNqyKHUQ+eq9NMsYlQnKcXqTfWIZQdERjQnY1YZaJyMnoVxKDZJ2
UH3/UYqWZh6JHBM5afU3CgChQh82So4qq/VeFuVyCLyMS9qFdt50VCk66qmrtOR5vK/Q+BspQMkB
W1nEhgIWIq8Vi6ZSUeS77H9KqgPQzJokvx8T6tuGJT84DrXOwstn+R79oqUTWp/dtiNja31wzu2r
mezedzCet6n9tinafri8mnssKyVHjKsTNFniU7CngTi0JGesu8efz3jfkb61tpxjXX6XuioB8llD
vxvQ7rDDHadypTtdqPoYrqm7y8In2DewaXeJJYck3wa72jIQXteOuBr+RVxzS3ZStyuyLroRx04B
WYW4OAB9vdNJbPFc4Vfp/VbAIIObAaONJD1auG7JLLuqlNxm6C6qowjE3XipZZD0PJooBxjE+Bk+
FJEp03yXGiYm8uof3q8U1fUKXef79jnsedHwd3Nw+z3MLVrUI2DXxxBPmchQWjPTsA5m2SjdZy7k
AHmrlkBxIeWyKC7G0OoHoZO0gAhdg4EqV860lHRykvJM4FdJ6LuUMJ+LghH609kB80QLRRcdB8jF
kwyAAiTalAKRDuKxMg+fKX1q9+dwn73cN43fndwkij9EGcUTJKlVXW2JGoBTPFW2ezwjFFrdp/Hd
MAIXFg1VGBiUp+cBEz0bIvY4qYU2adlgRZZvKo5HkULh3OOZdOgtHeYex0kdVEUOOlj5ZgfPo12+
LA/JOic15SWGvmYF2MO65omJnZfRoIVGBlrdJt1dMEB1LNAxoZl+ZEnrV5iPzdYjColps9Vpbaob
EcN5Vva4djzfDH+MlmyP1Ap2hhW6pnbqdgNRTM0MSbs3uTmK717jVjDMITd9hNkZ6Dc0K14X1v6i
m5olrlWyyR2Xco5hTqOuJcPYlFIYlRjIYdNpv+KG73+klMvQ3AW+psEE127YjMZChvSnc57G8j2r
Xml0sV9scvrPc5u30mPiwEIbCh84l/+5l8d669qWZ/JWJM05gGuOmEDQLdQMrZsgUuyXDjoLeF0M
83cQDUTArUP3Ets7GXvYCj0kqPVBU73f1o/Pavv8b275HwqMmJqqXwwRJvGRhBus0MxXOklMz+Sa
yUlZv9+8P3QYSQ2NqpWLqVVGsY+vMX3NiK2/tc+JzQ3OJ3txjxLjtjzXV8o+/uLoGDihmdCU4Bnc
rbiP4PkL+ocnxiFVghBKRgFK2L12KQiC8Y7IZ5Wg5SZ0PLPY8nBfZjJPk1L/RZFNWw5FkiuhASk+
V6eC/h7pITl6Jr2vEjO5oFsqjEUOfTlqDRWVMIWM9k/fFN7c3ZKibUwzI44j43LEWOQAzX6CO51W
QhrLRkX247Awm9W/kxxe23DQE+Ioi9ihCguvUsSvNpN37wT/nBOdLJB+JbyusJncCMR3RYoxpV3a
a0W0/CKFbIWdUf/FNUN7cfDWNHWSihYcTz3vQq8oMoa1Uj3Ry1NUFMN1b/6M9v1mRJudZ594wf+s
PboixFgLza3SSo6Q3S2s114jJDJjKq3vq99kCb7d3ysarKVYtGUQGlGPevlrjNsUbzji4jHBGAgF
O5I1N0dWdRuvsfybRGtUhnTrPhfS9Cv32GCMAzDIlGbRQFTpa2kP9N0/7zFLjShBM9FVsxHocp2Q
0sQ+BfTIiR/ym0axxtTWbetNxS4huzKHh2i9UdaAYL7/aZwvY5/VzVL1s6KAtuzlzYiH9WAGOMb7
NL6etHfYZ5/VRl83dSKDyHObkv27S2PELIpZmnv9wZXNngrEtw6bR2JYgSNczPQ31jZxYpqvFuV7
H8EYl1IL3DgyvgyZQYT9HnWziOSrt2R9eKLZOrDVR15kPqNcyDotJxyEqanZYJTLiPsqFLymu7yO
NhLc9aoys/M/T92hxILAYupqXmK2keFr2oAbuFMbCzZu2Ugn2O0WvoAuHMACkE+Xftw/zDk5AiVw
aqGWsecIyAjQ9asHZxGl8mLAOrEL9onTBE/OvZ2hqxIBqReQwQbwtZk6+iPwroTH+6TlGW9+Q5ph
dSGmgZLKMKbFZ2sukO7CVHtoTl/w6u9z8x0NtmRxKAj+4Zsa7WzxQT739Ed07g/yltJstzHWk+Z5
duxoD5zoaaaGiZO4kgwTo4tKWyrJVO5Cnzdd4ukQ4WsUqwtJY5/1g3VwD8qaV3Ke6biYqCrovEEw
gFF/xsNgzLws0gAWTALFxprqNXZsetg+RjWKAurm3JF0szAVkuPFxtOG6deZW3VDnfE2SoKHduki
Ry44orMXreUKUbzVb3KivadO9pLx1H06Y5agil1eACRDl943/O7IzTEBLoNdhZTrpdk4eDcQZbPY
TD6O9274GqH4Rg3oDMDHx+QVOL1V9jJu+jbSUNrAk0vb2rZkixuNhMdyCxDaw8LJLWt1Qjs5segb
FpM+cUPlSX53PoCFK0dQmfn1VFup8fZcInJIHCwz3mcdOWzQCyt1BPU/jr2ei/lkYL4bQHTAmBHG
eW+57kc18XNJRxpU3AyWZNtI7B0eUNX0ft2/0TPFDywmvKLE3GgABwlhACypS7Tq0QsSwwWOdkES
KmEdDPUuKdqnR/oQWNbiPaSeiRHmhIR0pV2WD9za/JTEYGV9/THM/VUGYUjlthwuhtv3mzSXonc5
KmSSF62/xfbhgLp6guENISkdGaAsK7dDyztHIryPYK4zhk+D1isge+kcGus4pXVLsFu5tRvFjAHB
/QZYYp00Mc3RTQogxshWdFOAUeOhmc0a+mtxMFe7AUY3FhtqqJwU5mIn9zSTHC1byRHFnuN+sw99
OgwHzVsH9RZb/ByBDj81ybwvj7mU2o2GMFFmWYtYzLU0EKBAE03VxFDBzjUhE6puEUGceOWVOZ99
zTUTcaYJRjv1FFzXZoaI6OWtdQbCY2om6rphigkMUuRr8SoAU5KIxZ9EXOaka61gXWl0wLROEhF5
fFgaL43xEba2GjwG9UXA3Gx9SpSGM9U8kzu/vYOMjYumoeA4nW77mJF9QsaGvgeHcL1P1+G6/PAs
zco1M1hrTmOm5E1xRNPSE2ry8hsz3f/4EOy+WUoYz5oga27NzsKtBVcJvOHy3L++6/t31M6NH7Fz
MAmi4SkiDkxeEnBeva5oMnc+d0OtFULQFE4KDMvyvA9WsiUl5ME361WH48G0lEt56YK5kPiGV+aa
L7rhv2qtKShdV6uFsdLOWvpeG47cm1gYjs7JFk2SdhLRIt7qqS3pwHp6kpYboApLyQsGiPzKNjoi
jFstr0hR7+tonZfUO9+/gTNPMIAUTfPhcLc6YN5vT6USVFRWimC4SLZMF9TYHHhZGh4F5jaMedUu
+s4fLskqNA0aH6jxcZ+HyUh8s+xXPDAqvhSawRDKiQci/aS9w1OjWaPx1++j6+hWRi62zYr1AA7M
EULKjzV5o+7P+zx8BXIME4C7mEqHwC8AugZjj+MCtRk8BIZLtREd2VJA6THaGfS3iva49sQNPWaO
5YYeY3lHuQYK3wL0jPOUjUd2vEJXqLr2nM42HA0TZQLaIS73uZyxjMCaxYwuenVQaPi6r1evi2gp
DUo5oJDXiKd0gSEj4yCXS9LUq9RDfj1/v09u5uBuyDGqV1ReZtQhyEm4hgtdI3J6anSdhsuMGMkL
kN9oHvDeCTMh7A1RRhu9ZaECcQxxBsDdnxun2Sd4Gv4C3uRTgJ7D+wxOdoRVmit5ftncK3kOizox
4ggFWt8rL1Hmm+Xgr/5/JJhoUW4GcRBjkEiagKblzzBe/wsCgNuYAJGQ72RxtA0NCwObSSf0CIGo
lpHqn3e6TpgofygwXkBfBFoQuMNw8dCs7psd5+rOBPE3P88Y+1jSG6mXwEAgvi/EyDTgaAGhSu6L
ae6+XjPB2Idq0eSeNp2DgtWDegPUHxfjQKlBjfiXwgNtnxkzvhUZYx3iZawFY7IcLtvt/qvkjpz3
Jf51yShZk1+71tpFO/KGkU6aWpsz9mjQdP+BnDGHaZ5oGe/kLsQ+CwN8hjC2pJJ+da1C6oL3Dpy9
RVf6wZiJKlYwUh0LwwXd0qgIep3dqyJHSb7gNb5d1SsijFkIjaAZMrxB0Ea3t7vHgOAVT4xDT8Lz
46OEPc90l5INOQfYT3Q8f+qPn1vj8rEdnPtqNJeFv9JWQHbdOjNtUUdtn0BbhZP/0K+Tx/a4XCUf
HpLkGef0ZuWK3a5T75uCuE+8JSUHSQM0eJyeW6ZElz78hhtozTqUKxLM1VZCPVCTASQQUqEovz+O
60tqX/otcn+OY+06M0cnbY0n/NlYf35wbP2sel5RZ26+H3WFEmo4U6N8VYqXNLWSinNeswxCekgA
ouMHmBO3MuyHUOmDNhgvojj8AoiG2Rg99frqoymE2lpGIdaGdDyEkFm+sLRExcof7KDQmGsnF2j0
GoNovJTF3o0OZf2wXPCW1/BoMIw1Wb0MACk4XkL9Z9a0xBA3C4+HPc8jwlw62YjdWDBCmC6AhEvS
us2XVoHwn3OnZhUd+1UA5zTtGmMVfdTysVmO2fhVRdvqzoIsyYK6dkoWTmYOhFebmUtcTQDJAPia
wDgRTd1qBRITg6b3+YiId98ijWMQALhexOefx+xkk8LcaSV5Kx+Th5IM63NKV6f7HM9ldm4+gPEP
stLXRRJX42X72gfEQyT3MFj7n7ltJ/QxoIVpNWZe0PSHtRHNEhWq4IiiLC+n81UU/2ZUr+TAKGol
j54qVcV4eX7e57v3ivwcMuoRZ0EdDPV5DwcRo2iRCTQqEuJZwLn+s3fzijqjwvq4WPSNUI6XNj/J
3hmLsnZC/uQqwO9pEdS6vIXH3GNn1LkXDHcAWi+kjtaNwXo/GvbPat+T9e+AOlaIHHRJs/P5tDBP
PE8szV6lP8yyi0iUJmoS0Zhob1915z38eJefRsRTa+JYrdWZb5sf5023+twIhL61lvUUEl4xZPaa
ATxzCVhoCUiLjLmt5c7zEwA1X1rxd7Z4LOXLfa3m/T5zq7ygkxd5i2scJu+R/qQuONntud8HLA02
uE/vPIDH3t7aMhSrZV+r40VTs1fJL1+NrKf3WZg7JQBJG9OWeBSlvrUpRu04Fr4wXtwiIMawbpTn
bDDv05jLqkzLFf8iMvF59eoYZaMKQ2XErVNslQoxBjHL8+UlEU3vobY6G92YTUK0C4fsFC6wlx1A
jfCFQMsDGi1z2QUtTMSsga/vwn4RUuxRHNBX5Bl1RuQO6xiwVhTYzzSRYIy36mAY+yBcajEBnJHs
kibIY7uIgcLIsf7izHdhKxoQ64EFjD3I7HcFalemaKFYwvovROqjhcsu9sn+MqKSsHhCyTUkG2MD
KJTNatWsnlf/XCxoApYAVgHsEwGgVLenIelBknjhuLyYr3uZBpvCREj+eeLYurnGg2syLDR/oUel
rozgsrASgp6e5L20vDd+p830ucwp39BhLomrxP6QdKCzWCGe2x9/9oAUoqNjwbiR82nF8yFziRe0
iqCNY3JoQIBkQkjJ84qhBXrtBW2jGfGPawfGdCfY1oZzN7+7Cw3agRlI9IUbwN9gro0eq2IRNBi4
NO2KDG87OvLCnZng/pYEY8FcfUj7rowR3G/GLbF2m8OZt3xtRhFuaTCu3yuCcVFo09woKsMFXZPd
YFocUc3UqG6JMHddDBBe+DUY2S6I/HZACwE10eLC82pcgTEufCGgSRFRKJLSewlzKukjbzKfd+jM
7XSHOsubcjr06jS8ntVHjjHm/P4Xg1e22OhVWPwMv1/hKZkSWjtnjn2Z9P/2Qt4cBdveEUgtOgJa
UFDINAkfUH+1Wn3wToLHx2Rkr/jw8jEpWgUHEf0wfgC1jDf7MdOqdcvGxOYVAT9cJPWIrmC8v5VV
5kBUG2jVQE48dJ+ZZvpbSsw9V8IM+WgZlMbj/rWhr6/vPl0dM/rzuLdzDPP0mLY8IkrjxOS8O8Nm
kIXcw/LF6fIvX98fWkJ2lhWSJ87N/G6eJ+YwBWEghQtryVyYNFRr7FfIMBKCZgwYZjwwyPh2X+Vm
wNZuiTCXZjQKcVEt0y9L+fR4BNBWv3p89PZNbT7uTtFoGjnx0LqKrC6HMoc9mcmO+O00By+Csr9r
HtHzsqsK4tuBU690iHT5uCMvVrbGeO4T+ky1t09vxKyVTiXufZgpl93I4Ktb5kpf8wVwnEoBgn7W
n5738Bj2mjxodFdaL9aB8pT2bwzhX+fKjppWemV4fgpyRYHqBkpx25P5r0zVHxLMDexlFZNtU2Lc
LEiU0RfA4oW8fRgzZe1bsTGXz6ixSqKrcYB707bt3+KD87CzpjGvkD4nnHiee0aMu+01X9OGHEJD
Tm+0j/YSh+SUq3S1Q80mRwcoH2Poe4B/yx/jfVshLrscNZTLuG1salzu6//fWMk/Z8T4XaVNpXRI
KnD0Gh32mDq+oDRL/FV+MLl9KNOnfncsf2gxpiRCb10oZpCeue+BBoG1X+jqItY5QIeZYfIcwEwh
/FZyjFHJQrlyBRmasd0mxNzjuNbrh5Y6v+vVI6LLDQaMDQx48Bzb38RLf7HJDtdgMQpmkRZgM/Go
8r6BKupoFKtWHGWcd6B/yDBxcwbYbAVj2siEZkRYq0dz1fEaG8TpN+6cGLsQd0iGoDSw0PiyNV/t
iqKbFbkW1SSWRc+5g4lN3qODxxRjMpTB76KhKIaL+qTglWmvE/pbNh0Mwb1h5JUnQu5RMcZDUpe1
lilQkTQDMJm3r143mK4/nThHNdNKeKOKCmM3lr6Ue95EB2oIm4E6ADpjHYtaK2NtwKFwxMjzpwpj
NEKtGA0hzuFLEjTofvmSy2/yC/lxvKnoyjPND44d+d7ndMshY0cMX5YD1QPFiOzNbl/Z8ClHk0OE
46zZZWShi1Rsk0M7Xk30sF3IGjl/jPRidnirW7x7PJN8u2WJsR9VVIndUgdLW5B7Bz3ffiS/Xdux
UvQH4l5/nj4+BA7c1ay5F0VdWSLTC7QeRiMxRFUhvoemaA3JXgGlel+E8zf66vcZTcy7IXWVFjda
Is+YYHh/P66R0JMJmoF0iHK14qjiDDQApHhFkFHFHqgBSyT+ccVQ/gJK2fSwp7ZutW/3OZsE881U
XdFhFDAGQrjSNhCcspLN7uX+j89kwG65YFxXrpaJtoi/xAYAT4xC75YbiW5WxkNHuKHgrBG8YoVR
vEYbKrVdYODbi5E2QJGQl5iYt0d/KLBtBB729mDHNNjJkUM6wqz/nswRkgeAFOHZvlnLcEWL8VOt
NKAJElvLLoYdHvMVqp0+OX3wggvOvfnK2V1Fz3X8v+OXzoGjOPePf6b6cXP8X/b26te9SmibeAqW
n7f/6Wh9j1b2pXDWDhLxu5F2pnU4JGZir/DK47E2k2+8pc7YBE0faqz/gQS3aFoe1/ESU+glht/t
mtLqJ+ASVx+r85Ow5Y4ETXfmzp1iRxSTuKzjZnochQ2N3bealMOxFW1f4hg9jsJ/WeIr8RrpIo08
4CxftKO+VpA15ejgfNx+pYOMcSiX4yKqs0mCJmoZiHKPeFvVKGR0Jt0MK17dgmcuvvTpiqGyBTo1
IKqnlJmGcQb7P0bWtBS6Mf9VFuCKN8ZaKEYqa6k+wUNgSkCjS+eNbk6nmmNe59+Lf8iw44mlImt5
NIkw6IkAVeiAWIgZeFHjvMh5DoPF1++M4r9KtzUFS1m5m2Px+tS+Y4yJ6+Fnw9srnpgcVB8ss2VS
TGqRkOeC1Dtb2SGq0JAOBsCTFb1uuM/u6SfvXCk2+TwAChfwoTgtZKWIWZF+W56NvYBmF94o2PzL
+Io7xmxUhdgkSohbhdfP9Pj5DTQzBC8WXX1uTzxEgfkk2BU1JrAQ9HDEmgwwZqJWsLcTC61D68fK
dN421mYg5xWeJ9sPjl2engPfpTntrlbkaVUi41vEtlfrfInXqwTcxGN+vqzxPhHXxMLxrTAW/PnZ
fWX8OGTnnc0fsoze5L60yHXxi+zr61GlGbYQWAjqqXKYgnr6iT7eHH3mwgplGV5RcaZ+MbmDP9SZ
N1KAJv5YLGuUxWi9Cy/v+zXpKehfDgceOtffhIt/aDE6FEpR7SkjaG2ft7U5dYYFxH50apQaYDst
BN73Rfs3SvuHIKNGhScXQjk9nqcXJ8wmYFhV00H+66QeOLTmX0lXgmRCUykxKlXVJq8uOK+Y6dtP
wbBrvzjW4YeFaNgyVxzupl+8p6+MH2r1Ngz7KfqGJycJVAatG86P0uGi/P9NzPBHjkzAWiRClecL
mLbn+pdGJNyOtZOuRkT6L9gTMlLZBmwUh72/cbN/iDKuSPOr/yZTK6s2tz46VPQdcTDr2lD6oaxP
nvnxzOsI41wH1Nkh8ytfW9e+3BpTLFua5qtA99rqiD7qyuydhsPf37j1//GHzYi3pERfS5Jkesu8
G0fXXBMZOXf69aLmNZpJk6j+XlOw2viWVB10gDrwp8enaZvHKUR/TBw72L4jyYkMDPjb7azVktLz
ygTO2iowT/ETL4U2nx3864Zo7GQ9TLqWlNrkIHH37UtAkI8h4wb5A65s533xH9kylqZdaAtJKyeF
BTIBBi3TFR7Y+oHjMVQeGca+6JIndWUHMnpEDB/TZ68DlX4lpDZjbGlEPbg1MbBWkXWq4zPWvxxn
97bZ4F10tiyy9m3X/PXrBQMsr+iHNU7Zjn64eDRvNhaez03Ge67PJ6iuDoAxUQvVrUJ3ym6bgNXL
15hyXiBsOHHM0vwT7Y/sGbMUYAqzd6ekQ4aRW7p4F2x6WvFAvSaLc0+jGYukLdNM96Yn9LguTJdM
WKf32ZhP2FwJizE/rSfWYtWDjYggeXh6Ra/KhJ33iCkzUuOqHiwaPABa8nzaclFq70ciGGe9va9h
rriGML0Q96BaUcMSftGNVxMOi/Ph418n9aUvV8Yu0qso7KecFIAdpxgL0arTkh0SsiU9AxSCV8Lh
mHTtqwZ5RTAberx8Q6Tctu/FNIqNAOvxQQWCk0g+N9itcA6d+yzyVP7rfXBFscl7tDN91QLVjduR
5Ql2QOnw3jD/j7TrWm4cSbZfhAh481owBAmSEkUZSi+IVksCYQhDwn/9PcW7dwRVY1g3endiYx4m
QsksZJ1Ke/K/FMQgTn0Uy6GmYXWxCF/x3GO7gb/nGsZtX9Fgi7SJ2Kem0sMwnoMSHCjWVnyN95m9
u/qGtzW6xuM3rtiV025ydK0gR7EmUOt43mwkPPlYrEMWqZ37qA3vbV95NXgGwnmnrk/mRGSqmZ1k
5TjE4IiWXvviRI87Hjzd9pqw5OXn3YrAZF+nJ6i1cWIfqY+70+GresFyDYQUXPrb61KcW4fIoMix
VrpcymHxvee8BZib3Nw9Lh/izedjdveA3qRBIZ+fhNgXtJiDScxaB/t0P/g+72Q5rjD22/1UO7kg
Os3p1Ts7weHtznu8x84ePPr7nbHMbI4zzLt210hg8iEHJR6ziqot+F55JKGvuDblpuV8TM4rwObp
tDiJsCYd1wFUuK2jbsySjJkj8u42TwwTIyVN+J+Ci+dpPgrplv1A7F8r1PBx93guKOcOXEPjydGN
0f8BSbBBpTu8B2Hc7YvNczzZRFxbI8tz0XHLhoWDhNLdMvHq4DdQnw468Hq9OYjFZuP6rNRGs4cl
xKtPjIp/cHThfRrG2dDKkxJVtIbuoH2bPidoH1+49Mug8vbMEUb/2I3LzCbijn2GtcQDdAETwdsj
8qbhen0tcwSnd1466V8yV/88ziwV7FBasVJS225OjohFrrqfaH7WrzNrr1Sw9Upd5PXDgIG3i31b
T86Zssm5vE0lsZWgZtB9ya/n7Rfn1s7MN09zDn8svWyaOEty6jaffm3QfZ7ai6W3URceTPEhWqD8
TLYuBpk68oUGK471c4UzsVApoPf5fIF2hXtAueLxzXMCdSNVTmePpRs2O/POHl6cnf+1zzZJAdgK
/kt0ZNN2dZPoo4lOCcCWA1JmeMlo98jwD0fXf0mz/mND1zm9CZacc0XqLyr9kvEvtJEZtnxA1xpH
Cs9cmCAIUV1S9DSOrQq79HVSPA68nnEOJipM4DIcDTMWU7StICqPV8bC56EUL+5nl9tJuZVo0QUS
DpvTVrTfSImcFAjBF8Ly9uXiRcFsC1yjqHWjUyKRzsbmi3VE0sXD4n57fkDlniNKuo1X17TA5PNH
aZN2HZ6TR8fpdDKih5z8QibzyHGyOQagMq5FJlRNHY/QCMFkAVpbBCsqp6bDya6BRPmn+6IIYmlm
A5KknQ1iG+cOG1sj8ol4mmCKdJtc2xAuWMvGI4mfD1kUbGSzNAzRmVfDmZyhHEmhEVEYtvxnL3Uf
decTiRoXVXuaLeH3FM+6pxN5zG0Ke+F4SXJ8M40EvW89pe+3jWI+lzcRwNylGqMRGSbMYemYAvLe
3hH0oeqYEfK6Ra1sF/ydFU4EMk90rhip2YT0BMlyuQg9dE2R0B0ebus162dMpFAjnXwnszzlfRFT
t350wBPHg+zZpMbkz7N+fJRlR6uiV0nfxYuMXEsCHCDl2Rrro2OjxH+ChUMAli7aHP+JcHxtn21/
j8wQT6fZLMO3TqyT3o2Keexodvy4fsenMbAHOtDB5WI50uuFV4mbhfCJMObZ1UQrl+X/FeZsMk/8
7Ts8fWbhbiKCcdMzPbWs+JrlVG3p4QVZfgSoPPf8Gvb+4QROpKg/Da3J2sspVnBqmfOGdT6fPeiv
COh50MITle5to+YKY9CgirphUEwIcw6H8/pEgs5W0Rnqqa+ieVct/UvjcSTSn39LPRYeqlwGjR4k
pmDKLxYE2WGCgomvLXnWzvtcDC5g3xdcadrQiyI6BnXQErXQUHJeo1iCsNRadhh8fb6tHc8IGZAQ
0DySFzW9xeqZCClmT7glJ975MUChxFbZWtQI82W86QPL7tE//EWduwT/55j8fI7m2xhZV70Ze72y
LEh73iCvjyMEh6zzAAIs/IPKE2VYwFqBhogoSd8+yvkS7UQ08yKnciokgwVDOYOmlBKVGsiTdra1
L+8iMtz/7rx2Na6UTZTChfb929LnpxUm0lk4SauiPdF+1eDt9HnxNFjoznSfebQZ84mMiRwGU9Rx
iORixAErJASl/fbUYfnOyt/HvGTsfIJmIonBlViurS5RqW1uaHsgmORT3IUV6mo+j/dlvmNrIouB
FfWknDTxCB/g7BwaF2UuPMw1wSoKjMmhBMT5Vpxb94f3XkRYAEuh30Hr43sEx235gEIIWgewcZ6L
z5yXmvXkNV0LhXqAtMbeVCRypQUW3HDu3bwTPzlABkgMKNRUNHPerLI11h58KYF2IhEW9m2xQ+eL
60PxlGJQpW9CUYwNyLtOT2eO9Sbc3/5KPL+Q9eLHVKFKQYR3d3KR5GrJb7T4mmSLVO/OVx5vi+PY
BOvPm6aem0pIFdpkjrTNif7AzaBwXEJ2KKWJu0Gu6aGhy448fNJRBBfdyu7uzHk0eYIYkCh062IY
JQRtsMF2GXM4+Hh/nQGGMlFkxaQJ60AHn+lleftD8JD0uglj4jhnslXmFxl/vrG7ldPThee/x1W1
tAOei04vxZ+uhY5ISrXogmsGs2MNHVJVghjO/Gwcu3Cwy4G3cXE2Q6d8i2C+RCjocmHmEOFJgXyf
EZkLLzwlmK9xGTHvewrhtaDlebNp3hJHAWHDy0DyBTaxoRsK+SLOF5p3lL6VYtDaNNPurAwQKb9l
WCO8vndfVzbnQZ2PPVQshQKdLYhz2TkTaTSPUls21O87kcHewB9Dv0xNMP+EOUA8Qxz/YRYAJvIY
90HqlFNNRx0fx98ZBneUFXCTc248EYy9Kec2rlqrpZ8KfAJoI7vDrMQS2Ubk2/CwprxqxLw3hv0+
iqVYIFtmuci0y6AWI6UHbewTiS9k9CmdCPXK3o6OGQfh79UeMxqxl2+UJNjxGthmTXMinjH+QQ/z
tjlC/F20g4vyFXEe8vkkzEQAY/vCUTdbKaTMpOS43hztOy9xmqcleRA/0AnYL/YYvsqeeCmY+Szm
RCxj/zhsIxpGvX/snZGcnuIF+mwvNbxajn6z9jKRo/+M7HKrF8STid15z88GvprpDHfVC8cmZx/y
iQwm6KEthrVRQZfACcFYhPYXlL211w+OGPol/oDaiRhqKhNQx37W81GlewerhxjLWh6uPYwoWe0H
nkL0Et2SRA91Ignlqi4zTlAoacFJVl9s4qWf0SLSlrzQ6loq+ndRMtubJWvmsdJHmF+AplD9M5XB
d63Gi3OE7HlxJNjcQlm+j564/XB2RoLZ7EDjmMi84/fPwcps01Ye15fLIOFgHScrCUGDX07yh/2e
u26HY/Uy27NVgosltUKsGwzKNkDl7ATs8I3ljmMps97FRCEGNLok64QUrGCPSeZFeUQubUYS0Pi2
S1UkkrSKHUUPwvrwJIz3teJ15pLzA26b6p+8Fkp9HPOEftWNaJevl3ibgX9kMJAjDF2j5MWt89XP
icIMmowoGJ4lC+eqxktTzImU2s1C/n1+bhRbVElckX6xkj/6YHS140HnxXmzHspEPAMyVmeEeqeC
UPn0Fackvl9FvKd8PpKciGAwJsJKYOOSwEYxVwyapzTAU06wxMZY/VLcvcMdyuKpxIBNquWRaGT0
CzrdL+wYpunxzundM/FtDrDJPFkM3LQRluaYMWQ9O3TPQ+Fi94tTbDdvzWibe1Is1+vSbTz9TjuD
vCB1eIkHjny2Mys+6yDZvsB6cqd+37p4hm5fB56CbE9Wc6rKzkrpI3Q4hKtl7AK/PXmJwh1NcTiF
H/gr3fNth5vqoJZ3A17Z5qweZNdxQS+Gsyk/lj15bD4j4pV+qNqg1va1x9uazgce32bKtmaZaYIO
o/4qryCde8RejHSteznSZBxJtx92ma3hlLGGva0U46hfNthYQbsu/d8ZoR23218FFmA7HO92Pm80
UY5BmaLQi1KNcc0L91n9qldlRlbcWa7bDp98zR5P3t7Mii+NOsLhwwS88Fu1+9WpxV7o26fHeSCu
eDoR0rfmWCb0dnsPX7f/8nyLw+SQGOAomy6rSrrO4Ow0hjPEdvpgqItz6LYVKZ+tDZqiGr/g8eBx
DY/BELMSirytcWzHI5w8sgBcofcLiT3e0AznRrH1nEY5931Kv0/6K9mPv/zbx8eBIrZ8o+R6rIgD
PswmXHiGd+JALce42N4q00irWKWnhL6/FIX9V5Cy3VaAY1nsHKQ2CFJUFlAgXGL648LZAsuJxkCA
+tMzldqmHYyO3o7DplvRbux6ncfeJbNBKIlW093ett3X7cOi1HiAMxuxfxs222GFNUSypdUUcFYH
c4dIqeycD94s7HzIPpFCzW9yM9WyxfjXCQqCZVny3ijBwQKkyiifYN+Nze0gpOd14324vlwTcaAO
ibs4peeZOeea2DLBOSJbjMIk183mHSCDDJIQYQ5LADI0Z3I4FKd96SfPY7g/8mI+HlCzbVapoNfn
hsLb2btsQiQ7zgs+EcXtqA/bvX9+KVkqwkih21IGLFp6qTZVS+wdXwznyrLDjnl/kc1GRizWrTa6
bd6ndov6Hea5BgcnFyj33P5WXjzEcteKqSJmJxUiDR8ZY5dgmsG3I++D17bFeyvYnilLExPpQq9U
pzkF1uhu9x/aBwpqtE74X8ZEbNuU1iniWNWwvhQFrfi5xVa+1mmxSmwAx9uZmPXKFb3bWHj1QW7c
riuB6uR2pXFaRGEGmUoD8pCHjPyuQdUE6iHOq8EBXbYYUzSKrAoJlipZNYlDcuGB+r/EV+giwaYW
01LZKZ8qbttctrA0BWwhTu4JD+nm1cbet9U+9hwu/+J82QKknv8njkH5xijMBhveaSGBThTu0uDR
XKq/Y6wqtBx/lRB/7+84T+O/fKxvoYx315SiZJ3oUpLxLvCWnmCPD1hm/8VFeBp8/2kU33IYhL8M
p1ZpBXqWAcg575ahg5Zxykh1xrY28OhxBc5nc74FUp9jYoU1qCzLYwiBZ7RD0vk3DGhSAk3qKeNd
wbOCcXqHY/rzjsy3UAbsRcwkNYoJk3wOINLbdB12bd6He9kRQadv76qAtzn0X1D/WyTjAlZiVR87
ER8QBDMXYt6vKdUdSL44ms0/mf+IYaPFIxj1xjMNPJ6z9WawRw/5omIzxHTNMHcclGMsV50n3866
CIomJwJdDuZ5b/mj+itNSej9KhqXoxfv0rGhYpSKda7SFVWYG4oCzfMweu4vyQq9BvunbbNU4Bnw
2nvmnenvs6TqT9QTSilUzQJWcjKcEOunjzFHKx5ysWGiEWL1tNFSKMGuVZkc1AUqu8+dudA9pNMd
zivDsw0GQworjToU3wDEAUb94pfbpnd9629ABxsbtqES5al2hSjnIK+wRRtLRt8p5VaPiZPYrjFe
vj4t0duTgX7LyRaY+7z9E7jnyYBJWatlnPbQsFyftu+5Awy5rNcvazwHPq+tdjbENwwTWy5NLDpl
nf0Ka1blskzQH3oBfxk2KXigNEEG+LZKsw7WRArzzbK+U0+dDI5MobYzza0KV8MSsGSZlMGp5pjj
bKO6pisG3XaELWssSz+YCKqjPtBpeQcY1b4XNujLgP/W9lN37tGeHHlNEHn69iMC4anpcj7f3H2b
imfenlyrTNS5IB47VAt0Zh0/b5/lbDVpKoAxDymMB5CNowIYbLx371Nf1j5t6EVpM4cxfjwL3m2B
sxn1qUDmnZGMU653J9QDwVMUqG7px/d+8HxbyJyFTGUwD0vf16olxpBxOHhOD36qpOJEzbPpi4kI
lko/rc9dotAPE2zKffJS/UZ/RnSxP7hLkefe5akgGqRNELdtpNaMKV0DxhTCVejco0EoI2vqk/q6
yzk4ak4sXk2FUc9kIszsm16Jewi7uBjXdnmvx2ygYiiaBuJ/CfVtNlsiRY0E2mmRtjkYmMiWamKC
eO0MXXZCSTB6wdFnzhCm8hh9Whlt3F0MeUpMkpeMHHc5eFFvG9vsFZoKYd7ESDp3fStDyNk7BPDW
Gvctf41d+fVikXhZa0j6d9Dtyw9FO1lUXGKI6yvCfrXpD6CP3OSrdVEd65owAiRS5Fc279WCIAyU
FmR0fV/itChxvyEDv5dO0FDYgLoQ5m4ccLvrjzR5N0BLDvrNuviGKqO2LOmGIptMyK7IkjBWHf1+
UOwg/QcEky0ZXniYcQ3//zjFiSzmog0YMDiFF8h6DgzivZX3hp/c9ajFOWfQtTn70EUT4N7WPfAE
4lHj5pHnD3byAxhjTVNM0HUSfoBzeAvBg4gIw4c3bPB8nrlLPj1Uxl716FQopxJyAnC/lC/R/vZ9
mL1zEzUYayxSoQ/7M/58hjhJXDaO65+5HM9zuZypDowRNseiAJmGhLNCt9fbksSL1lad9UuOaVq7
IdKy4ziKs6mPqUR6qpNLNkZFUYUFJNJ0xMHzBPfikf2eOwPF04x5kPtY7WRsiKEUT5j3tiDFXqkP
tz/R7Os1VYZ5hFVj6KUMeWvq1WBkEwvpVSK/cIBx1vWcSmGe4a6UxggNBJBSojt5hDmc7DxYuE8r
P/J4UEFvxx/XFz4amqZME2NCjDC9yDFnpSkQVtMlGq6EwqcPQOScHDWsG2LYJKIVWokqSirE0H6m
Q+8YW5Wguxy1ub86vm+N2ETipc+00BwNqpG3yR3Uws/2vU2OcKk/+v9HX/482k4EMgAUHeVU1iKZ
jndhhOzwrjiqk6Hz9Iun2mzbujGRxEDQKRMTK01xirhKyDYc7y9gNRjRQhLci6hcA1/jvRhA7ofu
8i4yx1DYvGJhlhczrHRQ7Dvh/bhY71f+l7Y0bd7no+/FLUthIAoM9FY6tpATdCvLw0jAy7iT7J2G
lsXbNjnvgExOk4GmOJbTS2XhNJ9T5OnRYOf1mGe07MViscVd+9r5pn1bJNdUGJQq9broqxSm4pwd
7drY13uKIy/zZ9lZ8U5yFhIn+jFopRzlyDzWuAhOS3kMlG1xEDSgPLfBm3e5GQxRR73KExMYLyLp
0C6FbRZcfm+/OuQuK+6WHN5nUxnnphWkMjn1OMPqTXnB3JeqkNolT+6ihINfgwrDN9XFDol2QE3F
zRDPPtPfh8r2fpd9osbSGdKfLy5Wikdbb9MslBPBzqlx9yq+7J55ncfzr85EJIMvIShBcxHrg2nr
GEDz4RWo+YU1EM/cD8m54yqDL9kJs6LVRcPRupTetayJ4Kov/sftWzAXmk1QTFV/ugRoiRSKsMO9
q5RFXC8EzFMuxRer3twWM+uvoV8bC8ewyVETmesNx9g0R9lE5/Fi3Pr80dD5w/r++8xdTmtR1lsd
f79yHfBH02UZjTc4mEO9rce8gztRhLnHMUgo2tCCIDS52076EK2izSjaekPOmx0q/1vtsee07f8L
UH0rx1xpoz1niaRApgbybSK6WOSMIvRvk6yOFfn44LIKzNqErsCMRQnnZjKHqWKRcxtSyzvDM33P
705PGuYqaqRi66fSjkBjzR+5pDr88dLolmmiox+5tytB2sQ1lTGWUFsh9ouCTAH83wLR/KNky8v+
jAU5A0k9f5fZsvhXb8BELHOdj+extWI5GeGp4o5Jif3yZPtN4CtcYNbofb2lIXOflRq7eOQEohz9
rSCKlztYPuI9YEji5RMF1nv35XXwJDskT6vVCh2nBxrawIVB9evjA1xu9vYVsdQOQMN5e+fta3II
DAZESPinZoFftlF8DYi2xQJF0GVIS87doX/n1gkw3kQjgmZNpN8Yqm2KjayQaGmX9pdyXwS6yxE2
+w5OlGIQp1NbvZIzKAXP84CtR0gmbCUcYGbz0tOzpIhY2faP7TL3JRyPrakPVBRYcMzFQcFOiih1
w7VPmX183wa5bU30DoP+GPWnfiEWS2G8owkQj3PzU7NQO/k1LEIZx0jLRCzNPThvY6A0nmVfn//j
kxoR7sTS1dW89VEZcKoFo5ZkBeJolXZ0jt7yYXm8M3MbWbE4cXyAYmibsl+ClQJmvF/RjVO7Z55H
POsKfGvN5jLFTjlKaQzbwifo3LcLNoSFa2WB6XrUN+ker4+/C6MmIqnzPIGs8ZKYQzZA8zAlXrUS
EyLAB1m4MbZ1+Nprw+0m4HxZgwGrKDxi3EaAwEBdwPmQTqi5rMQgxgYq8FV88LJJ8+mCiYIMYqkJ
NoWOLZWHNvlkP9z5Psg8OejDAX6DAZ+0jPtCMyAEBdQTKERRpuXmnznQazDAg1S9nDR1RNcUB57l
aaLt4iED7yuPE4MHpQaDOo2At1O4QJtn+KPYqdKTCDz8dOidc2zXNPONe8fuxj51Rovu3pB2DnR2
sjYwlwTUQcZW2oqg7r4sv3Yo5YS27nI9Uw6OGwzCaGFzEYUzjjPFsg4n3ikPdO4S4yd2LpD/DsYN
Bl4SVY9wsamsMwkOGzm3xY8SJXasMCWa83cx4bfJs8naMs9rI0/pI/12WaRP0QYEjHvQN3VEWPOy
PfNu1j/PhsngR5wfT2VXALI2wCzvPUfEmwfgOI33fvCXHvJEMwY8MJM7pALYdWgT4/FuREiNE+QN
jvHs32Qgo+8t2SwiCsNOuusN1EXQIOkgX8DbPsGVxOBG08mm3Jxh/xixuqYZwX+0RrEg4OI8PZkb
N81k0MNIo1RJ1OOIghJ6Z0BNRUm44bfwemZ4eGsy4CHnZSYkCmw9OFw2Lcn9koCPSObOM892XUwc
FtbBD9Uiz08tzm5YHAsCZyx2Bdew7HCd16QcnPJMdHJZw1v6CI7x1mrt27f62sx360gZBBEMqwiT
AWaCZA9GRHVbCbBJOXNiFzRqy7CyQ5Adex0aQ+XYjWzTx4sawZeg8Q6fKYlrSwzINJJ8SvUKt35Y
eV5lWwNWxYNbWViiQoKtireVn08pf99EdoNxOkpjoYiwJyQoN1gYtQTD8+bhxSTYXWYtPzjSqNGw
R22qWIOhKyb2cF8D2omXUjWy1o5GBndQcYqNgkHBhR/f5fZHsvlAmMORNndXptIYEx6RxCtaC9Iw
VUNyJ7ZfBngn3Ah1Li85FcN43GNWtOhKOV2dBoGk4IP0h3dejWnWLKZSGCvNj3mcd9rV/0GDfwwO
N5DTo5rFLZDPNmBPJTEGOFSJlLYh9DmjPFiPWPmGuXabNjoifvhCzGJh3SjvW81FSBOh1x81sYxM
y8PhqNFvdXBaEfqtj5QnEQHSB88IeaKYp04zxxwUKxBFk7sHx0L6oiOXg3qCtOeP7PDfWSE7cWBI
yF6c6YcLF8e9MhL9hLourTYkPP6O2e6o6SEyD94ZLOiReYFmw6LCCFngYbLYxOYL9DpGRLOcCl30
thhQ8cbSQItxeE36cvllZv3B6Q9h3sP0KLfHmt48Z+PUNYF0rCnH/76QM0AC9uOZ44DONsGYqmkh
utN0dNMxt+N4ErRYKC9wqjFBDWv9P6Ylzrekv/tP/PoWw1yNyKobwWxz4BdmuzBwD7q8J1rO4Xlj
HDnsbVClUapNegURh0S7COuKYpAdEhzcbYVmH9/JuV0/5OTaGUc0BEQKFMK761Gmpd7vwQOPbB59
c5AWCHg53tk5zqlIitoTkaWGPVZmBpFobAaVzdtG8U4rbdMsRVTiYryrzm0dZ7tipwKZW6G0rWB2
HdUxu6tAo+zvhgVHBO970f8+0akb1DFrmhI6HcZ1WhFrl8Bbon2jzgdvi5A0/4j+Y4TsGE6m6qko
trD15wMgy9HREQB6Ix/MCxytqDXfsPbr5PpEK80UI12OKxo/OqJ9d7SLipx99dFYfe2NV7oX9v+x
GZanHfOaCpqsg8cJQse7Z+xzoCnmxCmDdJ0+gleF1/o4yxk1NQ4GOKK6iPNMotZ48Np9Ejpw87Cy
CzXhl4+vLy5x/7xL8v3tGAARLxEq0CrEUT6SgwNf0zfs7pELILM+ianIYES34G+JjEEOl1Ovn1UT
qWSwl3U7zdVWdiJ72YIbf89qNJHEBCSNnKqRCaVwgNpLggEqDE8JS/AUcKBqrtiloQNWUrHoRTKx
qvLnHZOPp7wOaxXXWF08lu/WQ/d6rtA2FETvt+1+ro74QxLjIPRnXRByU4Ok4HDnvT/WLw+W+/mb
INIHiX1md0TjesYzdw0zb5IomZZOiyvMBwvFY1EVkTU+6sjVPAuksKvONkGm61bO077clIv/zHJ+
8MBrzt9DDQzkALKhqCIaCX8ebDwMJylVCxGA7IWrR7remrwOzvYXtoBwuf2uE00MqPyQxsB/VObn
bOgb8ZqiLbCSDDf8l+VdyHtEEu8BPDbZdefg66/z1vQw8lfa4F/xA4Ratz/zXOijy1BcBguFZOhX
M5jAW9xqZZN3RxHVs2Aju5WKQji8ahES/S9rSRcxcSRSMGF0/yGR+ci1OMR9j9Udj9k9CsOGAb5V
pIPR8zS87OBXP/MTLTO+7g+JzO0cWiGJxjARaSlyozjhI2U+Q7qFu9x4zpP4IYni+uQ08+w0guQ3
hRW1yM/ejaMjf7z4duNbjx94B2VKMGijW5T3SqkzD4YuS7KF6jAonmDCPwWfC1lBmJfBoDTSey2M
eFyDTsfFqnuD4IVMbFodRVYGkwLVwnw10RXwnr1YCzvp7S7wsewGlNj28bl8sE93e6flpQ3nWt5/
/ELmI7THU3fGSiz8wmaFwgRWVWxgb+N5UbvgCsTR2MQ21yeVaHTXpvkORsaW1/c+B58/fgTzfapU
TU9HEccEOmuNYHgXNQnPJAnX3aLn/YeRT74H84AnSWQVZyuHtoi62738enp0n76qd154P1fp+qER
83R34wjX7giNmpXj+FYN4nFUa8PdJtCIQo4YbCy9dGNhqgAe7QIrnDfYUwKDEJ6N1Le5VeO5oOfH
72HedjnFS6y39DM7zrv6Or7rDnhYwHZZkxYjjzRnFIQWJ4EzF/NNpbJNL8IllC+ZRKUGm2Eb7+QK
tIBH515dLqJ1jzQBNnMd3YFgcQTa9y7BR+QMQfPOg7ZZoPn+6mz3S2JEx94y8TMGFBGRBVmc/dDr
sWXVwuo1DoxSh/2GhbGMe11UZJaeVSLeZ1z3MHHaBx+JCe6g2zymTZRiIge5OapnobkK8pAWzxQi
RUiL97aAcQ4MdNhQLsq5u8auh3VLQQbSUpAxiUVbQsGCDG66KuzRj8j7nXcsiYbWm22WkcKBk1ou
9qt+YW/B2WQ3MeiwKMLSoB4le9NOX/6mePXD2hgoKy/FaB113Dng6QHVK8x4Ybce/93igMgV9Cev
iZGkEVgmcPLhbpBKcgojYoZfJydKvGPxqwtJNDpCQrBOw1oN6hvHwGZ82h9aMhBWlJbaiiHOH8ko
0RZiT/1QY3SJjoXHuzec10tlQAwDh1kuGfRTO3RxqBthWn9Nw7nGPy54kEl/9x92pSi6aJmSrBls
45PQCM2lM3Cq2eBZJOu2evhLDAzD/Zvzm8hhzs/opRCnBznPnhMmBFkSEb3D1C45gmaRYCKIOb1O
6TvreDnT06MPfLpqvNcjXoPbYua6a+Eefp8bg+zIGNZaGEJMY9eON2yVIAS545r8XuJlyYlfb66Z
i2zDTZbMWuK3ZHbUNlHNqG0bSO6xFu3lM/Sij4SMvZ0BgLhr2GYv3UQYEwg0OrgwJIvCnexe7Bjv
VgiYwfKkPbeaPxOfTk/06q1M7ndWtkesV4FeCtkEEhrZNff1vOAlMHinx+C3ZoSappaQItzBu3rF
NDT6XdB+Yd+2j7mU1g9tWLy2zmCApfauG7Yjf4YO+LTVElPKzVJw/A/a6hLf7XYcqbNP7uRzMVhs
ynmVdTE9w9bO7sx148mHeuuUT1+C83FccNdXz5UgfqjJuJAn8ySdSwMCQUogOZdN05D9V/MOrOKu
HZdmcXGiHAMhl0sumieNysJSqreKeMuIZOB623Pzg3MEjD/UYkBEHBMMIZwgqnRqj245jSsbg8UW
0e3UFR5OcTDa593X+OTv88WXQVuHOK8AlXADl6/2NbkN2DJ0tCxqPzQOLWz99zOvA20uyJ8qef3v
ExEmWDhOVQ0RjX3dAIxoWxgx2v7lgz/T/uBR3cy7Tsg7mYisRUkymStxSjXh0mFW5VFfnUvSbYrP
dHN6+n30V3Xq7Js7xLwBLWhyTnKuJVaXJ3KZS9EbTSKVNeQe18Hh/IiElLJCIsPeo4mQcwFnUjY/
RDHXQYz6c3wRICol2aO0Rbl//8G54rOIPNGGuQVpGJ1L04SI0tnctS+Gi1G5vZ8tePnC+RB1Ioi5
A2YlZlqjDvAMzj4SkyeSfqEqhLk92kMou2eTSA9nt3HSR9ctMYPuCbsOYT554vU0z10FRdJFrE9D
AQmpGVyViZ3GxlEMNX2kyagytZWKODwnaDbvo8gyojEJ/1JZKv1LmkYXsTbpbfMewtYN0dR7Xthf
uw5NKBgB5nzDOadrKo45WkUrkmEoIC4lztvbSO4WYJ/OyPbJ53YMzYagU1mMoyIMAh7xC1UNMfDm
cPfoge56EfoqGE6QPOf6X7Nf6/so2eAzQ+LX1LL/PUrd7k9whhBpP0aL3gXF6sfuyMulXGM7Fion
GrJxZqaEI2IDA/c7Jsp7Oq4EyY2xq31lBit3gfG+T7IOyXZFKMuQrq92DlJ5H/oDaNF+RWAncThf
dw4Epr+HuiATe5XNs1BJ9MTFk3u+BIvFwxH8vb9f7QGtkF92LXt/NcSrT2Uybo0wKImWXXAGweFw
RJKYvGxXsh9uOe4TTzUGwk1FOJ2rDGJw+xsJq63iflfLvyLBFs8Ly1jfPkme7bKM/YaiRxE67HDz
HyNCF6G5VmIvFwuCFnCEermdfALDKy5Pz5ynochoSJEkmgzWmdNsUYvE3pAQwYoAZmVyAOkcph2L
nvSVjdIMz2DmfNKpOOZUTy1ep8sF4uBEtes+sRPf3oUYY1vePs/5q/mtFvMQhkZRtBdqmMbDHg2K
mBi9/fdnX9qpIszzJ4dZDMItAYo4vWwf99JCP6zUd+y996M77nDXrI89Fcc8hVEt64lJoQZLcTPH
KVV/8CLbHbzXarmq33zu+Pgc0yKu2fcJMsB9SjoTIxJQEIXq3MH6H+wgopSRi3u6O8Cm1fGOmG5D
dJd3tnPh0VQ0g+ODnEaymR2lx+dhgecYyxvTjug80+eYCNumfi7Mi1KUONJ63zkgp0CDAQdCZiPn
iSIGVXQCj9WlK4cRa17gwFCqShCc23SY8sFcgzwCu/l+7bGq+YP77eZq/tNvx3anK2089IUZ4QCd
xhXw5ZC1W/Dc9rni8Q8pDHTko6yd2xwW8uy8ZQnBnuboXiRPIkHvROTQ7Vg895b+xT+fv39ski0T
9mZfKmcL59mciUTC5XiivRqoIKDm+sX5eLMlAwV7M1BXUdFZw1L1JONZr3rtJD02g+2ITxKtV22L
e9v0ePR9c92m+lQUAyZtXcutbmUSfdIcMVrGGJp0m7vVILncVrNZBJ6oxSCJKWc19mfksI2Dk7pn
X7Ed8JZxgoNZr28ihAEPves7+dJAiGNWRPyt+/vTCweA6Uvxhy1MRDAg0arlmKVnfJ4OtuBH7uOF
VLa5NN4ke1XrXOqXeWv/lsfCRVWK8rkz8Y1QT1MCyS/vy5NdVqUrWM7xFPSj23bk7FmpA2J9ucTk
ppK4RXN/W+2re35DbRZS8hw7MxQkTR+Di4tR97IFqtCJ6SYiz+ECMw4kf394QDHZSTwN9FL6Y3zA
DNly5VZLvSDNEl4+tydnFrAnZ8O4gfopLxttSKTH0iRp54+jjVTTQL70E+dZ590Ug8Ecq9JwVQR8
hVx2jhbGSv3jzl89raqScLn3qAXdOmrGV9GyxjjFA46a5kU2m2UCsrOWLNbr19WKy9I418M3xQB2
MCYWxhNSuZC26WOCXZeJrR7CFx6F3GxmQtEMBbkJcFvo7LpzvYlqpUkKXBs72ipOtQiXykPu9w8q
Xbp7RlCLehnqJ8pHSvSn28Y7/x5OhDN3Nk5aPVTzSoIXA3rjzZ1u38HbfaiR2zq7vU2r876jPvzV
s/EtliXZKDOpqrENS3rUSj/3t3Yf2WqAtgq6XOSvCsCTA75WLCdvfh9KtRJKOGA0smxaryBYv2W1
DvL/AZf8bNZCdRVJJvDjoWmHOU9NAflEOJzpu+HJrm4j4H34H9auY0lyHMl+Ec2oQBBXqlCMlFFZ
WXWhVZag1ppfv4+5O92RSE7AemYvfSnr9ADoeK6f/7SwTuz4/AdEqbe/3rZB/Fsaf42xGlR9PrcK
kktrUS48Tm/riGpaOegjEMjaNCBXsjjPieWsWoiGk53PSegYo6uraKKtvS/d9+cUa2F2Iou1nRe5
kshhWNIEBVkanE6zBq9Qbf8Ielt3clWG4o3za3m+fULBp9M4IEuaKigXbVQu3rgr9rr3LAu2aws/
FwdfcZ4uUjZCQiM580MHftkUG3QOJ9HU4DYmX90cF2sVUaJrfYGbc5Cmi10UiTEGiW55MTn6pst+
JYnzk7oW3AWknRQkk16dNVK9KNal/lLaB9Pf/bDt9H7/nLnP8D5FfTbbuHklmnebejKm6tjhkKfv
5+/eZa4tbFK07GwfWfLaq/+4F8GW6A1wTtSS5lWgdzgt7pUotlxb8ZfitE7/P8+d9Zwc+7fy7bZW
bhYewArxL0Tht8tHCo20ikGmvEOEjva00Y3PrLGlnd1Wx8wWJ9E2/dG/JfJJtF4bCxoRqOkLyHsi
G/3yy64+tG+mKKx8f1Kf7PmVJA5TkuZf90lKsFKgwuGt6PwyfENX0rnw2BN5+v10wVbJ/su0lyI0
CJUHY0T1ShTfrmp664dwUKOWnd5MyqpLYHVo7jOvAKXf6/tHXSlO0csh+KqCd8Pzl9CwacoswQvt
0Lnvfe8OzGqRtj+N8DS8o/GGKp1A4makdnXXHPhkTR8zberXl6rcY8H1/N6Cpl+WRhhla6Lr5PBH
bSMmmwtk1W7jrUshXgt/tk1wM5cWhuiUHUjcvk2u+3Wng1IIszVYiIvSD3Ock+iiRcrMARRRdcOI
Qjyfwl917K21jfsGD1YYMa5nuqVCHBwpaIHPA4Yzg8he34E2EaxrydcKNrJw7f9WXzkg6gJFKTQK
YUlmn0/eW03sqtqZdw66UhM7/k8Yto0rENI5t6ZcuRsNGep6gneIuC62mA0LuQ+Qbbqtp+/u7o17
5DdkVu2skzJeLcqLUx6j+zbB1NfhcF84tS0Rq9vZcBJPmR2dwbiZnX8Ju2LfN2zc+gUcKoV5kBhG
P8NMe+cTtr6c71v7LbbS42ElhXez/bGyVO/bl2fh1JnABSEcDIX5ZBZDCBg6O+jHbb+KDNgWzcr1
d3z/9ytXOBgUrG5VBnzHwTujV03zKq/8MjKXueicQtT2PL4Vtj3sjmgB3f0c7Ienh3zXoyP1SwQO
HzB07JadfH83uNh4ntn7l2ncTYKAejOzijWsxhoNoZGf7wqK245K9SyvSCXtMcCcHSanTR0Se1Jm
jQf2cmywbv30KMovbdakrwVzT3gaItYp4btg+ZFYRWxh4OP1LM8gXzj23+T6jNF6UUpy0yu8lsq9
5TrMmFKDbOiCzODr/Tl/SkNbydFNpwue1qZbeC2Je8V53BlgSlolMfS563bR2QPu8qi5ypl+u/2O
N/tAr4TxnULg1e71MoWwE0aQwtpLv0f3xiWPnP5glxQ2p3b3WAmWO3funWYfC3ePh21QS2T31gIt
/5qvfwf3muUIgXfZrIduIkd6ymbLro4ri9Ht825G0tdyuLerhEU95WzBeTFGdn9f20/YerWjtmsd
YdvW+ezEFpWOt/DiWiYXsvRdOUT1grNNvf3mJSgGoGH7KORIF6noeyPOFWzUevp/KnrqnrXdN1AO
Ppq2yFKvDsitD8U5DXmyhAY+Fi6Q3Z/PKWax0bEbsbWt9Ze4Zrl+jlvSOL8gGcraiAJICxoL0/XH
47D7UR0fBdq35eZdfyAOUVg8dEUXKspFTQ/SE+rRS2QHkmjie2tAyLgWw0EI6Zk6FOaqey9oTbpH
a9LhyXr46oJaCYxCJzEhtehbcUiyTErSJtn6rU6d4xAQP3xBf/V97UUE/bfCrMqW73p1Pr4JYxqz
DBPgEAcWJeYVJ4xIYN8MmiNuv+HNEqJhYOrJILqqEN73UBYSKRoYDC/lsqdrGjexl7cxcr4cUcJP
4HsIMzhbnvK1RA6dOqWUolLR4DWeGjQRS2hYQDCJTNjjoyQoaG/q4tXheICqoqXvx1VJcIt6YRNc
4svtC9zEoysRHB41xiBh24CqXKTeqs/kKxh3ejvGwtv/yJJdCVr18wqQikXOknjAWUbbyR5Ku2ms
dY72JGRl2/Lqr78PB0pdGNEhiPF9TkNgwcs+3mG7c3r/+LyyBwkrQZt6fnUsDpQkTeqSSdJhq+jP
6puChRC54qSyg+SJkDdRpHkcNEXR0On0XR1O3vf7xaqhDqggg95AGD2IjsXBUy2XDAQHuMTKAUvR
4pQ7+kU6AiZEBcL1tXwC9av742BJBkF0aXZkzRieh4vydFSdL6vlva3lm5mnK6UwuJ6wsoobMy4g
Bgllffd6/v79/oAxDKw69V1UJL/Yp2h3W6QImXgGyCGVikFOoRlggDw3CGVVN2q85O5UJRaCof/y
Ig0OK0az6TUmQ9zLq2TpB3QXoGPj9pEEcMS3uUS0njolgYgoscbfMrom7EEVacS2ZUTFmK4z1ZQw
DpHCGYtkUjD+IqIKdrCNB+/w+yG2dzCMIF+ysZBUnD/b9DivZHLghA2OeheFBl4xxr++D/58J4Hi
X+T7vTtdn5X976Nx0DR1kxrV7SoGo5ug9VusysNybeSqAlvUXLOCwS1ZHDDlzTiYOaKHC8j4lafA
OgqDvm11+Ps0HBzFakOUqKYr9CE2eT3X7nmKQOqrnfXX/L7a/dmLvZhtcP9bJodL2HHUgL8ep0K6
8bVRrS6yqJv9CCvrGflqgW3cxtu/hXHYtKidEXUZDrgKO8eH269pM01s/KV0hsxh0tSPSZJqOAv1
3tBK/fR0KPZrNhx9fyX2u9kCcZvu85U4zm+pTH0MFgJxEryJ19GtnrNT8wIuF0cgaAvSKYqjKzmy
juZNTi/kMSqyGd0YGON1gm8PuYPEPuYWBVK2LNS1FE4TJkwRpHkPKSglMCT1dcvVXOzDE5xms6fw
Wg6nBElWj9pcQ877HhmQjVwO6IfFvO+PH1ikLmoG3WxOvRLHG6pUXUDDn0McuHccL4Q/cfHuqdWj
h+U8P6JZgVr36yiD9dR+mx8qYj24s99gaSpGgvfF+bH+Cr6j21e9mWS5/k2c5uRYCV1H7fpBJ+d8
wYS9hXWwaBoCIoOM9BfzBe9O38Kua4GcLSMTTTXU2FV4H+ounS39O7yD/A8qDKN7vrfi81NpZ97l
8PQEOv3JTl6Q4yM2GNpzhkZWV3HdwrqzUTsTsfRtIcL1D+NsU0UmSW1K/LCXBm0gTMw3uIVv1wI4
QzQXfdlP1XrV3rm1M9nSdv/LbKh8E1mjzfTHtSzOGg1sKlp5fadoWsXgIDIghXO4gPBW/vYz+WpY
5aHCuP1LHYha0ES3uP77VSigd+NEhlXHNeycZ3eZe1tfN7OR1wfjAEjNs6id37/S6fV7hOXPT9T1
oa0JNs0L0xJbVpBSxlSGbXRgD+BukXaKPE9wWS5NfwSfk+p160czU9+kAid206O8FsXd2yD33Vxg
JOZyAsfg9++FA1Ybl+1yB5PLAngVnYq7QlAPRxMpIErevZzf9EvqCXB1s1Xn+jAcfi+kw9h5BgnV
8+BismAllBDowbaJ+PvTcNDNVoJ+GkKEs+IGFrYe0KAj7oHdDC6ujsJ3tU1LpWsJG1Z99rz5fInu
f1s/1w4nzKz+mff7ZCf6PP8Gkv86Gt/BtoADaJKXHlbp9eyBcxFYuHuAi7wO7okyHpv1nevzcXAc
qOZgTArOB2KMS/kYWuExi9Bcb6EWuMO6Rfu5qq0/ID6XHtZu5l8CXdzMZV7L51B3nfJJFhXy5x06
FgCKaFZFFCCyvas68B7ztRgOeynpaLB0UBfMvbRWeO7WeolAJ/8N6P794Ti4yEywTSQ1zoI0CLZm
W2kPUsnEyj2n2nX28Q/G6B7/xNgOIHgLW97f9eE47Kjgqzd9CblQF2C8+W3Yy2/tm0iM6A453Jin
f0HvyTEfX5l17n90e71DV1qCrwbm4d3aPSM421b0dn02DkpyZYoyNcbZsPTgjGV/pRX9EB1MdH8c
lhhGkFbVaixLK3vQUQF5H1wTace24/OXdvB0zaRp0t7UoILQc+Id3tIjpgYWH+4es/G8o6e7o92f
9JN6woyE4BYFJ+Tpm42CSEB8QMrJU07hkdm1F3snUC0K5Gxb/7/PyKEJSsVqryy4yRMqmVNnjdLa
ROEglwUKzbe8QzVcvI9xcxLjSkd4IueFTbLMepxuZU1D79E7USF2n2Ec4+fDzv/mRu77MEYrDFQE
T4IfY5UrMqM0vd7rtDjeAa2FYN14lh7W/n4wVgur8aLvyCFMOi4zLTXcL1ozsD9W22MPe2ujy//b
uqsh9NDZhR3Utz+qyB7xVM+ZSitkN3BIzAaDBhK29vJ7B8oc38VIvuhKN6WZimwSTVcQ0Ro650Cy
JJeCdD3iefGQIkK3gVU7X8nuiBOi7dYSnG7rSq/lfbrSztSzNQACE94RycPWuqA13Jk1i9h3sne0
MajI0AgjyuFseWGYfqYq0Vbnkigfz6lmVTTM2OkMpfX67xQN6pXo2W9p57UI7jWSpI4VrVWgnY5z
/zZ6zwJw3nSOrgXwxnthoUoyCEDOaw0y0JaB+BnzTy5mTrDPSCBvC0GvxXGqIZVD3UkxrsxsrCFE
r/lvgYDNHtdrCZwy9CSaMP4BCagao3L3ZuWrBwQSwdtKJ5TDWWzQkQ1BP0AOIvtXMGdG9mVHH+H6
gL9AIGr9ybznc30kzmpH8ZwhzfV+JAfAmHnKDqx5eEqijNpmaHYtiTPVfVNH2Cu7rOCEbkGlBUW7
3q3IH1lHMPs6Yrb7LefgWiJnuE06lA2SKvhctaVf4NCJLZrgmfI5m7KropSMENGvDXrwHeGNI2P9
FT0Sj39ebn8rgX7zVYWiqrWExhMucHaj2DMV8ULobbT7C3X4SkIp5W2ZB/hGpHPl5iVNdnSyIslu
YrtWwCZJM0d1quly+2ACIOKLC2Uzs2JcLxFsHQloqY57W7TNYTOXd6ULvN3ICkwj412tGY/XV8PW
QVMJKPLd+HKHrcxCbd8sZVzL46BC79PUHFYwcl6VV/lPaTWHe3Sq5jt9tBeMF+2PpWJ9qSPr8fmX
8KmJPiOHH6Rd9GWcV+HOiN1NK2OjCDe2XLnr8/G4MdVzpsrQFIxOtE+tva5Vyx/u9lgliy5ngeaL
ANHgsGOYg1nNolVDXs8TqBm9i+k87axp9+WXwJ3ZTE5cH4wDjbYqsLVWwysDu7u2b3+Sb79ua/um
P3olgc8ZLANWJmC3NA5zht3V9rGF4eDnp3XyBG0L6NzbPY9YtnoSVXYFUM8nDgoyLYuS4BLj3aOw
GVIE7/zMrKINaS33+OsvDvl5ig7IV6MaOVx0YmcZ6O6Q5hFW1f6NN/gXXvHjbFEWmEQK320K8mJY
aQIi2LfQ/QbOlh+u3R5EllkAwfwArQbq8Ykmq0fTPMQPzyI+aRFK8UNsqUKbDI06q56X8C9SN9+3
1tmKQ0sLLX0AX3yfwgkQvWbhPXKAUaXppIESYlVJbLle9pGzLu7+gWXD+0d07vyXz5lf+CQPU24s
FV4A/JuzpziXGvuGCTaFHwBVv0RQJbDR/I6ngIykTtT390a88/foV/iYPqSX8gCs+n94CByAVIYa
5vW0inPgJL6eX+TdK/MSxQ5LK3hCQSzG1snbkCJ6fHzygDbBAorYdzRG5sW7f9rpl517PL4P6AmZ
3gTmhU8X1GaszQXFCUc01byezwHKzKW7Z4n7KNp/IXANTC5GqfOuW3Tt/dsFD6WP9ICorrNZmb+C
Yz49MJglWg7WMAhs8QiWwaj+DbWtZ5QLRLZlM5t6LYqLUNK8rma9wDNDTxeIyRCbI30bYgnqg+lb
lv8Ne1KwrQe7etbFQCIqIRG48Muf0E0chaqCg4IQwsucZr/b2S46pBDBrJ0VgiDmnTn5RmTB5wUG
kgwknSGut5GoRmocG6InCyOWDzvrq1/8gN/1PH99zh6rlZlfOHG2SeJwfdmch5Ll1JgohfzUKtCB
oztBbP1BECA4p8hhMDnfBKwzsSRpK3aitp67EXrtRelpoY5ymDIbEsWWpVVHEWIse233BZ0jjtCI
i1wTfp+TglRnrNSQ03ivaB5B3HnJUIkOnKdDZ+mOheKq7dr7VLJFyQiRujAu4TGAc3RJNYh+Xftw
vLcDlqDBKkz7dbPsbnoMvJ1hTdiZ4tt3GHyw2pPk/8pGS5Tx4RAHCqFiwxRlhGhU1+T3fV/XFcqo
BSVo2XR+lnmk3n+fUzBgtZo96m4saszgnOh3WQx7rGSNqTIlhAsSSLl00xx0vZ/KyIQqzGYFs3NP
D2f7toFYgeXqLa6C0GRCZYa0GVEIPy0bTC34bxS197t+eAnNOfcYkzSBELZxdYZsrpT4uDkdlB8f
c1a9Oldl2LeL35BSGmxDm7PQzopBf8uCrOockkiFdjdhB052SpKkf2JaZLJdOhgZPZdBqRPLbDRz
sbBYOeqdVp+MX1pXkcoNCI2/myRBRx0ai7EhZWLdYk0YWrjTxhGFlFpS6qe8KbA9patK9lJOkfan
nMv6JwgPlvssMdNLkarNY9bNkpuFQQ5+AKqhAKlOA1b6aWVWOtXSj0/J3Of3I/rbkY2mTOrdQRvr
n2pRpm/5HMSXJIiywiJFVT4G6aJnNgatjbMGwlrwZA9NpNl1E0evUarKtRUMo4zW5GicPXVpB7ZD
31tGvHwo0/iC1XVYWadlbD43YIrWvShWpeOEjOCbAdL9zorKTpPPSh1nj0MuLcVdEUtKbi/yHHZu
VAc6WoXyUbqEcpy+Lsh2fB9pSw/gEp1fAUhpZslJX5S2VjTmjyLJstpt83JQHCkos9jNhr5/Dmt1
kL3J1BLFyYlSJ5ggLUokgqKuxfb5XjW+tAsmEd22SMrAUhTGfkRxSdJ9P80J9uz1i/Q4oK6FDGVc
d6XD2kjp3LQGLaa1DGT8FhdhuRx63J1hkWHUusM8hbkiUD6+cWRVcYohJHSDGyY2fLxXEq/eLTZf
R60K3hTfwLTdZCvzULaWXhpj5MkLGzNQCVP5qW9KZBjyjMXPXdnRGBeiFbo19CU+hVKzobW1Wcl/
BFU2MYumieqr2GiW20QpmgS3QnTDUSvDHNwMSWrMcBhxTi0lpd3ZTKmcWzHibqy+1uhQ27qsymcT
K2ncplrqn32wNLXDUAH5LVVhkTrFYMK1N0fKMNSTqtFprFjwTOM8l/ZKn+W9R9uhmXYda/rZ0bJs
KiysoqBPUzvKsiPNJMzcYVrmEgu62nCprL7WKBZLNY05C+bhN7CKmoZKsCxBAZDwSZpkHqqoMObR
H43K7sadoUXeUP+WskIUga9pYQ6skNjWwfvJTACJyRluE82z2PARTr6ZhMrTIhmTxVhreHNSyW4B
H8qK+6lLrLow0RMlASn6gEpeSVFTlQkL3VGvk876xwi6ckSAJIIS7Js0OAs8aVNqdHo++egIm22N
SuBnMow/t4Vw4SV0WNMxygDjo1JYBcIB6NT3bdnH+uIblHjmUNoR7Y59ayB9Pv9mQSR4M1viiCyb
MA4Goypv7ZfFGPRyCWW/NExy3wd64tEKyps38/BQ5gu1tXiS3dtn/KxHMEGyrhLT0MHzwRuJzGzp
2E7S4sdVwlzS9whxm7I/klYvnZIQRfDhuKzH+50SGZ9MNxSKwfxV265wYWixk1lWI9mPkpjaYahX
ZzZIg0Ow3eR4+2hcoPm/ohRTlgHRJiw6597TUdNYoyayL2OZ8YEYxQ+1MzFyGYOKUA+W5a4wlM7O
FKn2bgvmZwXfJWP7LjovGcGaiPf4/uqQslTEITaZLD5Y721Wq65sDvuxZ4+gqrFnPXHU6TJ0qb1o
h7hsJysGD79VBYkg1H7/eB+frkYUGY6MLhs6A+vwx8tmstYyDFEpvk402cY2C0216GgMVjIVtRsp
CnX7qjFsQOVkz0tc2SwZWi+P+xT/yxRa+Tj8rmOq273SFae8l6WzLC/Ll25sRw9LnBoHfKLZoWgm
ti/qqHou0KBpzcUceEWe1HdmWHbPty/3s++EM8G44OPBqWF87lGuYrVq1V72tWm+q9T6a1dpomHP
DSUFeRFhuDawGps8iUM1x00Pj2byl7Drzqo6BQ70OX6jai8im/osSpchSldQP0XI955KuFKVHOR2
JTgqVL9Ma91ipJv3bb7kto4iruA9bIkyoAeEYeAcFoOLjOTCKJMJ3oPPiGuMdhvsxlzwuj+7nLgy
2Hts74FZxRqfjwpHdRbhWpnmN3Jcn9SunV15IMZTkWvtCR6BYRm90dlkMkKbLfMQCeTzDUp4eesP
IATeOwYWTIMzVg3LGqIFmuYrk0ewMd0KWOKM6Zuk6w6b3dasdvrSWpU8ekNY2sV8uK2d2z+AEdPU
dIbjUs5mmLmpsdxYb0DPnX4K3bQHwb9cH6m+vCjyl1qpDwXV/EQy7+WxtYa4dW//hI3PDNdLx/ug
OsUGTQ726h7y50EB7JX58KVR9PKY0MzU7SgIlEZw4RsfXIV3oEAMngtonj9+8FGjSZfoneznsoZG
3IQuWFI66LpH03Z8GaU4cFt1SL2CJrmtLawUHPaz+dJVU0OHO1NVKB1f8DOjSQqgTbI/tAo7kTke
XGh5C5/WyL4XhVQK0OezTYE8QhXQy+qw1DJnvgJFkpeaEdmPi8TYU6UojmgAzDwzVIeHLA3yOykY
9XuzpLUAzPnExqra2nrPqs5UcGrz3oiK5PqI9j/Zz1TMwZbscU7ml1ICx1k/Yh6RPUZldGkTYi96
LfjKG6eGaNNEOLkaNN6SxqEeTaaEU9dysToFdjB8KxMfuyutilZ23O5uq/C/OevfAlcdv0JFLQ5U
Ve8hkNWjJdXfUjP1Wi2/NytMVCXtMY7iY1HXhTVSRSB74/loVDHwfeGLISBQP4pe0kyLDKlWfQMr
Ehxwtyp2mg9g5kT6TCDqsynTdaobWBKIhhIFWYePouY4jnqtLlTfw/iRffsK+RrCqi7Xf5y3YXHV
g1kRRUF/KksE4VYx9UezMM5LkP2S4/YODcyOlNaHqo6fxiVy1bdxHL4mrHVDWXKDFAtc5cVakj9q
PbvhaDzc/n0bD1eH6w6vbHU6YQI/nt2cDVolU6f6RIvswSjtuP6eFMhgYxr1tqQV8j86QbiIK0mc
LvULOEmKEZJo5FaSk1BLeoiy05fbUkTn4XBfLmNDrsmo+mk6OPJw7ozOC8ihYtT5DwQxhQDhFbiX
vMNgVDVrp6BR/aJld2PzPekqzxyJRRRBJnXrRDCgmOSmGrqeeGpFkkyTYmLzu58lmVMYP8rK2Gva
6EopFejq1jtAaIlYDpQlssanw1hA6UD0UPNJ0hX7kOZf4EcM+9v3tmGZiYp10gg58NQM9b096gpT
lFQylDBLFV9rg9AezX48YNdauFiNofZWGZPFNYyp3TcmrQ5z1ffuDDf0PJqs+8J0Ogiu9/OhCbww
ILlGTNhN3o/tIkkfoiaV/bZVFwsbgNudWg+pQFs+oxmBH6DqiO5k1cRQ3sdnlqYU1hMf0s+H5LAY
wbnr+kNoCDzLz/YBDiygUsOOWmQl+Dmzbs6ldE2I+6naul1eenVFkMVbTrM8/Qhq9VGbBND5WTkJ
9kng3mSTwvXmZz1ynY1s0BVENqCQfVSqdnDSIjCOptEvvjQa0z9WUURRcN2IiTUTOCUH1RISPma5
NHDrOrU4RaXR+oMRlSKs+qwUhqzriMXhYMCJ5gO2pKGlHsuT7pe5TpxOT9vdWIb//L1RZLlMLA2D
UjDoxUelyKQmHaIWUiI9J046IaNT9rkpuLLPqgcp2H6LDDdDZoHnY1poXgRTp+m+OQW1j9BRecPb
Z49122ru7bf9GeKhxpCGFJ9B4ARqHw/U5soSJ1lCfKnqkh2pclgsuZD3eaZquzkZ5pdI6kXWe+t8
GqJ82Flk2c33ItEVnkwBDfKi7IgfN/qQO1GfJLMlI8OsW3pbhkRgxj6rBjWRNmHAfIAkgpuPZyyL
GSvJx5r4Sw4qBXNYeq9vOxFbyNahkN5kCEWRL9D4GJFV6bDU6IL1KXgnyuWepeFeSVQBKm19L0Tv
pgbCdYq1MFxxKderjqhdbvixGbf2MOjZwci0cW8GZYTdnygG1OYQCpRk42gM9wbfHRUlojJO60vd
mAbW68RPjWpwzCiaTogQK2tWWCcQteG/UshiWG+tIjwB+8rHj6XNJG30gBG/Nmm2K/NZOmVFauwN
pen9njbhociifj9Lhmbro5qc8mlWRP3nGxaPIu2FLk4diUwFmvrxV8TTEKJztTB8JheICqZjp4eu
XnwzMt8oFKtUOis0ULmwtPyZCoOGrfuGPTfXNLWGvMP671fvo2qYHAaLTPwopbGVtNHk6NEcWfC9
K8F9b4pCrI1aIVZuI0b5KCqcJCr1vWn4phGZ8olo7TQ+JHOcqRaThkkTkMF8foomHFZZ0ZmhGjp9
T/9dnSzPsqjWW83wpTIILk1G29/VFMgCE/f5UKsUeAcEtcKVVufjodrFkICusuGrjdn8UAemeZmG
cpcVp20veJCbJ4Kfhz1KDBDKt7eXVCJZJmXUZ100gg5Ga8fSG0v0+wuMwqYggxoo5iqIsvjmH6U2
SdEO+FIw1sVLFtB8L0tydb5tD/jeCgQ/q3VDXcBEVgJPkAOYNkHBpzTiwCfYX/zKKkwjm0kr3Tdj
Mxz7kcincFqUYzFJs5uAn9FLEznftXneP9VKdtATUEPKaZC5NKmDnSkN+ne5S7uvSTVX9zQaDWdo
uvQXRWlRAPMbX10zdd3U8SlkWWErdF7pFh0bhP5xG/g0DwO7DJFONXLyTLJZ8Mk3MAqPE9oF2wX/
nvAsqj2dUIElauB3MF+KpchR9GrAVmcu8ibxz7o06ose9fXgaMYQFZ4JfpiXIQXThODI/DTt+rXg
oMIdhkagJM4Xc8oMAxdyEpl+YCYYpE3kCSTPoBN0zDD16oQGe1AvBk6aw61rRqlxuzm4i3PW3I/R
mJ6z1HzRm0Q7ZQB+QZi68TngvsAfWylr4D5znoWs9APr+tD0zd6YL0aIsmSZh9XjgmSL4Gl8NoqI
5kxYeGgu0vF8x2bXr1muokrPI8ttI/+pdaHV9KmFBbZWUP1jcGGY1VTwAhGCq/jvRzWbtbDtSUnz
c2neGQwrJxbLoILNu5/vbi05IDuILDpwik8G4yiorqVqel4KVGbzSfmlK8NiGyFyVrff+6doQEOq
BhkUhkMhouKLWFrKCjRTldk5gDG9z9J4Tb1G1M4CkhzxdAbvtrzVfH9IKayNKMRcw29UB4FlH28v
kmle9qiun4tc1p9npFmcQe8pCOrG30vQEXSndIujRBp7UuWpEEj/FG1BOhx3JLqBD6hOcIahr4NO
a7qhPA9pqJ+TYlncSp2mXRt1v1Mpiu/LSG7siKXK8+1jf9LQVTAcXQ3eBGwFX7vT+lwLl5yV56ke
2GJpWljpaF4IQsWaVdSLvHzpmt9JNc3/9BVCMAAKmWbEeqj7cK8wlpIWK16i6twvBfpM4FG6UKfY
MrOxEzyMz7C4yiKyQlQTCIy2o4/fNiFFomZaXp1JPQZO0VTM7ya4adiBoDwskRz9MYdEPwbdlGCF
aRirDwroG/a3b5pfzwKfAr+Cok6KIiJg551m98oMjGYYoZWhqs6L0hjPuoS2FZlMa/cC1XAB/XJO
xrnwZLnsn3MCNncrztL5EVwLmbWw1Dh2EqFeF7A3NVwKb2GzNxmNZGNWr/px+7d+eubvPxUVBxRe
kGjj0buKB8JA6lWd0yDR3Uw17wp42buqMLW325I+OQ+QBBxGNVPWZNTcuXImyj6pYkikPC9MiZ3a
GDILCYZcgMOfwWR9XaBy1U1M+qE291EBYrMN6tioNVRAA6w3rYdCRfa3MfLHrpWT0TaKjkyH2yf7
fIcgiNZUuCprbRNtdR9lIhafM7xqw6/1JVyeizoFf1OB/qL6vpqwctL9p+J0lIVlaBbes8lk7ogE
LPVL12emn449Gq0oqrbmGXvGZWLFchS2/7hbY20/w4vCX2CwYnyuq9KbtpZmk/qhmmqxFchmgqUU
BotCgWf++R51HAkyFNhPuH/c44XKLE1axKY/ocXPJibFYkm0iqXPYxCRWKAon9XxozDOCiCDFxEw
TmNXM/p7LERUWIg2JeY/RnuEbusqQ5garDflXXOzLaMlHyTqx+Aq2GlLMwBsiTJYsb6Sv40UzgLp
dEw0aUYqaDL6DPhwQ5HxQiEGzgJcak4tg2RuRhIxfzEnpxqCUzzF6A5oL8ug7GrpclsrN+4TdMKG
QVVFN+VPucqwm8sxgYfo93U2U2smcibZnWmkTOAufNISXV9jHAYpMl1TRh+PpZtY8jmYVenLRrqP
Kew15uAll6miuplIEGepjdrUsIalLP3MGBy1+FOOj7SKBbbi07XhNIgQZaJgQQFYw7hYJwjmNoqD
qUTbUJd4SVleCrnPBRneTSHv7VZInDNEKB+vrImkTApMWvr9EKORkYR9fCeHRVH80ze1HuZ9Rx3S
FUjocZ+GsAwpI2aW/hTGwWHMWWyjrtwKpPB6DasOnYYbg6YuGYVcDm6jLgdHI0KjkzHblZLaPUja
g8Rt6Lybwn8I7ZCFNj3szVaRiMHD5G5uNGZKKhKQUyY/mN1k1w7tOuf2y/nkLrwLMdaCH0MCBG0k
Hz/PnM1rpoIZJzkxJPSwRsnLotPiZUBIdKxnFr52iFWPC3r0dqG2xLaptfpXuTfCR2Nqsl3/P6Rd
2W7curL9IgGah1dNPclu2+k4tl8EO4Mkah4oUfr6u+R9TtLN1mkh+yZINrADuESyWKxh1SrBLOxG
jdp9UWUNZv+q38vSUlpbJ2qkrzgMvP86f6wGFIhuAhuK52c+nTPfBvFdSMyp0A/Rs1F5vraRvP6u
f729JTx2HgAQ1KaQaVANVAfmiVKcFGUaGzPPzAMc2dzpcwudkHUt+YBkgxk2LJhbjE3tdaw2XWIm
6b3etmwjdHoRISVIw30pm7WHyavxvYERr3eGkJSnTiy7J6tn/RaSxd00xSFxmzYS3a6TLAwPHanW
eqoBfLcdS0D0rlgu3jfBoqw5020awHwib8oZFICr84lNunlQQcVeVhtJbncCfUuR37i9fWuC+DMS
R+A6WsM89NMB0AZHGRQ7T45p//wv5OAZRYYQWW0UNS9PaZKLrktUyDG0ETPsdc8qkrdKrT02Gf5t
UQuXHuHhH1GcaQH1RynmsWkeOos+hLn+bNR+N951GliM5GHFXq4J4w5KMFIwnJRYFzjzhMi9E5qn
bbfWG7F0SBYeRAkgP2g5H4/JGU2UHqjvQ9ZPmOuh5MWuLRtza470XjVGaeWs5rM4j3pn5QP8A/QD
OCp4V5xzJfZKjElwEDc0FrNTvaBuIydr9NQ8LxMiCEmZgeOSIc+KzuOXUuS8iAWaw2CQk6p2Ei0K
K6+Pu/5bG/UGJkcbg/zeDu1sS8csZg5rR0odkcnd6KSlRU/UFIvYbaIhimzk1ZUI7HZlqiro2hyn
j17Ps0cdROWKV6SqHMJ9ihTpu1g1ChD6I20G00XRB+FsIkf1WlXsyvjpEkpiMxcncpNAF3IXK1dU
NmlEEw6A8Ndfe8PWt6LkCGQTtitX+CqSxUbCw5VRKP10HPkuxKrVSWGaNApAwNH59X1tFx9j4+7B
CLv2/lypBsC8KFzKSJUh+L6CY0sjTUJDYlFgEWByevMRiP6t2mgYJlYIdie99XXklgpBZSz/NuF/
EVx3lfbeKKxhN69u3uWnGFyQmCNdI5XJEAWdsM9FAteu3mTyxhhM2xCKzV/alE9hBp4zgMRBPMgJ
G7py1OJujIIk+5YogtePv/r4lJXZoWcvt0XxviROEzNdULgycJpzU8+lpRQ6EHG2gIcHEqldOdwz
9DmM8fG2kCuLosN9QDkTnI3wjeFSXgqxNPCSiaWRBE1u3tHwOZTSzRDnOKqVyOIKnoTlQBLWYuH9
hR/AGcjessIwzhlAZJJw0AwMZlMQZ3S1Un4ZamXcpKxkXiZpka9HUvrAYrP1x9hM7SE2+w36ceRH
cQBsvZTgWtfwXB5CuPVHWihPZW8ZTwAoY9bZ7d3heYJn02Sh+o9y9uxowxG+3B41RO9IMiQkiNF6
o+6kKGDaDvXe/MHaSxiy897+CEPXDx+Ln/jm28Lnn31hfT9lI4KG/cXh8NlUvQjjVkJhIqA5cm5O
WwbTIzgrLLJhg12vgFOuSof/rPS/0jB/63KlYwIIO/hNSFCTH3FU75JqdOVJ3Ria6RsWOpHGQ5+a
bvENtjQzppW1LopHcRidAKgGolLMia/R/tOMokYCKe9ttS4BSgtRvtR6G61Kdi0yPAvag6a9Rs03
2qpuTIDQu73fC3bEOv8E7iqUUppqqaZjv8f3iDwbmFEYCm7fiY6yhrRaeBMQUs3AadT55jD/crNj
ZqgV4mwShON2qH+xcLKj/i1Hl6McfdXStRbr60suI18+22oVUbD42bp15n8PhdJljUzjQEqC3tQd
8PG7BTDhWv5xewsXXiBIkhH+ANoFqD4flphhEskEHnTQ+5otO/VdhqHWsW5XbruisNfWEVkzwBaQ
iwcIBPWTyy0chEo0S1XBKNdBnjsu7Fz4mq8J4XuYcf8hZZ6shUNCko4vyRKpnVBBjJJg8FgQ7nXn
SVe9yBUw+JCsvCxLh3QualbPs0MiWdHRPoOouvwpCE70WFiHrlmJxK4aVeYFAVBswqjB51L4mpNO
xjYpizYJ5E39pLyIHrrx7MbwH+uPjAEnWXy9rRFLx3QujzumtB41mVDIK0E4lVVuFqP0NK6lN69N
5eWquPuUamNLhBZSkslLPB8YJ8lrHq2f6kq2ke8D/9SHOcyERTaQwOUdcMGIFCPUtQS9KN8MJX8Q
o3JTGvGT2aR+NVlOUrROo75YUcVss2uO0yj8qtGHKtDt7X1dMJiIoBAYIrQGLAHLv1SXGm50ZeQ5
CYyjdNSfzR+6+710xW3jRPh9W9iSap7Lmg/5TDUnNlbWDLcK2mJfyWhoMj6amtoDWxvpsqQtuM/w
EBBwINid7eaZoCyp4zozBxLoGDJVDIlNNUyEJys+z1X5eb4EaJVAwt/AL0Qel2JmOEBUtBMJUHB+
JA/6HpjQ/Cl/6k9SUDuhW6aFPWLo2d/vIsCSBtoJkPZHyvNSaqxieNGkqiSIRGoL8FXQ7mwjR9Or
K67WotWa8X4KWhkxxIN3Ug3E8RLUNAleNF8f7ekwPKBbEmO1EQCtWK1FPTyXxb2a1USYlAmQNTjz
mLy31v4GL8Geh4YOKw/0vEGXDhGKNGfLki83sG1EuUN2OAlaT/P+1Q8HcAoVZSBw8Hpd/nBR6uU4
CtHj0JLuoZRysCnDMXP/XgWAyf0thFsBokNJn1gDd1KLbL3qjpVS2qn1GDXmig4s7hWy+IaFMO2a
plNWa2ZZKSUBMXJiNwI5isKwVuVZfO4BvoJTMXNkAnV8uWmsLqumyXBfR7lnmyaW8Exak+Y2AAij
PGF+H0HMgZqplnldwSwvHCyyohTXXhvagADxA1UErjJimMtPQDjPMJ5MhB1MNEwstMxDgzZ0LxaV
X2NbaS4De82Kzi9ZKYzIQcUYNXl4Hpw5DCdMPw7T+SITa4NkzbRF8Js6BDO2Vha3YHjh3QDmADwf
erH5MrheibQeiigNJO1Xif2DS6CkjTM30t5WzIUlXQjiDjKKKa1UIpBAkzMPGPV9OGgBCDG822IW
3uk51kT7izTneXgTGKFLv8+TNA2Swaq9KiyiwR4n60MneeugGBnbxAwluyvMIUKX/7AKgVpe558P
4I5uEpIGwU2ZBq0kvsiCuKGidsxGYRuK+mAzU70nuvKtjurtSNvIRokT+ElSZ05OaOyyLBftBMjk
FbOw9FUzpe4cDgCAwBegixJYPLA7pEHcaLbBiJdNT0alrWQol5QJ5TZUnZHWQ5KIi2VrosQUGLZ5
7e1dXb/HylGSk62FRM3tU15ajoIUCQ4a2Ez0+lxeyQR5qES0MixHaTwJHKPwF9r6r0s6OtrjzqTw
BpsqxhC2eRpQTwcGIi6+Su3PEj3WX2+vZlZ97tVBhUqbYbVo3kAf3uVqBqW3yNBMWSDIVuE0fVUi
JB2820KWtuxcCLeYUesqNSrFLIgzR/FksPz8/c83kK5DKgw94HB/LheRR43StlqF56B9kbNnIm8b
8uu2iCX1QiUKMSbmQYJGgYtfpDrHmG2rhojoPg+fWLqjoavnu9tSlk4DIFg8NgAVyBrPUlTTUGuY
BouolFP1E81rYL7U0Oe8YniX4iQAY//I4V7qpq1KYZDiNKheMniDQmyHUgE6mdAWo85panET5tk+
q2p7GoPMiO8LSV25r0uv68U3cIdWthmtQDuFcSZg0PqBqpX+03ytDo3pxqUXP97e2IV3FM3LyL8D
uQHsAe96IypMWm0gaVAKwZjkR5Z1jt5uhzT24mqtNWtB3ZFARaoA5UA8ojwynzaJGoHGMQ1yNtmd
/itqCzsztJVLtaCRaOEBehY1f2TQPklNz6KJXqjjIWxGnKH5IWYdyjI+eGhwiGt41sXlIBmM7jAg
1nSRs6wkMmndMhnPNG1suYycadqPxRrmcUH15yLq3P00dzcq3AUb6iJpiWHArJo6tDFyxLb5FzuG
o0fNGtgdFej6SzORDS2JulZPg7r5nkyPfZ/gecagjObLbWVbOhk05qFtGqoGx43bMJ2EKnDBFpYC
P1gZYvAERY6SbUDVtXKRl44GhmLGbiLgA7/L5YpQ6GkY4LxZoOWYGqV+s8DUY5C/j+xmUzHjeGei
Ex7jnvZ1H+Z9CyE6uGRNz4qOUnxXZ2voknlbuKcIpaQZyTUXk4Cw5RaDrhLW5pDTpqGdJKnXNMku
1Wu3Q3NaGe1jau7RCLHi7i6FeJCHzhaoBV70q+6xnDbjNEh4nAL5ER0D1BY3xdEEu4pLf/QpIHkr
h3adHp3xE38EcupRiQQNVuks8CR7mSt8nbzCU3a3dXBJyIxOAxoOQRLaCi83M9UmMc/7MQsm6SFl
tuHIFfB+/g+1+nZb0JId1/AqIn8InD/yvdytIsTE9OxeydCsYueeWTylfpbaxvP0M0qdca1msXS3
zqVxGl+IVS0gbwpl7COgyj/UiNq92DrrydH5J/HqeC5pNlhn9nUqIynWBBU7SA+TkW3ZG57GYvA6
3SlTp08PCfHbyqX1PvVvb+nCY3Wxo/OtP5Nc6YqSM0tGV9NdFQfMa3+01DY//n9CuNvWR9OURAaO
jbWbN/Kevk6lEz7dlrFkntAIjdAZzj8gK7wMsYmpNWZ50HbkR4nmm3ZCN5Peuv8/MdzTIbQii0ch
z4Oq1bZFEe+mbHwzVLLmNi0tBy7gJ1gdUQZvCAF1C5ViSvNgQBe0TdFe46dDNBcatLVs2tJriPcD
IKeZVxGu+aUKADUCAJRU5IGlEN2RQjTq6pjScXvfFu4SIPeIyIAjRWKI9yBY1FgWZrrA4LaJE2sg
EmhlB6VRYOJWJC1lltEJDKMnoXiPIg13bQ2zNjNqsiwgdE/b2Na6ezn7VpcbWgF58V3s92PykUfv
KD3XkuaM3Zp7sbjWmcQHyZyZR4cLQUjYlAoboO6luDUQtFWJP4TJPLDm9p4u1FQREqKmAvcPwDX0
TF6eXNyC2xF/coxlVnzVmdyPfM/sn7aCvHWBWZIpyisrIheU5UIkpyxTGo2pOiQ5qh69L+4HT/QS
O+7sB2lf79gG091XJC5cBAhE97iFYAiYj/mDzgyUJJWa1YswjWGWb0rwgaE6JcQPt5e1YAXBz6LO
5HHzefHMQ1Sv0PfRhVmQKipadzdThhERymMXPgvtSsp84bGEWwvmDhX9J+B54gxuVwOfo6W4bQXI
b+w+jwgoAUm+yUeV7SqKeDJHD+Zdgg7Mf7GT6MUCsxrSskgocM80kjWynONXYKhB3/+kAen/HkCC
djPg1VHjh16COO3ysJQ+LKs4iuOAdh8VYPiihlZIus/RumqhEH370BY0AxlZAEeAf5vby7h7Dg6z
VhemMQmmuHKKet9Gqt2MK8Hcwl2GdwgXGgBehON8XhYkn7mcairqYepjPlFX1H7pFmoaf48emfu8
/sjh1CIxYjiGKsphhvakh4ZLhXdSPgHUvWIzFjQdNh7J/9k0Qgc5h9CUNNaAtjYJQHnqmQgY3EST
UJqX4Hzm6dvUV9LKMS3u4G+JwAxf6oTaSkqFvoMkqIzMURH+y+SpAMeqLmYra1tUiDNJvDnMKlJI
RYiSYhsCSjWIWKD+zqixEqSsyeFsoEVrNlMGJkFeo4KnEFfLEUauEYPMd4XzCeHIID2jAjqIBB13
l9C/FqaaWQBE0WhsY0nptleGtTB1WQiQiWjWASqRP5x0aDVxIMhmoQo76dEvIx1/3L6lC/YOy/gj
gTuUPopSmkmQkIqtl6nvYPB1GtHYCtIdeAtchHbObYFLS0IkjKr8Z4jPEyRQi6AFWIdAlHqPBZgR
xLF5vi3iWgGU+bUFkGmGaGDzLlUanD8hk3LYcKEynTJO7a77YGu1keuNm4WAGm5mAwY2nRPSt0Y6
UeTJg7IK/czS7onyNdHVQ8zYMc470LUY29vLur6pgPbjgUAtF8YINvVyWU0oqBYw3HmAJm27x0PE
HiLz1JO/NgiXYrjro1Ir6wRa5gE6CMCvbND7qbrX11Bya4vhXoekCru4KSq8s7qXZVpiJy0yjHmd
2Y318/a+XdtULGguLKF6Z6BMzC1ItoTMJOKQAxF0DJPquQO3TcVaLAsY2lh3b0tb0gtQDSCBDkca
BVBOL0KRCvAK4UnHBJX9BMkxgT3XmE5aN90v9DutJ2Wu1H2+vSiZwZudmxR59jwhMjqM6a1ooGak
cVtANF0wdZVbhbI1rqAFUfAdwNwA3AIceD5MMICtKsdY6oM0CdW7nGUvjESyPxka3dzexiszgScd
sIiZ4mNuZeIzjU2oy0Jd932AkqorGJUbZytpkfkpvTDglxJ4bEQeZnrbVFgLbqtgUypSDxIbfyrS
bgvwHnEEsZF9VWstl6VM+np7gdfJplk+nnjUTQF81Xhmj9gspQJOaB/031X5UXV2kmGDPAUYTzBn
Og1mCt0WeKWYn/KQxkDMheIO3+dk5qWe1ibWy1qn/BkDDQUeeupOwsozf3XdODmzDp1FBH0dxmj5
lCGH+ZFW24Z8itxGuZdXi/KL2mj8WRF31RSqEjm0sCJofP0MYtld8tPyOrvxEsyoFt3UXzmztaXN
/362tChK4roHgCK4m74/xK60/2v80bx3YP9G5hNVYzxhlwLgsUftUGPvpu9l4kxOKbvebS24sruc
BM4YlhUyjvmsBa1+yEBrGrYaqE3BkPz9tpzrMJ8TxBl4dG9TudYUXK/kibRu0jyoqt1tg7C3q8zG
bIhvTNmk2o81mqdVwbNlOTukSqujKYsgWDvKVmWLzuDHtfNt8BVxq+1fm/fKXtnTRT08O7X5388k
Tl2dSrGEU+vE51S5U6PnTFmhfVkTwal6GSbimBAVu6k89OxjMO9K5W3lxGZP/8ogni2D027gFqc8
n5UvjXMXtF9W7KgvVWunLhrDik0orxiKJRMPRkQ0pMN/RkzKrQks6UQB92ofiAmzxRCPsVKtiFja
tnMR3JLaGO3UJEqGQGb2sNMPycpjv7aE2eaenTyGMRSQgSV05E3ujqR/WjmTNQFcPBgrktDWajwE
IbIP1Q6NA3V8r7wPp/7OvBcPX5MjcbLH20JXNo2neM+6CNBZIxqCrKjdUqqdEvjEQl/BbS1KAd8G
iA7nbIs5//vZ1lUJuAeyAkcTMke2AQRoVgKNpfcOJFO/BXDqBRKdIWu7dAiKH8BuOEQ7tfmm770m
2ahrpYhFo4MQDXNBTBT7QA5zuZq4yEIZTEJDMEpv4kxD7iNDhQmLGANlOuobDmlldUvey2+Bc480
J7BPWdcYs0CnUhwxcYyPDiwtA0bLIEO2oubLW/mf1UHY1bNE08Ek5YBE5vjLsm326/3vtQFESIhx
0Y8B95j30U1qDGhmg85VzWNBTll8N5LTbbVeWMSFCO5BKsuqMlKQnQay9FpmP3Bd6/LYov//QSpX
ru3CI3shar7VZ7ot0wpdxxjxEuRZi0THu2K+MkwQkdZi0GU5KPaiFPs54+JSzmzchl7BHYIKWIPp
FCYSeZgMo1prGrDg+WBFfyRxhm5mwJBGA5epK4mTYl6PWgheqjhCyGx9ZfcWbB5Io02kVNBAbQHL
c7mqSBzl0ayyARh3ahfqZA/Ift3WhcWNw+yezzAafIac8dEkZerSCgo9iPu8jnxQJtqqvlVZvr0t
aGnfkLBGRRldMKjLc5pg1kwb1IwyNP1TO2G7rPpmFq9zfk2if+/fIz2O8vw8P2LGgVxuW1aSIUmU
kgEn359awS4kr6od4E3Sv4YmgUjvXBK3KJmU0SCqLQsw8QBMVAqJHdoUa4H0dTV5FgOoAf6gcgjH
+HJBoHuKDC3pWdApThWIXlhuRGHLdHvKNvWuXOvOXbIP5+I4tRvM3CgFhqOKlfSg/xDkyE3Gb3Lk
SdIGKOOVBouF5+9icdxpjchLWizF4rSeuHkp2nn42P8l9yFAaijo4VUCXhhAGrRzXO4gsQRWkHZi
JyC74pOiFerOjPS1wgW3cVdSuLevSOMsUTKJnbQXMmxApTJIoFl8StV3YXi5fZ34hgZeFt89p5NG
yYUWslIhEPJXMwcp2Zv+JhdBgqpa19txuiX3Jfsij/eIbNeqXTxa7h/5KMaCxAqR+1XxMk7MWgHn
G8NYXhnMcm7eezY45rQduUPXr+k/317vJw7pzCe/ksddtUIvjASHzE7qJuu+aJPbb8fRrza/CtTy
is2wHT/wZ5v4I/4WdtnGXRvm+TmG8NYncLayn3NOrYaxPqb4mpnHDk0+ZdF7Jdm2aFklBwONF4OU
HGnauU35qnfvI0B7U7FDwdAxy0Ma/yxrT8ewQXboqg7eydNUbNJWuzcFzDs0B6cSHtqu3nW6tB8w
tHxcqQcsKw0QSyay/sAf8NY+7HSd0thgJ0yXEJ1wM/9udoo//zd2WOMzeRPv3dtHx1n+f04OkLxP
llqUdDjrVY0WeixlgZ0YYG6qW5U1CjrRqCb2ACZnNzTGCZxvaFq/LXZZY87kcmaM1VGnq6nOTq2M
6L53k2LwNfgHaviAAk+qpv4gfJOqTdTfUWs3RCAAs+xEtvVBc2P9JU+B+tUGJwnvhOJQrnwd37Dz
z64YqOSCFVNH0Me5rZmJ4VtTj6NoVGLryY+sukd+LzNRddqBo8gYBLvZh6tFB5419R+5YEVCKwuq
u8igX1rCTFDRhBrhNLS494kO9hcwjejhaFdm4YbWaEdRhrF3nhAeGuQMpLuqOiFrIYEDYqKJnU/K
wYjA6/UwlvsKzMq3D21pWxAFAXSGtCqYQniXp9eHQg8rk54adp9jdFGVPEFXmZo4aV9gTuApquxh
DLQVl2FBR9GipYAPEG0toA3id8WoC0xJE/rTJD63UrmZ9E1b1j4rck8Z/i5gmU8AskBcBp4SlHZ4
oIBl5Wh1UE2MaWfHSo3tfnhOBV+XkZU/oFdGfVrZUi6b8Y+8GT8KOAt453h6014VCm3CrPjTmNLy
C2OR7FWQixZv1RHRJuQpGQbZJDjML3I0GPuswPzK29+w8DCCpBcAIDBpIrBROeNdqVkmN4nVn57M
WEaGWbVFNFEKP7KpcbK1rtrPgiNnpwEBBiYJNk4ElSQnLZssKhS5PpxSfSzuJ1UTnjKjEzC9MI10
UKh05Z5RaLxSNaMbdWBbLlD3L0aLesk4yYEwmRiyqCujM4Yg2YJ7XPnUIKZDu5oeaGJ+xdxIxTXk
UXcmA4zffVgVTm3BmGHIbecpGP3ZSG21EWgs+cKAuZ/q2Kk2BR2Wr4ojUsEtVWBvNKWeVkz8kiLD
5oFDDjUQAHo5RWaxWEdJniItkhXfwL/+qAofxvDY1/et8vX2ofJ5+0/FAmAYiAPUFzFqjPPcMrMb
wM1SDic19Cx1h1mlO0vCvK24sqvhVw/SQaDBvo3t4OSGAFTxWhmdhxX95wPgFmO8LoqBPMqy6mk0
GUI9nGrVD5m5oXXszyNgq9IF+eGhmXZFss9RydfV7yL9UlIQHNeYaDy+FCR6uL0bSyqug88Zsyox
1QFh4KVd1YpJ61WtGk5C+FbT76N1TCu70W2jvF910LmUxz/rRuEJtXAAt4GovpQFsrF8iAs6nOSO
fACGaaeGDh8sOerfe6FyMAGYyitooOXDPpPJvaZRw+SqlPvhpITCd8XckHBTVnhCo32ZtRvAW9yR
gk1HYnZYTK7craLluDjhP4vGFs+lZhEs0peLnqoObJZSN5xy9aCSXU0DLbtL6RHTejsvYU6JLp2m
OkgEJnRyi7tpjYlp8YTRSPPfD+CuVkPzWh1nbVNiwdOy3GZa4YcPKsjDKajFjEJd8fHXVjx/0Fny
BE+4ToiOYyajdM+kdlfnVqDRtfzj4puLC/x7YVzYIgwYoWYR7OwotFsprV0RUXml7xKB2Rhjh2zN
PO8t9olm59rm9rX5H3r1WzifYw2ZbAyjikV2mX+n607lIdtuvnjT1y/tdsXpWj5BTEbEUz+PbOB0
WAgbJNlbyDLy11rcdumXAvjO8UkJn60VUcubOhMPKrM0xJ2Xh5fEEZMTsRlOQ/FzSO50MFWHiN4L
F+1ryIWVof+r7H79m81EJxb4qmdy/CvvqewKsetxSSneLhN0O76GcKnCrGVHsOxe25q029FuG/+8
LfiTqvjqyT0TzD0FmFdlZqU24HJOOyl+AlXl10kE3KSCDYQdjOf5xSWxxQTD7CKMydgNw13VmVsL
zt3QEQdjSXdEPcX1Qy1+kUMK+uMNcl0MSTUq93aqbs1+JaKc7cWtT+a8hLYeOkZL7BW4hbKdiQxb
NGw7Ya1ncWlrkFYDy+XMqQl3j7NbMRtKOmFYxYlYd5ofewV1lLay8+dQ2+gRxlu7GXgBwDycfbRf
reYkFGh8mEK7tMIHWbhDBK+XdyAy2zfAnjywaTMoW4b4/vYJLlwN4HdENAGBYx3RCPeV6ESOpUqY
d2OTT3sWPmrKDkPQ3VE91toaw+GyMAwmAN0wXku+DyNMJpYKuYZ7WIAAeRspAyYT2Hr6XUQPftGT
Fe9z4aSxtj/iOPsGyLgEKnd1OFl2E4Qb3xj/1eb9FsADKAjTNMwaF4dTlbVOLereWLxH+2ijTehx
G9aI6WfF5BT3fDmflufsWaiFalDbEcs5aHa/slWfuJVbP5wzkWqldGnR44fL5EsIIJxstMi3qLsi
qt1G7dy2OwqdbXQ7EzclZCKImlQgeZpjEzZ7Oenu0nEtRc2nP+eXHwtGnx3QeehF4ttxwb8sR+hf
g26K5YNlhNV9PGbzBPlONhxzGNPXXtJ+wrk39hppm8LWaPGXwOt/vgF9kvgAoF8xC+rSnPdqRa1Y
gcpW9WMsP6GWjtHgehQ5qrwSii69iDO5y29RnJ9BalZajaLjdtTGsS623UuNfOiYtIEo7JPvjeaS
uxA8LOHaFPhFxULk8JkdQHGLs4hKGoZNIwkQTEvTFqwBs4oZ6dZUbMGtmcPe32Lmfz/T35YVFRnN
cDiJ49ZMRr9vD6XDqsamrxHdNPRID+Zkg5ooG0E+WbxLKxv82bx2peNnH8CdZVdJpMm0GMngHfP7
E8ZvJHbq0U3rdA9HzVf8N8Ge3Dsi2qN732fbzmGbzkEUUW4fb1vd5eumqug2BxMyYGuclxCFY05R
TUJCLrtnmFMODIoIMtHGzZoXQjbw/+xWfapfurazlckJp3uLPnUODV9vfwhPyPmPfp99CBdS1GlZ
TnlSIi107Ev7BfsvPbX5tjMwnGCTY7JohhN5MojTI26Vh2BKn6TG7yanTanb1T4YQNJjjA7V4i/p
pP75MmTvEeDNiWaeyLuFC2yZScJOSl++JFb9Y+wOcf5+e/3znbpSCfRjzZTyYIzmgwtT6UZNIjiH
gkkCsrogTw7FxNWbwivDDoyXa/jBxbs2FxKBm8aDy9+1AhWPIaeEnUD2QfZKO6XvY0yKlX7yxat2
JoW7asxSwsyQauxdStUAQ4ujQ6XEsV9qnfXl9g5+jhK62kKUVuDsWBhxzlOkmFQsmqTDFsKf6v3O
H/fyRt6gaf6r4Meb6gXa4rPvLtmJ+9Ybx2O5iYJv6W70rTfqR7vKo760GfziV/yuGU5Ld/i7974k
fuasOQRLzrmFQP33t3IWAPysQBRUsABEju1ytJmErEB4h5k/qSzbZr0No6fu7t9k4i7EcpY9BB9H
ondQZaG6S8S3MvzSKzuzOGqAgeUPlQQrc/tQFs//bJ1cBFmmppTGZsZORp+M+5Kxxitp3+x0M1nr
ul5KxmBxSGHN0xlxT7nFNWB5zqOkYafSG/adL2+KB8kVvutf5tMFLX6g+8Wm3d5e4OK9PRPKLbAX
2NyWUMB+CkN4wESwxKmaUg2aNtbsuFQiGwBgY8XdW36hz6RyDmUONj2ziLFUeSg9ttW6CdDmY7PF
PLWmuAPzkRwiq+sJ+ZrVWD7P33vMB5UShacZorJ9ErXuKCNuQIHJFIYVY/g/rscfMfxjkGFSHO0q
FLospPkfUst0enGfhLZs/Ihe+yK2DemLsOZ7LpUmkPaXZy5JtE5rPGA8D+VUoqDROyXiNsotx0DO
tEswMTdxYYx3GpucLvQBT940ReQCgeSq0kNbvFrte23shPdI+CWzAzjXHF1dC1mWSmcXH8ept9QI
fZEquEp56EVk09LHjpxM1R2HXY7WAAfDy0tXSw+EmnYHiiPr7xO7F/I5TRcSC/OtBRx9VURO4uVl
kBpeVzWOUa3V/xfjJby7CkbUgYGJHxonKEXfqw1ejVB9kcetTl91AWw7m9tX938c9x8xnLsZ6lEx
zeCJExF8FTQNKIWo5pcuP6LVx6vRrASXRwZUxHQz6JoGhTABVyvhf+TGViyPTKjsLDlIae/IibRy
x9f2gHs5E0GtTbnv2AkccY6axk4R+ppQPtJVAsRlw3m23dxjxMLS6CWR4lVIS58kQWrd1zV5rawH
i2yLqDpM4qsyPeXinnTbkFIXvJd7wQxqaw2wvrRo0BXgwZhHUV5N803MuGNaOcK8GDV7V5N+lqMy
l1W6FPR5rq3t8qy0vM9wLlDhQoHOUklcA0QQ3bf6gyJ2NohwaeIn5T6X18oFS28FSosiSJ1nlkSe
gcQcO0VmZYgb/B6VH228E0EXTmtjM3zc1uwlQaixI9kjW2gJ5ruuQkEbzJnJ7MTq2p0qGDGBfq2a
YTuVydFU16z1Qn0PKCckNTF+b54vxVmGMUV8HvYojU6lsUnp14HlGNLWOybdK9bBqqS9kvyyir/s
av30y8/Fco9gJHVKqsXGeErAENLuk/olXeN8WFKPMxF8jXzS2FgWAmYy9u3L0B+bhmHenp9kqm2m
pyZde12Xzg1ZUwkoBCAywAFwqY1CEtaKUArjqYuRxkkR9hmPMt2aA93GqBT+rZKg8R7Ub7B/KHZj
0t6lsMhsGIljTMFUAVhp/F5+V95K2TbSlXfj+k5fyuGvmJmSLIkgR7D2nfE2GS8VekGfbi/mOpq5
FMKZ8q7PMICRABkDpEPtyGoo7oVyFP3bUhYCd4jB8LS5+oNsKp/exrDDUewBlT9pTHKY+QHvh8ng
pPUmwY1ajBbpd+WLnPwQxudcOxjjjxEZhCoWXA2ogVol27j7Hic/VUAbxn1hVltZ3cmlG+GlGeiA
SRMr23Ktv5ffy+090OKJZgxAneXl/5F2XbuNK8v2iwgwh9duBkVLskSHeSHssYc5Z379XfS594xE
8YrY52CAPd4YwMVO1dVVq9Y69sOpWpV6IxO0ssjuAmp4ydJkAWIAVdAuA0uFsvbUdSjlRui+oi+P
sgELtMYCZm8GW4OR4YJAOgz9pejSvt29GBTjhZ2GkYXRXmi8VZkZRXPuhI7kbX1OwBakmm3JkjYc
CEAlgchSNNgS37Eqdl03lEs+ggR8hC1KSmt+qUn9Pk6W4eZR/wAHmIry8OTz2gY0qV3J96iDcI6h
FnlPwgz8wk0YfC/syZnzNV4pCpBw4Ia+47USUk4tAfPhL2KBK7qjHHq9UkPpz5r0DKmbLD80skdC
5ly4ErogiZSeMuZUAWbk/wmkbeAFv2P1S0HfGzS76zeIUDK1a6bVwgZZ+MypTojLZXBhjshfGjHk
TVDSGpWS+xskXMOj11dL7SA/nAa3NzvuPwBcRirTsdg2eUKAgi2KQ2BZL9uUIJ2Wk4NMPz8/Rfp5
3L2+vr6/vz89fWxspNjIn5ZE9OsfLwvsI4+D/r6RZ2faCpp5styCplW6eDvgLIhsdaZkghFp71q+
VW0FyzGF59gaVvKaM9KDbLCWEpBoE9iLtN339/OoQqaM/OuQ3bhrXfc1V5UjaJ5dJAATiFlBcMoF
uRXzXq6WIIozqXKUNXGfgIFkhApPlWc4L1D8olbkC7vx3jVzWIHU5SkxZHCEP55gbrzepws80u2A
XhI9K3dpuZ4VAqGvNfmSkkNPwQxO3w4u+RZJrh937xuPtOTlsckf7MqdSbRJgUNmjN+mpGQKWiMy
cJHLF327L46Xg/nL3OsR7anmk09zfUDrNLmYBG7luTyuViu62hiGRQIMXj9tF+7VmQchpvrqaybx
jzegbM6mmXxRiG+kjV7aAPL5l2BFab7rNhGySZslaNOSUWGSL8aOhhBthynAg/OF/uo/88gQXoXd
8ARFs+algpL02T0vzPt4TT2Y9ymAk/UDPMG9HPOu7/Vf+4N5OCS6efAoQ37l5HOcdDOG2hxJ18WT
jnk/B4R+8CQ9rE7SsSarhY0w1ZVB6DlOPYhh8ErRRm6829unSCLZ7btSvjj7+nlvFrvIN3evvKkZ
Fvp+KPd9Ar7zT79RluCJs5v+yvDoZa9KF1ABQnqYh+GB03ma7rVz0Vh5iPe/WQlvj6d9JsuEUYIg
6qcvWkRL0K2xDvQdqc9WOGExGXaNZrcDyDuOnbt3XhWfBs8ehMcWpvY+BAY0GBJPYIRCmwF0iG5t
goiYaf3OVS8ZVlQy7MxKVwvDur+bb02MoczVHCY+lJRbx1EurCVuALg1AtM3GNqQ11dU01biahGK
sWRxclIBRKiFyGWUS6c3ekvdFfNUbEObe+b11MQGXSV7Z8E9/lQlJmcGRK4AemqQGAbnwmSLylze
825UYpTgyG+2HtWMnH56OvjKaURQ/jdTMyHPuZVvcqvcAw1hjnMQWy5hzedI91eB3pGjZBUkMIIT
WLJJSMavr/FTZvl6RBj6CvgibbfSOtoz64q6pkO9dQ6e/DNjqgsjmt0ZVwOa7EY5LmKfUQrlomem
e7LTw1If30+BYDJlQKSroGcEQeioSHu7MRSU6au4UZRLpYtU2DpH5jkzAxMzZgyr8JenDyt3U1rc
a2kWRN2mprf1SGVVVohFdJ55zAPIvVfOU7t8r864QNRq8HoBtnKG7iFQGz9RI1+9QGXOqI1fxVox
hx1vEPcS+dR5fXxGZlJjwEZcmZucEZiLoyEJ1EttoD8d0HxTMZAHIprxkeq+GViegZiaKPpju9Pm
zdGx3tidnBTXKT2xEDBM2VI31Tp98klHGtAIvObrxmqeHOOxwRl/+oO21iBaAVaSae/mUECIO4g6
9eJYgS6sqi0W1mRX+YLPWTIzCUYFiIYhawozCANX3do9aVawyqjy/ng0M9VcaLMAPP5/w5k8OyJI
PCt526qXt2SNBhwzPAER++zu5d1g1VDIUHBFIqn5zi0ZHn/x9OiAeQ666WilAl/rZIAyQvk0knr1
Uu3yjfwhbyK9MERdsfpz+Fs6Ph7muPmmxiC9gOyFCMyvMmXfYQMn59rG0y5CbvgigYdCEc1Fe8CS
PsdcNIvs819Lk/l0K8GDGF6gXTTPaKnkAde6KwU9rM+y0XKUXwjpRhd2PzAZ6hZgF4LbHrfR1c1U
onWlGuJEuyS74CyfeX1J8mx+5v5tYFrth5Ag1zujAXnPrIAMf3Z3rCkubPb5WcNDA1pZElgCp+l7
gFI0pZFz7SLu2Y98w38Vf0BkZvDP/MKbctYSooQRnIMmVSSxbiesjh2xVqpWu4A+I38OfiuQTzNR
zAS78/ChLGy7Wed0bW2S46hCufElp9aQnhvhYmiSSU/uidsXW+WJDWnxC9KTfEyWXvgzF98YCv17
kJObPEADs8NzMKsdwGtwFr+473qJ/XjOQV3bmFyuWpopnB82GgJaryHtBzrCDsWf1KwWyDNmag0q
7nD0/uA1isajKeyA8x2oMMWJc9HDkkTH1l7zx16nEi13nLHxD5H92FfMJIpgEAAuDrkYNBlPWSQj
tkkYtYJBdqOQ3PLwJJW2Ne5PD1Vh8MwT3oyBARAoBEtpvW0/F1lQZuf26gsmcwvtYRdiVviCQkdD
14kohmcKn6Ulr1+feB3kHu+RHVhL4or3vgQ4iLF4BkwJmJvEyUOtV4uYAxmUc1HYwXT4dV5wm+EP
U7Xm4wmeswO1dMwtmBJHiYTbI1jIeVnWWclcWC3bIA79nQ+usgLlW2NkfMcuBAjjb7vxkCKSCxyy
GHghgI1q2jzWCyFkPrKQv0QMnHDYFomeQp3B4IVaWIg3xbt1QxoelHUoR0E9a0TQ3o6M9wCP6QdB
ujDDE5dv2GyrButMIwo60Rzm1XG+fCiZBHsWMBP3PHRHKSUSbyNKo4pgdV+s+1GvFOecRXSwOVSw
8fd38ZGmK009twVl0fPkbvsOimOO6bh6XeoVmhdkSCeB/y8m9WsYkaox5ByBeYwamN2FW8FdQOjc
XQkYJa5QxJWjsOHdnSNCniVOxhdl4qmOkZc9hE4VpBEDECcYkR/kK4/PXCOve2dh58xZVsWR+R8a
NCA7HnfW1W0nSh3YAZlCvsgdg77uDvzyrsBn67LDJPuSFltKGSYnSeuXCv1zSzt2KCExi1AJxZbJ
vdEyRe5CQUEG/AY4CY4wDjQ2wo2U2AJHsn3smXW6AVG6HOwHdxOoh0QLac7t2Zay3Mpj6ACy5E+t
3w6DWRbElY9cDTRm9ot3V6FqCKBqLk0mfYn++Pk+rhz0cFp19O5CIl4idUjVLf+WbCTxxKqD6QfE
ac1C3Qn46fHhvI/jf3YwWM0kpP7QXDgZqCyCs7QakI6DlO0R76cC2GNwSdZ55q6ysur1ool4PSyE
Zp1L5amKZHB19fnZleNa5zlHpZLm6G2c/InHEUIvJqWVECs+4YVYIDn48EiTKN368XffA0BGrJ0G
ZBriWQxhGk8KHt/Kg6tGtlCq0RoUf/ETz8hrL4K+gQ8Ae9NBMU9wOlPLcNYQEmemFAf/VNwa7kqR
JMgU4zE4ZpKnzq1JAZQPisG5ZAGkHCouPQU4smLRElCYkBwrGcrV0VNefG7B+9wnX2BaxcsdVOMQ
xWCnsaDoyELOFqxrx6nltFRYtZzZsFZb6b7dVhvAMSXnW1zssho3xK2DhVmMGbI5eAdLU0kWOUwF
NiwT1w5qTTVYBuWi1mEdo08bzyp9DqK8TVmuBs8RN7zHNCb6SkgdDJmuQrjd0Nq8Wgon794WIhhV
eE2Ctiv0QRD1T/xEU4F3PShduwhFZNqCkspsKNFRLNsshLQ3a0AK9bDKVUtz2QGaaGViVn4QrNWe
X0Io3CcJ8DUgm0dZHcI1cB2T+84NWD8DxYZrc2fVo3G47/+wIOYaKBpKA7yzRL1tjcQ3BOfAiUbp
moDmpGJO2PgQpb/5HY/+72wVQ28rIgGqY199Y0nBJpUMhdtKgq5pL4rtilRhluZxDE8nSzsmK9Gb
g3saxNbjfXflb2MJ4gxp3GJHvTgy8Vy8d4VdfKqVp1zUSFm9pe13vw0GK5aHBT/0k6G9s43XJypU
+C+YRG5t90LLQ9sgc21efYLzcHT3uWcAjSNetqlVyjerUDxWksk6Oq8XH9GJfW5fRKPvdCnYclQx
RJ4IR+kSq3rr6A1jaODfX3I69xc+lvbqI6cXUp1Lipenrg26RO3AlFYnGIKycfcS6obVgTPELXTl
3wR3pZwYeP1C5ygrLSzTT2FoMlVgRsApHEGsI37jdqoEdIa2taS6dtmGRnrq85ckNzrXclIqO98V
s2syK6/fkyEggrjz+t8Fq8ucpQAX1EmESyzkGBoD+ohQ1iZsZkSNLjLW0KM14SmKjMA5QihDLAwm
XNUa4SJDOglfqJA6Z+25CtYFqCQqJHeZb1E+eaAgqLl9vRmqd0UjHWRe/bV/DnvIsSSbSlrCcP7Q
nj8a/CSPIDJxI8YQarLlfSmbaHYkZffsu3utoeHGD17znCSrOHxFSxMubTTnvyfHIF2Fkj54O7cy
ZemV7/T+S3bXLvMsAhmebpRer+GxtfIgOxERimd4G5J0NtrQ+7F7hPrtUZFN8NkrvxxxrTR2FK7z
5ACUoTdqkO9kxRSHfZJtI+BKfdIwa1elGQrH6UtS6Jli5N22sHzllL2hSeXxTThzg6PQJAOgjxAN
uRVpkhDvlbJyWUZ27So05ZwCG5+7azDhNzrAWhHhfUutaL9PK7SrGWh/K2mCfq6NrFK534tLoh5z
19LN54xB3ZUTiRKIGbWl49r9PhbR9muWod6iiO6xJPVeqp6KoiGyoa7yS3QaM6fzxvLEfdUR3w2x
yLg2k5A4jsBzlFGtVIgkm2BWKpKYoON8Yfbvn/yIjRH9w9mPHMKgp7odLtq7BbEoXM+u2CcGN08w
dHvPVUmZAU+RjDSJRlj2BMxJGw5Bc6PiOHr9WlMXae3u3ln4EuFfjUhjfm3ach0HGZ+LteDZqSq1
IOnztSep5jsrbxSOtn2Z7EolUi8p1x7diq22ieZ2ehr3IAXzOP4tlWuN9mwU6nzOpV8Z4yxBve+f
9vhCCJNCZYAHCR7o927nCv1Iih+Xnm/XjrAq/EDXlIICyl4qVlaaXt0YJbNOggZKcs8B8xIVO60w
QwVw5c/HZ+a+SIliN5i3EBZi4VRFnjhyOROFXo7T0JatEJAm7lUx+z2cVShS3lnz0qog/Ht4AFWQ
/djyPUBotAw1XwE3LCCM0iRWaYDF4EvNi2w5f0o0s3DBybNKw6Pi2IL8O1D2cUkctFuwT5VslGqp
Jw77lvGXDowBXjJKaaQAmr61LJDVkUPVzN/AFLQAKypIX54Krhhv4QF4l16afPIYNlydaE6MRAZx
V2jzcizYHdyQGbRlCRRPBAmRIkio2KXewl07s5tRhEMkAn0NJHGn2QkmAcbXZ4vILgCJ2JVL5Dbj
VptcIze/fnKN+HxbAKeOX8/1T0r/0n4pwiZ7alS6lNj/qQndWkIWAv06ACMh940c0+3sKUXspIIX
RnYfDRs32Iv9hiuUvVPvcjsfRKNN37N+1VDEFjojOpfH++0+AYr0DhAu4HKB6CAHZfZb8zHPiLXj
OZ5dcCMNVtCSsEfHp9lE+6QISFxY7FLvyv1+uTU5OVxRD64ortE8exQTCfmaRAKHBqz3YZC+GSSZ
Ho9wHMBkfpHcVVDzAlkQKPUmB6qL0w5MlYpvC14b6V49lIRNWcq0SkgfW7ov6mMuIQsJZJ8mwGtM
I/s0L92OU4LATpNtL5/cZgDtD3rN+G9kdKQP8JVGiZGbXEDanawetMoc9uDnIXVJEn4bLlVw7wEu
+B7wRiKFDvbpUbjwdm2VKgsCnokCu2L27UgvwdOYeZZOjskMJEvW8UFFSbIn5VGwNflYdCs3Q5oP
snLJwtTc15XGTxGRPgBcdCRIn5ynjO3iIgVXll2IX1l2aYpTyRyFGJJQnuH6RHbQ1B/YUqcLqBWL
GwdyfQgv+ZqHMqXxeJnmtt/oMIC/RO0Hl83trIRp3rUclDjsWhAQDml1YhVCUAGXmw6rQMkjHUHC
0vtlzijImcDpg7XAzTIxKoWlx8WeH9qRp6orsSnZdVu/c1WzBQppwBMv0BZeTDMZkB/+BKw8BMZH
rojbcfa5A3GOHrM6iL/Fft0rHDQZ8N4QSxKfOwTjpW9wtaEuwYLnDpwE3h604LNjdmwSZvFtnQV4
hAe2IjfDngPDSRij16UqhgXfNd4r05OtgICKQ4IFJH7TZhuhbtleUb0QCQ7IHwk+nNfCJTPnnPlr
E+OyXl1tDnwzuvyD0PZKjnBqSOoBcfuXAOjCC5u89wKBplQZ7oKOdAulqbkdc216EgzJrqAhHMpD
W80kBdQsHUODiAMkKVPw3FVSFbRTcWz987Oh4IWP3iUZiMdpBDZ4HjewWhnaVR+gYfbiCLnuCS4N
ugznMV7aove37CiOJCLgkYATwk0+md60Cb0hxRjRrsqZaavyUFHv8s3ADc8QPR+VHJRQdxGrrrg6
AzIsQKuu6NW+XjEFqBDUITFCYOzNupS/lKAXQG3F+Nt44Bdb2kcHdbfZUG5CohvtXSDQuf3UCsQY
WTxwWI54W0tIu6JVj6jCUwk9uGGD1lS2tMIlvp7Z/YcpAq86FMyQ+Zh4cDaVekHspdDW4lIHlTd0
z8/MQOPkgly3UJg1Xuidui1ZHT2/rLsUBY1HdTpo9NCNtVENpBpTtpmKdfhs4LPIZtPG3zOpihZq
NYqOgejZIWjsD8kABTdJdWLaZ+37P96LyF+g7gaEJtTlf2L0q7MnCW6YdVkV2aAmQrftVpD0NjfE
BJQsvx5bum8dxxa8NjVxlWBWhQCUUEY2v0fP5fpNiczKMV7rN5+CQMCITDRhbrKQKpD6iw8B9LtW
7kFerEbfx7RA/KpwZpCiHAWtJ0cecrzCEPpRbCM9Xeopz4FxLITE9D+/AG/MTBx0rqZRHLRhbMdD
gC7lDbimPH4L9phuKdc58466GdE0uOVz12NrFaaEM28NKVFe1XeIJ6tQgaGVgRSYb3YtQe3rvLCi
/P3OBVYZIEBEYqOS8iTeAI9/0BR+FtuAmxlIuH/0drkPzO/gUBIz0FWAS1q9PMpbiL/2W9wfS8HX
zOV08wHjB17v3l72AVNMYrtgE430shYZbtgn5uNxzmRTMMFX45zEFa6YArmfpbGd6bJzrFsd1HE8
1HrBhWky/Kq88MVGTlYLVmfuphurE2coq2UBxRMMTjl8Fb9jgtpUqItvHUUmeF1QYUON/vP02OjM
XQGboMIGNR0efD+JlqsJZV3eBYdBFdtMiBclqFE/cWlAyaJuQuo3PmPVLd9RMUmXAKX3jQDwDjgw
wEKywEHicX67lKjguCgU1ZEdgZ3vEFRdxuEqdsWauhnDAYwl5YN6HnNvLy4b9hXporSQdlmaVin1
+zB+8dyg+QoZrWy+OuyC+uD7GfOJIyi5K6GpGZBzaGrhoZEkB6dswYlZobOBrAx7VxrAKOIXZSaj
LNFqvxmICEtmF6ZiiuSiJhlc1HmfQue7vl53QRHuIendJTRNZNwNolQlrf54IWYP9UgHhvsaVyHK
S7fzwaeNJOVZHtnIKVRMo6sl4VwQJTgnRaPtTkLpWqWhD16olqLTFz2ujz+An7mWoNf29wMmh1sU
2SSAPBaezMGqlliASWsfItXhpoQuu0BDcM/+Bk9lZ6oAmqJIYnolkbZMDa7l6k/BvHkvmOWoeq5c
zLhPtPicy3vUXf6DzwToGUSp4KBHLmeyb1q0wPZZMETgEfv2P9hVsGM8EfS8henXetOackEaleC5
RHO3poX0xjhPMTDZDdWKiHYI08O14xgoWIY8LcJ1060LH3c/yRXCLikq3JN8YZeLKKQD7QvcJt5o
t6taI1XODB0X2Wm/yuVtnYck9ExkCgV0NQfCd936RoUsfxNwpAnfenDROxsfWiwhGoFQyszXqvCi
9VRu0df22gfPPYAOsV7kDGmXyu9zvgCvKTzp8bIfH3G338p4hd/2gRbZqO83ulvLmZ7HvUM0TLmB
wqpMoihOV0XBLPFkzTxuRswgGJTG1hxo3dxahsqSk4eyiFmSWXdVdkIJyEE/PElxni1c03PRAEqQ
ECFBHA72sklwnCm5KxWDD9cucCKYreveCLT0BQWfDRvmS4WT2ZsE4S30vIHWx5/JoWIQafo1GF1s
NkbDE6eZQU0qEGRVF7k3URnwX8NB772lC2x0FpMQU7g2O7knHdXznSCvYzuXiZwfFWlfs1vVxAFl
wm3WWX2x8MS5x3Nho4PGFzlmlF8BJZssYSflJedBvM/uG2QjgDGCbtYnD9h6SWr+FWUR9eghLgoM
ptebkiomizsV8H4NrNbDH67fOOLCJ835MyBnQHirAESDWvXtpmJzjvFrhkGU5GnNBoy0AJFU0pln
SmkPOWpvy6W5S1km9mkN7O7CQ3MuUSDARWl4gqFIDtasW/Oh4nhgNw8TG/JERA7elB51PnHFKBtB
sJKusiL3VKil4S+Jvs3G3TDKi6MiBLKQEw8pcjHwRA0stxLp8lPJJroGiRAnMMImpgWb0lJ+baod
uvqJG5uSXMI14lWYGWi4HziU9DzIdYJh7KnzX9RIZx0KPr7HbnzmGEKxFcE4koTIXk2PIdNXUsDF
XGJDs5oywtotG7Bj7LUlpM1MpQhYJry9tTFRKQMucrsMeV7LahYKiR3tijOzjklJIaNFnp+5598F
4ZdYHeeygzf2JruuHZKmKjzYS8neM8U/Y/vG8/fwdAx3MnnNoGxul9BNXLy9Z078jd3JRZMkXKkO
AZ/YzW+8CEJxm3gfiWJJaQbyDOg5FSpxpD3YutjuXDJbB5+T6VFodGgiqrdpZqTRAqZ05vzdfNG4
Ba5CS2YQZQcP0MRGuXzsF8j0ho2x6zvCed9lt0gbMmsPoDUWTJVo75zyDPV95CtlBnt9h0bKFdKu
ZJ1a3rnDmgNjT1lCs/3YL2M0OaWrluhf8dYpycvjnf2DmZj43jE2+fd3TI5f3KD52NOwA7YgJCEa
EVAaJiB2xb77rt+tUt8lALdmZGOf28/TaSkRO5cUvrE/ucbLpBFyLh/nnQDYCjbCYof3SxpY3SZ1
MHwPz0NfP7mfj8c9V/O4tjvlIPL7GnwTPsZd014iaLfHc5tGDoQuLF1YPzY281S6sTW9VsXWj1QP
Y1SVbQM+2KA6Ov1L534vQmTmkkU3piZXaayGYtoLGJZwiNFog5wMeoSbbdnikUsK8Sn41QKsuHeW
ctvznuvvPpqWWCTXRVDh4UT33CrNSZ1Sds++sMMm/AZGZwh1BgQsqZGfeXkhczPrnK8sT3wYtk/b
RgNmlxVOMgdQXWB2kKBbDI5nfdaY1AbdKyAUU16NopUZUXaB7pSY7Yh+lMyYQ9sDuPDXDBSIlbHK
E5rFB//KSjVlVVMLnpCpjFEu1IolHvNxy9wf278fM3FXSc1FXsdhnYNs33hGh3cNQ6G/gIb4CAie
bawzSxmy+V381+T471cecnz+gmYG8yxIOy4wKzCkim9AGHOLpCLTw4naEHj/r5SiJktadF2r9ULV
7fjiCeAameJR2Tyx8R6POKYxmIWOmakTurM3uY5ah5PbVoJUVGo0aK8PDqmNLIbukIpw6EP0yFes
e3tt9dgtTK6A/7UKdCiYfJBWmB6ZggOUrqyKbtfnW98pQBmMrFj+XuREcL7UyBRrbyGOmSzhaFFB
HxJ450csKELu2yUc8iKM6qSFApee7zPysVnqfhwX5mpb3hmY3CalIDcM43fdrhX2qeSRwvnnc3Yz
gsl1ISD9zIo1RiCHndGGAa0zAh6CUBJIxCu4LzI30x8v0+S5Nx3Tz2a92vcdCEnCmoFJLocqn7TH
wwCyHAsrM3Xcd1Ymd0TvRo6WidAPAx7QFN4Es/rcSZv+rTIc5CXT18djml77/2sODw7IdSK1P9W3
rECCHIstdnxLvSNEvtYQuCQikazSlCxR95EvLS3QLO6ehg5ibQy6UmO0GX89/oy5g47l/L/P0KbP
jgDtX2oGWfNdGKyb3iWDINMcjQtNLZMw0Fm3JspABVZeCHvGfXi/T//anc52xBah22D40Tq7tIbz
Xu+yZ3Zhr07vxMkka+zkMgbVSjDEGnT11BJk+TpXE771Ry33X3n9JvipwQJrmWqfYiiRHmkglL7a
cCmFML99/w518qRwwNkL6nMM9XKkS3SCC9sIaaNbh+KkSQG+a/xylxcJAxVj0LLosrevMNSAoSXi
+EHRnfg59wwQHg2JWUJVJScRMMvQ+K6tJjfTxlmLYUaHwUIfQ6U9lVDfeLzP5v0esmgoJY0yVZPb
Ekj1pq80HOGatUoA2tCAraHKaDic8d8ZmjjYQg7UApRpOMUmlK/Wm3q1JPH0/2yqv2OZuFimg3pJ
6OHIVOBuCHBqOVMhnO59NCA3POlQ/6aPxzR/SJErQRkOKnlAktwussq5tegEbLfzOYAVocNQVAWJ
mu8a0A0FjdXOU1CZtb8EXpjEdf86PVdmJ65+ADmGFHuYy449a25KoldXdAjjLp3S2QPybzt3qQ9P
k1W2EGFH0D7UyIqOTGP1NhoLxx3svTfur1LPGoEMFY+/fbrUHzwTBiCHySIAQDIKELBJ6oXPJDdA
xwy8hM+ie4cx2uwP1DjMAdT0vN+YTGczznphTcdTf+cAr4xOHGBUtxWgUDAK1eaTygAv6KFbK90A
1SBJWxe0e/yLqERrFufVS/AqShdirilQ6l/LC/eO5JWCTohpMZ2DOlXLDxxcvxQnllBdaiE0Kqf8
xeWmyDZGrfTrvM2RWtU9kNglEMUJuXODtineS9ehC12kX4q2ryNnE7sL18M0HXb3ceOeubrz2wLa
cmC8g1+TJVNyYr3Sjk5tCZ3uFPsWU/LM9evM+YfyFf8yO7LCwSkjUps+SpM4jZ2hHc06Lh1cqxJo
FLv7gtE+hk4yVJX5h3m/O4uTfSD0Hl8MNSxKZ2Z1cY7cptvwx1zX1v5CyDHvuK4GN70NYz/y8g6m
ytjgzIujy7pkPRmQf7Wip90SJ8O817oyN7n3ktxPAgCgux3D6f1Aoe0p75g/TKxnp4QupXOmsOW7
eZxchJ6qhT4a77tdlkjrYahXbg6sLU+knQyaC29fihz+6UVAOjNBBsCFLCKKOQOuo0L4T+LVsRMS
9FkaNLgnSypDSyzNXB6fUlt8s5f4SyYsbJvR4996Dxk9dZDnUfEaRkvbxDWnZdYJbsr1uzeAJAx4
xKXA4t4nwgBq9siB4gdUXm/P39CXgt9nMKC4yYUpaAk6OuQzfNHI8xQa0u981izEorNjGlXP4IPR
JjbtmHHAyVgNqOPshLcWSK6AQsDgWI9Aj8eu96fT7G7yrgxN1odnK4jn9TCE083T6hMpRmHVvwg6
R/yNYnSGvy7N78KAGFqOlgRdO7af5yW1rPnRokcPhT5cJj+VoCsHh9YAuZMKTDAvU5cWVNwy+hL8
4f4Cx9pBI3LsCsbvmzI4aE5eJnIk97tYpQ60P9Tc4AK9XKQenh3LlZ3J2QshkjcUotTvggsrk6Sw
mJgUrwV7qvl0IRaatqDhnN+OaXIxMFzkZxWr9LvODIlqVCZYfizI5m5U2j+RAWRT2viHFgZ4Umho
ZfBvm4RsCjry3DiLEfh98HL7PZPINg+1NORiFd+Dp1IUmI5cQqtvYdTzRkA2iYABdAtTFGneNZHg
tjAii2aFMm8/YBWrBbc147DHofy1MomdNYAAM5mBFTF4TZTn1kogMYwYKBJ+ta6hKTEVOmlhZPcP
A/QRQvYZ5H84CjgHt35G9NQeqjywqYRmoP1uA0upnjKNamhLfnzsZzYpymsjnfI4jajw3FrquVgU
sjLvdk5IiosDksatcyg22vGxmZmlAtmaPBJE410P1fhbMxWn9lpYhsMuC1jMWX3ItN3g58ZjKzPx
EZJWwH6MdwyMTC+AOquqrh2CYaekh/S52GUYVZythJoAENiBOh5U5xH+b8Hs/XKNHAOgosAm5OS7
criCgFEJE4xO3TPkkKwrkzVSY8AjiDG+a1PwaA8CkKWk1v3S3Vod//3KV6IHaGgzCVZLUaJ8uk2A
qemoJFzcIKCVv1oY5BiY3N4Pt+YmO0UcG0SkCuaG0HS8vViAiaa4NO3GeQ4jq1YYQxQMZuRb9iBs
2Hz+d+anO8gNZSgpVvGwq36rdgvEUYoqsAn1oMJyTVBL+AjAl6oHC+s6pVmtcnSBpEky7BI/oyL7
lsuv/RuLXFDb/nk8vHlLEHpF7zWwI+rEX4plHeG2YLBN6nPA2Kzzyyv+CM53usSFM5PQwzKO6uTA
F2Cz/sj7Xu0aVWtqP+u9YRfUip4HvhHmPsGFyyCRWDZmntLMidCEvOs55pT9aqpygd2Yu79/xy+A
QBUvjWjlKTZ+iADb7ato2Hnr1Kg8PfVWQK0VhnP2nrWNQ89gOD553+Hr4ym+j91Gs2P3C8D/YF6Y
TDEfsxWrudi/PdAcMvAUFjdAGYFUVURzZcM/PzY3c2/c2huX/Gqi+biu4kKFL+rZPTOcy4+UIn+K
dmZfJdmwRr5k4dKYn1hMKHjqgQO6Y3AFWUScKlkKNksT1AXGvjgAfjj+WYvEIV8Birfuwu0464Ou
TE6cgloLXem22bBjKbcFJdpGWitkKRMxhcVgr2Aq/1qZ8rIWihs23gArtZEceHoZiEeH1eH5syHv
LvrU8U6nkQXuPl34H8quazlyXFl+ESNAT77StFF3q+XdC2NGmgFIwtCAoPn6m73nRWoppuNG7O7s
7sQINGChKqsyM72Qfv+4WT8tfXYSh2CV6pogBOilTUsPPeilgzzIETzYC/vl+xH59Sads/0SB9r2
FVbyIN3p0CwQS+Yvq5o8KP4CgaWG+RABXzuEpk1jb1EppHO/1cOFQHvKSr+F+U83fDoGPm3brpdR
P8XYRHHxWsa/6+nCd/FjpPv080/rf/r50QI+E2Pt6V2K5i4qnrh7dNqs9i7Vvj8gOeCoYFgdf0PP
GHXn15Vk5xc977BrphXEXZ6WzZQ0G73hWbg6ysS9slMEghWUakCTeb64+k/H5efVz57jSIfeWBVW
D678FboHqUhhrnDoNmFeplOKC0iLtMu8QwV1UW8HiD25AGWdT9H899lglOyUR6JoDeKzCAQhMlvR
Ho9ar/rcOmLmNKcrP+vzZuvMwGYxDqnDBJCzw1dwBlXpRbDjp/AA5ToQ7GB3g9b02UNA+2vuDTPL
Xj3pIa3vugd54/wKTSavx2dnB94vTMjgUrobj5cY28GPL+DT2mcbLfR5JD0yLPs2b5MZM8DdtruZ
tsVfaH7eAnbxMswRrWn667VJn3xUQUP6AdnP/HF9/fgYJWUap3c8+UXT1/VDn2whepRYmHvKf+1p
OuX76+7aWfmpXt8/jrvg7lJO+VPc+fzkTtHi02cyLDx0lMCTg776Xu/EHrYcFwLOaf+ff+kYF8Xk
OpQtUUCe5Y9NL/nM+wWxm/KDr5iA+FEfbSxCOCYPF+sgRrA/XdmbVAWQ2ghVuxXdUKE9RN3Vvy/m
p6gDlhwqEEyXgWdydjhrYuy5LZ1lX7bvITtKfiG6fo86uEnor2JIAlOr5Dzn4BjwKzzmR3vtpRgi
G/YSEuL/voUfuvWgADiQasR2B/p0nmCUTu/xcKyKffTYPhHo4GFEMOWrKSUrZztnQQI9Pp6Pz/9e
9ocwh2WhAoh5d9s+qbd/3Sk+gwhg73TFftWwfHkWbbI1v70HpFSwy103ybz1njH4D/EZiKpYN9OF
yu6HwxnrB8is8IEjzJwLaVuCuuMAGbD9LuZpcOU8Wdf1m/yYEmcbv8WHMVMP7Y2GJGy/8VP3hlxf
IvB+DzLQJIAovxcRTF275yNrmGAqisYJij0VkOaAG8J841s3AMgAaI7OhRLzP5jy61fzdbWzr8bW
jR0rPyzQoVaJdSx/WclJUMdZj7m/Ku+g+7iq10E2JYAFk4e7IKPJzfUzphav7VTcjNspJ5mzMmuC
oYAlhyVN9u/98P1LguszoDOwvTGxi4HNr9shZksdqpoWeybbxAN1+ZLtyjnHAsfK1xXONhwkCnmh
Jyvee2tr5b/0a/XY5P2jeY4fu2t1L9f2DbuETv6QTX9d9OwwLwTorpBOL/b9nd4tUGhecpnWiUwv
jVX8ECkAh0CcDVJYMA49PzSjsWFiilD/wGAe/lXXInfrW8+uEen//aJ++nBjAidPLIb35PyXzn8K
8YXSo4YvuLUX0Cc6sBuzdXf8Xh0aknhbsi027Hre+4/ejh6La2t/SUPz/EbRUTxRzEGmjSHAAyrx
141ii8BMbeNaewsQHS0/ZGMSDrfOzu1T1V642Z8WQxIAlA73Cij7bLGCzE6glooedL+VNzhdNoIu
SSRB4V0uiCqch4PTfX1e6myn6LnrQAut6cEtii387cDWb61V2wOoo3C3q4ASEHqpRDkvLs8XPUt0
ppk2EOnB/XUPx6jKykOwrRFtsUV//3vXfEvq/reSdwr36FFiQvfrawMU6UqYLmE/wNZ076TNimdV
1u0A6XIkLXBazbtErcQxvrlkB/rtIzxf+/SWP+3YoB+8agAbYB/DiWigD8GyHscNPZTbqflLF6hL
lh//vt0fnyvSd0ydo58DGvbXFWflFGFv4bnaeu34WTuRhLxUiiZhcTdvw/L/mzL/d4cImuh4I4bi
WPm6nqpHhy81Ns9S8ns+qaw1MrF7Clht6z4yce+Uj7Q48Zpbdaz4LQ+btId2+0lOC/yj5o+zlMm/
H8G3vOLsms7lZLg9dTDqwDOIWQKA8VhcDYf6cR4RJeq92oMQcT1sT5a3ycUBxJ++JahQoF2HBOmE
qX59HEyPcmB1A5E4jFMeqvfmuXhtjsM6TClMWBZ31bPE2ruP88raXnJjORcHw+mFlT8tfvbu7bEd
5qjB4i08AUQ+7fRR/ApSldaHcu+zFMn5vDM5ub+2bgyYXJckAM5TcKzvOZgEOAkOxMiPz1Jw5SE8
DjB1PlC5FsOxZ7dTcePYl2hbl5Y5+6BdOc52O2CZ/q+5WtIL0fA8HfjvJiCCC6L+ibb9X5X06ZMl
vl1KJEgIvJF5LcpuS4f6AqD3H/zyOSU6reH60DRFCwE6Xuf0LAbHE9TZhh0gSrluVtHVkomr/uBv
DlYefPQHBUbjVZwth+YWarDHAijNZoN2A5pU/BCjp////2C+XM/ZCcBlBL4KFF0Pffdkojf0ARMF
sTyol71G7ePcZ9g8HQyEu49+Xw+JgeqqePSB7fz7On74eL5cxtmZEMVlaJUOHguHAG+M0fbYvfUs
6OtfufW68i+s9q1/i7fgo8EC3x6o/Pgo+79+q51gYOWpqTwwBbuoOrWftUzmOYGaL3wEFoGh4Sb3
jlMOwOHvvCMZaxMF6ka6+fdtf2vC/O9CAO9CjBPwy395z6ctN4Z8dlkwlod4unf8RLrXI4WRbjkl
bFMfAX4e/EslwH9srLMt6COFgib4aQ4emM/Xm7cnMMimeC4hQbYPV+0EOv+qC68qb1XeTnLjxiuv
BQsddiIfdCUSFu1RD6nowjv4Bq6fbv3zZZy+xk+3bsGVbaTBUh5c+mu0+7TBvGjRH8VNAdmzaTc0
D06TNXAMA0Hb8p///eB/OCvB/DzNUEM/HD22s3g5dQyqFDSsDnXwHEG4toCMrF0k9ZuC91oJpz7Z
XNTT+ZbXYS4BoQWUXAcI7Te6EDyO2qbm7XQQiQJAAvXatE+C1MnNTZAuL/jfb79vXucMWsLpkjx3
SZ3BVQb4SYM5hgXZyp//vImWdEkxULwZkjgbURilGUFyv6NZA6AMklRw5/n3szoHW1EqRyjV0fcE
MBVALvvri1qauB4GjMAeTPNQWjSB07PPLnwI30LvaQ1k+CduPvSczhmEnDFDC2WmwxA2yQgZxxq0
1X/fhn1OUwxPNwJsj8SgjLq4j7OXPmhr5DFj82FO3w47k23Sly5b3iEssQHq6aS/p+S5TN4EnuCL
lyfHlcygzY+53vT4cIRCapJs3x627/BTyZ5PVjT3t7dukl3tTfr6VyRX48pLguQG0BAKWJ5uTkM1
1/Ya/9plf0366++Q1zAA5OmY/g2OHihZLv7zw6x8/Nm0W91HyZRGSb3lyTVANv8IiH69d9fPY/Yq
k8c9T/Ih/fcz+fYZnD2RsxQu6ggmUWeKJ7Je+gffysj7JLE1CdRKtrG8gAe4pwf8JfJ8Xe68L2kZ
NQ5eiOV2h7cDSbM6eVLJ9vDxtl3fHbLDcdvl+GufX139Wu//dOuXTfbv+/3PgfhfV3BWW4lyqsRo
4wqCN511+yDdvh1Xf1armzzLEfOT+9wk6yBZJ/kmv96nT5t9niQ3yVWy/pVF6aUt+VNE+LQhz71L
g9nzaLjgauqkzV/C9KJI64X3e676blhQVvGIBTRsLjCvgEPu7/DHeg+GHCxMiU2/XfJ+5x15eQuG
KMnkC4zN//3Mv+fkZ2/9LND3UQS18BYXoZobguFczDo7JwJdghwdjsrswyp2CvoNIIlSzP6gdVxL
cIMvJXeXHvZZiipNUVDp4TJWTxIf9eHlqBKS7urkAF2X9CHBx5diD7ysVnca5/9+nd9crff3z26a
7h5v8QV+XHr9309iiKtD1B3tBgDL4I07XyNrYUw8NyUkGoWD+Zht3z/2SmbtWymfoa+u+ioTZA9B
EDkfxiIlPabte5D5ExAR4uqSKfm5PsopPMLO8qSsjslDyNyefRuhFVajby388GLB3y3TW7qTmXXN
j1Mmo8SHDRysDzJ73W2iLR6QXkPbtkCwzKCAnbWrv9VBP8pLY/8/PCMHVQXyNKjvYsj4P0j1c5rQ
WrK3JesPpVQYYgaD/oDDqM6KpiDr2Cl07vi0XdvzpHNo0+l3TzrxFurE4roOOc/4LNlKRk6Zy3gW
67FX1oGEAc2Xklxii3w/KXGtHrTyT/Aq0KqznT453hIqp+oPjXodXFgsi/tqukT4/h5ET4vgTZ0k
bQOUKl83TRvGrDUxFglOqO0DiPYL5GmiJLikGgbxgNPP+hou0V/AnghcDL6e9sfXtSblqNbtrOkB
WQ00TzhG9BaYlMBn3Ruo/Yt6pnpf2MRJCoMfUFItS/+ZZ5jMrkFNKuC8Ogu570Yop2YlbGjeOtna
1/NslX8Vr4OTC+0YozR2wX3kDdLxMVbFcQHU99TJsYFa1+hDlsR0BlOUprMMZHbQVFmPlkOntT0s
8oFBOs1Pq4BNMKEoOAZtfJgsrucFeykpJmXZW+4b/tyaMYIetttNIGSPnv5opyp66lTL3G0DEdoh
hYgjpIqdkC9PpO37HjJhrVBzs/ebHjJFCaTtSPWXuWFBwfGLClhbYcS0H5eV8nyptuUQi3lV1tHo
gPI8DNXvebB8JHOu2+ms8s2CTKKcIbYTUL3MXTLXbgnpmKb2ILwTsKDNeF9W/rWnIiW2fSxBiLOb
Enp5hTtAEirw+VKk81Jh+rI2vUtyc3IPS922jsTaWYKh3OBSMH5jUaU/NMXuwZSyp3iK7i7E2znB
SFwU4gdD/SXQzyoqJnzUvi6DnTdaUDYXkNTYguU83bW87sDTV36zZzzQJjON3d9OgtDnpRL6d+cJ
h6QK8roHp6pjjSkmiCe1oRO364oQZSV89vSY2bPxM1/VUHeiTV9BSr+JaggRDmP3Z4Lsl535oep4
BqeoFgeUO1fVai7dukDtR/xto4Xzp4X1iLWWnrTQf5YWNExUNC0rGZ5e9+QOoZ9EXGgGETRL0zXs
IMRDERLwkQbtg0sb1CRYh7Kz40yDsb8Atq1HL9WxJCI/8ToOvD8JdY9d3RylZPwef0rxhIJcXq5E
1xQ6WWbe3aqitKvdAmdC3FjD9Locm8JOlUWceRO2sd6NE5lPhvA2/VMHqrS2roL45LbstNOvFOgn
VTIr4n9UqgvhIzIqHueO5XI36SZwnzsXohkpM34xbQa4Jw9J1/bEzmKvZu9KRMN77Bqwkiqr1yBo
+xM4NUpG+snqbQMJwWDBS6NUD/A4D5wOGgjRYkTOG+jlZoFnYsDVXt091rUTEpi2xJDEt0RfulkX
BxR+XwYwISS07DmdZwOhkIoR9tcHVxK6Jd3sr5uK2XbqWqHCkgTTUFGJV7JSNmgP2VBGGJd3F3uY
r0aYP1uHEATZ6NBbIK/ltiwVYAx/8ZwU7Rjzaxq7+GEqSHA74jHeDkTHa463NKfQBp8+DHQSYaNW
AidPbbKgIVcq7T4tXlk9Cgvq4tQPWJE4UwxAazAU968K7LMknIbgmYgxxBuFC+IfECQkCqUO+o60
KvH9axyBdeJqEIowwq972DEVEPmCdEkT8yTsuQJxaBrrJ3uodZ0CsO5+T3KatrYl5hIKJj7byZDF
bd5EhsbpibC2GSv4NSQjODkULtAFSbuKIXYNURO+WK0ru41dDdwAjK2KJVsKwXLSdqdjXvnWYa5s
IBBQWG0fm8YXw95EDsfTqkvrZK7jiA+uxxa6McOACy2XgEep9oVdQtijdOBWqwg0nTQM4h4w3tGi
K1KAQQDdTR8FG2jt/offFSNUKUYW46aDQGAisejsxxAcxjkDDhH87kKN5G/pFTxMGCnrB1mK6Vcz
tjUDRbcKYVbCTi+VxyUak2HVQNlqhPLIaZMhKsSO7q6sAlSUpJYBopZ2uC/zJVyIu6lA1vw9wM8p
BPurIH7u2i0t95iC7aGCNBdo4KAoHJORuLUN64AZL8KM8Rjktl3NPhyI4hHFsrfoJiXQV3wJbK08
qKQPyiRxN5M4lxN1IERY9tHtUEkkmlVNh60MWPXERBta63CQ4jmWrtVto7hX64VMQ7OGVpuyE7wT
q15xJeLowFhcVrcwfKFOZvUCwtboxoy7aaDVCSQCnyvpeMAP/dKqYL1Mlr6Pm9q6Bi5c8/sRcj9Q
CCODsjEu6J08iVwKrh1C/wu60uOcuPaif/dDGOscOEH5a8Js6v2sqt5NHBP5txBL1W0aybB7WDRH
a8RtJt9PQS12QWIKBTHrCJnjkvN4AKxc0mkQW88reojvRLSRa6vkgUkq2qqHrkb3fWMHgxWse38u
jpON4yYNaoObtjwR/p562dbHxW+NTgUH0eCe+B1aFp5btM1h6pvo0ARwPUIkChXLXMWdOh2jVg+Z
M/p03sFJjsFNmNhwCOpnV8pcUh2jo17g6lMb+7NJA4wx4TFWFYe44QTHZaQbcNuCja2/7ARrYU7g
dV4ExXJH0ya1HUDJKXO7/hXT0OGdKkf2isJtrHBK21AI9uNy6vb9WLTDphbWdFtjUrNatSVBIsT9
WKG1s8xWTsgAtwwIb41QRWeRg2+8jvytQ3UDJyWnIvET+CKLlUQUtjSZL7vBJJGllzfqEzyEAg8a
Im3W6P1yTWO5qYQEAIwRG+GsmASYmxQ2Kaat33YwJkGPsCyRpg8zvQcWH9eZGHqI5xkGQSKEJRXw
KzrXNLw1ZYxd1AgS6tQ0xEB97DSinSGe+5h0IiGToOxhc6dF3DdPEQ0IJNb7ycKcNKe6Wnu68WRO
aEf/Tn49Nbmo/PCIqaITfOKGY53x0eI66YOxxQdaYmQsK4CIdpk1KmeA73NoEfg0u1hlPdAWQw+O
hbxm6jqmr/AuyNEKqrnY9fYg2AYGExZdT0VsgrWxlX4Iy0hWqSmanqzaQNTtjpaltbMK2nzIyud3
s2/g2aMZx2xBQJuhzGOqRwiCtcrrt/HieWKvrPkkkUAlpCGgBQD8U7mOsVdQXze33NOG3iu3brtj
1PSMPvhaO49CqwiS12ig9btAO7PBaT5D8QlUu5aUT1JPBJCuV6DXhPQD4UZP7TzC+AapajrrRWO6
QzfDs4J2+N/F8EZCO8Zzxg1GYUuaIHuP7VWhW46ED4koxnmEaxhKZRWY1VDbJcxuoASaq7CNGvCP
9ehvqAOB1LtFxg7LoqaVKNhqiHvcF1Nh04zMBZTbSajGjJKCe/vQhEuVLf3Q0PXCOoUxUCghxltU
NaiE7ak28pdF45DeF/iGRGJZmA3LxiEaCdKsGkkUsoUoHOd7VSvjXEtclcpMOLnPGrvjzSkCu1kV
C/4xMk3FrSpRZyYxZnpfXNuaWOqCVXPXW3R59zWJWA57N3Er0D68UiZCwWJKXt/Twq+gAjoIcudO
ETrBp0MXuSV3og+gCuwN3a55vhNFHdGVFLRF+jB0PlsRJpcmZYPNoJbfKFqlpTQtSxQyhgOMuaZ3
j5soSsayb2PYdZUFJu6CDu+wwyHmJjDl8/C7DhUfDAYD7UqoofsruCoe29DYfd4iNPLULf0IFsYR
SHtoOXW0zAsRuiwxi0Cvd5YGQmOdS/q0rEJ6XWHkCIkLaZ0bnCEBT+polq9qRpqT9LFBZTGXI76j
qV6gpC8onnISjSWLUYRwM/+xdVjd2nWxgPGnxXuMqHYySTQIjLBGhKYJUo342ZF+gCTACuQAfoE7
H+KyZyhgiLuI3KlwGjSaxbfDFIqnZrKLdS0dtHWs2F/XC4meKcS598aS5haOb0WRcq+Ad5hrOvst
ZgTwDRvaCq9DRx6ERX2v3sBsLcQLVUPA1iElrc5ZO0zyyhlIY/LSh2dbMpEFMiRo9nte1nu6G6/x
iJCEl1EHbJ1Dig0tp7axrqiP6jj3p7p9KpwBSDiLkOsnC4cnQWKxCaS6XjvRlOupjsO87hRDjddC
gArJSOGVmT8oojJUNItE/r6gWwRUHVQuHrKGpVYVxu2feQzxzN2eMohlVqWo1qaKe42whePngBpM
deuu8sXWp11Zb1zLeE7mkK7pb0MMaAp8mDiz+NqjlqkykL4h9xJyl6eSDFB9MR7wFEJPmYbjcuRo
ZIIBZAq/+DBKlB3BZRNnZ/AySOk/u7pC1dF4Iyx8rahqMSSjzXhtDV0skjGoax+NAMzbYejfTF06
KzgRJoo2S+4jUsP3uUPXHb46vgQGP8I3Igkcd9hRH7Rr4QvcVeyNau8MpYiRWdnRVVsOE8YlA0zb
JktkNUtSk3hCx7EMX6hTQrqrl/OA6dtphsi/78n4OLnKaxLe0gDdqcGvg8TrRQ3vSH6S7UR7ZH4v
aMhJ4pqYVxnTgVGgfDTyVtW19UGiIQTQFhsBHUTdcZlCoA5axgb7SSFVLSFY5nfebc9HHeVe34V9
0lp0okknnPBgsdgv09lDtyQBcxtNklaXyERHzLL/7dC/gRiEZ7xdi9+D953x+RFEM9Tuwq3FH+OM
9bVdMyrzqOnwSVaBjMqUI2uiKS9rN4QsfOiDSFFJXJPvmfmGEFZ1K+Ig0CCitOEDdh67NyOLANgR
Rq3Mjjmknrl0uuM0KdrlfAEtGdpUeAD4GWq8EdQjVU7bukQJZSIY7SxOzVMSNHJMg3GQ10OADgO1
KyijInFbKGrZyUA13IwElp4gJDxrl1d3UNkPADaVSIeJqmHtJ9BRdOBWR1q4PeFrgIedZ+NhCaep
/1Sis+Gj7VOEQWaieM7jYGHv89Avd7ocvTlzC+Ac+CNVtcOT7SB0awfqWvioXPHUQ+t+drj3y1au
IjnpqgBkS7t2g8zB4AFNbHjnPSFaTyKraVXrTRGyOcgiVHavES88Aru3QBxFuUxBHlucvc6oVoEN
Db72k7ZBOgQ5Xx4dwc6VkCXgM6Ku01llfDf6g6vWXlkz6C8GPhnycfBL2O0hBG8E2qkYr+8UtxPH
i+ir7XlGXqGYUDZSwgHgZRlZKFcxXbnA26DgrcrD2aZ2Tt2g3jRjNYc5NL7Ye8uNuFEApdnGaWu3
3bSib5v7JqYch/VAepWORmKShLdCUNhYya5cRWzRXhapWpittkX3AuHkCCdj70OrWYhmSU9HaJh4
C2lQBsMYmKVUeI29WfjU1mtYA2t3ZTPku1EJcdxUQTlmweHh2jCctmz7GNAKkXuSpD92jq2QXNeW
g+8e5lGQtFOWw/aqs7th53cDCkbwBNEkwZRsjFwfKP4G3GO2QCzFHk6R0gFVtmEeVJOZFm6TBNiC
wNunqsDjcrzGZD2bvCjtStQBGQDiJ/y4aQ3GDWAnRv3heYmUmlLddgrFmIV+5VFYpAcMo4FJJfEE
iseV69tTiYxKd1EGX40QxC7sBCe1O4/asLMAOSEJwwrWBhTlc4sI1TtyF1ROQTJFRn7txiJuEhRH
iHYLkZ6bji71qtQNKYbe656qMC/UUkNoRcgWQ5rwIbER+ko3H+2qXu7lqJBLyhOzJZndwmrTngdo
JABmR/c+QnnyhyzKel1aX9urANm1xqFZey58k0FxT2Qw6PjYMBoXQPzr8Nh0dIyBFU62RHZZ4zZg
qgRZEtVRJ9pw1xdvsd0uT47lzKB9GGv664hlQi3jDja0yz1IVkfFXNzFrYUdPzo1zr/QpTjGB4wV
PFtVZFBf+DUwsBi4VYsvWc6rJkKITmKo4CDqLSBbrlBPN5gQ414fHAaofEEafeYh/EKcEjF2gAN8
lPPKgmEIm8OhT8dqIlFaFRABSdkU6Fe3l9DKYxXtvATlNdAeNg7Lr2gc3A85uwHgG+k796ade6iT
9ciNoHnq4WNWIVMulOZVjTM0dsW7qYNYpsEpwwdC2AkE8J66p5kMNchUaxuUAB5zxLGxRPFUiNmy
UHeZEDQfp1bHYpyjJY/I1NAMXiOue7SnYtJpjXDwhzd1TBLjEXVQnXSBD5aqf3Zsn0Mzliz6EEWt
KrNZAadJSgZp10Nc1wHbBKHp7ZUzj66zqiyDpjCrhcRHZheuWaHhM0KQxD8JwNVOR2hmGdutNgax
/Sb2K25lThkAYAKUFJZpu/iqPPqzVZW70a0kTXrbhoxKN8LsCE5WUemlczvod5dpu8n8hogojx1M
haaNLcoIApue8zsC2xXvZqlbA732znPyxaV9l5rOGZ8jE5prAfdanAJQ2h9Sh7bdmzVYMbLXfvAh
5S05/D0lq+DyNNpN8DL6JxxywjjkVsWWGreNIqxNm9l2VW7Jwd/EQHPmTIAbYCeSCnsTDihA8jjm
olzLWYgoQf8nRiylVnTdagt+SC1DVqUSMyE0ZLAbdEESnXFgWzPwmYF2/K4VNQduPKogXFca0p5p
hcQqSswcTR0wf+WCpQP+EyxLKi8qUltQAoRZoL26itsO8HCLuozB/RGihZCYtuoME50CmF7HvF3v
tWG3ofRUWrT1hE+swBGBiXcAmhiaC0WnU7udwjYbpDO9VdhlCpblvEbS20QlgM+YNdlonOrKGgJh
YWLGcgHC4CFCub3GCYg0y2t2MIUBlDMBLL2GujpszmNUbZsOFvI9HCsnMgIAF2qv2UBwCf6AqQIo
SUCjZ1Hle8QixEA6kyeAOvWc2VDERMIkwfxEKtMq+F6Cc6nh4oesDUiRjv7aZQwldkuZnqydJsTR
Ws2Y98+g5EHkBomIUKmNPfpu8LqQFcweC9fh7FbsZXC74hcyspmlrJpKmH02beP0GzXZcHYPWyKs
q8qW7bhaDH5J0E5CIy5yh9aBxA+wqZPoTQRYaB7mMMOIf9StfNkH93Vr11cj5QG4xo3X+jCrBFH2
iZqpbm4tbqhNknEhpZNEVQwrmKnGFHU7TfOMvtVQwIMXqEoKfMX1E8KVWbKuLqBrGwIifpnLCRmS
UtV4B5fu4sVni//eFtUiX2qJNPOmxxHiPzg4tOftUtQ2u8FVTrAKI72Pow1idc6O+IVTvI2qW/DC
ZNvs7WYUJpUxpyrF92WgcOaGLdx7IBfy2oE9hc3gyeihHSNwBgpiBJITMhXyfm7qEWFNCEjtIjWa
aTSmXCsBBYWoD4DDFyTy1HH0pl5tqaOVDbUrFbTyns+WjXfRmKA81lVVWZmPNBdvulPlHeeqxCgW
qiXzwWWlIwDk6BigzMekhwj2nSvhHFSwhYhVUTArTnHujZAYGYxPhytdWaGDgC2ZlVnIVscraITY
j0DH9aENUcCta2QRcC/rTOUf5mXsflMedTNY4dLT1y4nkEpw2SyAYKNaROkdqwitevwksRW1Me1G
B9PEs6EPJ3Nl0LJCmD6JTCBzs4eD6Lu5eerngJdAHlQADi8QeNA/+8bb8GkgYqONwpBy4keTLtaY
7q3tvK2KCGJ+UExgMKxZ8LoGY5FX5LpBlVRRTSD3EQkfTSHbXU7XBEP2dGwIdFaEGnF5gwjCHQC7
vs+RmfpQQ5dD0Cee3WHEy3IAeaS1NkFz16FG4nkZIY5msOop2hV0smmxBknEffRCZCl4bFFpZaXm
8xuDwSlyyKEpCpMvGCSD2+xoeLXVce/J3WRHQ5CxCuZ5WVBrUT6PC0LitiqQ3hTA+Gab2QmOCe3/
cUlAMFq32MFWU08HSazc6BVUX/tFWH0zf5SahsU7kLopvMXx6qIImeVpPLETSJKYDX8pT6kQDayS
I4uVQGqQ2jNr03ueAtDVMQWR0wLQFroCmFicJ4Bj3f9RdF7LkeJQGH4iqsjhtunonD32DeUJS5QA
AZLg6ffryw01Y3eDdM4fw2w7c1IpN98ySkb+U7rfxK0TVcIcqyGRj3Sbj2jjnC1gSlPTRqxgpfwu
r8dBbi8tc8iH0zDg5Wscd28w6VA5xLb2q3OT1ZlOP4fOJw5p3JglNtKxusu68fXkQ+qKYV9Obp+c
YmH66DEzXk2gyNBOv706iJHlrqZrdwO9XvE5Jdz4MTFTE+/WafYOcUP1cOHX0j8MBSPfIejFdmt7
V8W7ssjQSIYUPf71q9ZN7nU/Li5YFEAYQ2ps45wDZ6oIgtdKvUS9b+E5euHismxaht2yFSGQtE0F
COecVqwiPtYKLcV28ce0eauuSdeHzonRgC6azo1x6dcXzXRdX9A1AC9I7sZ4Nww9G1FVuP4HH2b6
xIZh79vZxN8648va9WGlT0m9FekuicX0tUXZHOxE1DFyVWMclDwFyYhSf6hnAFKj4mcPHFOAF8QJ
1o9xTO0OEGCl2sDEzlsL5O7skHIWHPeSBgLSF0vW52xYKa2AxQgVP02PJSXhjuYtGv31kHBav5l1
kD8K+O6p0TNzmOOqPg/prrzUHdjTYVjZ9HKvnfmZ6rBTI3WC2v1PCi+Yd+Ewer+6yul/Sr91lt2g
rXgJGbDC/cLSbQ+Tr9SzIYKEei/q8z6XTjKqDamMDlu1jpQ4XgdM+Iu4/ajijaVcxBVUT+xXxUfb
URhQyytQP7N4HyzKh5pZdmzMvrK6NnvddnHG+xCq1wwiGoxqrlfkhAApMp+qIfu1VsgrLx3D/8OG
k/C1rDUcXuGNlDUVRq+PnaOAoL210j9lkTDuV3WHesMDObuZZNPGR+PJ5lJMhpBgXFIbQRVAmXyP
LPI8o06YnaGAIgaaRsRPKxjAB5dD8AexD8xQCiUOx1Zs4ZvTcLuzMS3DR8AHSSC84E7fOUrQzBDJ
2v+Jlyl9mLpxgMHwxrHNnXTWHGKBrz7mzC2evZAQhnTesrc1LVoXakeTSO3VCqC/WzoQO1t76hlv
W9QcOB2ZSkRZRp+Lb6r6NCZkv1dh5NLJAw91Z42kj8tpVzp1bTbDzvRho1UeMwFebBaKnsTLbP5b
JnAgO8BP8R6XngQIAzR8IQ9CmgP6/ynL2351ybbzqinIo44hmh1CF3zT1RrcJOS+NbvR1vpP5UrM
lFzKALVeZEZzZobUISA9fHaOZV5Amg2hbY7DVLhPYzG6yc5YcK487S3f7xK6Zj6pgc4eStkxBlnj
C7hk3dn3VhfNf2bIRpmXck5gkZo5fpOO7ANy2oL+A8qfiurMsAPncurS/sRv7T+UVVhvu8nU2akJ
mBjgIArcz6KuX9S4+dNlbGceqpDqo54lkeg3XvK1Pw9jQ3s0PS3tazVOm6BxM7PyEC0kReVusKZ/
tibAfbaIwrygEmifBD/m41JGhidiurIaLMXzr96Z+zuAgfLvqquJ1ZGp7Wceg+1etD4QTrrGN8K7
Glj0nEWvQVVF2DZkF/8n7eZnB90ssXy1AVQbz+A6XJaZx0q5of/JbnGFzHWC0EyXsr8dl6qbANz8
iXnI9S9VtxbJYQqiFTla3FY/WWfnZ4rq+FVntuX1CD5pi9yawP44oZTyuC5q+IVUgqknLaM63jNW
OgSIgwfcGH8lV9OYkqB/6daU6LRiNcOxYeR9TapgG7/QnS7U2Kion8QpcBDS5iJxxqNjSzXeLlMG
0xwH6/Upa0a9nWPjV+EZvsKvoMtdIS7LoCkes7GlzqOanc0/N10mPhtetRCkVkXBb7DY2XvHWRuo
L2bLEomFIcoH/juojr7T9F7Owe19AcDL+DTbqXYPXW9mPkBlY4c1ir8aMD9BYbYsHvEN6KDn6MlF
F8A4WBfDeBNtTLJ7H0b4K5ZQ4/uCM8o9yK4NkUxA76MnZ/uoz+xlhclTa4rsuG0z8UxhCzx1yhqv
GzGZrSMgRWL6f2kGAQXy1swfCUtZytMe80Fq1Ittzgsx/+nSVAgU4huepmwxjnczMturYyAWQPCd
aEb5LktImj8p/zm5HWrXqXM1UDp6oMAtXaAjShHsN7rknHq3Qn0ke7XxB95xpoXZ7VBMDb1g4Oec
J0XyFK1x+N8yrm5xmFNv8HblWiffKZ0XYBHu4sIGw8Qf46hxzLmpMIugiWYhRdHkkoO8TqGmZlPN
PZAB1abOdIiM5ZC1DvDkEY9yPB147EAF4KpDxHTbKnHVa4cXVa6OeAr6tq4fp6gHG41BT1BChEhs
bphbQ1LC6r4gtbUOkREVXLki76Kwlnmg/JXJdUyjV9fLNhqohpVVMprGFt5eJKNh2csqoLTAbbsj
Mhis8muI7gjWM5FQdUvqvbe+d+U5OoJ2LnY1RbLrUx17nNtZNOddlbH8LEz06c5JgEhNBsebA8en
v3mPLaKRYZlhJO08lXuiStL13W8VN34qzOwc0E8NzY2q3YYHc6ugxTQyivigY7bWnAM1WbBKlWuw
Jzy95gNaG9HvW+EH9rE0kwfDq+DntoPjT812WAaxVk9WlTHRRhMM1FMUoP6rOE91sjwZ0DSzl1G/
VTf9oEX7qGK3ck867HxzyZQBrhdT4zpP6Kpsda7jLktYN628T6e+nBnCnUw37wB4rWbRGVT/Eqi1
dlcYn3Co37wiarNL2ieQLkvnRBGfMDDzZ1kN3niSngCjzzbXvAWsZ/GuImr/msBbTd3erplZT1nR
J+B3jYMFvXcG+xfBGHAYfcKJPqL1oxIPtDLoj227pdOxWCFb+3A1v3XgLMvRcwrZ72WfrjZ3NkX7
hgl7VHorPxcEC9vdk6j0Up41Ka7cT9IU9hb13UyvRAozm1eRBo5wgaBALoWRWb5cuxhz5g+DGUn4
mOXEvIHIprMahpdSVCD1XLRmO3hthHlirLOrsMg18Xpqx3T+YsspnxNbwof4ST35+YSOYQT5IIPr
MLdS3yt4/u0onLEsSVJgsPjV6GTGplcPaXHkS0YNJzvYX8rThnLeD2boM1QV/pYBfchivMsaaph3
dESZ5lDbnodJzIFFWabG3v7q0CtSH6f8SX9s/Jb981QgzzsskQiqF73Anv8qU6cNUaIVpHhHXt8x
c9tO6EeFd+B+pKVp/vT8TQ+ELsUjb5vm8s2LsSZBtvQm8myHkoDSbFfQDle/CgFDkxchHgNgYMhd
QK1qK+5X2YfQRUnSVjt4jFheEEza8EZOaG0PANa1PQ5LhiFUD5n1jkyoaXwAxJH4DPjKi8tal+rR
gcTqzyueluZ1yQCzPtx0qPwbydVT/V1kks633op3edckbmTPq2njO69P5upUFlZsuaxWj6jSGCHK
fWE7jNpIKwmsWrYNdK5y0o19G1KhfnfcJJiobUj67GHOnHT5Coeg4ekKS+PfbMw5pL4WoVK54pcV
+202DXQkgpGFcKjO49ZqiyS9I2IpyU6LhV88d92ctWClMdNcPk+8PyeY4GnZBcIPvSNZls16GIOo
yHjK5gRBRjSF1Y1MDU+lQWRlT2PvxvKfN7pbjV4rQOg2D1km4MSm3jrvaUgN46FZnKI5odKw7d6J
tDc8cip3T4PwuAZ7LxnMU8evl52lsl3xIels1C8uIe/86FxXxX1rCsZbK3T5x3MwZ995bcLJHINR
O7ewh3QVdOC9JDUMldf8NTb2aX6Y+kAdStuHsKfg8MWlqQEGUGxsFkaKg9t2h82azqOELI3mNwdK
Z77SNvB9zJspmkRA6qK6LNRj/gGJMNLZIboJ1r1UaxHvNBxed1lgAmCTM6H8oyMzxxwjNyKHffWb
tLyJnX72TxGly2+JLOrt7KyNX520hv/eTSos/rRxiTxnwXrewZJwbfc7sBiAXSQvLBvsxwteq8QZ
lj3MOJJ8R88x10fGZY04TflXKcmUzGenXxx1y2uOkCHdRNj+lh372G71Ry86mEz78T7USwRM5PlD
THaalc1t3Cf6NhsbVsB1dshmmsMttPQhNlS+uLS110dnbRGMBFEfhrk/Rch+uSW5Vt1hZS1QBbP0
2MLCnnoEyHYnGHrUztXp7OyFlCRfL4WPAK8G9IHGQKCFzSaD+jw0coybr7af3W8ZjnoEc1Do8NBd
ZGqnTJJ8wRCH1FelvffKfkTQ0To2IUdfM431A6SJMCcroXoujQyu7/LsWt79RtgY2iq2XNMqjMd8
bJWipHJz3ZnFDRv4jVM6Pg/BFgFu+1HbbLshvO5XavGDFd2K9NKLxAWwnp2tb6BkRclA5oRRcJ0g
JnZRPNhRtpcFsgnWwC4lk2jZSjooh2n6T/TU2ZVx08QHAbfyvPUxaE22SBcvcJFsH5wc2I1G9tDn
IIMMPY3FZN+NU+Hyz3o5vQDoD49ZOtYFK9C0vtakephTPUq1HTuW+w014Rj8kzxN0Q6Yh8mm9oI1
hDLdYsjF2Hioi7J0/i9ypjU8l/Hi8csT/NGCDq014R1J5PxAosw1qrshfplWmLZ8yRol8kLOKMpU
6ep7gjI0ESxMKN7ZW7OMwMJ5XenNtHP16daZ/8V2NjxogdB7t5jMbXON5Ng7K2i3v44fNgPq8Vio
3KVsu9zDu04YC5NmvCfpuMRdVTWIfFaIg/cEIWB/TlY0Qr8VcPeCNDDhsUVELuobYIpwJP5SaHe3
2D5FVVbyzB/QjJmZCdDngWvV6IIuTLH9l+huo12QelfnOJcaVYWlaX47oSRz7zRvT7uXWWQYYfku
YJ6igOFVTbV/IgU0QxogU+EfZAC2tl+Q7HLPhMFanwu3Vz3wQzvLk+xrAgB5XbFXJ/HcAOmklXvZ
gtTh3kyCTpPZkEa3rpuhU1QDbSTcBVxaKAxsVR7jpUn9XPsMHbxgkxwOs+sjR7QxBC4r1lU/GPuL
xZ/Wo1uCVTDeSn1HwQNe6JWFh9nItedJNPqhQi4ugeKYIEjEaojDUEDL5sBo3JydLPOGeyj07C2D
/+8OSbg4iOUnEUf54nRbcGmQo9obmAPeBmdDVn0QtWEWMMEo0bE2wEJ5XJcj7YFDYt/TmP0oB+Wk
oNbEHRx+O2WqPqhYhF7ubtqF5RPL+KIaOjV3UZLKLxNHA5LaVRfx2V9SfmZlp4dgbtN/Ud84r0hy
kiddKLQGw4Ta74YfBvzLNn7X5UNsNJLzMSXQiTVg/TMnYyR/WTW4wy6Rqz/t2rgpoyfIiqAiTU84
wodmKUPPv3RwdDx2kMseUny0xgflTtH2XqXAtzsQqJpc6jkg6rQNh6U7TvEWPXh8O1neR6oe765a
mh8gcdHlYhvrKQ9kX74UjWKiFzxZNxAlPPtBxE55lPU0vVY09VD9skImnua5dEA7J7f4xXm/pUdG
0K3Yi2IAmlMTb3iebLJ172USrOdgm0q0tussGbXrGXiZ37x1fiXJptg82xrnjDZBWHzPMEHna5NE
hFCDR3g9Ra6YEPqr1r46TjivuU6BPL7lHCj2lWEkhY8wW8cjgp+TGCijXZ9FsUo0XrGihCIZMJcc
A89X9kZwxL3Bw6R/VIS68dKl0/I9oqGo9mMU8nb56IvNuVaJwCedTKt+7ukqol+qWqfqMwlNZY58
tpJjcA6cDz2NSXxoSs7hfOzmyN6YvixUgrYjDO4Mlg6NGEsF+BzrKMl2oAibPiZtkcVHXbf9FZZp
s+9k8NLfcvHtgApYBm+OUNOvcHSouKSJaW0OMi6WNV/qLX2ehrbhvuWkUccubjwHF3tJ0BQCjgF6
VqZtUDwgyKyn/axT8soYO6LxFTYlJmivZxDNExOTK+8OA4j2vAr3ewl19dRMVUCHVrACNXYd69qD
n210Sw9lbVHDGGckYlzOqb+/2j1GEAyrPnwj/TFHH1K8GdqxBgSwdV1yJXCQHdiMxa1I5pRLLSxB
oZmrcGEAJ3ef0h3mv8zPrb3vWwVmkxi9pAdH+X11qfkW/s3R0LbfoYsnBEyKk2evFwNaESjFFZoN
FBDvp6is5kNcTWX7wxdYIc1mQ132Fh88EbjcxmIfB2H7M3A9PrrGtd9ocNsoT7cI/dLo6WjKt8mN
fxYbjNFx5uSsWQzj0Xn32qtVDuqZW1r2Rbb+DvAwPLYDWrPfSjXWuUyoot09er16vG0IF9xetxIq
M6/jBlQBlhc8+ICTRnQX0ORi+ssYFLrHOY2tf9NaK4dHx1OKc81uJtjpwMCPREoFHkoHr2iD23mN
pmKPQHCJCcmZdfgSDTYk26PhEDhv3As0cJSmRos3+Lo6qW0y7bEKp7E7R1MpkhvNFe1cwIghQKmG
hYePvXD29tyOlXss/Qh+vGQZA/NIy/mlnjK2dTcKxw9TDfG6G+IUxtdDM/UaZ3Pt7bkMO5JTfbzt
SCsq6NBZpCOH+xYPD8NK4zrjlAr1EQm2x09drMjiqeKwCOy2gEMDMlzL06icPrzjcUzKg53Z4/PS
AwjfjTgtwhPn4LbkAhOtc85cDxXfjCqMj7cdaFJ3jfNNksP42qlZLc/Z1AXhoTdu8TueUJzUXdQV
eyOL6m9pwyLYlXNQ1/c2WR0AGXxZ1Z1PLvJvkI3st+4TVuDWulH60rHtu0hNULS1pxa6DIkxTOHy
WmCCQopRiYnxM4os7+KWFO5xque1upgI+S/nlFuZvauCcT12ZkqLO9ctfG4uk/rDEx0pFaXrarrq
95o4mdLv0GFX4CHt1k/Tz6138jyF4D0thsy70/EG+2Pltgb3RYgA5ugl/sag4Xm+ToaDxGQxLih8
OgRuoGDSDtUpqtdoQNDQewN4QBglRDw228rf5CAyliILnXvPA5YteXu9CC8yRPTwJqAc5VEACGz5
OBU+Z0Mm2r81z1uVp7DNw4eKkpoUAYwQrB1uY4KfpA0mbEBZYDCvUfE+EV8xVRvIM1OYMVr9HmDA
/mVrKPEQ+uQavjh2lWW1G5y0A8AYVvXWNrObMX47vtPfzm7bcjh15fCp8LxBG2m3/9oGq9+Uuy7B
S2ZLmqD6YZG/fCWWMNdiNu4uoiU2/kWxwIBmtEbHu/MrK3j0NjMCIjaMUX5ubLSmxyAlBwOXTrL1
R7tO9tYPFYsPArWtejRgVB7Lcg02sxBC3P8Jhw3IeE77mV51fBuBOEwm3T7WKkufBDYlxaTsN8m9
C1Ap6Hou5vJO+1WTHtBv1e196CpZPttAboFicMpqgYaBwWpFOtnb9HlF3KzfocS9r8mFGzoQ4eF0
h2pG5cIBXSVcsSALZlfKhdgQ6UXVG2FzrT5rD301BI+14jEo/KvTBsudYfWjKuNQdA73RdFVzR8o
dRdgD7nAkj3Fiqy41y4lLzLnGeRmQVidfs1TI97aBHYHD40QALJsrt5xarOY56ioZj9HAjvfQfqy
t059KB5QPl+d1Xbyzc731uhLJe4mnmA+mZssOcvlPvEm8Q1iFXB/wUKi+lmiHs+EB+Su44ZS5Gir
Y9wS8iptdmvPpHcoESDZuiWZ0EWxfnV52dZtxo08wPoXEf/1P4DfsrzE4Ef9sY4RKTFvILHn/Jq9
cY/v0xP3BbWX3qFm1kX+knYaOWTnBsI8lsyK9cUkzbacXFeq7wbemuTVLVg1G7+n613SVOM/G9n4
u3LHgQNCek3e6LR96guT/vIwgXwnTqOQIJaYnfdekk7RXi497lDl9e23Movj3daRh0MCEXutD36Z
TZfWzBF1xajkortgNvXyq1HRUux4eRMqPaBR1T6Ja7TNS+ig+x2ygED+RnYBLPho008GavpDY+wI
hDwVJY40tP4oIbNitXxDyVLYq1tjrXZ89Exaup2jMcf9PbuM5xH1m8MkPPO1TAHAIKX3tjyn4RBi
Gc2unjtoJEb53IE8qrA/rsLHGZeq50jp4B6cYl5AV7v5j7RpgtMmAgMFaMJAs/1jUrIfFpptOZbD
wCB6LBOUs3LHFmX2flx1hLyx2bF2h61d8rQuaJ+Yxl76+6JSGCxkWInXPourAdGIiFU+62Yktd/T
To9So5DP2DZ52DJfuzeM6EW6d52xeqXgIHRuN194at/YpVgfprgSTL1qyMJ9BrxfMnzFnFW8FMg6
lPLmT5q0pjhfEri+gqQaDTeX2s+iXirzudkNGFr5cb0g6ro+pqZsw38ANXwPDc7L4uxScMrUzWvN
t2S3wM+hDSO+yVBTKhKiydonY+gQtWGu0EaxXYeksQww6k4ZfCZS+tq9XesMZ7sv6vBtLMeR+sbU
R4ITl+UEklY6zkIf0bK8QflK1Dgd7gOQ/7oo9omvzC3tMA2AKJ/kI3t5+xjPBWYiMKhe5FG/mOVA
c7ard8t0NUlHjguZW2P0DHcQmv4tqMjyrVtPm53VzXovWPdqrr6isCepr2JN+Gf32bp8KA96hqu4
QKjpgYzASf5BNj+woEeRfOADbCz4HKpWCJA6UEcva3sYBh16WIsQNOKO6Df1NDnL0O3LrmfXdzJ+
iEMUqvQnCBaMBoCg6M9F6C8M4SXZsxR3bli+eR3EiC7hKuo0jmBxdFPp4t5FHpgDaGafcZLFv6Xb
9PwzePbn3LnuHQtsveU9fNNHWTAs56HZekwDS9E+T9jXvF2KXhF8F1huh5AcZIVLCbXvAMD8h9N3
LI9o6DEL8pXY4Gjrwnq7KOhW3vcyIwmcOWlJ7uvNnZ/K2lmfKt+T7h5yWoynWGT2PzHiRdk10Qxz
mLKcvsNgDO+Yj7im0qBro7M3ob+/VXCWf0Rb4FfY2kBHhyqu2hdSVTXL/hgsD9EAQX8VAizQHdMo
XkOrOv9ASBqayXKzzU1BTRtePOkS6xIPUcLa7wWFlBzB9ZDdcwY7yL6KyE9REXhOPXyHKJEIwMHf
MzU/NVpIpIo8EeLGC53R7FUUZVhGSuoWnl2XDfwpHGWqbji79H+EDoTjHSvWUp1GEclPSwlahLKr
6ae3Zgh751jLLn2oQSa5W2uXL5ZfBDmddgFFSBIIECEMTQiVx4I6h7cebsgRo1NnQ3MQEgzzYxNR
+WQslN4dIKf70rppp26bLAbPnoMhqB9MMkXqtpDBVZK9ZF516CxzOxakdvuDgRjmiA2HkYYFEMoZ
irj8SiemJv6PIvovSEB0+XarnlZE/hpI3Rm54VltJs1y2fnFI9lS9XLQNpuejUOJ8iWCJ/Z+FaoI
3sK5mX620DMjCqVlqHZhN7CsIlXI5gTphGidare0GTWESVLE60W5nbvd4oPp02ec1etrIFukELYZ
cd1fR7L5ZhqSyvI1dhj88HnAo9muSZ19M6gR6WRtguLgu4LLAglVcYYk0O+zL4NPQJeG2qBlbshV
n+I0zcuqVN9bmgbIu7W7ujvsHvWP2rL5K5OtwwtoQ4woFtnpX58JCQJxAsHJEUZb/WmcdoHEWzgV
j3A+QXg3eZaNGDfRfNdhe8Ucl5UcR6zv7T5bexvuylQgltZAED13wgY5uAShi1+CcMz4GLpM+M+Z
MVn2lOAXQt+XmPLFAS/UjzY2GdkMAUuNBG93kNpi5SxIpXIkchqBPXXO3bFXwTkMKjRoLdtEsl+h
9LJ8DMvpTbaRxjm3YBCC802Kgw4DN7yMUz9A1lSJ+hqUM00nLTpcrNWydHtP1XHM6V3IEV0+dYKM
W+7XoDcXJloOPVBrE4izB9J7NbApcQCTiCbeH7uJXDc+G9wS+tXZdBwWNzjhC5TtdeuYX0w7gtQl
aK76oUU6M/9jgZNkaHQF2UA70NEu4V6v1ocB/8CH8Wdks3JmltgFvm/G1zXMQpR8G2pSftw06j6Y
SZf6QrSX/ttWWJN2SJVGzochCb4i6awPrbvyEPZ1P7RHPS7Du22seE3qbgOMMOP6vXBZ/9UIVOKr
RWp5klXtDHsiulcfXb+LnjdJbfQaFSvqwUilwWdXDdejYE0KkWO3kx3fB6MeCkBUlbt6nAnSmUME
YfuMnzPZrZxFHxFRE2itVF1+zEXV1q8BSi6Yf87V7nX0bfXeitSuqBTn5QlcWA08ihs2mqV0U32G
CgKCj8pZREfXw6i7G4Ae/yUrc+Z+CrbmYV4LvLl4zSa0Lpji3joi6ArUuT7JLTSNrthr1rr7nrch
xWppHISqXI0/Lq+32iMfld8JyDvhU7gQ9R4bBwkG0rhJDjltPgmIW0NciE3zSFx/Rvde6jruaWbE
vEcVUX2iQ0JLHw1bQ7oqyR2fmLu0OpJQXI6nAr1TiUR8asefjXucGcxtg1c2zLTKRSBR9bv1pJ5R
ndj6BsVSyb+OjZWXmGyZ/m7rxHIeN6V4SiCTap7dMEYCDSXwSXA/X0Eyzfqh3frwW/nITXcJ1cdk
6CoDyO1kWHmQEsXopQCFp7eQ9fwPHg8xn0ShvP+I7Rj9g6X6iVIg2HlKM3V5/TYWv0ZbT6bZtsDt
uVuETWQYoHbHwe+DPGmHlfR0fgHnIVFb/wE0BulTFkZ+cujKB8tM4OYgtCnT0lQv15b7qv7DCbB4
O+xgNrtbyauAKvab7AakOIjOiGBF+xKSB6D5NXtwQLXMKWNi1pr7JESXxZE3ECJaj4xUu7rtOHB0
F03xuyaWrfrBsFJWJxnr5g7hVJCBLBJsxEOLKmMAqrRnYJVxPE/VQqBC1CCfzGO/oVJrDd3Ez7ch
MbgCIpn9vWqr7jX8gXvaptREDOzjqm6vKPJPTVRFizghCd7byM9Aza2p0sfeM9P4Ak+Fu0yk11AD
p2499dAFcm4PSyKjX3NTrmQOM509FnBOzPJInn4N3oqdRftygy536lXScLyyIme61WD/fdlJMKOr
agP8nQeBV2HE3OhqxbyfjKv3IKetfCS4p7lbvBgH9o4DTrWvAsNe9hAnRnpMaXOD5zt3Q9fx3Acy
WFgjjn0zRkWKqHeJpt+boI5P7cFtEcruRBomxh6pe9XO8owQ3xu9p3RdcFadvMqvBW4enICifMlW
shXG2zRAE8ymyL4VlIcYL32UYE3BF15fKPNLHWqbI69zmFNVNf7EQ7y5bIDonfZtrQcs6TJOimNd
0J4j973yfVJJm5TpmwAo7cr/hqkc0WTCVxtz7/RZmL2iTt/Sg98bw+Tl1gQoBP2cFLsl8NZ/AdEt
/c1WMHBALoSDfDN1IYabipMw2i+UT3xnZDe5TxNM/tWnzSGf/nW0MOWTn6wZnE3qtxkBlbbulkvr
iGQ7ycBQ/3xNEgFyMaUof7Y1VuKyDqYKzjNoZ3mfGbI/bwj948z0p60Se+M2iX2deafpIZZJHOPK
IAvhY1z8Zrud0jYq7vEW4bTyWVDxb8GGIoPwePtnf4cUD0PWTvJ2RcytmEcOIB/KeQE8wbRjW6jb
G4eETbtzSX/h7dlIJyDGqEOWU87Zyh8Lia53bN7mCvGN1GEaIRHDZZ73RIZvi6Z+sd6GiTiDIEBx
0bxHWsU/PvYZ7ovBZC/esEn6jH3AzhVqEZtQJxomG+4dySKeFdGuTYr1KSyiUD9CTXGH8UaG71OQ
0sBZ8o4/aEdrog74urMbJ1LZH1uN5e+WD2A7VEjCXYAGkJ3DouLpj6gM46MJayDQRMAfFYHhz6yL
zeCZC/3ta9hKpzj77eCoM/Sd/dAyMUcZx/50mqfC6gdpFaErKXqCV50B8SGbwAN8tsWA35TwH8Oz
8j9p57XcOLZk0S9CBLx5JQA6iU6m3AuiLLx3JL5+FtQTtymQI8ztfqmuaEUpcVyePJk79zZiyE87
duB+yLlhHwID6A+wSbwDfEGR51LortZDOjSlmzdl/nS5vN13inR+LRWKcE4lB1QxaZ3JdDvArmEH
vSWdyZFrMV0mZaue114eB5+hGwl5NbSp9UgjK1wnvZrkbqJKmrEAaQFKNdSAoS9I3bb5Gvde4LPU
Dt6fIQhOJLukasGznURdLfICGxNXkuLW9GA+U8KnNK2UiXC4BAEp28pPaVr3Oqv90/d6w/OUA1S4
EXgKnupkinPSg3Sk7X2aQz0oH3Kp3ZzJoTyYQwNo+oxEO/qpsPfID61SmMCs/RrshEhptuRApefI
DZSiZmi+1wyPskEalLb0yuvsviYrDa+INPAgqWEfPiaVcg5XZm0GY4NWWYqPckdfAaUDgbxdUZ27
syOmvLhs3r8i2IlLBBbLyGtaSfwOigUqctHCr2Uld+TY738Dneft5wE4hSMzMFp1ldeGTwsJ9/Uq
h1l0cCEH056CErYEB86O7iT2JiXu1vN4OIHPY58l4N1eG69UKRZbde0YKrlmoHNidYL6JSSfRctC
9WjAM/bpkvdnb58jOvvZFC+VE8ty2329KJS8yaNfrIi4l3o955s6LY2y8IGCb6w6a0FZR8xsWEKh
dpEiUpEumBMwrgrkAgAueJpJ9GpW2udifPY4ngZNMF+sF+nGUgfvtRIN+p0p3GrPRiFeHJrKu0PZ
VclyAOjqg6PXm1+074PdoTOE/Ds0fTw2BtK+ossrXjxANGONncrUSRdkIGN61WnellyB/iZIO8Ah
gyEEM0FbaTFQaJfTKvkcp33iPZhJIpzBeCeik0Y6RAGWZPJ3q9AgOeu1ftiVPNp/5rQZ0KQu9NFT
MFSaTBMdbTELEMitQp0SbPEykqjws8+s+iEXJU9G+MSqsqdC9cmjZGJW/8mkrviRkxrmC6rM5JFO
xuDyo9PSynBNqzwfUlJb/SLMPMX6rYsCJSSF2vzKl2IL9aaL1DxDH6EX9IybKa+ipshSkAKlsj2r
FTWUOtMCf5PrtTk4FiWowjVbGVkdE9T9gzRSDLmXPOgOONYudik0gUKTcAfCahRuU/ZF2l76BzoB
aJjo4R6RNmVIb5jFoxocoFjXP3TDsM6PdIxY+pH8taXSF0tLh3G2oJLqhIQjR5dhIERrPW1pAgtV
I/hOx0AEIri2+uYQ+Ge93intecSldVK4G87nojjA8y73O7HzzhRMaGUJ4yU4BpON28e0BEp0//4M
yQF/t+i5OIIbAu1NQNEZEARZ9DrydznfGbQ2CBteLZ1MX3CTJ25JFSqHC4IWGpISIRi1hUcsJdgW
EmPxskp4OHGyQqqCdlgpguzoiWd6W7wcRJ6aIowgIrj14KHphr49AsiHx5yNX5iQmfgDiL/G1kK1
VQ5+LWRAWOgkDnsutYDejMqWcNbpEzmggd5MlMe0Zd9Yfr62tJjGRIptrbIcoOZUHy49RbcxEyyz
ebl+HZ6mQ2CHidT86ttSOaYqtNaJbbVkeXYXdAYhocp00cNl+pemfABkk6pfJKgkKAJrgtCfSFEF
1SfQkgGt1AYoAtWJgLuAhpEpD5IbhFEl+xQanf4zwdGA/lCoURhDp1Lv6XW4H4G0GYnTV8DQQYNT
eF2mRdx4m6TXO2MFS09Vr6yegIULEQyHZYtRFRdgnXULQs1zFbXbPEvpRg66Stmdz77oW2SpA0n5
MWRq9ShnZPe/GAC6pGMD9BCCr+HSmE9R0ZTeo0WTJNmLQhCgSR8wsyppuBW+SGrd5cj58tueE4N8
/9oqK4r5dL/IwO9oD4/V1JE9vzw1QpPJm5bcggn5kiw/R3LowwQvygTXZdyD7BHGVsiMYoS4Jeb1
o83Z58SuA1blqakkXplW1UAykBpm8I0H5rlewZrZHjvZKGs37PW2A6bcCP6GnmJftIsuv9DNRROC
JDyYJO+h6/KswDt5cSH/jArBLzeFWRYmyHSLVwitvfo3XEoDs1BDsQ4eJ9/sYpINhmJSPKuBxJRf
8oELsKB/Lg3ibRBEYvPNFIm3yQ3QAe/m4aVU9hq8dME6j0AiQIkGb9RCI5GHPnAS+fFnKFp6f8To
auJTXtZFfkACGIWJSlHr+lhbJXC3gSUTN/QJ+cTssqAp5YvaFjol6rYm6dH1cL05aR2o6ZG0+fm8
VXRgP0Kn6HQCGGru0cbWdiqR4lnrd3BOD79Us9NCYLlN9GOGA/eW31qGwRAUiSbKXL/yhFs17lLJ
BPnU7MANt+GznKRuCgYPg4CbxMUg+C/+kCzbXNqY68a2WakZ8mXpHjmpKQMvEtEGQSRk8gmlnhnF
2eITELW7wHbtu1CIOOBCdukGvQrbX86KC4z8tVP6UNSStZHRW6FZccKHKjCsLjH8dtcn5cXtKgRQ
KiBY1IN71AXpIwBUYeHV4nPZLgXd+JrRsrYRu0A++LQoeDNMxDfqEZJsgSZF7t4QYVCdEplrLTw6
QZ63O8ofbndZR+lvy/8CQdfMYt8yDY924HpnsmH9MSczPfRSK9Ob1O7M07l5ye3LeWPsNMFtbEN6
CbNd5Sj+KoWIwc4Rczykc8Isd1b6nf0JrTAJkECGXYHe0++8qIsGQVPNpZ3v8kvb9Uug5WsqJ4G0
DKyZCZbujpwkpoU4tszYpyM3QpT4xKZFfqWwh3Y/wJfBY8cXV3APWFyUWkFHwR+enaSd3WKEHDeb
i/JH7oVlkcczW/52HkjAieK43KPQ9JsQ/BV1cNXQ4NnBWbajunPwyyUltF1UPn282neNSGg3sL8N
XZpuKmq0yjmhgWEnqekJLN+D0j5F6vM/MMJTlTIAkZk8VR6PM19pdNXrdnDZfrJ06Tdd6yczUGY4
sqdj4VgQgtAOaFjkFTVzcl51wapFUytgUQo/V9KTbLya5YyJ6Q7BhCQCLoFMWCNmlCaSa1LRWQiL
y9EBHGrRuBXtpPq6StagKz6esulhnxqabEVCaK0xicoOUXFq4qfY+yNbP6r28LGVOzP2bjiToxYi
WTAklRQd6uqHHP4yrcMwp9E1N2MTvmctiBNqlcxYotp1e1C4vC4uAHC9mvEbc2OZrH4hnL3gHCrR
wQhfPW3vqb/UfEbmYW5Rxk+4OpGQsJ1Vq2O6eu+o+XsWRYyeLvV/eVqmSz9Rdwk6hSYrEStwCNqJ
BE2G+UXVT/9u5cdluxpKSJ+ACgA0Oii0nsTCb+gDabyc2V7jlF9foH+NhMBSkUSZkzMZCfiAQihE
PTqMLGQLCmdbsaER9+OR3F0Uk2K8xqWog3J7PxIecuCZ0UM5BMXBhEs2gmxUCn9VfTFj6OZ6GIcj
azgYxSCRoiiT02J0mSQGlzg5hM0j2Y2wfjRb2JzBDw7F14tG1o46F/yYy0E+eMaXGH5vJTXtM5WZ
AOylBQ3Yx0OfcqlPP2hyts7NoF4Ejw8KBtlNoD8LNZlSr+9UQkFLHVoqnz82eG+ur2dgcsZQwPD0
mqTQobNW8vcMZsnUpK45O9Pjmk03zrWdyUEbjJKkaeknhxj+0hTMMp12oIOge7NW0OlZtF7G56VB
78PH43vbkVPDpmJw6ykSMO/pjm3NWBLpC0kOViYcaJwEUXeEXI9OAIj7hOf4yfjBS7F7TLf6Ywpd
E2nwOZmRe3NsquYoZkCwp+qTOY6UQGsvYPcOhRO0biAgpUJnv5bNDXW8QW6Gqkm6TIeBhrDPZI4v
kukBOmySQ9k8kfJdwJaW8EiTvnoL46QuIdQCypfYMxM8lfQwZISbCGd0kQBLl/WJS4iBeFUkmC5H
GSIPkXdsDSsE+sxR96T3L1L+QGIwImHTGitT/nEuk+O4FgBgLtCDFWuyHkutS2e+6uaOmnzUxBk2
YXg5Q/l2ObY0Xl7OLyFECBbUYi3ZCylffjwFN05xNEZsrUCsY8lIZ7z3VwXsn1rqMQOG/0TmZ1FV
v/97Azq/f1SGgoBp+lIiZQnESCsux54qnqJA0S18/djCW5jzbu8whmsTkzEI3VkzeZpfjsRDC918
DNRfjHmvxm4PbTdl8Q0UIF1pzazT/2GXl5hhaARg1uRskPOF+zDrLsc423fFV+gQHWFs27MOggkN
0o9zC93knLjbzYFksEyjgUAgOieEsO8XrKaVpaSmPxwFyKSblNYIziTIlZ0azJzJe5ZQxpZ4baKQ
gW7Ie0tm6XlV75fiUfWhXodSyos28IYDlJoRsJ4zNJ1HKzvHqp+IxxZ2gT08vwLpSphzObjJprlY
pvPxhrlrz5DJz789ZszJHX0hucCL+Cwe5TpeJM2zRfwEO36Zbj62c3MhyvqYI1BlmfSoIcuTpdJ8
sEngXkQa4I1Do8WrpnzxywpKJZXyjHzscvH5Y4vyre/ApEFsQ1aCR8fUoaX0ttdqfxGPRg6vaqIK
P2pPN1/TgVJPCt/Xg6Yq+bambLdV60H6RbavXKtkQR24Yut9GlHSGiT6gxeeH6UP5waUO+xt2hYm
kUXbFN8aOl5ozdaadQcxxaKh9GELvbBPTS3awOkZfKXFPJg5afcmUqELBkIsdrysTXYiYJqcBhRZ
PEr9c/Y1ivGD9tA5TbUvZrbinTPN2xaOSPIsuENpqsNKOUbI68LieMEaHhfSstB1Nxy2inm2C9h1
zvTo9AO8TsPF/XjtbpdudCNImps4SYPA7v1xy+tYRrXjPBwNXVjCfgD7h7Ds0m0Afq1Wvn1s7E0L
8b3PfG9tMqW0+UvcfN1wrH4CTG++Dr+kZ3FrLaOl56gbedP5MCAurO/po//SvhTbavnxB7yp3dx8
gMzzm3erpulv+nJXIb8qQN0DGHU49lv/iXLCA1qRwl570p1hVXzah8cUaVdrU6+jHYisGeM30YbM
6FXFRFFc4w959BBXxmNokUAIG8PRryFvorfqIdC1tRqlX6SU2i88z3DDNT9yOqXpGXMaZfjyT77A
ItHKvpYVkgTvv+Asa6Dh4R051rXA4ao+kbfdeGenj7QNjerfaJMGi6+b8aIlrv3Y+L2dRsSD8rYm
jaysE7/Uhv4Q1VT9j0pWv5jb2rCtLHtOhz9msfpXlt524dU8B1TdaVzR3/Z0vlDpmacev02HZCP0
dDiZ2aeP7d169jFtRKxOolPjepysa6YAe7JiXzwywm2re0tIoOGEKJ7MbsbSXUdB+pd+Xy5jLv+J
KZLOwaCKKT7pUOo5jR8/o/oFWbiIZjfBKxZlIrplbsz5p7sjvDI72TdwCyppXGFWMOpl1a3CprIF
vdglkffieTKYcjfw651fVHBEO7B8tUK/Da3YLcjOV3Pq42NUPj3E3DZkKA0NcjZ9spPOct7l8LOK
x6xPwpXVnf+gNtSvzzEEAR+v7L09ywtIEy0JHSNtupNSOdNAszJulfpbPEDQvAY4WfSvGt3LH5t6
S2VOR3Vta5LtGqpzUapJLB57raXfC00Zm/LzWhWyV0AV+15WBDtSz49DWZ0oaj2kg/qcJsNjBJuV
DcN05NYpYGgNev2FYcHWlUkKzVziwYcmOhiakx9K8BcK1eDkZBDhtqAw40m/AlNbycAb7VL2XL3r
AWXL9Yzjl24Dfkq1sF6YliiT/bQmgzPKKAR+WhGUyBqMxkqzb+P2s6gNkZ0mGSpPSvYDKuRNXqrf
qA3uQjPYJlUu00GsrMFlDzN3+93vUbgBSJaiIWxNgjFCTzLgXiseG2KJRa/JkQ22Vp2xcue4mgQI
Gro3Cs89cpXv/W3RWshtxYJ0zBcwum77Vd670QE8cFQuIb37eAfdHtL3xiaP2YoefkFRfPloVvRP
FPJjauwHFNZAbovrj03dHxiSATp1IUWUrYlDUCCBVAoaeo70hfT6MnKMb8EeIi5a5V/P/2hgmmLJ
skjwbImTgQGIHsKWjDQng/cobIoBzKkADWjF+XhYt46FGSSExZNbVLymER+kQsmgXzA0tDV8LXI5
rBp0rVZ+rvgzUfpdU7pI4dyCMEWXx+Dz6o4SpEtatDyAjhX17z+0jIW2H/bZTz3Uf348qFsfxqDG
5wBQP9kSzelSQUitWT6WMgAZQDbspNsCp0jh0MqTmdKANAZw750YxixYmi3dlHiITFxznKhxjWCJ
DGiigAwY1J3xiqzUWjVeGuNbCoggDD/R/wjV6jqmw1MJZtTZbw82ZXOdVwju2qREONkrWUAHYdkj
EWJegLIT4qRU21P9H2wUXnGGSigjgd2cWIHcTKI03ctHgnoRZIwKnlDObPnp46W7d6KvzUxue7Wi
FR/lZvmYJzjBrRCe4HMFC/axFek2LmXOxhCGEbHvpzXeoh4KwYOM7hgpvy9gI4X4pYFKNUvXcfIb
wNJCTRFXB+N9+tjwvTNwbXcyi5eC/LtiXOSjTwFXTdUHo19LRbP82Iok39mT12Yms6johdIPqSQf
sxxOA9NTnBwVMreuyP6PqFC0PJpuwyuo2kPjHW6hnkx3sRGHjxfICWa+ZjQ2OSAo1luqyt3DtaBP
TqPaZDT8975xvIDcIdfAyxd+nYVfGYoL+XDrfjz48bxNzFkGb3OL64eVnZrzKKPosQr9Xxd9U+AT
J1dm++eTXLBjGzp7/PYhKOuZM3hr1BJptddUUye9xzODj7rybbTSdLSxxcYxLKW1kC2G50Q59hfp
MY6eTH1r6TP27qwwXBWqRSio8JBFtfW9QcWLzmAqe+soS61bwv1Rh6cy3kDhDhldtSg7YCftq6pI
tkHPL85jZpbvvGsBKZu0ZI6ej7h03IJXI7ZooTEj9RKc0va7Zh1oWV2o0UoCEhef7RZ4zxn+RaYc
fQMhPYFfHC47g64pqKBKaMNaPUWS8pellc7Hy39vZgyTV4mloCPKm3ey93M6p4HySN4xpuUGKJVY
Ez9uAaZ3AOMDhFVJDNFs/EVfhnNqzTdolfEigA5cGl/axFNTrfZuUBqQt75/6lv5U1Ftithu2iUJ
Rvjvd0Z7di2oWSsB+ilrWOXpTguPkrD2w3rmyN25lABwEMTzOCNk4RH+fnXovqFJSor9Ez2TjqJ9
EgeyKtVz/lMGu7EDwCvmvg3LjtMXXw1/5vq9zSK9Nz656ItMazpYM/xTnJnL8gLBOXQLlvoNune7
APUneXOiv+Nuf3/mmWxo9hXuJxGu8clpCJExoZ1M8U+QN9F4GIJqg0jSWkOXMlenuXPSx+CCYwey
UDWmdRqUu4aLcTH8k76DVlINN9l5b/TWItFjNy+/CubMQZuzNxmaGqGigkibfyrasRgFr0z22CLR
Rze/A4nox4fnNq2pADwBa0Syhvc2Ue77fQOWT9ZhQIlOw2XvrxN1c/F3avSnYwHj6KVVqbLDiF8s
L7q/T3pSyLZ0/hk5sDIJtiysLOGhhg7Zg0G1LAS77Fd0CgZwmSdROPfQuFnz95+qTN4ziCnCzB+3
0Sn/FHxlwc1j+bt8PbvtJtmCRnv1gKrPTM9NpDUxOfHyPbKx6Bb20anuvyooere/P57+m5ty8vsn
PhVaOaPWPX6/2kE3YpY2jcJl+L1rv/73dkxZJ8urcz8q05DV7KomuwyX6NT0n9Wq3psFLinVL6fQ
74WZdbqJxRmTqXJeCBy5l8XJMmWl1jdC7DEmI81W4jlPIB8teQMPRb6uL223oe9zJsq6faspwIGI
NnAHeGNS9O+3sXjhYQp13LBrbVRM3H7F7tzQ+xDOwtZujieWSK4q44OaBM00LE41GhXDzhd3ZKyd
80bYh7a5FNfhzK12uzPem5lcahfLCNJIQOy63Z6deA14VZ57395u7tGERVEDVMUYP72fMys0UlFQ
Q3HXbMhOOzQvLWrnp3+0t5BNPf76b3fgO2PTyhD5ShTzBqYtXgeOZcuP0uZjA7fb7r2ByVFNxvjo
Ir6tS+9COvMIfGBmTeRbD/TexuS4lqIFOVIfiDvjmb6QlKYW+m+ezo9M32fvENoeI+ud8EjSe9//
tE7eot/Qg7I0HtuZQ3Zz477twv+snam8X7sG0d8y7SNxV7sWdQXLtrahY8yM9/bRNLEy7qCrkK+n
u6aGYpQd4vQufHVL01F/LuQFuayZ8dw/VX+PZ3LpQXmWtl3EeOg/e4gcwTZO8lpw5szc9RNXe96c
HCvIi+k2zljB2gXN45AQxE9k37vV3HaU5lZo4pHgxYBFuMOSd7LWrTseYvpLTvFr8WDt5Y1il0v5
M6pflqPMXFpzJ2ESjaFfD4OajGXZDuziQXH9+XmcG93EdwxlF5f0c4m7YWkt0/Na+UH4bWcP6kKy
ISq19b11hKrVah1/dnz3tyUZTQIywKxELe+3ZZlFaqgFybgtW9fbJo68KR1wJEtUn2a8yu3jYjwC
V7YmbkWWPSQIkWrYjYt4ceO1sfacbB2sFTd3EvdjH3bXv1wZm/iXTDOVYWyc2m2e1nM35Phv30XM
k4FMPEZF0qpUgALsOnZi6Kbs+945uzbvcif8/PE47h8zXTdAj5AEoBL2foXgw0kFIStFMOTxGsYW
t3iIj8XOs6MZvzFraeKiVAEu+kDB0njA6oXnwP+1zbaePXeqZi1NXJQEzbFYjmPq3W5TL0KXeNBR
H6tVPgNwvesLryZv4qMKVGkS/1KMPursqPZ4XRrb5t9P3dRDZe0lNzUGBC/i5ryJnGYh/bEh9Hr6
l7th4pDgA7GkSGFA1RIeh0W9sPaxLdnoSs3shrmZm3ilFrn7zIsZUcutmNA0QgxoNydxZkB3nd/f
CzQtrHiF0Cq6xXjOznj5yhuK+Pac57njxUEFErBLODlq2ZPVAapPeZQGZ4wEdoSRy2P6D47pOxuT
hRkiFekx821LwzPkLJrFIt8Im7lb9858vTMzWZbCQvqKRpNxWdDstUUuP9QoZtb+tvwG0O5qwvTJ
reDDgRAOIdrd5YL2fbt5RGHUifDVIcTjNJMktjlnUrn1qe9MTi4H5LlU6KYYmHLQT6NfFewMDvlF
64jO9s+cX7h371EOtnjdkPMANTaZRwluwCjvjPHeO2+Kr8XDmVNkfA8d9Ppmhnab7Rtn829bU7R1
j+qoUTRvttJ9B2fzU483qklHoCL2KD97B8nOf8mLZCs+eE+zznZ025Pb6p35ycwizlfRG/lmfnTr
iQN89O00l0tUGeyAd96Mkxp/441FwI4gNZlfoMH8/CrWlSVdSqDoY3LDBf3lD4WrLs42Yu827MYz
Hv7uXuW1Ci6UBKKmapOLvqlJvzd1LO3SlCbrgLK+ftJ4gn0Z+pPmb+v0JINQUl4Qx130tHwbgj43
3jsPzPHB/J9PGPf21XiloAxjWGYlrjPZThxrn/2gwbr/6q2pq9rmXnj07PyHKM7YfWshnM7ztd3J
hT2cNQFKDOzWrnCAU7xyQse0h8d+z736KH8K7RTybGTrHO/QfIeTyqnnCnh3rgkKZ5bOu5dS6E02
BO4X5h6sJ29rDVVfJ3gJn8Kn0cuitbRMH1FtQ3MseMr21SJ25hzV3aN1ZX56fQh1QsIN0dFd8Kgd
GmdXParb5jFcL5fSfoUs73f03P4MbL1sNbPH750qzdJVWjxpbuC/kzXX+lwWLzVrfmpdbV3vAu58
bz26EXkhP8y/E95ycjerfWVx4rJEvbv4SthIO7j1UCh2e9t47ldjSJOta/vi8rAkYQNr1cN506/G
h6y3HmwLKvefaComi3I5/z6S74TCQF3+Mw3a5KaIhJDm4oFpsNbawTxR3T+122GJ/gvBFgL12Y/6
JyL0q8JG0YIHfcnDYmYl7kT67z5h4t96L4zgRuMTzk7ioErg5DvvKG8GO1pnOySpbeFlLqC495R5
Z3PidHiu1bqAMjbLUBSLeK28PbTpmXeAq/TP1npmjOM0frD2U6SBUSlar5iVtPumPATE5Wc2WWFb
zqyhufWcuJQGlfg0ERmYwnHK97Ut2HDC2pCj9A4q2puZcc2cIm3yEKggY/GGcVy9O77rPYKMdNsx
vPTo4S/8f/QIfbdykxcB7yyjSqNx5Tgs4zP0/FjbxlO2vjhg0+ei6NmNMgk9R2UYVfDYnMFj56R7
pIzeVq934CLaFnMXwtx0TpzSuRn54g1cRMtF1G1oU0OHzWkcuKpceeOtPZyAcNIIsQvbYPOgDk6u
a3ZV714KV05h4qlMHxqDSmdV0eJ9ywvBMmV3h9FZqQ6k13Z9HP2A5QizyTxlvGs/OCnT0FVHsxDV
J9bXPHnbco8rdNHY3PufGweYNLN+IM13APK2tlCUXXTb5JNeOYONSn23MLatk+yTPdKt/zAHeL33
9ImnQiDdtLSOzZC7n2q3Jsd5XGkncTF3Ld6NbkENW5JOvwdh9WST02UfR23cSzt9N/w03jwGOsUu
6iDr2UTuvWDv2tZkh1dC2+s17CdvaUDp+bzsV90GHV38f7b2j83CWCX78VqMONBQxiw+diHjlr5d
77+HOtnycIe3aBxgvt3Cg2mTOObSi+YArXODnOzoSFe8EJJ3/JRN5G5nh/A0ukUEDA7/6CV0NaHT
KxVfL8E0jy2q7uRVuxfP6cbbk+WTF+o/e+wBs6RlAYgs4LLJrkyUhATTRfrrtEaP5g7aePwFi7fp
OA/mMnA/XrK7URshow4fgwqnpT5Zs7Q3/DRD0nGHbOKfsyN/UprNS+lIq/JRuLjQLa2LXb4MdjkP
TWGlzcWs9xYT7wQ1hCFDzDed4PYCDVKKktrO4mSY7FBwrzZcWQ5R+tzr5N7FfW1rMrlla4pJA/fU
7rLixb6z7PNTs8i2/4930HjOpgfh2tIkJIEU8FyrEaMyDpDFf+9ejHXEhWo+Nn+q79m+XKoUATz7
8vTxYt7CNsamvKvZnDx+8DOQ5naMEFnQU77viEm1B8+p/hhb31Z+i4sGppEZm3dXEBzdiIpC0HPq
5D3Pk+JKa2XuOWHRHfKt77KKK/qkxYd/4mCsK1uTFZSgkAnLoWG3rMdiaPi73gBonwli792Y10Ym
i9dpWiXFEBK+nfnRdRLWrzQCvI8nbs7MZK20qu5HLZhx3mJy790WNvgFKO6ZA373/rkezhinXD2I
q0shU7DuZAq73aE+KQ++m5Op6lbq53CmX35uSJMIspF72RiQ736rISOqXTsoJbPb51ZodkyTOzXk
jjMpx8vcqWO877ujWz7b3kLalZ8/XqZ7+XF6rP7e35M7NUYlM5d8BlU5NNvsQzegvBCsCd7+5YaY
eOI8G2BaGjc3dP2PY05q9PsMas4Njqtw45yuBjS5P/NcqvVRS5JberzT4rX6/bIfH6mQKTow6ztD
vrJ+/btZNCZvU6XzpKYOMDqWXEUSM6k9bGHws70Zf/TWBjYZHlQtokKq2kQWYIqZNlIYkBP1IlMm
7PfxGjDDo+L8bEAB9A694d9fOWhu+fzsO6fT3NTeCYDe2Z4sYQ2xZkpjhLx7+FIcZTd+GBZwctud
jWHNhr3WTZfJam5uR0/x0YgnC9oYpVLIZ0Y8PFL2hS+X5D0COI/p8bzXCTKVl5nFvJNjux7mNNNT
Q2wnawnDNBY7yfEfiuVhc3SLfX18Xf+amdM7PuWdrYnLjwbwz2rE4FoXtVgebPFjtGjX2szhuxcH
vbMz8frW+RzCx8uYvkAe/lW0BWABw2bzG6Dv4utXeQnbJrJ+bNc5qJp6Z/WkN5CPboD0n8I86zBu
ZOtcMplqu0/L6jVO4tXMgt25o2UJ9JJKtwLdbur4DVd3QAjuR1Iu9Xjk/yq7xLviodmPVfpZcMX9
8fxta3IJwPCtQLM82rLfUrDBAurrMbIbU0/UZB1LmH1k3duQYFVHoLQF3k+cjK8NL1XbSpW8i/Sa
FkhXEL8a6R/dmCWduGdIFoHGgppURlq19xPZpm2cSpEq79RVx0ueKibJtc0T6FhXXpJrdESu8JnF
u+dUrm1OBqfFKgowCTalg3dKn9pP2UZ0FecFwSS7crNPyT59afaK268/NnxvIa/tThaSp0guoDQk
72AZRbBhWWu/PzZwL1ylL+jv2Zxc4yjG+IYaY0GAi3HkQzYcr3gQPaRZcjfr9nW3qoofbSZsCu2z
WToV4r9z+PN7/uX6GybXOwSaUtbQYbATbW8bP/yIXd8Vd+P9BHknbrR3KGMguAnaZO7k38PSvBv/
5Lro5BY5uU6Rd0jFuvG+2yiPEi3N3aJbJAs4hC+OvlTcysbdvcxM/dymmtwZqlTINBGMN9WP3Q+I
aRcvT6vVkcLAefXcL+aqUPeqI9cjffO+Vw4ozdlIaMvw9LL11eD8KBeHb4mzgROFy1HnZq7G9/RD
v/j1byf57dOuTAcNzNTShUlGzIk6rbAYNoeX1XHMgnxHP4nk7WkubTCzp94S9Vcm1Uo2zpRPR3fb
YzJaQixKtn3uBXFL6AQPKWwbIwcArUbKlOnQqIQQnSht3D8oSUSP3fKwPISL378rt3KRavru239m
9s14DU5jjWuTk2tSaeBBD31mk1ot8Ip8W5LmabbVk74u7NmK1l0XdDXAibtFEK1pg5IBBgEZ6eXu
xX87GvIX8ae2FZzC+Xh0c+bGn1+tm6wKRpiGmNPifDGIezWPZiy83eYfzd/EqVpdhOqE97+7UbVV
N3Rzm/UaT0Cyruw/6BDN2Lx71OlitZBbU2kumHg4gRQLvAG6vMu++OgSdk7xGdhtqbiIB388fxNL
tEYBkNY0eSzj04WpTfyZLEMKa2Vy9rqEFP9VwqMeUI5bf2xkGqn9ZWVkmaGkTePbNKHai0khxYWa
vX4CdhMdAmroMJQhiGBv4dVcIOCx7tfPdr+Qsrm3xSSOujE9mUpLMHw/MZTs9cFZtr8DZwAulS2H
hdltMlimbftPsst/9IXrL+PanlnHKQHGjfXJ9Opt38dZw8Crn7VbhLTSpov2xVY+gcqwWrdanvrF
aSzUrOcsq+9P/V+WQb1R4KYBXNEnpz5UhACB6DB9TZSfqFWd4Z7Xy2ARDSE4YdP8VAewSSaQG28g
tK5GdfA5Kr63ptqrg/P2Cfg4mIV0mRLvNM1kqEkPmXiVvp7R8zJXNTLVkBa4snuBI92+/E7j5QUN
mXg1qBtrFe+qQ1VSaVaXOvLuj9LvIXXldd08ROE6044fb8lJVPjXt9GBaZoafDOWOtkWfeR3iCeK
6asloREu5KZMt1CG6aiwkRqcq+mMPuJmKmhNJ46nL1+cUvZcKkktdUtLX9PzBTmGJFuoFco5prT6
eFhv5KlTQ7gMjjS2aC+dxGfKJc7VTm+yV50S1Q8U7nLhSOsOXDriJ3jWyoX4uy7gxO+RW9rGmypY
CtVy4D74eT6vaOsxIifx3CGFWH/rhyhGbePP8qP6RIsvUvQehdM/fuoOsRP0p48/fdo39rYk158+
WRLUVmKujjZ7NXWnP6d08KCauUhgjiecehCiTVYu8nV/mEsyvxHB3MyZMbbjKjRs3LDUhDGqUL6B
D/R020AjYPESA97snCMkeDa8W5dVg2j9ovwVrurXUXEHDcyG5MBPaLHrx1DdtNrMMk5xAX/NxdUn
Te4cEH9B0J35pGbpXFzVvfxebvTjKuMu/Vn8Udfc3OmS9qYVHWdPH6+Dcs9z0NH2n+mYbKFAaoyg
lIbsNdrop/j7F/XPIXwyHvRN+hja1YMfrRr3D4lCe5s+h0tts6fH9QBGhP+/lJ25BOU0cfg2Ffgv
i1562nhvCLZEIb80lzLNX1WIMMsNcl8Q9iMPmX7pOkn81ITIdToKFOm89OUwe26HVPwEz3z6JVes
xJ+5T+75DZJUmkKvO2+QaZx4CfgZCgz5a9sEw1Ks8wxJ+vRn3Yjac1eJc83i456fbE34mGHxURXS
mbTZ8/Or8MY6Gwie10b+Ske5ujFDSV4WYik5hoB2k1Ki8ZhUiTqz+6aPnHHKYV3ntQziU4WGfZLA
kS9SLBXt/5D2XTuSI8uSX0SAWrwGVeqsFCz1QpSk1ppfv8Y6uztJJm8Sc+6gBw1M9bQzIjzcPVyY
lYnFhpookNzXcSXzZMWdczTpmEx35rVsn4tbjllJ6N/IURxZCsinkfJ/PgL1LR4wrhIHHKPx0rnO
7VghrRKLWonMngU7MU+yXQYwxo5g19HYuC54PQaFUmUADjT9ktaPL8Kc5sGIYhoJuJGoKE7BunjX
YSVXyBLrE0/MTI3ek2uJWQnvc0HOjE5BzgAky4Po9845pDHL9bSLldroE8FCi/6aueCkhzZlAbhw
QZoBcjpGANArRarcUfteF54DgM5kwr8dbfzbdnSiMQBzGGCP7hYNqs7Q4WOcfW6UycbaXChtw+9c
giDl+3khUzhn8zEhDJAamqNFoPUNtuhGv/Pa9VpH6BIrIAhMEAJsc5CexKpwAIVsRaTYSCmyFBpN
ior/WSLMCWC/AUGOcemxUPAvUEwFJlCrodNGo7JOImzF8KsUfIGESuKOSDVowEJXvjaKY5t9TS+V
4NiZi43LhcNG6CHTd8j6NZP5Nm4+vsG26ZfWc6jvuOUUTotBvQichDwB1jwCqOYKnkmUdJVELqSD
HQgKeErtOgi0AKO5oMZrQwdE511V+TsMthWBRncB+xKnHP8CqlTMw9Nu0WA+XvIY+AwpYXZOE9IK
UdjGfbZTVnjO46JGr6FE8RZXx+nSEPGcL8OcJ/gxgcWIMelpq18IItTcVga6WPQ1ijr43KQaoEgB
AcONSmWf7Bs+h9qwHEmemgwkR4wqfjavmSHaqsyoAEsjIl0uvHumfa+DEgAsAd+DAXWEgVOAeBbE
l3nlMo41cPBI6PsLWDQ9ipLZgkNs42AipQEZW9jqPXd4fN//Xm9jo455TQHY9Gj6BKzzn+W7Ufqs
cng5AL+0pb2+d3q8RsdAuabIe0LesRHkWGAULFMTlDHlNfw9IepF+z2d1A2G+LTdDmYQpbOQvKnq
6oR/Vh25XGL1kqogVUdn0mazUS9L74l7G4ULw6EnBj2q+Pap3wMqZJRxim1fmewN3HGkKNeB++S2
C67n/lqMxUyyB66dCHIFgOkr0my6Ex4KQIgAQAgTu1sOVO6PD2I6RAkdGEubWB8nyeB4AkhzGq1T
07VE0Hjzm+72+70BFor1z1enkHbTqmTX/wZPS50UMzdjLH9iiJi6zBvgVdlXTTTR6703PgsVxENk
zT89vdBGSkQEVGA7UoH5vxDH3D9IxqInQZ7MBrIUDKJBW8inv0xwDECm+nh/7wPJsYzhsG/0HJQ2
TgSzYl/d0MqqjHjlwk2apmb+c4ACN8DpIFUCdJWxBAqsZk3PJdQ1WtlPP2a7qTcHAFp+o5q9FbRu
QV/ucyVYj4DIGOIGTobJntGZ6NRcXlFXQGeRtlwP1GsdSESzz1J8aYSFyvzsCcE2DW5KAg0GO16b
zeZ8T3U1pAmYOijMSHrm0A7++IhmYhyFBsQXjCAuN42wdiyl61H/l2OKuiZ6oEemvJPJ5tdB1+9S
UnfOgGBfePS5A8ICD62xIBHNe1LR2tS1dSKjTTd+wZGi2Gflvw+ZsaIbQZN94wo+ATUsBClxg7cb
Wih4GjyyEvHorzDslzZwzmLdiptYrKKo+MLOFeq6BYckJlPYE7pFCd7XX4yqx7q6EbcLD+W5a4WQ
FMA7iJcAMDbZyZzLuLDnscBQqXURZHkC3u2P1WJG9xAAMkNuEBVO4HqPDysNixIsupFjhWL+knv5
Dqy1FXG9SH8sZ+ZGoY4K8hQsB0+Ov/bfGwshS37j133hWHGRbACcc7SF4FWJvU8u60gW1QbD0gvX
aiYrpYxkTg6s5VvX5eTEsfbGEVj7ABvAby0y8GtirgmcrbpZ2YcQb9rLQrT7N6k0cfwj0RNzxeSC
WJQNRL++0uqzqD83KvgeVwLRDGOt6PiET6TLHYJ8Qw7+ty2viRjgUksTWcJitU017XchMzujvaMv
GhTh5gAkilN8ocwcy/OUldiDa1ygd1nLaFFeqkXBLmz+rDgYmeFVBVIpcaJXPpPKNhs5jhWAVJnV
vUoAJtcqKLdpEi1czDnnivoyw3MYVUb688/53yyNrYOibHnZsapNJquFgw3lSCwTjJcey6dYE2y1
sEmJkW3iYBbUJrx9BXztR5PlJHmzi4XvmbayD75q9D0T7wG2XsBrU6xjYVKced37aI0wQJv366Nr
SLUXPOOknHUnbOJ6wbArBDVo7a2iN7NzvaOZ7YeARJKw7/4t8NR/ZAFsFDNcqCEg6zjWIaot6SgL
QtfaRmTfE4bRu+/v7XOI3NR3s+KW4CnnojYUEv6RN8mp+7Yr1DT61K3GX9flFpCHwdatDQmMyzTx
7BXyA14PLPtQC11O4/ht7R0Z+jVS1my5RScTTVJqI8U6GLK1Nt4FtrQQ9/w9IKf3/PYLJ1mbzg17
m65918LMNDgODRQ9gBRLEF5+Oxv1wLyzw4Rzqf9cj0fjvKPQ4a1eTtrrfru68J/e0dNidWXr35LW
kIaslvrj5q/GPzs47eCNOSnteTdwLVbY+iwpXwoQwGKOXFR9aQNs6mTTAeSYzdesFp46cZ9dC4a0
H+WZitVOOqXuQjJ+JuGEu3HzQRO7gNyI5zUFjlQA3YH9xlCMLigrzk61plQsITESoMZyyD3ROTC7
N0WqgV9X+cnlPZjqSWgvVcVmXof4IMAUgDAEWQnA7Y91GiA+bQYgS9eiVXnD64XZv7BPnkq/Nlqk
2TYGMemFGzvnCm8lTtxSF7NKVLqJa0n5SszUrsDUeNy9IzXvLuUw57cbhQgOhBYDWOHkBlXI8NZC
h+3OeIMD/EKk8Zf84GLeUdGbQ0hiTXKPBY1igNmDNpqEmIO7Pvb88+ZQEAceOJDfISQc73A1MI+D
AxRHXpq9mKP/h9v4zkfjqBmL/G7sryM5MFlbAlt8oQpLJcm5wBdVagAZArKNgyuaWC2hFkFRHUN+
Zwok+wVBvU/AHM2oamAs+P1p08yfhcRmI9cDsgGAA07Uu+5BjJvFnWth1tZwimcwhke2q9X0ifW2
vjjwXase+DzZtywlDqXRkipIzwsbPhfT3X7ERKX7VBmA6nrXqqRLJauKvGIwrdASOdG6U+Ceuq7Q
mMQDsJvRrVk88cWcXfCBf40bU8OI/k5QVsB8A85t8g1B2jNhX+IbUAo1olBjSvKG4dJDfLAsKzIC
DWML5Bcm7/TfLH7IJAM/GXSe0xnythDk0qFFWDw10iVATFEYdDFrXf8Q1O/kU1hIHc/6KAQ5/1/e
5MS9QuKzVoC8aoNm1vwaPwV6uZNWyV7U3I98xR36DWUewPoA1qyNS6pPzJKpS0c+bOd0u9FAAHQa
vFcFgOOO71ju5BUbhYUHDtcLeK+9k5TrIHdjnY2kHKJg53xTG26JSWs2yr2VOvF+nisAN7CGVJdT
jdf3vftVmYVaEGPwg694mcfrTpXQ2SN6+pNIRNJ5KKYdrAN4vUhOrEv3sq0WNG/OusqYbwcfBBTv
DltQAbGxEkm2a3mp6ZbXvNrG7JuEYdA2IUu7Pljq6a4PRgW5PYkB8cQkpgb1ZNqHHI30XqN7xNl0
e4/IYKg9sEQCT9x/4zthWAa+WMxzAAl2fMhKjgZULqA8K6kcXeC/HIlwrJ62wDZRjEp8ohPVw4B7
8lsCo3AX+RoIvFWRV6PcDJWlx/cgbLJ27C6Y8XgZ9cM7IDeUwbLMc1jfUkpTDFcMfWps0xcWAqyZ
ZwSGxpGJgYABaHSiYS3ncxz4sn2rLjcUp5acFuid+yT334/NxvD3TFaDdhWJh9IgEkB8O95alq9k
uRSo0AqqVEO3MVBmCV+tvX3OrTzWIehyXnh4z+wfh6Iij1EyAEDgaTaW6DG16AatEsJOHctNZyyO
G80o50jAxALnhd/ZcQUByaHfxhr7k27R+4F4D33FyrX5pIzHWzi/IGS6EUmhFWQK6pnFCAFKHvL4
jtTFiyAd4n7jxx+PpcyUU5CYFjkRth04CncsXUwU5WyR+ZGFwdAkJ6UmEf9a7uodwFh3eFP35FyT
VH+KgSoTx3r5zCBNflk9/orh+T5Vl9uPmFx8Fw1OTl3hI8AYr/OYpkqcz8cSZnYTNUJ0D9KITTlY
mLF6NGwlMU2RoVGrhePu1x4QUZvs5Cxo4cxC4DR4xCqAYQVhy/AZN0/nPLbDtEuwkLyOniW6lA0m
z1P98VrmIrCRlMligMTEuzw4z61QOdb1htvZXqiCnSdk9l3yyvVm0YKBcSkWuy/+ofJzs7aJT6xy
UCn3qRshsg+ki9D/Fv3Jzw6xc2UKvIfWfrMQC8wYEUS4PIwIIC7RXDLJsOaJp9RxEERWI5CqDIgf
nLv2LS+NlkXjoHtaeo/f6QgMIgQBlBhJY7xcJodXSyx4BcUktrzOB0JumKJsbIImyVPDgF1QlDtD
PJE1OUJezqOW8YPYYgpJ80HM59JGhBZwDyRHFf31WGHutBLCEEQPaUnAUGFxY61MYqkrJA/9QeBK
Upz6s86L78cS7p99g4ih8QFzAsj1T0uV6YC7wzA1+hTRWOGiJlS/vjKAihMM54ndbqklZbyLyTH3
gOuFFgvQ0YFNdnJWXAqiFpA4pCh/w2Bh7JsCJJlDfkRMffeA+0Aw/HiF90//icTJiaEOL7YBxaXW
Nm23n+CHMGt0A//4Rk1AdqaeKvK9UoMvLVm67TOnNyT94NSAKkijI3Byep7tBb7jZRZeN9q7sgWU
kG0Qh9U+SlPxtcUm8rtrh4WimQII8XCkAh4bY3mOl4iy3TaZxZsJit26a4CLow9I+tMuJDXvYsuJ
pMHl3lhLP1KQZpQgqfK+Q1G7VDS5dN3CTVtazrC9N0IEn2LjehASEb5TY34lKsSSbW3hobQkZurC
RCpgc5vJrEwfGo99JKIVPXAJ8yZcPc94rIz33R/DzgErHkUGGQbrz6vfLApxogDyWzGD+ovv8rsR
vSvFoVoDA/XSkLBeUsG72AfieNT7aQw982AwmCxOLN2iTNF3aaHvVSJb7yNLjILXXsSYYLRQjBZn
nO4TLYPEgbaZZRFIwrCMT422+bQArnVuobrWkR6vPXD2gFDnKCFrhSED/ooRw0STbLUOLyV1Dn/6
pYjyPtEy+YaJ5tQemNgKMIhZmKaoBuBwLY1I6arA6NhsWmFBT4c9HMVAE2mTPU4lqbYzpc2t3ACG
+3YJlnTOQo92dGIx6cKVuUQscivz1rjXRNsbckbo4q0NtBX3JF0XOQyHkPvRiiYWE8NxAZs4VW7F
yl4QzfqVYqE9fnTK7I1SoG2WLKUCF9VmEqP4UioEJQe14ZI9Q2l9hPbTF15PI8P/SjF0g5F9gPBH
LLql0RhIGCpQuTe0ygiLV+YuWsJxDhN6A4MiMqHCxOeWTYAORCoqLMY5RwCIkmMiMZveVkvAJjan
Xl+qsd93zMMLgq35jz8Jd/8vl3ZjExDDd5UX2IXV5q8B2uGs8EVASjIa2tT9g0ykfbwFaVq/kQ0O
iaLHFmkmngFJFOwR6Od44NNP7gpN15wfKkphpdWrX6m1JtaXKCUyvyBnxmWACm1oJZAQ0WDIY2IX
3CqSmSQqLd8/99xKspx8D0VqiNsuoHVww4WYqC9oYRjUZRRUZ8B5OhaFnEgGdkCutGi9Qg7mE31G
kuFsPOu693NMWH9sWGRfgC4DsDHTOcaqqp8v+c8WM7WYnlsaUJyLP/A5yEWBCQ6QKdMeij7rFMFu
xNIKK9UF+6cRZXq887ZS+4uTXQGw0uyVbVCuhX7FuqRBvp3S+IP8G77mwYJDuE9HQtduP2ZytZ3e
8+sml0s41fobg4SA/UObKwGQNMIwVDwICdCX5uoSaYBIt11K3QzaND0agYUOINAECw49ORqmSMWa
SrvKykWwPtkK16tRCkLrxzrNzrg9EZ2OeBUPnYYI8MYakDcRZ1dAW7PyPidgCGKfw3w9EDmSItJ9
wHauXEA3ScTpdb4xMzRTF+B/90n9ITcvrrz1+W1VqYn79vi7/rLe4+UzaGjGvP/wxMTvE1eBx7xf
SRHbWjlDxLMNPmizznXuCzBHK7D19Y7p8qRL1Sbb9azWJDrDHUOfRPRKirUm2KIZvDI7RkuLb1sD
nTSvgJdTt/vvgO3Vx986s4fjb53sYRQGScA4dGsVZA+tRILhHVWDoXNggAvw9Gu8TQ+CeglVRBLf
C8Lvg7Kx8ImaIsvoyUnWt3iyvofqvtORswxA+fA5JE+ve4W8v3jk7UMwGdVSDy8fC/LvO7EH2rWB
mQGPo+H5NUlKUQrfxnImtAjTwDIQ6P0qQvthkGsxCAUcTSANZuxtdUHsveEaS53cjohTSpkXlNYq
20MnID4LCzBpriJmqTOJu7+HY0mTKI0FEyXvFVifERHjqL13amtUeo9RsRLtF7q6Q5b6E5CMJDIx
vo2J8Zyo9FaFtSZLeer7WZTJXg/feuP+lDhqxYyxWyt6jnfcCw8Y8X51DiHKhT3K1BIK53wrPtFO
KBsAFWPBM02xU4CgNt6Mya3sGbQdMRU+wMm+mXIbu6Tkd0HFEzZ+C/x0aPwEJDhZUPF7GwWpDPIy
A/E3YIUnSRLKcwAHylBYNmG+DPfy9L6mvsq1b4gk/fjgJHTD2kf7wJHQpB0yoFIufMC9R8YHgCgV
6Ui4fVik8b4Ljqewvex0FsR3IdljJvcabBxy/uG/zfM6vJiYFcTk8Sd/+F79Aop3qSh/P7k1bDxa
k8A2jNkStF6Nv4CiQp+3o6iznrevx723/QT/zuGIUpVHzunWNM2DfunIZvNRrA/WJtRdgqbf0+r5
8UYMxzs1yrdfMTl+JizZxGZD7AMQEPMXqQgIEOIWjnvuwuE4ceIDtgX6wsdLRetBKuVF2ller9uF
pIeMoj9extxx3kqYXOm8sBPRzbPOKiJAzgkh4Thc3MB0GEkTAjw3u0WW5PvYcSjf/7Ooyfkxnd8C
YznprFR73u9RLEjItju9vu7fXfV4zfZXuHgtZtRzS9Y9Wdtrh1y57TpSTUJ03UoYYrmAtET76tPq
4pONHh8wHGv9xuq39nhz5iwrN7CzYSQT46HTDCFPDQXaCJetiQYy3pPfv6eYao7khWOelYMWa7wd
0C4LfrTxMft23/vRcKdS5MKH1KeM4IoW0UBR/j5e0ZzWDoV1jNCg0QuEj2NJqc2ldacEnYU/1BBB
wMCgyDakRgb0fyXoDkanwd6FwyVVojeb3Za0xTGvj0XM7to/a7njbm6yAlS1fgcaaiA/O7sIDwMm
eHHSpVrdwqZNG4zrSnAUeNPOqvgWD6wY9zAGHWkWuOvHK5q77jeno0wuo1AmHdVJEGQ3eFMpqPMn
5X9xLuC/RIgL0zlMFI0VoJJZPqHDvLPqoNKYEM2jzkHwF9K1UwjpP994K2XiJBoJHLRZDClIFe2i
4XHyuj/S+tF4Slc1Obfb8xm4UbX+9sGz5IMmGuYzHm/lX71sap9vP2FiOtE7Udt8DgVMtddtQiQF
ZmZvGMczXJXZH564U0x2HyCEuazQRxGqC6Zj7ij/Bmc4zAWiv2FypTsWk4N/+l+1aBJPYiIH749X
OKeVtxIGy34TABWpLzp+iwUWAXoWXE10nlNmqUPvfzhJTLP833VMDYYQsVIRQornryLyvE+G7oTj
+iwgI26dm6cvnjSIPWqAPABgRR32EjMYC/ZxYal/odjNUqXGB7GrjI8oB/uo/AhW6Bj/fjdRxMPb
DwOUgJOY3AumbrNKcjrcC0xvF7Fg2Jm8zpSlfvGZlzSKhejpAVoV0hoYFBqfWhj4PFexdY9+F+Be
QyfbNYbPtXWwJzrozxw130gfqbpaGi6byW6OBE+rayBzi0VQfvYWR3LXFD+8YFu8009ZTWwMyvEr
5Sn5fLylc6EFgkQw7sJ9oqY3UVCayf2SS4reitDE1MU6j6YAvzrjnfwe+AvZm2HbprcdcjDLjxFU
Go/k8bbGHVh+iobtLbmLSRVeKibVUo7Qr5R/Urh0E2VLMzuzj71bkZOT9Ms4SaKC6/HY23bA+Ea7
kOqs3gFeZTgWiSo1Rt/DUs/Q7KsDWTdg2YJCFWPVw1W5uQoNGwe+XMu91QeGEhpZS5M2SLSIe/Eo
0tC7qtIxrbp+fJIz9QcGIcM/UgdXfCPVqZQ2VjK7t2qQPIgkrnU0EUu8Wle/jKpET2DIBQRA9Gqz
q8eSZ8/1RvDEjOZhndFsCsGs8uRtGHCXBG908uZyZr6JlhDQ5gLT21VOlCiRbEFS4kGYc2pACS/8
pIkZtqel3pIpdvifexw6+2hYAQkx5MTPBxisdSJO6K39vlC3BrJIq/qaWZRuYopR9Qxasxj1qzP0
j1MEE1GtUvPX16vtacFJzS4Y2MQ8ZphxUf9eWjfHymQ25zWK0lvI1HOyUa44VwUH9FJlZfYQb8RM
97VIKl7pICZO9/Wxy0gDQxAD4U1WnksQmDxWmdkUlAjYZ3QGIaAGGsBYWYuKAa1x6tIWQ9ZrSj87
+vX4+S5gaPT4uV6f1wBXMRxqsS/53uNLaGZDyQw5OpRRp/xpWVXFVVVStUX3rEUJqSpwS1aOu3eE
gwyMlQJVAYEiPVGcJHfcLK/8xkJEA08sqsons4UnJvFx/ROvvl5Aao7+uU1RksvKsom7+tisAJwj
ac7Lwi7fR9/jT5nsMjoMUil0gsZ65gh3BPgHYQw84NBCFJkDUR29Nl/eMCN3KI6XU7bUp3rfx4Sr
eLsTEzsoU8D97QKIl63X7hez/+qRIcYgHPGduPt64Y/AtjwcSrUj7vsvqvWP1z9/2v+cxMQi9gFf
iEGJk0i7l6g8ZtJCrXxGi8cLnFi+smlCyeGxwFQDPrvxavBqP0xflQ550mOUeXYbdbX6lvVFao5B
ica+dCx5cl3lim6kPAkbBJYFoKdovEg1xdEiJVBDALlIxUoJTZc55sJTGG+jdHHaeOkDJp61L2W6
bwLsLUdeg8M7ijGuduVW6zXhNVOnjU26ucAiLkWZM7HZaOHTGFBy+zZgBrnbGqEZcL5C4/pz9l8A
iL9RXX1FPa0wLPtYj2aS+2Ohk6dSREl+xCYQ2qhCRQA8977/rC/X4HRNNuu1KegvIZLXMaGNNwSH
pGKGEnxDFvHhZpzS+EMmD6ZOaOLE+7MtmT5c50Z/fy+vCqmHBM1eVK++djbjLYl2u7dE0A+w4eQy
jN0A9HfB6y/d7r945MYxsUqVJUkM5adWz6/Au8gQW4mqsQaOM6D0zz+SvtMlTPmzhLE2J0U7Ldzu
xQ8Yrv/NB1Rt3UWRi1MZwACBRIboDv4Dm+ARADua6eqJktQXXd9gB8L9yTUXXtD3nnl8GBPz1nWy
ENUU5LsYL7SbrZxaDKBN7Fj1s4V35D3m3NiU/s2O36zVl5WqVQZTmukRSnp7Xj+uweLypDObg8rC
kWhLSr+4vRPjxhVpWlUpRKIrQTAYbe1eHFIPcQHelWe0O+12kQbDvcFE/8v3ifsWz0tz/TNp5PEW
T8ycFNgUKHeH2w5Qg+3QqIBuBXqT73DQA7h1uw1USX16eQE1BSAkdK4jOngCY2IfU4IWdRz9arVw
7FOAb0SG44+amL4gjjInr4ePAlPREblG+HakP8/mF4Hh855g84Ht/c2tH1uhv2fDA5v/pyM3OtAr
LhUFg9yA8PuIaOVub0iYtbW187k97wh1giqgyw7v0oWrtqDpf0b5RrINZB07oCGZy7I18lVGlyZb
r3RUP+iNpGb1xyudaZsY7fC03S3Pi8SNUsjLtdfsY8/tEA8SszFQonvCEi+OoS0c6sybbSxyGrUp
LksFIUSmmr23TcHwNvaKP9rbbsluLsSHf+p1s5lh9P882DCrtd/Xuz4hx2MMwF+H2DvzCSm3WCTA
U75AjRYZLJaOcmK0SqUtEmW4UWJkloVpY+I+AhVjv6aCxTzKcDsfKewk/gpkO01zBbI6U/M98goX
lRED5ScsdH1+ktQv+fKWwI5p1u8J8AbbBbXlZj9AAiARiGwGds/JocpdWPh+jCiJByB+hdRmphrn
YH+Wr16jgoBqHZzWrlFuuTOqFgmujmeo8WlwViu5H3r2Fhs5Z1pGoGc3nzRxWpnjyXnp45O6Ex8A
CGUPU07WUo/+Udv4Igek6C4q3gILWzF77DdiJ8eO0cAoizgcBeCpNFFN5bfIS1U7MyNGfXx5/7qo
7k79RtTk1BNJUMJagd8A3vGp/hoexzSCf1b9jDEFiqPHv8z2mkML1rjVhwOrofiboAKIKV0jf969
cGjjpQEWVJOfvCRndv1SGW/+QdjoAAnSThgTAGL3TuyWNmnY+0dfPvF4bOiyLc9HjVXZ7KEKaIti
uKX6/ExNfFAAdPOihYkeaqTjqCWz48xT5CFsQkZKGiIWZKNs3H5J7w/oSMNUh44ZllWM4tnW+Vxl
i+Nj97og0yytiBKHHOowsDr+gj5ji1oqUbCs6FDzy3Jd2VSu0nZ0YGWJxLQUao9VghnWNN7YkcRp
oSmLa6bx3bizNIolwY/vgw2b354oDcq4IOreuo5FTba3A05V0LtYXKPSpnDcbmV1uwcWFmIWV8sW
btX9+xrCUCSFhRnyX9MOO6ZOyrxusS7bVb2MYN5VW7hNM92TgwgRdSCcFmAMJzlvr8C0X9ejEAt4
jWHo/v3dWQGWoCcv3VGuyEE99bHxeA9nbBQ65wEiBmR8zBdi3HKsIApqdq1fOj32EMyiaBj7PJ77
lagVBvp8kzVRLV9vyK+/yI4844XRTc9jMAIwQRhbmM4x2wFeFFQldJZfbbpGTyUR0ESHokRLF3Bf
pfILgA0kTpeSivd+Yix2+PmNS65Z1mW9DGKROdXxt1MIMne+o1ILIdw9loIwFjS5en6WS7WLaXXr
GUm2WDsiHxJsr8DJw8yfsi3Uz8I8eiADZJBtHLiZj+udzm5BP2gBbti0EkNc1eZmU5sgNbqUKn5t
EuNCE5p0mL1damSZU29AHCFdNkwZA3xkvC1i6fdhKri9xXSXeJtlluIZQeMuqPjMQwObciNmMMs3
u8/wRabkDdSN3VSnjMcUx1dITF0/DIWq30uoq6vSWF1WH4EWmo9Vfc4UIh8IU8zLKPfIE01nszRK
Iy7uLcd21FI52hz60fwtxUUYh5QXhM08HAaCYIUFRjNK4pIweb0rto8qZIK6QLyjtilA8qACFB4P
Z0n9RI3uRcYpgpRyj+xJbi71Qg2qNbXBt8Inh8naRZ5XIRK8TrgSn1MRwY6ELC/7W8Bs5RkCkHIR
eGLO7t/KnJxsrbhK7URYMLNrMcKbriRJ9SjgH+cc6VANfcmk0+MDnbMgGEASQeeHLg08RSaBDtPE
Yc2FTG1JLzD5gDROjIzXeGVfW3a0hk9/LG9mV0fiJsFOlYOdy2np2uI3voaZOGBuMpFKFU+Oa9rl
AqrGjLaOhA0/v7kofNgLZVhgbbwqUUYXa1n+mh1LZ6FON7uHiAyGTl6UbDGYPJaj1KUIloCysVo6
DJ9EIdjLTZIR1+4Evcpyat34EUN4IFhHlauYAt8tUZExg2ZMtBUXBTj+wFcbOmonbhwdqqCZ5pTa
8lqN9k0hHZAsqU30wp6Tz+yTa0j0+fgkxZnIYSRysurIE5m0tiGSp800f6s+KeaT99TU29IxYTLN
C4jHrN32jcYxt5qQ7rP4lALHNjZbZR/az1F3LNFOKQDz9idQwHUab2TQgnb7xD7z+L+VUBcRleDw
hFP3DugCsTXcXosStQCJhWyGsVmBKf7SbzhUJctvH6i5m5hWs/LFDb9E4StuzmKlcs1aKAo1sndi
qrfS2ttkfg2Mk1IFsKvYLfHTzDgBbAuMFYaaMNsnTOxG3VaokeQomfDptr8UjEoZFX8MumGkKnE3
VQsgZ52Tgc3+FGME+6Vd6kWbcc6jD5gYESQeupCLPaQ9Go3vSPTbub8oUUe1WYkLmj8zXwBcBZCB
DsMhCLr+dOTmhnF0WrIlnJHFZoZAUtA0pyBvM/xjbeRGbIbrreyqrtFvI8s2+hBpRU61jQhP2Iv0
/seMDRwMasFvzMWAo6+aGJkwbSkwyOCrAG/5Kthkj7bZoX2W0l8pAPUV3rZyTTW1FmzpjLkBpg4t
i4ArF8B3MQlWIjEVAScctlbci1BRWo1BcB4jpZxhbM9/fXz9Zi48x0iYhkVRbgALmIRgKMDKYdJk
rSWVlPdc43VKeLG1F7R5pnwgc4wMjD4AXgJFZDqrIiiJy9oy2vQlENaAx8AIbU1pXQ1QTWlNcsnq
UV5Fld5GhBtpHoemiEYNG0nlu4uYb4oC2HU5tUpdneGMxztwj/8JbDcJPLjo+oMDQ5PL2Oz6ssN0
QS+1lo8pqNbIox0vpOSUuT8ssDBQrASiMN7ShWZTapaZDk0ef8DM03T8AdOrHvkeDDJax6NnIHwZ
743+qjmfATn9rlBZWQHXNXNU9q2mSdRt8V+WcnAzNx0oAEPD9EDFi5nv8QawWY3HVo7nVI7edWSL
7EYDvaZx7Al9FI/Nznsq1v5mtbDqGRc+kjrRvLLpgefEonFpWxohOiZIcMgIByaj6zkyf0qya4zd
l6SirbVZb9q9pS58wNzrePQBk3uGvUB4yg+vY/gBxgCkT621H6yDFq2L9nixczuMwjcP0ACM0wMU
c7zDXUJTotPRiEAxfyagUNE+x/21j1adspbkpcs241E5zNqhkRhMGNDpieUWESrERcv0lhup3Gv1
EaCNAsm3JyJqXy8vh1rHeCygE38ueYCVLm3rkvTh5ze2XHKpTG4kSC+zPTA4YTc5DP4Qxe5Jx6kZ
QhkAuwQryVXZq5sdloitZ/pxgMyEHmpQ1kiAiJ22OIRBIAZp2aG1SjKyvcsQ2flFI8DWxUs2tHeO
cOzrlQNaQlr/14c8EjxdeN5IwGtq8Z7yVyyzcUTCyjuJr0nCqm6y8HqbCQ8wSQOuETSlYjJdmfgm
JUsrSs7xrCi5Xf3JK795e1WkhRUJM66IZ4e0gCwJgAyZvtMyvBCZUoF34MhzB1pH4dX/Fn/bHWMA
7V4VjIy890at0Wq/k83mgwFTl4nWhl5NP+Cls12t794w5rDRzd1O/+jWjM6Dtmn90qu7t83md4mH
deaa8bwEMH4W4A4wZRNDKsU13fgJ21lhegJcpZJpSoBJmxKEMwiaH5/2TFkIVCI3wia3LMdQKy39
H9K+a8d1nOn2iQQoUaJulZzasju4043QUTlnPf1Z6u+cb2xax8I//zRmzwAb6BLJIlmsqrVWAGO7
/UH5iE3QrZ909aFef61WFlDRIJDkwLkuvnSLB/bM0XlhmvG0VpMatGAKw0lcFQiLAv3T3n0/7yug
yOJnbbX94DZk4QSbOy0vbDIO11V56tYENhO9eFb113CzF5z8OVw4PuYe6zI6sFUF1CNIEbCOHct1
xY0tpjVDAiw1M0PBmwOU0vwGD9gK8Zdr1xZ9TcziwG3U4zd5Au3F05Kcz0wpDKt79hnMndi6oTv4
HT4DhPECeHydGpMrbsdXSz5wp/YTWMse4D1wvm4eBeAJyYJ7Td7DPMTQgo4fBRAL0A0wSyy7VYZZ
wM4bsp8qdCr6cNt9/5pprw3gcSECnX3dgTqGI4qpfdWf0M7xDgVKc7yTn+kWvfsK2gliqNZ7q9KK
NkVpqqvTI0ojmvk7iQSAXI07tgAw1lAPglalvrSL54f+z5cx9zKewAWf9HV/ClS+2kUeoQ6h8ePt
8U/zd2P4f73dZ7dU3Wm1JOQljLjimyh6zXORIroEaind37Y0OxzA3dDqDhr2q9yqNwC40BSYaD/0
HwsKrL20dOEvmZjOxbPBSKQibeg2/em5GYwEAhBY0kNu//UE3SUbwA8VyXjbPqJGfXtss7uVnA2O
XSux50bhz/KruN3bk6BotnoIVgjczcK03kT4x/pX28Soqixl1maX8B/bbLpcSSXaFk3bn1qFrDv+
mdc+eWW0bo9w7p49G6DKRG58zfXgJ4IzetlP7Zpq/yIEdugn5r8wA8jJRC0CBCFLf9xXIPBppb4/
5bln0PrTk+w2f6zw9L5tZ+6xg3jhH0OMqyRjBB4VcehPVKisJAVam7ilDg/K9BTAbR+Nw1GAZFoo
/kqhauRg3mtblKdcItuF2m88UX7W+mTBgyerV7vx7KsYN5IImuE1Hks5ooj5JFY0sv24RKNkjf4T
3y+i+6GVP0uOSguthHMBDiGoegBDCNwmmXbW2c5JIA3iEg6o6Cqv7zsxsIrifhifSSrueG0p4z7T
Fo/qDqAGIl7AgIeyieg+5fDqL5CXdSs0ywSmUuqpho5xvYKI3vgt14D2beOXGkwuoOvof5XEGCUw
Hy7kM2fvcqRbgAX4U1Rkdw4hrQbhGnQBF7+J9+oKshlLVtbuQ+lDle2wh4gOVHVG7XXB+aa0PrvM
E4nZVFSjMup3l7Pt+2ILkWePR7MHb2RIE+85J9eTo/viL+RQ5nKpoLFE3kyBxAF6EJhwJR361kvF
ZDyZwosAUpPPVYNid6pXL83CGTgTjOEGhRAPioQEcTJjSYqUsXRT1DLCTd0YvVmhAw4azvHD0ssG
xNHX84fuaSBeCVgYZCTaL+eviSq5jnIE/RoUS/ZaP7qKVdVIBtugNxaoHhe16BvF6Mq9HYsq91n0
svs6ZH3LrXia9oruTQ9DPfKxJYxM8gloZFuFy356ya+jpyaFsCEwElT2dN5D87sBGfAofVAVr0LT
UVkgDxHEWR7f0VoNFEvJZS2zsgTZ22+o17u8DTU5jiLBSrPAoDLhB7OUWz499H5CJskxIJatCVKa
2mmDTlZdhLAwZ2kQhZB0LxqGwOw7L1Q23dhp91LSxtIhU7M+3slDJnr70g9KzlR8zpV0aHfn/GrM
UEfZgVhBDA9JWpPyVc3UNju2YVBqm75Gt+SqrGIpx9WuBOgRHbtYtrU+loRdlg9DuRUTxZ1qCKKr
7EWBLwBO6VxJsNO48p5wBvr9YzIEcbX3CfFVowTnN9TsSAHC2awMQrzyNBmk55oiB/UxSro8tEd0
jDWrJNNoacpjPgCaMSRQvwtcLgITjxjzjUVcUfLXQkn7ALROBR+dMjlu0y9CEnSy6/6ILNlnIuYi
tMwiN+N8B/UBOb9Xkk6T12oPYv57tWh8YMqGUuJ0sRaLzIorNR4w9WUfjAbtkix5T8FYpVgBEgbV
V01Fr/ySqybxwF41Vly6bjJZ67Yex5HwGYw2fmj5QMHGT1kUilGhlxWQdFA0SELFaVuVBCfIL3iA
saEGBBC9FvU56j1lqyEp73mNCl3vSkmFBy/rmtGM8f9FrRekwZ+5lqanSIOGr9XlXuvtqhKJkd/Y
E4K421ZtTHyHaxqFvOHX5GiPSNSufa+luq4hX5dqT/EYD4PeQ8xQtIomiTPTLUDIbImYaXyRFqq9
U5ccNKObIRSVlZfFQXjXiJoPnTBRdiNyhwQNF+zc0uXTPRcjIbbCAULxS4Ew30mj3HB60rZZbw1B
lkIQPnOrIjGqMiORQQvggUF/VaVD+eRB3VAKoZyideljnufqeJeqBQRHYrGPOUPmAI9aS2kkQm5Z
xSQJeo5kRWfiW2pvU0NfNQVbd5oKVsOVUrIrMj7F5PldTaCWiqhGAPStjmivAyypcXpbdUmxSZJO
KI5gIIhVtPcOxTCs3YCr+EdCe7TMjJpS0nevU9Xwc8zKnKy8gVMqFD6UoLVaN9YGQxSD1rcFxYsk
LJXUy86ogCUJe6MptoI/KCCtyCFQv4qrMk7B2FII2heXJhBE4L3GI+YIvbcfDSke34aKpecf/DL3
OUcoUyGy4sQraoujQZ/ZQiDyeam3PBePpgcwCv3t0pSzQNcyvvSg9vGgetT1PwuXzMyVDrpkVHzB
lQYsCMv9JI9thFs4G09BDY3tUNu14YnnN2pwQo1S18i+T99b+lREn+jH0Qs/+O373NTcnyABz6v2
u/A5M3fef5ivJDC4oeDNXA9lMqZoNJlK3Z7N1TpE64QV0slUF4hJi9Vta9MvYy5YVNWR/EPNCKNn
QdKpJrgceFf5U6rQxJY4+kxoYKd8E5ohPyT2bWszzw5ceZCxQtQCRg/CxMZSOQXgLUCMQ0gKM60D
z0LfzNttI3MlSdBpoXyAhhhQtfw1G56FaFLd0JD3AV+MOQDM8RxvckdoMH01kvPkiYwAYtQ6Hl61
FXug1NBKM6PUVBbxqcxFj3QSGPjO9NSZ0Dlqsk6TCuipS4KejIZC8EYORJP/ar6Dpc4YZiGvbDEB
Ma+UZSmmVNwjFg/vHrocndW355UJuVkLbAxYVd4oKwFGkyNowTMNzc3fVANbo54v9d4tTBz7hiKB
FxPVV8W9sg8SBH0jxFMGXfKMYY1s++1hsYHff8Y1FU2RAUTGkmVAkaAUWWUklPZJ6NqtfyeVJqhz
bXfMcPZ+a4FD+dqUwIK3YHfKLZ5tvSu7U+x25qZK1aVaQmEXxYTxTkGNHiIUAaApFD/Cvjp0L0uN
vixu+T820Z6GohpI0K5qxITv4lyIfGnfDVay7hQd6raaUX3hygJ3gLDX3pZMzi6lDPEJPJXAB8dS
+VXopJKbMJL2yK3SWOdlMyV68D08hac+XFrK6fy4mlK8CsH2iqBXvOLqDSoaNxAh3Te/IA5ct2vO
kZz+OXqKbLSj3V6/2YH91xZ41C6Xr2ubkXRaiqkkOloEhCcFAemT952Z9PO2JeZ++s+inVliTk3O
g1KM2sESpQZpbZA//uYFwoYlh2QeC1d2xMsRRXKpiNFkh9P5ffBOw0mcBKydrREdh3V5qj7VTafq
yun28JYmksnBVyXv0lFKpH2bGGGQWoX0k0CaFIQB/h0XIs55+d/ZY17wPppZcjfGMMHYjkwGn9tq
qUfH8KHccsf/nSlmi/OBFhd9CH/kHqMH8DpZLpjgnwZeX+I5XprD6XY4O0tcruUFr87+xkSfhRfQ
HAcBcCaCZwjSguNf3wPQJgAV9p/qA6IlxvH9boxikC1r+76mwJXwehznlpgfYjTWclCr94olx7w+
KUHTiyQA2Aiml/lfduJsdFER5hQtvO6e+JAeLmurcOkmFcCPODRmin2HBp6obHUujCBhfGygZTNw
8hJ91PX2uPwKZnvkXNh42Zi4e1X8GaJVlgKnuhCNLZlgtgIngnyHG2J338iiHcYbvLM6eQmrNWsE
+SsQfyMWAxPBpa8ImjYgvmzdfeVVepsf6+Ku0RY6BK79Ec1o+AdMlzISEOzhKJOBg+TO6Ds02pJX
4ZBLFh9+V9ohBmKmKheSgUxYiYPr0hpzQA4ZRO7QJuQ7nuRpRpOkgs5Vcmnc3sxsdw/MUNTHFQgU
gFAfqbArx/eTMFeD0KnHdJNkj4GM8rCRxTqeVWaYP+MZrkNHw9JGvRw3nYRGPDXXwbR+CNvcCpXW
coclBrlpsS5vvMtvYoZeiDlXR0iAOKGsbYv0Ueq0jRfft+mS97NV8r/RQ3EU5AZgzUbnD+M2cTOR
xwFI7NCgNgv1JU8hFY0g0/NN7Z7XfUcM9P5HIwtHKMuZM9mFEC1aE0DRh876qzfDGEDeJWtipwFT
J4oVFkqmqRna3sqzBJOzKpOaaOjSy1WCyi2aZVcKFJ1q+yR804U0KNt1dvUtzBEwamENvpA2dmJR
b/0j8GBBDUCx1Opps2uFTyFKjfRbIquQqgaFIsFQ61y8RhOgyL3WUJp/DxKTNjuOs7pCJ+FLnD4m
vimEoe4dysIMi8NA9PhdKjcR0gf8i7aoHHu9V6AxgAgQcpgQRr+CKYRjNIhFqcROEWffYANGYNQ/
3t4o1wfMpQnGJ/0cZCt1rMaOh37MrN30ioms2W0bc+54MQ5mKWS19UDNCSMAj0Dpaax1PrT6dC3t
R0sjRlPrYm4NS0Hf0tCYA1pqAzKIA6xCxDHid1VgieLCM4vNtU9OBhmniacYzQJI2jLHDN95HnGr
KnO4srAr9SiUj3LUGB0aU9PBjMlGA4NyV0Urv1kwfR1oXlpmFs7t+kYaszpzEvr4LmWlRWNjct9u
SZFt5s11aYlZvUoTlTT3mszJI1sVTI9aRYjuB72jq3o/6J2/EELMjgzar5QCojMdJZd3Xi4lSajV
GUYmv3E1Ukwq8p/5G3KEeiAuBUgzZzLINP4xxpyUfC8ngZDkGFzTGmF4kJoPNVuV4G1b2APTLDGH
Pwyh4xfCTShdsEeyGhZjGTVYL78rjErYKP4WQbsKeAAX7gX3sVeOaNjyp024cBLOLyBFkkWEuiy6
Z5jUhjamjZBxRea446b0ORNyOrxeZkCqnlT+WLp3fbhwEbC1sGlfoLMBnNKorkJohs2LgRM076iv
5E7wMdrp8ZMzuqMM+UKL4twXd0azjk/qsoLIdbh7aXZyrbPgk68CiuSwmjtD8yH/JC1as9wY8YVV
cQAEr5XOcr/EcCXTfXcYIu3UUqPv31RoZCuedXvB2eL51RQws173HhL6ipQ73Jo3JDu0o5MITu1+
B7WM2KhDaKqMBohqrBJ0Ep0+oCgDJVEre5EXdYWvI7zLaZn+/mxaxiFHe2KO1Qg3Ixhj0QWCHJeR
rgEIfdX2xV24/gUykjtSS9jcnoXZBUHxdWLwBp6dZyYhFAvKq2maO1meGQPB63TwjKi3QxHJIQhZ
glrgXxhUJlU9EAoADcQY7Iba85E2zp2KvIJY3+C7feh6JuobVYZWo6Xu3pnjA5zXeOtABR1paRbD
X6gj5w6NmDvJ4DuRm644t9AzvI0bbSmina4S5gAhMg7ESWYBOZorgKnEJ0JQBsVEC+Oa0QrJGf3k
HcSFhpa5GO7cDhs5e4rkC2MIO60dP9VPI1j+BT08cFZhtpAb5ywEc3tUB0zX7o2PQfcefYuuEzTy
Q6HyUdssqWvMBEH4Hg3KqESiKvoXLp2XV9IQh1dSOGUeGlkWGl21MLVzFvDwgfAQjkjpShlOzJuw
J1JaOFWQCLtepb4Vqii73vZMFgD6dyCgl3PSZJuUnFhtGS3LW6Es6sLJN6IxNUNHa96SLbLr9TvP
UNajFT/kxqmbOrJiYym3Nz/If6wzF12mcaj6iw2s06pEb0guHEU/GBZOvb/6C+ul54NkVksmXVI2
JQYpbtMn7jVY43nH66EJ4nn5jtoBFHTfFt6vsyMTRcyvCg9Bp/+lg5RpCwFTFFmdaARjVLJD1XLh
UGGrFP9ZujMTTEhCPFLQOuoLR1uL2/ALRG7um2KWVnUnWO5OgTLrEnBq9gYFp+N/R8Ws11gJcpBV
GJW/IV/SKyb0OTTLz3QXbFCb1rbhA7V9a1JkvO2mc9EC0r9o4UD+V5myz5fTGXhhUPka9j9JM12q
DCSLXJOHAtcq9fYCXgk0LBY24P/HJnimCRCrVGBDPpJCsydC+tmpIYcuWvYxBqXqdonman5OFUTp
GJ+moYJ2ObS4ByZfGroCJPHKKlrHNmchEvJdo7qTIG/S7KTvibH/N1wSpJ97AREc2//P8t8EnN3A
JSjbEmGEZXLozRJESuQBXQ+H0fjQzGanLqzh5I4Xm1AGqyFUjKHLgwgM+b/LcZI8a/IKhDoOsEGZ
Uap+s1Yg5m2VeImZt92FZWuDgu2lLebC9V1BC1MvKpykf0rC75/h3Yc2t8nVu0HzdCofKpRK8nsX
VCy1TupD+I7/Dp9lv21P3qYa7NgTl9xpafzMOndl4wkFxTcp0itIiAV14wuPnP9WjL7B+3q0aaNV
CGZAYEqH1dgZqrBw1l+/Cy9mBcm7yxWQNKlXRQlfUHe/7tp1fxMoshWHUerMarSh3J2Nz0KxRGk/
revFuk9ZF5RFgTBFKIIuecZqztdBqzSNg94QK1fuW2ErqqkRQ8G49r5vL/zVHEMdTcW1LOKQgB4D
S/oYqFJTFIpSOkUSv+aRZ6c59C+a5vm2memYY4aEsjrIPaDli8cgW+9Pe9KRGOLvTjV4ViY9BgCt
dhlKYkuQi7nxnBtiztuowtQmDQyhV+gpzHKDJtp+lLOFaZsZDwAdU3Js4raAJPPlEqlylaMFKMB4
cieHeCn1T2puZ9pSiXnGFeAIiDMQ5CJ9zJ7iQiCDb7kbSmd4lmNdNspjIVuNZt9enZlJu7DCbP5c
6VqayWPpqHxqVOExsEbkjG/buN5LBD4NOlOkE3kIwrMaSOD1ydGdEFaOoHCA/baFBK5PoWxNvGvM
LCSKEVVuZORtVBia6BV6X3GR1dbRUhV4bk4VbDDgZaY/FOZY4ZO27HIiFQ6vtnpM5BUffEVyarhq
ACz8UhL3+mTFuHFlgNcIYCc0IDKuEqZhJ8bUK50xfxu9r6wQUeM2JRGFNtSgpS5bc/kxzvxTn9va
e1d7qxrUcYLj82sitgZqEYraoNcTlEsHrQctwe11YdnzkMuYvg/pSTAHo8jEunJURm3Kd7RwmlJb
12lqKF++NMlovAvbsDKip1zVfWnN8ds4CmwqbfJ+X/nqirrWIO9LKMHGz7c/Sb4+LICoQKoUxBcg
p6Li5eZqmjGqe6oixh2Kl0ILjDqSF4LNGY9XRTRloVYiaVBGY3wAaCq/T7uidnJhNMVg2wMIFikL
h8SMowErTUGeATGlaQ9fjiNoKrUYo6p2smgrjL+FpplhqBmiP+qqFC9kZ2dOpAtjzB6OM09QUqWs
HVJSQ2wOfv7V5j+B8n57baZfwxzkWBNcS5KM+g5uqMsxocLSt6WfNY5Sf3LoZqMaoDcehOXEvcif
CEoxt+1dP7fwGAAHCdKIEioScIhLg1Ln5ZKsdI3j05VUh6g/eIlJqte6FnVJc6oN+sUC1Rq+sid+
F22yJ5AUaNEWnuoou0pe3/6ca7+RkXxD4AmVEwG9sZPrngWAcRIPXCwHjZOkx1r5ocldqGYLO3LO
BtKL0OECdhC1PMb9fTmLOfCuNE6Jns4AQn0Z8kzt/zTvjCFM+Q4s4oTmZwGYecorVdjkjTPaNd4H
IA8EVyP4SJeey9f+cmlnGuzZhAFuTtAPDTt0QPaMt2i4CpNVO0IhZmFLX58akyXsabzN0Yby50hn
lnypk3MUixqnkRTfqIX+IIIPdmFtZoaDVLbAI1wGQxkYui+HUxWeNwI40DqpaUcGUs26vJDmnfz5
coNBbOPMArP6jVJoIZqYWwctLqDkg+Tchtr3S/lyFs6OUx8azRObAC9OQoHsARioWlY2Utg6sZzs
uyelQwRfb7QSUMXglPj3Y5O/8n2yGSp3G0P8E7yPvWxXimxA8d578tEeDPx/vM9SQyoesyC7U8bY
BqaJcx9ub7mZdcWXqghQRWj+XMFb6dAIeJwUrePSitvUcRtYbTX83DbCQm7+73z8Y4VZ2Lws+zIf
qtZJxn3jQXbZiH3cz/KHf5ST3iAHrwM6VcuOPZ8+57+Kb4ej5YnxwvkyM9g/BSVIeKBLQPgjWz5z
4jZT3Jym1eCgNVrX2gYU/rcHypI8TAOFBZypiChBJ8b2a7Wp1PF50g5ISADnLr1GD+FT89zf1UfQ
pqwUMwaNaHCkvumPVrUR9W/Fuv0F045nHJzwCJrR9oswEDCnyy3E+VEXcZU4OBX0JZTEN4RsF1e1
edvK9XWIYQKWKQMxhKv3Lyo7m0glzpJs7N3BEdJ+rYA0goCnIk1fxKWE3HWLAiZUxFimtg6IP8vT
kp5Z6upU4euqHJ3BGM1+I+3yRw/sw73Rmak17IAwPnrGb7gaH2+PcG4ez+1Of39mN0iCJuW5YnRe
zePSy3vydnaNzn/3NLtnv1sWw1oEkmR0NF1efba7Gtx2xLiP7KWu05no+HL2mBhpKFUOdAywNBif
ySo0sz3dyJt0Pa6q18r8qNbDirMVB1lpaE+WpmtlCztuZkMgLAfAFtUGwL5wwFyOdaSjmhZdJjr9
0EUG+vt1l3sJ+UCXfwhvQQYFxUtDdUGT/ZCJz2VlZ6VvR2l3CFxwySNJmSvjus3uxsESl3TVrq8b
9GBNOoGoTuCZ+femOluH0gfxkugJaP9He76RjQCBjaLir+M+ByGLnCg2p/ANyvCSsrrtXfOWESOD
vQB0bGwOQqUZMrRIXjolekw69F6kNNH5fuVtsuo1gAL1bXPX5x4aXCQI1KHXB7E/eypRlQ+5MQxl
JyiVPeFyG0Q3CxHPTCQJlg0e6TQE5JQQiXE1YVAT1BQ12al9Kz+GLqq2m5HqdJX8xE5ylzsip0ei
3t2ViSnJdg3xQOEo2IEpGO1iJvH6fLr8GMbrQhf6n5FLZWe450FKoOwEUF8hCguMoN9UzZpCLvlp
fIZc21CvRVtrNrcn/DqJChEntFWhCsVP2AA23Z7RohvAKSE7hcyh4dOQhHtgbtT0lIeirjTb2N+L
zTaiWyLo6kgNGtsh+QS3VPd5+0uuK1V/X4KrFzouSFezWWOOFGqhjABQql80Rte3LtcPkXfgjOBI
gkMCLhJulRT7Yidu/a3shPfKodzGD+OP4FqiLr4I6hqtV9paogZogMaFi+Q6HgPjEqEogmu4lEH9
eXk8RGUlZnmIrxvqrwb0l7V2n0i/vzL0owsOz/KX27NxXaPAbJzbY947HJjjOiWBvb5dqdvuztEg
E3D6cB6/FwYmTRft5SEPS+ATwpyjBf+qy8tL4kmMKSKOdIDYLwVC49iPtvcAqBuxgXqNVx3Vu/4B
/X1lpnu74lkTbHHfvo3varvn7FG2xNoe1XuirFOuN3LIShc2twrkJUGN66vu8kuZkKGOyrpVlYSg
SabVlQKa8OOWyEvNDteXHqwgG4LWbhwTgL5errToC72nVh1x3MGIylHXZLwiHgKgyXq/1GVfl2VA
WKLIXoqIriEC05ojxgW/lzBBjhnLGoDdQ8K1xAmKL7LjJvFQM63MFkSbw7oODgOawhv+YQwWhjw7
r2d2mdCFDK7QkKomOPmey+ApxYrn/2rt6ITJUekUdDIJg7LuuCHKRuI0Qe2MarRuab2SSL/w+psO
7ytnPjPDxO8oFvqK1vfEITFZkS5WDHXIv0okZWOtTawgbvKFK2vmhpwuKuTMsXYiEtuX7iIkhQs1
W544cf4WlWD8t6uIPACqrndcsPZ7zrp9MsyNEOpMgGxOnKyQL760lymRKo2eQpyuT3XZeyFitwrd
xxSwyb5MFgY3dx9PDbdIwSF4hkjspbEkADYVdK3EAc+konMjWIuyNFUXjqCZ6A9NrX9k3ygX4nXH
XMl+wxHAmUXZUUAullKwOEcPSfwsE2ByZEuBo/SWBoE4qwPvvwpuqs8otQttwnADMqdJbyGarWpw
TjaJtZhQmA0YFCqAbw6PZKBpmEkgTTA2YqTIThrG27qgOkSbTQ7rC4CGr4g6UMcGAd+c67qZMX5A
vAC404k0XpKePG2dkxcNqt6PkPBum7s4WEqNXRfpcWwA+DpRlU/4PrYToRzGWuoornDwH+pEMkRo
/JbV2jXBlPnhmmiNbshDcISSrTnwp2oJxTXrkGfmmenpZSTs4O4ITnuAMmsfnNRBWBRm5QFAhtlE
b4Q2SAu7YM4x0XkO0TkVzTPoi750THBQqp064NJyxapaIcEVgvcSOoILe236dvY4gTYW7n28ItFW
zxwnai4BENxJiBWfEOFblqw/aMbdg6fb75puf60Cfc8b0HW2VYczDcu6275YP/rH3cfpsdmBa/rb
B0v9Ixi13tbr+/X69en3/hG8gebO9JzX3dY1dvdLLVNzy3H+ycwlmdOurasB3lqPtdGHJ3XYdWph
t8JBQLvG7fmZjVLOjTE3lpt4Y0UHWXYktNjn5RYNj6J6klNb+OQKW5at5CRt6V2Y71wQsd82Pndr
ndtmbq1J77oKU6yNFL/JSF52pQkU+20bf9qetxyAOd09l8/zuldlZweuxd6eGHtAoAYaJhFEp+qk
52RFVq9TEwo7HnD92+oOz2NIjptLT+S5AJSq4DBDMz4ywuwuj+RGkuII94w3vGf9up3uaU+vx0NQ
7Xhil2myML9zWww1EfBa4fRHQMT4flHTgps4E5zC5XUCCJW/UEP4e1uwk4skLc4uAS8MvEEuNzE6
ClK0ccWKY0Pf0Ng8jfqPYsr6l2qpxo9r/hwDozAV3QrRxfG4Vjfx63OiQzHj4XsJCDe3z8+/hDnD
6NDL4thOYyW7wXGlDi+wdzRCLLjT3yLdGjFz0YGfwR9SFSNO9GEL/s5XDboBn5Wu6eXd66f9tKHm
z5/GjakZx6/uFSJNeq4jwQxWPPtjovGK7PtdBgnN58ZYoo2b21AgvBQgPgIyaSRaL5djLHyaBnkD
7ggwdjTDtpXWWdIueNXsTJ8ZYWaAI3UJGaFKcXqcFRQdlqBCacAomn3c3rmz3ntmh7kgKhXZ4rrG
YBqvh/iWWgEoUkTDQnw0P2XAuk8XERAD01ecJWb4kqba2PaKAx4hPBTu2mEtgN/j9lDmIkwNS4K+
axV5EVm8NAJikNbz01RxBoqWyWdgEvKT2gMpiuRE9nnb1uzynNliDnSRB3dUGSaK42m78YsPzbwo
DaFaCprnDjMQtv6VnHF7/2lAnM2b0DZdqfiF4uQg8w6lTVXxxuAXZt/fI5jqUUzUtIfbI5u5F7FO
eN7iGtfQf8B4NwUrs5fHkuJoZBh2VPALqw6E1Zgr+wpZIjDxBAsWZ1wQYrHQx5ZBiTD1E1+umzbI
EOTgcKhIJXiNQmR42urp9qBmluvCBJMlUINMBGEEzhMhknUJbb0y0iajnSRLmjEzjq4Cb4BHAD/9
qzGOHo+BV0cCDBXFNzpDfKDlh34BS7hkY/r7M6cYa1711BI26ugdY2nUtdAvtEPPzheSmTJBooMg
eLs0oSlDG9cD3LuPlRT8HsOTouCJL3Pg+IoA47i9OnMuB7AXGvcI+DDwdLi0JnppAtnwTnE4MfOt
1s/AWT3SSHcrH9CpJPBXTeYvbOA//XPmikGaWFVBGwesJJbr0miTu34jJDyGCILovQqu5udw9Vya
HaQfCwhpFMbB0yE8uXo4Ht+O1HzQB2jG3QnQjDM6XQQDYKcvxS6zE3H2TcxEJByaCsH1AO/R6qc6
6KkR0QbSDCjEQFBZb0ku67enfs6XzmdBvJyFsAQLCtBwCtSiHqXyIRQ3cbBQoZ01geMEVEDYF1jj
SxNd2idgFBIURx4Pnfc4AkbV0YX9PXeEoMHsvzaYQ0vzQKQe1DLOybH76oX6i8sq6/ZMKdNUXDnM
mQ1mT9QSXzbI5ANSsR22z5WFN7VRw3fwmsZPpJev0Idqtq+SXtoIgp9+MoObHAtUrjrAC5nx8LN5
wPbZKAAEBQa0aSA36fp6j/+dSElBVYUY5qU1II3E62ti3v8b91IkJERAP4FmFHZXt5U89EOmYrGJ
J9uiF4NOKsle80HZiI2YHBRgpsyFWZuZNORMIf6Exj+QoDGThjg9Ejo1Vh2inoZ4gxdQBsUuMYv+
5wEG4P7qpK4OXD9Izi+dLBmaoSuFQEUYAwgDn0qZGbeovncV7Ra2zNwm/ccUiqWXpuKUlAUhHPy5
Kh9DuX2We/FFDYRaBx06MXxoydq3J5FVNUIReoKAoJMGHV5/Oc9Lk15MYTNIVOe1hmBwiQfVM9I5
ZmyEeGcB7WXEh0oHn5Zdm9TqjFfRgja2Uq5RDLj9JXN7GcEVdNaR9b0GNqWEFH0sl6qjcVtOuef5
Hw2xz20bs/OLthQFEG5EcqxUBKdGZGi9THUKfwwN1MCO0JNHaoYgpywdx3B129zskKDyg5r3pE3F
8mujcWkUA7dWHdDB6QR4tIx+1OPpthFx7kJF1RR5cgBh0EDInOzq4MtcMDSqU0LVx+92HVizcG8P
v3195GO9pbZGAY7kj4WCDJ28AmNf7O7SsdLTdcA99G2ko86h95ynD26393yQJ0HUqznyS63H16iE
ydmwidB2ioY/oMYuna3r67Iq60F1XD9Bq7hk+/Wuw0PP24i1SQRDATzDqETtX6yDikWQJ6wX6o3M
EV52EgVrh6Q6QgcFalWt7zkwtK1cJBsXKpt/lQn2JD83NXngWQBVdsAJcCFMNUZr9/ghKJYP4PNH
ugIQJXSRPaSbHjLQGiKBA8KAXo8MD8TvI7CLsX70Vj+epd8FmAXd1wx/e3/fGNq/iPJUtH2goxO9
Rzx7bSKBnpL/w9l57UhuLN36iQjQm1uS5dqwp3v83BDjRO89n/587APsv4tNFCFhA8KWBlJUJiMj
IyNWrJXCIOJFs/6JJOiTXhuV44+yuHPeXtOrd9tBso8sC+hRJAKvtyNEmA0qR4sYzU2VXhK7d6Xj
dGjsJ9pYZ8l9iuy/vf07tR+KSwnJGyQRdH2lA7HOZuG3T8rr++LWr1m9rKSFsroM+DWpPtlq51pw
ff4RhpPWnvz8Xs+8OGwcRadmZzGfg7AS8HvkV5rLVBzUQYZldjxCsoTKErBs4d5SLuCW3VK/n5qz
Et+bMc/pxGnbBILgb1J4l42R3SVPTXdsBKiBef06ummLXoSqmZo17qAj9hBctHJy9H5vsezsrbUu
ac0bRxRiGMHn0SAq9AwbQtTL6Obt7dyKO7SK6Vcvbzrqs9cWmiQpOeOB6Rnjh3aGszP6ZCowIHY7
V9RWxYahLUjdF/AQAIzVmaJpEURhzmerOTeF/Q1OJtcgN6InZ3MrQYthMfunOzjTC4IVh7+/Tfv3
b9XWXxUV2oMj/l7Sn8k2D8+JSyXCdmNnr4GyUSFACwYVjUWtR1f01Uuzr+TWUMLY9JTgpzj9zMcG
RrOfVf7T0qqDamY7t+V7Mg5C6Vt7q6wkrsZKaUvsGeYvMXj0lWOFYF4zeEbIrV1Wtlg52WCrqWvd
R/HgWOPRzy8hSaE+PbdyAg/N6KTSQZkUHBBReFD3VE2zj03lptL3SXJmtAYzwS6rl7T/YvYfE9/W
5uScCHuTFZvXwrJvyxAHmJA1lHPshiKotMz00os5fvfh1AtpNl3Uc494uuqNO73WrZK58dbeOioZ
iW6FFfZ6qFLnIvuqWV/FLnT0J61wAuu5NInUkCPM0UFPnqEv9LV5J9NbCya85l1vf8M6FoUQFSzT
CN7oP4mh4+cfoRm3I3RmJNeyTkx/yOozGYyjGMc5g+h0PBjiTzGqX+oQXSfflnandheXWYcM+rZQ
I9EuAoi8uiZbMRTrKMGlBr6/p1RUgIrfZeno+l0anKt4J35sjKEsfXZaqGTvyCDKKxeukMgQiqA0
PdQglOagfdDAnnnB+L1y2qyxZ/g/isvtmLXVSHxrc90Dp8pe+npQsO0goKHwOYbOeBYOkPfYH0z7
a06cgA7NReDSYxDbzXZ64+/HFjm2b9a8rkdMetWEzWJfG49to9/35Qjyskctz9WbUzg1Tts8QZSb
5feq7DbF3mDoEivff+P/7fkrEuXNtdCNQdxqA/Yrq7xThG+m4hjiRVSYnwzDHR/f9CcyXyTC6A/S
Xbi+IGI11CbTrznWk2TDHuVYjZuSkcbGvaB/kJXKSfaaRduh5I3N1bUHcTU0qwB3PUU5qKfBQK+a
zaURDPLB1tuv5WfJ/+e2T21l+fTeeR7CKMRcxGqZphZXMMcOphdpotvm30TQOEXy6baRze9GrRau
YtgrATlc7+VUd5Ja1KbhxXHmRPLZH1LX8A+t2jjCnrDm68v5nZPgIzCmU6Hj1XttTBd68OoNgYDp
bze+xBcRWXQOpB3YKl2iwP5kcQ+HsEDRhZtdwf5FF+ysP3woHgb3+4KR8u3s8vB5sP+kTk4qBzkK
XRT5+PnP7V3Z9DDechQe2Jh37+VQ0OUmHwjkWph7po8HT8l90rm8Qo7JNP5I6goK92+3jW7d9MiS
gDIGDgoiY5WOiFLR0Q/HqNkodp6QjTxkp86Ceq0gJ5F2nneb3vXG2upbVG2dxJWGQ+uExFL+pcp/
Jl5rt5e0+YYkn2C8ETVT/Hjlw5OVJbkshIR+4UvWNXaq/+qbSzd8CoJvaXtOW7sD2CdG3EaPce5l
0nnUDMg/CrAgv2LrcVqIAjpoqKbyUCvl1zZoT3V0Ks1TOZxv/9aNk0CGAOsPbONwoLwWX99EsERV
5nCAHt4Lmgnm/O+q/8LkoJ0MH+p4j/BqYxYBOB5wcsB5tJas9UspsYypsNIlhJHok5dU5zA8zcZ5
qlU7Ruo1N+y5TdyEIl1vjzP/UIYS+JM27Bz/zbi2YAPhLJMosq31ggNpbqtS6E1PCg6hdiiKU/bS
1Y5GYSEEGi29NHvX85abv7W4ygaMTA3iOFzCWsRbPZiF70GeHAq/Zcbrd50M3wZSktufds/k6mR1
ftHF6YTJKUkOs0pe334a06eCKeUgHQ6qoO1M6u0ZXP78jS9lLG9u+nExeOffZU30kPh/quAFsQY3
j/rz7eVtRatFIpHAyp34rlOpdbLS1FRwvAyhEqG+l8zzINg6KEYIdM1vnbCTYG3W9pjAXljUlqG9
1zz4zfKGeshBT4BTk4HImHcjr6bgXH5QjjAH2j/UQ2Xrd0tPQrI/JZAn9fanxpkNnr6HPN35tIu3
rK4UkxKVxbKZb4Ww5XqnpaCfEBynPowjH4zgl1w259Yw7WLY42baig9vLa2+aSqUKVwbWEr9H61Y
28tbSDI7N02ojgk7n3RzWSo6rUzvcfmvdzjowwBV49DwaD6RQcVHVUamRS8cSdyrDb8Cnd5t4euI
BvgTWprLTfHmayZlPwdVFRkL+iSKLwwCzMZFL37Pbi98T8ZDEpZu8hlFhvbXJD1EzeTAAwEcprso
46dJP8nJXkdyKyqhpwj0jVoSQXmNzaoSq86FjOJxNqC1O3+upRfVPIT6j1LILkbxQQmKL4ry9fYx
2vzAb4yuXm8JvQV9zDHaE3OF8S/IRbct/nbMidC/3LkZl7zq3aZzIdJw5cancny96aKg6HmEsoYn
RpnspCkIQiGt9jg/Nt3ojZXV6ejmKBX7uaQgJ91NGZ04ukE9U/ADWt7THmBi690FLwz32iK/CdJz
ddkPCmSAXN2Uwb61ovtrRsXbh3QnfjBfgi/pDsJoc2lsHWeEFz6aANcbOEtVnOZxQ1k//m62BHH1
V9N8lYU9UMvWh9LJyADOLLPQ7xJkI0qVPpsMbzQ/RbNntjup5pbXLQjb13wYxfnVOmqj91umIwwP
LmZbq76PkEBY+ZcK6Z9B+3nbw5cQtXY65myW7WIU591IfKUMcRwz5sZE6GGWa7uQP6YzPZjnhvL1
XmTeKq8BHf2fNX3VdKIfksrgpw0vb8yLUjyKBcxS8fdauEj5zxBSLd+pNSJbmN7HaeiWtQTHz3w3
pvUBQXZ7Tr6ODXrxzcUMvxhjZvvWkz88hwUCKo4A2/1IkTu6T1BLES/LGPDc3ME7cYHr3Ow5uC+M
CMMOYucCkyP5AyTW3WQL2YsRRLY8ubd3duMKvlrrqmYJ9bMfQX5heI0cvgztydQFB0g8k1T3jPwM
l1baazlt+SXSnMx5Urokjqx2dyB7RPKKb5kZsRPn4qMplJfbi9o6Ygg3MDDHqaaQsiz6zcVg+V03
QVNpeEmhqnafypZjKBABiBkVpTIIjJ1LT1kCxDv/tGi8ojQA0ecaDWWIYZJ1rW94j9802wXrAhTz
y1Lh//bj8Vfs/kKV2/7GXwOblrSz1PVV/nfSU6f/fHvpGyOfJOjMTPEYo/EMr/f12sNwYNpc5qeo
40Hp7MxwM/0+Cc96dxHnSz8mzuC1DUzfdyJgtznk3XIkd4clsd2j73hXVgQgxnQetV9m26AZWz+b
UdM16yGcC09uAaMGjEmm+sWPonMiP4LSdfr2EQC43Um6k0nCk9qN902m3HdMRtzelXX84IcQquCR
Wa4UutYrn0uasA1VvSq9aj7LcIbwMi5OFgNkCHh2cLJ2L7IQ7SR4726VxSgytARfRdQN7ZXc5I0X
xnMrzc1Ch1cX5rkPfgrVc5V9NfwnizYKdPRa3J6j6WMg/9v+/KthptI1oDamTBP72gXMqYDEVoJs
UFLzf1ojOMTaUCPesIdEX/Krt16/2GEoyCCBhwmKdvm1nSHxk943rdJLEqhp1DTTbf2Ln2r6ztdb
3zSvdqA/NrkxqcOup2DjVIyp7ReVN0GwjOygbc6Bow3RUU0/KXsE4+vw9GqMFs5SpUMFaV3zDSII
3CJBglYLuMazJOT5KTBbayfsbi1pQTSSI9MbAYp1vXUF5VzfsOBoKhWHGtfZnKRTFQePffN5EHfz
m/drwgOXtiY1ZeYF1jGBJaMyBtzJo+9NLUOwbPNu6hDqbJ+0U4YK3w8f9TFK7ZnxI7b23PH9WtFe
ISIxJbwchTUviSgOxaQrcemlfWUbwQ9aZI6ClLcO2VC0Rx6xsdQrY6s3QZcUjHSVSekh5UfzgGZz
ufNEfjfawlwV5XlweiZsgnzBlQnw521m9GbCWLh1LO6ke/VS/dXODXwYdK4hV7bpdFZ7lZfFI64P
22IVsQs4RJfBn1W6lZj6oNQyViUxPYyN5CRwwceN/5AZ5fPtaPn+XF+bWqXDHUXEpfKTUO1s4oja
4UuS7j3e9mws3/FNcBTqWIAqMEq9fMj1RXciSh+1KEN2q2jbL7fXs+GAV1u3+mCZmQ4ZJPSJh7ac
PReXKsUBzXtRYTLK3AFz7tlaHewatEUeGXwm8bnQj9r4BSnewnTSzDjcXtS7wcz/74b/5xDLL3mz
g9o462WcYUmPz8XsjCHp90LDNynhxzCs3VL4mMUPQwoO0AfQLJnH2z9gc6Xcqjx2Ge9S1kPaVut3
IRQeOOSAykFQf42b4ShOoZ0GPlns59vW1nnqslqF2wy/ExkLX486t8aEyqCYILVQUW997MqTiqqD
dhaSR795VsU/t81t7u5be6sU0khlxl417CVgvcRD7j69/C7t+QAJ8U5RaiNPuFraun4rz01q1Uma
cuOgF3mfheCUKJ9PMDwfg7qkE8hor1Db5bgHidj6hIwkwd6wfECYUa9dKKknU0FqCSbUUXAjaJa8
Rcqyzn8ne1RLm0HzranVuQiTylDrAlPj/BWkGZrftiz3R7+gF38ukumkQJY5D7YgAxanyRf5R70Z
7Ybu2O0v+65q9OpJbxa9Ojehr86dphdEnkvlDYfeFSRAE8Ohe8mfwif5e/A4fGgPM9pkCHQw55KP
TrU3xrTpzW9+wzpDU5MqoGOSemrwjftj/mb4HlPq3afst5jv3Fd7tlae7KdkZ4NZpp4RnHKgbCFI
H+FYoS/3RzeOWr9XIHrNJtY3FT0yEg0AKsyMr56U5G+yLxkotMzM4R8Z7RyFXwiFI3l4luYXofuj
3PXzY6TTV8ncuT5M3VH39w7VktGvfwSkKRQ+INXgN6x+REPjfop1djirHFmBEj/7lsl25tvVn3m0
g39d+Fu8ihoIeJclanCaro9SLQhJZrRpxsR1DT5CEy1e+XksRa0TxL3UAW0yqtY2+q74J4tRUbZT
UUxzuwJo9h+uO6qBpI0046CFWB21Jh7HVqxwcE1tjmJ2ljnTU3qfFU9jukdbvUSId9v8xtbqMFVi
rAcG/4anlc9Bg8LmB2EPm/f+7cbOMgcnq0vWwSe93tlE0cuuQ97esxCzp9dbFYEbmqY9NW49fjdj
bSdAbNkD3s7+Ldx+77ja9FZU57yvUqQsHoOlzPlX1y9Bfz/pPwbrfDsYbV4zDOobyjJqyDjG6mEa
hZFZTOjben7zZYpRJ7V7ybLjfoT2TrJFwc4D3REq7SDPvyd9JzJsrRThjIXaBhA3+g3XO1sodR6F
fZJ5AnibLAsfheCYGZTvusQRzAOdy9ur3bK3PBYBwZE2IN5xba8OFCUapTHz6ki804R7qV7m018C
1TVyy2m7bq8AsRX6DEakOQdsLbLj1wbVtEeNO1MzLvESmorWf/47hfz/L0HzKVDa/+A40DUtkjJ4
7DvawtHoZhPR84y456NFbiORbKegyDSUtPv8YxH6H27v5zt6VL4dkhf0+hlXs6j3rLzHQPlaqtHg
9uY5etZ97rBC8abqs9Ldt8qn3hqeU9N/HBQbStmDOIGgegj6D0EmPpYzow8VWszRbyG6677e/mHv
sFyvP4yeLCcIZQ5j3QWyghKsnJ8WTLrEl6jX7uu2+qVY5R8tP5taaA84nAZCT23EUyXITs1DNLSD
kPQVVMfRr3VHrOcPQnxq90iY35ELLb8NYB1dY37dAn2/dgpFB/2sj0LhGfpfSNieZjm2TWrJsPME
wkseJ279rM+J2/WMi/hn1YRlCz5xob/M/mjPu22sxd4qhEKiTp2MlzHt+1ckwps8Ps5q1ReGIIND
0Hc0FS4Q1cgfoyGW3TL4ePvDbCR8V7ZW4bqGTVf3Z3XJBVyhO6GB7VRsfJO6maHvXMF761odviyI
UrMxF20sJTwoiG/JHwWxPebDzmv1Xc/t9YMCk0Rag7hCMnv9QWNqRjCCEcbqQT7lCdOGYgas3AK0
lohOl4humCrH2Q9dI9tDIW3cfxw9Kq4qxw+ii9WGIkQ4xVkfZV4A9qCIjEsy1Z8tSva3v9s7lNyy
xgWKAi0h0+/El+s1SuhAGo3fZJ4SxY91Mx7EaHjogo+d8SsNLLfV7VlX3cGPzkEz/FTVz6m1B5Tb
qKzATgYjF91dHdq11WOh6mplnv2c8KarqSObBWPwlv53Z6HyxmkAcsnA1KKWApnv9ULbdExCrWah
Uf6PmQaXLMwO2qj/mfLxTrNyx4gMRwvyB23QHk2RoYzRvf0LttyWC5FLkQ6u+m5uSy57Ta3SKvOK
AGuteoHU00Zbzm6CaSd+bzkPPgsxrMhyEeC7XqucK3ysoc28sBEl2+wstCKQQjtIPmDj26vaNPV6
S9Cvo3y0unobWjF6FHaLqfwwLppIU9M8RBQN/pOh5Qsug28kbddr4iVbtZEx8P0U1Q7az9FguG3y
L6ccl9MAexE8tyoy9dQUr40oghpmhUUiIciDeegN+c9QFyJoRn2vPbbl9LTxlzkwldHVNd+EnxUl
6sBkELUwUCx6LqJxZ8M2chRwW5BzgvuFxG3dOtL63rTGqsi9ekbSlgmJtpUcH4LfUylMrX8JBYW3
MhJQVuwKMCWcuKjEPfD8hntQiaZdwayZyeTo6tRVSjzVYdvnXpyAV6Cq2dkWraHbPriVFUCADNYH
ZLPJmMQqUGdFGpp6hUgcqpdfrUO/TLpAUeJ9/nqYmNz80qFStgfk2+hB8c7+P6Pr6opVmpkaZxhN
mtqtLKei4zXh/sys1vGltZyxd6344KvnMoFo7E4Q9t5IG2kvbFQA8xjxYrhovbl9gTyyqiS5l9Si
fjSi0D/UpTra2aAzB6GUx5ppo+OslHuF961bAyptlEAYugYnsybSzqKxQIBpJNUxxPJnJbYD8JhR
dUSxGC5Ray4eJcWncopAO2eV7gyWPDiRFGfPuS4JTqrkzfG2E2xtBtgYIFj0fxleWcLvm2xnZBQs
LSF49iohMe/rwpIODXnRnVxW4l1QWcGhHsrJ1dRQfLltecvHwUOAuKKpw/dY/vyNZTGc+iwz0YkT
tPnol/05j52pEk+3rWxkWHSNYEOlpLYwfa9Ck2iF89jOKEt2/qGqfsr9+eug/bNbDt0yw6wD2DgC
LUWWVZgVi2xsCrFmG8uEr5jGpI6jeBlm5anoZw1MgrIHI9sIVAvrGi0I0g9Cxer0zlk4ZnlSlOjN
KHdS/iSRZCHr+lgokqul5/4k7iqMbB3etzbXjP55yURP29O3bYePZvAYiT9686VLxUtGVS5VnlRE
IBr5wxypbpZ/qoPiVO7V2TdugKV1hhYDr5lFJOPabSzJF+pi7tF7rGZHGH80xV7+upHyMA0Iip0G
NfnG+o4RU3FIINakOZ2cpfggWu5Q8mg89P2XIf0iTZ0dpJ/S5DDsjGZuZDqvbJ5E4yX2r6l1+kkf
fV/h9dilcnPI1PanknSKkxiRaGeluUdGveU/C8BKsjh7aHauNlIUkqLLpqkgsepmgJaRiDijX4TP
Uk//p7cuFaiQS93HlZ1IgriTa23EHZJW8jp1oSiksHP9GQsK20YcCTQhrcbWmtBJHuMkPdYKiNN8
CcU7m7vhNkznkQcxvkXavEa5KP6U9EpZ04fsvkqoD8fDvy/eUF1lcJs5ddhyjVVGF6d6JvczxzFW
1PocTGVoF9o4fWgg5PKsQmZUR5CDk1kFxk6LayOQLpUqGLIg6OUvq2RhUEYG/eu59MC3Ua+y2oe+
m87x/B9aucQaXQa7ZjIQpazeVsB6OmmYELia5tEJAx0pz8PtYL1VfgMmAUqGltLSnV7dRj3DCoVs
AdEIcuEOMN7HHn66ynAZ0rGDvngJUZm1E5Duw8Kw2KbHNvu30hDkssyMQtexLJErevUTIMULrC4C
rOEnEW20T0339/YitzzxrYHVNvYNJOKaliI9md+P4tex8O3bBrYaWBD2LxAf9pEkZ/U41UohVDKf
D5Wnx7w/1RfLd1W3aOCG1jJXqmxzr3+ycf0ZpFKkUxTAZBKc69OcM6sYR1OAIpyPSkQoPhrZvc+Q
keKOxfH26ra2Dz5uAj+jcIgVrsJWNpeiWRYNkrYGOD+oc0QnSKOdw7y1HnITCVABs2EQjV+vRxcT
uWhKtfLUsna6WXbFAv2BJgaHOjzzIt55cyz/uVXJiSe8xPt20dkAO31trh7i0Zz6AoWwlOZXMN4Z
nXpSiNB2uLOwrVjB3vFwWsrM79owFJVFXjVJ7TFFydSvVT0NSVfAib3j5FsbyP0pLqgd3lDWKibN
6dSNTafWJHfpcRBCTypPkzHQ5i9fxL1m5oZLwMfBEwaEFcCC1wrjm0xSL+swiVGb93S/+DJbo5PH
1Q4hwZYJsiwgOwjHUCtfXVdJNkD4X+HgddOndm748aHv0r1Wx4YfIOFIFFcoLJF5rNzO8ol/qQSw
Sq7N+94AyT2PF13P3D463T5FG5ZIVkHLAK5+bXZce5xAv5VJxKL1MpCAavSnLb6IsWpXws446ft9
W2b0eGICFaNMtYaKyUJW5mqP1ro+i+bTqJnDj6CivHl7Ne9TGazQ3gSPQ1GOuHC9GjGS40EKSGXy
sH9Qhzx35d6XXCVorYsftwGK32bJOFQjHMx22pNgfL+XhFpyUrDEBAyIaq6tj3VbFtyYhdcMcL43
aaw9q76Run4xUiMbjXBntRvxfYntlFdBelDRXCeKo9xKVqiWpbcIXkn2LLTSQyPGpp1KgvEwNnn8
NDekAmad+T6UJb7+Te9LUOH5oO0hOd8fdD4uEZ9fhCPxGa4XH+nZEOo+r7hImr7ADf2giN9T/dg1
lWMYe2F54wGNNR2+GoPhAIk0+dpa2yThUMuk5gkBOnObpqy+E2E0aARAFT+PDGKFByGvNMsFra1+
A/esyg+DOcihMyR1YfdKLyCUNM5GuXPrbnkBBbAF1koIp/x8/dMamMONqBJLDw6bKXhu4+c6cuph
J9fb2m4UwUEZwRnHa3a13XEdaHGf+eR6TaOfp6DwT5ofgXdPYg266eijEFd78uCbK6MeyhG22Pj1
o6+fxDxWY9KJFjETURAyp9CyO6OKS6fSm5+3j/L7d8FSfKVjT/5Foq6svrCUtVqRyxiD5t5e+iFW
jFbO5Ew+sPvEOlDx3rl8t4IH6bpusqlU/dYvg4L0mRyAoNskH2XxRykdQuNOYV74rlH/xPpejH9/
A7PAN+ZWX3DoGktkjhCoS9x+MGrhPOrfQRXtiY9tOYpO0WPp7C5zwEtgfnMnqvBYVkbOe4c/Pg1p
cGzG6XHseR/IqSfS2r792TbNcd/zvCLOv6updaMQdeWE95uJdIpCsOSz1f2dFag/pt9huQca2gyB
PLeW0VeNhF1fJZwShJe1qkqlVz8kyT+dKx9r001+N52N3Iz0+fPt1W19M5q6S5uFpi4A6+vNTJJO
aCCQK8F6jrbRgI5nqAbqzp1N3Dpoi7iyxhOLMcy174eBX1lGh/63n6pO3oilO2nBd4Z2Pwqq/uX2
kjZQQQxGMJW+CMUuOcByEN84iNQYfigkMsaowyIZfA6H4jjKzizakeLMGk+88ihPXwzrowhv6KCR
vA1PovE4RcfbP2XLd4gq0F8CeliYt65/Sd6OhZJWiIpWqCLBMBjdN/UnIzhr4o6hzevjraWV1yRa
6hd+iFhoAvzecDomS9Pf6AfkoX0pBtvv7Khx510mlSX0X6f3bPUy4woHAznkGgAUtXNSkj5U3izq
jkTRN2L4MK2HC0S6dopQCo3sz3GZfp7LvarEBs6P9gFqeDxkF6z5uphVZ2qup/Fcwddsyzwu8sit
q8e2/p4Zql3Ej6n0osk/xXIGjXGfFLHbZcKHqdt7d2x8YxIjPI1pTKrr63tLjtKKHhE7n006BFuZ
Iw+cVMXdSY02DipBHCQBczbGgsG4diWjMOY09AX0aZlnagEMRvJ9Gmafbjvsxjm9srIKB1NRwZqX
odIbp+mdrjvMIdnUXg5tvuOwm8uhDMGGLVP+67mpISgiTYuq2jP77iCa6V1XypdWGf/cXs+mGQO9
EAl2w0U953rXhC6oRn9mPamgWG5NcdRJqrQ9hdQWdkLcxmW7vAP+Z2rxkzdRRxBLrQ8S5izCHgdI
HrU4cMJY+Bi1AsyzzK4mFQRd/l5Tb3uFdCehvF2o5FfPt6g3/FrR4tqzSFLTc/Tb33uDbvoEeEM6
KMsI5hoQoPkFaXcVLg/e2GbC4lCQ/aqxdUiKnSf8liX6uBJWSJN4JV5vYVc1zTTFde0FICuiVHeV
5G7Oo2PV/r3tFhtADh67JBFAcyxgKuuU1mokWRiDofakQuqek2Kqj1I5zb9yTYY8oyxiu5TU+z4y
5uMsyndtVEg753krbCzwzVeAA/CglWfG+tzV0sAvMJLU1bPELsZPgXCMBPVY7bG4bfnIW1sr19SF
zO+ytuewnXrUep+M/tft/dz6cPS7JN6JdC5INa8/nFCUhu8nKKfnyecgPanFD7CZ/h4dyxJ8VpcN
lUsuGZVBM/BUq2UEqVYOjSIhId6eivKkKN9vr2IjQZeA8FI8UGBsoEx7vQrdagS9TUhSFCHMnkLW
+T0Tijsx5u8qMzIPaZuKdlVU+o4vbH0fiiMk6gtlNWu7Nhz0jTDqA4NgaXcore9a+Gw2O02Jrej0
1sTqaNV92uWhJpIfpHQ90GBALfFU5tOLarUHUfyQige5Ot3ezy0XX0pxvOUQyyYEXy+raxalUJFl
cYJ6rXd79UcFsVvfOWod7FRjNk80PDEksTx3gIOszpPYB5HUm3rt1aX8U4hE6QiRUuDUqla5TDRJ
R0lJWqfIghxlHgBvXTpYOw+8rfUyAg+Ag3cyjefVT7CyPhjjgMpg29yVkfXAA+ZjEEUnKZCeWn2n
bLflM2iWUe9EfhnXWR25mGZJ3UeIiYVSeuC2yZiG8aWdO23rXL81sko6giYHOCuHrddGTGgj3mp9
EAa7nP9D3Id5mNYnRxuEysqMwGRn6HclCbs1io+ylDmQCdw1saW6kMbvTYVvLQq+E9A8oGDUd3Qo
fpsz9TFSZscNKruO+9ZupXpwU606+3q7J8G78aEWfizi1iveZV3VF2ODXnbqN17dtviebkK9lhUJ
CLpQ2IkjW68AmvQWM9A4hc5j6/rESYqfWGHdtRBRliWDF//kMcDuKFAVdxpnC00kfTyas6Ce005U
jo2c5U9DaOTHMAtNcLBlv/NlNxZPowF+A/A+bPVa4qaKzKkxxrjhlgN2Fpi20neuruwEmq3DT4OG
6e+lssJLZFWhsuSx6sI67Dz9ZFV3vnmIqvvWaGisXYqiOMpGxMm/3I5uG26ETTjJeafz8jJXTtsY
RsygcNp5sCqY9Ji9tPi58z03do+6IgRCpJXYWOcIuZ+NhJmmf00pO+2llBQ77kTn3y/krZVVmG7S
oFLque69YbbL6UvXuoX0YaBTftvM1mLIHxdoKa9yvtK1b8pj7KdtHg2eXvwZwrsQfbj2920TG5+E
sjFtusXbeCmtYmIt+YVIb2FY1Mvj6HMJrNpP5IOVd4fbht7pYlHDoBwO+obS/PIgW2XdzSSOQyg0
g9fFwO+nsHyoq68UxqfQVaDjsVKGbihTKxYSQtJLbdyr1vc+cDr5Je9+DfqPWX8qcijN+KC1Sp3i
Q5o/6f1nPdKdaAAl1iaodVfPt3/11vYA+6ONZFlAM9eguChDTG72JWhqo9jNLbdiWqfRPkd6tOO3
24ZwWoNgxA2/SqSmCeZp3egGrykXpu/7vlJegqj4MAVpsmNq484FlkD9Fk4dwvk6uo6zOI5Jogze
dAriy6BrsEk7sT7Y9e689/v0UNPguKGHRfnNoi137cBRn46jGMNBoPfgZLgv2vvYjcLflfRPKfxz
+1Op/LeuU10IJEzgY3wqOs/rVFfpDaCXkcw7XBvtkRg+7pEPvD+OaEWAr0IIhmIZqcj1auq50oMm
W6rRaS27FNHsQY1SZiKGnUTlfeaJIXnRDaZzwMlcbVvczDrJX0x9JNVbWwwb4MfmSYx0ZjEzZ05F
b3jqk3QnH9zYQKpC0GcC0yferCv7/mikzTzxaJXU6jGt9R+Sle8EgY1KLXAOno/MGLGLICqut3AU
G1NPIlLObpxnN50lwykM5DbaEOLnqo2dXo1qN6npVMmh2bgjXMI+lBk7R2Brqa+AWng/uALXGhld
mZZmIVJKKRLpAEP0QfV/3fbGjU9It/uV9RHfBwV4vVAaJ34fNpS4yrK0s0jJ6Ff0FLpq/7FUpdYN
TPUfXwbTKe5NArw/3qTyNMaWhVHc0Je1vy2q9JpGnc+ovShIzxqFFT18DBbwWhI8KOrH28t8H7bA
3sHZolBfozK19lRZBRHNqGzvTYAbL6WSq65shrEbtu10MZRij6F/Y3FsJxBHMI6kLmuBLLkLCynr
C+wV7RnM2NfSlztbaGDHUKf+Tk3U4+0Fvo9gLPCNwfWZT6YsKOWq9yB0P8vMbCE5ZoCumvHQxJdP
TJOdbltcbSmXPRg4HrQ8qKGwePdKkdRAGUazKR6rWDJsYID5BVVi01GleL5PW22vYb2Kaq/2qAQv
OpFc/8x1XPtLKA2m5otF+Wgw4afSPI0o8FfGj9urWoO5Xs0smncIqy6A6vVj01AbM6VxiJmY2RQY
g7U7ye9Su42h7J6NQfndTmny0g8B5CPTZNz7kjq6cj4Md1PkZzsRduVHy68BLLSIqvDKQGltlYla
Jf3KSJabR0GdmqM0R59zI/6ka5CvWEEGa7BfDzuxb2OfuW5BBdARY5/XFYs8a4I5UpTmUcGDGT4W
wrt2CAfSnDnccaE1lv91edyAVIkXUXJeN9ffVC0ypStnuX0UQikxjpNm+WBvOwZYrSQSSPIjPakA
Wtb117BIevMgSGXe2YUiBL99LdG+dU0vPCfdVJt21s21b+vmnCs2lCBFfahrlLkgKs7F0GbCuNyp
u6ybUa+/HiV1dJNBgi4Yw+tfzwQg11NlNo+1lJZIiwVxdQ6MOXOLwkCsoumhIW39ID82nV6cEmEU
fwJ5bFEg6SrhKFRxfsxFobuLI6v5ovoljJOlX+98zvUD6vVXLn0U0Or0Md5VoJJkDqcwN5pHA14P
iC/i+rkRAsBh/4+z89iRG0nb9RURoDdbkmnKsORKdkOoWxp6H7RXfx7WWfxKZiIJ9aDREmbRkREM
85nXTPniRXaOoX3X555h4ouiCFNyI7tUdj7026n5I+jhR6xJMvWMNxYtqdXlUlVzWFsRxbBgCTNb
8Qs1NCJfnZaVIBxa+HksVdJ94XyH/TEGbNgfW7Chwi3nKfpnxLUTgNkoGiIzZWje2QWuTa1hpI+I
spQR/RJ7Rg4NO0ycQuLYLP9J5mkQXpmXGDOEQ6S9GlCBkODQwmU55FMfduiFTfLr/cvj+uhgx4JU
AMIiuD4BT76cZZsss5mNswgqVUHCue0UaMmkDoPh7Ja510B7u6K8K8TH3MB0PzYr2jdrkirLjIWs
uB9Guap5oktjyBih7VdRGH6erAoIpRTP51brOQjq8j3XYKncn/Q60PaHcFsg4IKTLon65odEVZvU
ksH+qqzJOSCo9RqaeXYux4RST+omZtr5fz8iBWm4rghC8ZZvbg2r04020xcRmEtduauWtC8WHe+R
3owO7LPxBBROPNwfdBMove1gqhwayYGJEsS2DpEMkQ15ShFBOSTtB9qGCbJGZeVbTT8fiAa7U6/E
OlYDM64Ti1n+l+GB9nOOV37qFhkhI6FU9D2f26zN1tONYvxehg36/47+Kyu64sHE6dHLhhZFedPc
Q5tsG7Lr7GmnEKvxIq5o9E3aZ8i0u+1QGgJT7pJPudnh56DLi9vYk3lKmjI5aFMyH6a+6r2I6P3Y
iUbyCHM+oh4aeqJRG78qx+irNYi97twm9Hn7bWTqoFCB7CHVuDl1cj9BzVLGOogiKg+2gMUx6JZH
dqK4DYW7DzaNtPfIF2ve/S1x47jTe1xzOchhBAKbnU8vqR5oDbbBkJZ4qLdRB9nTkcxePoU6B39n
C1wHXPCBEOWnEEZRm09xebssVh+PKTySoAIA8SHX4XzpOHt5tlHD7sA1KPl6f37rf3BzsqFZcDNC
04UhtM0jkyiN0yVx2kBS0+UorRuP2vdet+zmtNbiEbUW6rZb8jNNmxEYWtQF/RQi4C2UQWszj7JV
Lb1Pwnwh0pOwrV52ssgbw9JyNxlzde24CnPMZAEDuE5OnX8oBjA0wN+FhI5PJHZSrBv7kzDKWHcn
cENKppffzaoVB8/OrAsa0foiNzzLFAdzBrQAXqu2qhNeC+79L3cjiiUoocJAEwaSGsWTyzHrsS2z
oe+HgJvJ+RoZ+dfJzKtDnReGHxvZfHAmDdlQwlY3SyV0tU2HxmiiG7U7DeGe9OKNjWSA6OLe4o8V
K3T5ayZ0aMOuXIYAOq/+MZ6i5ZgP3V41/sYNTWkQbU4FjUf9Skq4psHQJIk6BJlevOud8JhZsj9L
qBMhRNsiKWZpr6Me70ToN/YRVSOYyiA8We3txTwpS1laYzsEbdQPbgwgRxHFD7mLz41+3vmqt2bI
Uw98Fg1j+E+bG6CoyMK70BgCWRHJJy2UevNcSOngeKkI03dm2pcfs9CuHTfWuKd9GdM8TH/apvil
RXp2HFGndjOesXdRnUzvKX5/b/AGPhPjdg9tJinvBy02dm7JWwu0+q6vpVTCg23rNQIf1k91NAYC
VsxoOAOok+GnNjW1V7f56f4S3ThrVDphJUBHoI28vSNrc9QKtNN5p6Z28OZ2wR4vz3+JSP0RD8Lv
akCZutiL+26NikQUdFQK1AYZ/+X+Tnuzt/o6GYPWND51xfPS/DvkpywkDhEHQ453WGE3tgF31lpy
e2P8bZNCe0xraRLVGHSDeZ4iC2nRLyW6rHV2cLTyVP4Kx3nvQlmnsHkLaFSQE+qwtVYv2ssp2jOM
n0zOx8BabZ7rYrYfhtwcjhEvx0no8nBCjLY6R8mc+YVhfyPOFAeFWqdbOPEJw6I9HviNbbU+glxz
6z9X6HklsjA0K7oxGKnjPKGPKk4zlekTuvrqg5QvewyeW+Mh6Aqog/PHm7jugT/KVUs/KVLPMx8o
+uJXoORdTt7PSKu+EYuKvz8zoBuJZijJrcCzzYYqhCPMJW2noI/S7w0lHGf5X23MnyOz2YFmb527
1uiJ2huYVJpQZPxbAcaURyiVnaQPZlOdX9HT/Nx36Xe5GWpfTpflKVJzx49bzXqFp1J5+di17yJp
ybBNS5LYdRIjLbCnKX+bvYnL6DQ59aeOiR1DKrhunIaqm1bZdEI9RT2OVB12Tvy2X8MEeONo0q3M
AqayjR+6SrLstsvGINWtFMUBqc8fSB3sT1GEyPowpOeoEO2HPLGjc2wh0KyooM5HsyTTxaD3WMe4
dM30VHxB1+TUNqlz7B1DnKuhROc7U8RRl3CUlHP7I25bkh87PXkOTDav4Bbyszp/TIYB9Okg9nQw
bnwdrATotdhEX+AtthjeCT6X0xZiDJqsr32ARcmndOii14Se22Ech7Zw4077DLV49sSijcfSmqeD
OrepP/Tjcuhn4KFTN4hHJLTDR5sLymtpcJ0cIzJP5WyEbiknOZy3Rj6kfaXvbOTrl5/fvwp3ryIb
3FlrCP3HqWllNetDwxiDcKlD6KtSjUoTnh73b/3rs8koBJA8+lyLzlvv/I9RbDjlclZyF+hCEn6Z
KctzpFbjMbdkLC2nXt2Z1fV9TzkegMtaIySc2fKDFLPTumWJpwCLORXDd2t8RsBqWd2Oh4OVVbEv
hF29jLmxJ8N4a2TUpqiiACMHX7aJpLIB2eKw5hbqpjo8JWr0OV2QbB0HAwVoWZ2fhdBOdTft1bOv
nxwaLtpKEKZ2o0L4vvyOZtGbeLG1SzCIExGYj0LQ9MEwsRyQTnPtdXsqaGvqdPncrOOhT/JWiER+
/3I8i6bSXKbJEoz1eFKTxNWUHE/XD42ie0u5J+9xc3bQADCbIUThlbscbe7XBTf6JUDdofdbpwHH
4UgaJ91wXAXzCwkApT83a9XJNJed3XRj91JIh4i0ZteUETdznajNAEZkbUf1OE8PaRwM7Q/7Pw1C
lgXVG4GpLYxP1FpelTOKma0ifnRK4Sf5j9H8HQ97CtM3vhyzwe6MD4ii3FZHC+KapYxytwTQfeL2
nZy+GP1nOZs9FMLun/obSc6K82QyrP6Kz1UvP1s8hZIp584cRC25iwbe+JDEfpp5HUUI3RNfhcjd
VgUYafg7Q6/nbLM/TXq3QMLZNStP8HLoMKwGoUbLEtBpHTzKdGL0eIPsI7vFeHKmuHElI6E4Z8SF
P1sIJMXNkOykHtsu5fr0oY9EKcxkDYittctfket9O3UWv6JUfe1r+Erlwzdd1bddD4Ty/Snf+q5/
jrXJPaKuj+1GZ6w+WXxMWhaqOsqjkcceb8zOl71xy5EmUyaitsl52Eo8LsqkTlOlywF1l2caAPZI
XGfwp4bon/im1u1ORH1dyVnNDsF7rINysW+CO2rvU5U1sxIkRv4gkTW8FlWfuBip7oE1r5eRkTCo
NelFIl6zBcebOGV33RgqQYeUrfrBbn4N5qMs6GbhY3//i92aFJc1NUOiOlo5m0mprdZaTp6oQWmP
4qls7dg1bMzh+1pI3+8Pdf3Ma9CY355C2gzKVhdDNEprRcasBelQ1ge6Pb03LfbehK4vSnBm1NYJ
+NZDv2WFTFZZFvIoq0E/6J9UvDfk1nETY/HaXD/dn9D1i8BQXCnwtMiygANfniwyC9OcE0sNUFF7
r8m+Ij83i3yMZvmE0MKppWoD232nJHX9wVbIIqkdSRao2q3zN7pPY+aIQUPCPkTSlGaGhD3FgA7m
zs7Yggm5OBhpVcPlISAU3kJrynaJ8rRgerUplMAYxI9BQObrS7M+FlX0XtFrMEQS4k2DpUR+pjSL
y/UTu8vSvGsS8ZcCaW+/hwDeoMdJZEMl8HK5KfUNoxbKWlBnpdsWv7Xwy/3veaOA/dYmWWNolvjK
RsU2ohZPQkULOl1OU1fptQ5VkxDVcH3m/pI7tf2SNMlY+uQZ5DWa0eYgiUHQCa9LpH46jL2YJC9W
jSr2clxv8N3tRbFzkG5065C2JZ+BFY5HCXzpy5Vwmimu08nUAqvudDfPcuvUZ+3wVEVO488QOTxj
YddrWth7SmP/00v9vLMNbxwzRMbYgrSX1pbO5m0bjczqx7bXg9T+qfWrnNa5dIpjEao7t+6NQ4Ye
0mrCCj16FTC8nOscatGc9p2ODv8MtGXocje3JNNt67w6GXKdHupmyo9SLuLTMGm76t7XtxbZAmVZ
dGjWuGurshVJddoqw6QHEJaedCy0Ujl9P4vuPMnJU5QhYKA96MnPREnoI6DAbSh+Xbwflt6/vzlv
nHtgZ4RlhDNQfbbgFCs0pp7Kgx5wXcMQUQoXU5cniOSv98e59WHJwlZirWKA19zES46ciTZVayNw
EMB2uuU0YwIyDhEa9Tsj3ZzRHyNtrk81ae0qsisjyNoWMN3XpEgeO/nn/elcP6XkkxCu6cDQgyGy
vdw+bV3TRBaTEaBQnvjGOI3eRI0EoR00BXoYbrPSt//hUyHhAuzZABx8hXTVy7AjTrSNYBop746z
BfTDzvVjLZo9X6QbX4veC51GEltImNuWWx5rZse/9CCq6/emA54ulp+N9leDtvb9hbwOtyjqQfME
9EJnkbTyciHnOomdqmmMANOlR8l6rLXEj2VU5ZV/tPZ3qR7vD3ejqLEWEYErwZtFEmCLOQNyN9S9
mI2gMBa59wciB5Utr8wnpV+m1pua2HmKEOP9ZhclQuaCpuTJkkqo+7PeoAg0KrPx0ihOIruDOWSL
lxvaaugEHRAVLkPEv3S1iMHhW/lYuVK0yM+zZdWmq6VW8s/92dzIQpgNEThTIgan+Hy5elqomL2W
qEaA45LaJK4Vzm4uZacaErQte6mCiYr8rgckP4+Ty8x3vt6NLGC9q6kXMjp/2RYLdY3oay3sBFaU
enoVfhxzOG7dVy1OX8RXS34s+tEV4pjH6h6G79ZzRUV09ShVmT3wusvJT00G4A5lqECdfiaL4YEb
/JF174FY0yqEda6lnqlONfTzvw/QyKooAAM4J57eosGKbOUeGI0ZhANQm3CKhkNcCOlcDg4GESoO
2nZrK9iu1BP66XS7Dvc/+40bzqRkSmi4Aq6BtlxOvEHFmPhqIBZF0diPpir3DQDEXpNo3U7m9TaX
y2STJ4pxMG2CXXwF9QjjxdDmmGgtXdIDsrV+6nxvkvBdBmQz1Lw57uBrYosXDUezfY30VWb8PJfn
2nipo9/5fHLixFWQHe8ooqCeSjHlaAk0KrSH+4tyazusVQzqlMCoUWzabIcQjTL+31wLdOV72CR+
0zm/6ET6tvq81hz6eji2k3busj1B0BtYrLXD+EY4xhKApbr8HuFSSXZK4EREG51VLTqF4Zmv9s2u
Jy/MgYU9y01+1jPjZGnCD/tznIhzWE7H1ojPeWx+vL8S12/T+nOINHnV+VFv4egfFckEdmoR57MJ
V+Ew2r708qLOX6s9K4Sbo3CWqH/Q7LqurlrZYsTIwQayEVVevSDCn6WtfiB5JVcB9UslxP7rp31V
TAaEuVrOcYdva2VaatdhmKDY2S3jKezC2k9VtXCLYU7P9xfxOj5cdauI1XHE1ElhN1FEK9em2Qrd
JIpwvDrX0KbpvLGoXpZJO9pRT95nEl2I9/eHvX54GVaDELBGv5zwzdGuYyMGyWaagVS+zu37ePo3
j6i37r26N2f3xzCbd0OVynyWI9sMtLQ6Uuf/rYBX0cr+XTpCGyESRazQH6Ud1tbe5DYnlINbFj0h
QMC7mp0nK7Ae7b2W+I1tyQKiZk/MCs1h21Ia4r5tLBNR16ZdCzexGT3FU9085HlZ+Pi0ioNdo515
/6tdX8jrV/u/QTdfTcSLacUZMpUDbESfNhHl+KH6FjWhONwf6cYtx1BQN8ibqQFelYtLEc7GmLEv
S+dngvWI5Zy5mTw1l8+l+pS1j0N8juu9/XJzgn+Mql7ecE09GIDYGZXLHNAwse7gRnuomPWavHxq
1qmtfGW+HHf4ZhVrHITjqDBMOhu+spx3LatuT+L//vubTW/WOoilgf8+KZ6bi9dI+WKGe7I+e4Ns
9riat10p9evJmhS/tUw3TI3nWv/rVIClAo9HjxYDU3tbyYuc1ESQzuHydaLo0FE99Pqi/EX1bzje
33A3PwrRBgEm246U9fLLR0M9NaoUW0FqAKw0lbTxasAa/2EUtBXXbiPFB0j4l6PYjdxmq5JQMJZK
9WCPCg1gm/jt/lyucw2kbGnYE/mvMEZts8EycwFoHAo7KOUC7fSikb3cyW3cvZzuEamdxR2r5p8c
uZudMPnWwEBG6aKuD7KzrWrgTDLPkjzZQTgueJeZhXmEU1hgKJwshym18rMi1O5kZGV1uD/lrVcc
1a2VXYYUGSEBodFWtEjTRhDo0mgHRv26yF9wET4WyXheCjQZkx8TiNxMOeuGdBiMx2Gt69Aghe7u
pvrsOl11hmD0iP32KZGTR6tbQY27feb11d6cezxs3kI2aqso411+/KjI09pKJM69yNPfSLjUr70k
hwRuYfNOl/TKsxst8ymj6KfaXCiGYhSCGGfsIVko+Xas9cdGGY139EFlr011+3PqjCZYULPxe0X6
ZyqW7GMiS+POrr3xisIJQT+T5Ic0yNrcinVf63Y+cytai+Kls+HLpV8NX2P5Yan+Fc17xfh+/2ve
OIxEJIRANOsgZ2xxwHMyO/UclihKGVJ/UHLrRygA1d0f5AaogVyco756TXNOtpLCVjNUqMWGZpDP
TVA5h8J6opAv8DFxs8WNnPi4zP+Y4e8yjd0ifhdBNArFU2S+aLTdlHI8Jvb41JEOtW42Hlr7tbfP
jfpcdZBDD1lMQ3Uw25246c0Ia7OJWBRQJEAPYQVuRc4lndZGyK0YyItSsbfzNvykmK3zmghTFN6U
afJJ7a2hwIBN54DrauxEYIPL+X+9nsC8bOjzLUfkyhJgDXFTfQ9bJ4lcSw1lpL6tvATlPCIHFVuZ
Kny1QDIpNgrx77QYCyZnY5ZovpIt+r8pAI7YV7WklL2OOLxDizQcIOxVos8PkoEyql/HaV+AM01X
a59ydn4YTWfZriEVTbD6UWcAekNUBNTcQLtD1OqS0xCeu0dixvAjVojKNz3OQkoQnUr9ojIypecu
CyXL7XMlSz1kUZ1Tbo/612jR2tF1JqP9LOJCTt126MqvOb4wwo26KiJpMZweIcyoznywmwA6QlWK
PMlJeBy7Yu56fx7Rw3s0B4v8sm0p0h6MvjKTE4pOZv3Qia7/IQ+Soh4kFG30k2nMzY+KWvh3MxqK
8sgShZFn9eUynrGStTQ3X1SjPqCnWn6Se1pFO/ftG2f2z90AYZeqHG1gUPq0M7YoNbpomiRxsWAL
mi7CNbOozd2wA63sqWqqTG7WU0nVkFCaXEmiRavHTv7eknAnduPFmZ+qBr6vvNjqURuAvLnKoIy/
nDaPvhRF1e30UrcxK8QNTGBQWOBFXzmCm8Ak6SxHLJ1EYS+R61OloMGq1FPqO9UQPiWjKg5hLP9t
oPz/BwUYS/EIB2hrk+DIrZLI1ZCYwZyd+y92pftLdVC6o0j+tlyxjoSkMY87TxE8oM30WjmGUafV
5DSO5oax+cVp+gfqQn+ZXdAN52okb4I7u/KpNzFEkdR6LRcy5SCJA2v4aojO2HjStD0KyFXRax2J
K4bnhFwUJvDm3s/LOlyGQRjBnP6auu6dljancXhOysIVg/FusrWTXH4QmfMzG/dUKrdvDmMDOQNk
uu4VZroZ22icRVpCIr9wXuXG0iOdVrcsjUcrbV0FiqeCUF+/EzitX+jyOF0OutkrGnitLIcoGGjx
zzj/LGF9l/xtDrVOjN3PsqIdyl82Y+SO2WWAAc2gb1I3FqnfwimJMJnZed220QbjIPMEnJQyCDWE
LXCj7+NQUVvFDpSqtE95Z0MUBz3uQUtTjmovVD/KzchD+qMDDmMv3zqzq4/24HzLLLV/motRCeaQ
SClvkQaeDaEFkok1oySy9EEfUNcPjdI8hkq8p2K8NUuEhYkOFh1h1O3QWWDvXQZKyYI5ot6lYZDk
katlS+nGUvF5iOSjHD6H9qnRn5zW8uRVoSSUnse5PZT1DMiu9+rCN6RP1hgd2khxWzAhqb33+66q
0ZR/KROiy8hPA7O0Ja6LNotk6ulhoCi/Yz5i2hyV7kN20JvIL+UFXxyKYRpvm9I9V+3el90GR+vo
gP0wAloLN8bW1EEVGP5oXR4GBZQ3t0ok2Y1DcycCuzlHRDfpHaxn8MopQFJiq0ZSmDhjbP6nWQAO
UvUc/pZCT5OCJOxejWg8GpFyRHQY39w9tPc2vWSS2I9oWJNRmUKMfJPCxJVK84dQNrD10o3k4ihD
JO/grNw/JXvDbK5szQzjyB5mKVCT2RXGSap/KdjW3R/kqpaxTmblLuCCQDZL0Hm5n7sc54gsdKSg
tbOTOg4uYrvmCPzA+N4OCIPnXejZtfDyOd95ca/Iv+vQq5MSiSC0ADjXl0MXqZAgoKTRS6igy2f5
km6dGd0w34eKQDq5dRfN+CfXhk9SL97jwPrviL6x0AnRpke1NClgv09yz54/3l+Tq+D77YcB66KA
z+LQI778YTEl8sxsiuhl6A7Ij+De4WmIADXVMTceLLju0ISi8mOByTg+AQL9R7X6uJoI4cLmK8VZ
AZXbp5/T6uA4H/v2qKbloZ7OaTpQh269pH60O33HzO76TSJdIMnkVWQtrxRMgKOlWqjW/GbpOIPn
ZiRaX32CpGNqebbM0tU2RCqI0vdX6/pdWgde5XIIK2hfbxcrTnUDBnf04iTqy2iN7oyYBKaMh6yI
H/52qLc+LyJsKiV+0EaX3yVXrEjJsRp+aULb9oWVHjtdWQ5R+QOix/Gvx2JGQHwhXK6V4A3QNqdy
oRT6kmONBSyB/t45KsNHen0r93Jnw11/O1RU/hhrU1K31LxuIDVhdT7nK4M9HP1qnn0HKYJjGdvf
UklfjrGcJQ+RnHbn/zBRh2ANPDHtmW3g24RsJyoX+YuUPsvR0aye8zbxnX6vi3UjYgPRuxbLFEgb
oPo29xnV7LZwirR4ITfz+ggd3/Zzrf+PwsNhodObD+4Yn5pS8o3K2glLr58lA8+IN7rMmlNvtZo1
e8pDR2COyy8TnxD1VZ4KI9M+3F/JbYWJhAcVfXIe7E0RDd6ygBqkNmxrwkHWGMLkcaJD5wGvrQEU
TWrC5GTtc0EdESf7tg13tuutsVe9ZM4f/j90JDdHA3WscpIwPA0RCxyx/9KbzIsldGqQrMpU7UOt
1d/+frqAiSlrsXdWA6nLIRulVyWn1zCtxV05Wdiz2slKv7HOx6wTUJG/3B/vOkMDs0LHFQIP5x+R
/cvxbHWuSm0yipdygPhO2WOMI8mvq2ks37dTlaonJ7OX9gzaKLN/3R/71gZa5a6wkmX3UkG8HFvM
Vd503YJrbQGPcJkF3VNNL/2/H2UFoUIx4kKAMnE5ioq3GZgkGaNxURbcbbLyzqmVeacceSN8ArsC
sBauIqBz3orLYaJilItMhMULnUXXMmJPjFCnhrMMhyCOp6NkRAdhunFhf5LCPsjtvcjmRhAN9wdw
L0Hqqju83a2yRYvBMWbsXaFpuLKZimNjFS+yVfxUjT48IroUu1llcR1NIvRKfflpNeKctvJ8DLGQ
OJUif0UcrPAykjF3xSh6kVD7g6UV+jGh9fr3Lw/oGErwJOqgvbccxmbB4z5DYudFONIRYah3Ey98
175vdxWZb70FCNxzjKG0Ac3c7IFGdjKn0delaY+m8tidokMyPqaw+g54097fb+uNe5lSGjAs7JUf
jL4MOIbLjQCXSu1leShe1D7MvuAcHPq4jE7vx9zR2XmGurPzbp1gsmXOMNJBKuqKl+NZveaUZsEp
kvPfjpO5YH8KHvPxsYz2nIrfHECv5gZ8l3SNXPZKL8FE+RK0usQ6Ytf3IRsQsFEjRT4bkVM8x/D1
/UFAZ5MLqT04hcQtjYquD94sPaVmWx01rXCeifRTD8Cx5lljMvh51EofiiiCbK909nl2hOV3XWw8
RUaTnWjfvouaWjroaVmfxlSLHmVtBI4vmuG3bscz6WmVe/htNsisau3DrHYkupVlH6nqhVAnM7Hz
tt96FSjBwW7nPiGU3XzgIQfPSkkRb0Zp+U3w/xrLoaso2ZEz5Old5M0ymN7/sKlo/a48GhQ7t/Xx
QrJDtZ3a8gWlgKdWmTH6edbjMrDE9/sDXe8mbjDuY3JNOIzs38vdlAmRSFgDYbFN0IQlfKHkvuDy
yBbrXTEsr/dHuz6XPOpIvcIRouSD6s/laOFCTumYdfmimf8O1nllCBWt247/06P8Caz6R9zS74/4
hjG/3MIMiX4Y4AcwstjYXA4ZTSIZZQUzFCPG/QzI8iwqN5MS55dADGlxK+i1JGqa01YeNQc4BCNO
bO+0eKq+ylllfFYRJ5pda6iX3rUqU+vdWs60h0WU6veqD+tPTmw0PyNQJIMvF0UEDdKojR8djp5H
HQDnzoRufTCoAaBu3vAq2+dtiMoGXNxYvkgCDlctu9TDwanNr5k9ekaf7qmS3vpkZHH0+lhC/re5
bqY46jJSrwowhfkww80OonI+5vjLxqF8drQMmme5s/uvTxyXJrhQpNjwjODMXX6zeTDxEp+j8sVE
Mqx2jqX5o7GrR2AJXRwfHJLp+5vkRlTNgCvrHO7KCt7cRNV2oSYWCG0s2WVJ0ItAH+BbAUD/MRrr
8DN8F3vwCi2zP8WgzU1itJxy6DRUyMPFxgTm+f7vuTl/xDw4IFC/oBdczn9Zcoc6f1PypGSZp6d0
CeNywFBxyEpaiE71IdJR98IO19kZeb3LtqeFmizZCpaOaxx8OXJPl0SWMw6oPen+YEpelp20WP7r
NJtlJtCnEcXS8a5cjhIqEw6B4Vy+jMoZNQU3Tz8OtHrGavEseYQXkh0oa+wA8q+jz3VQlDOQOwIK
tS04qU425PK8cPeM6JTo78iOdyLPW4uHVOHKf4TZTm3zclpNGTlh5Kz28YhEVMR+WZDvtv5vnX9t
RWsDMAAauE2pYytUNGK28iXCAzmDY9FIH6fwUwgSKVo+3t+H16HNqpCAZtFKoiCF38S4IpoabZ40
lkzLD8ugE+D2nlYuB3Xo9hQD12++3XngwVDhIn1cz+Fm8ZK5FfFqSJ9J1VMYfZLrz7Lu6hE+LoQ2
P2f7R+fsqbrd2hKg09iEcACx1diMCe24Aw2JQTidzPDYWcbip4iDHO+v4o3qIIVBxBA5UsgeELNf
Tm0eoBdqale9KHGNuwpd4/dx2Xjh/FqeMYP3a9tws70I4tZmhNfJEYZ8wnO7udIGTWTWosKf1q2n
unjNjcdW3qtG3Lqn/hxj8zZQxymHeMBAvktnhGsflhoyPJriyMdpEBp3duOtnf/naOuv+QMNikxu
a2lthK2ZkR/6TPVKq3a1+kvaibOh7Vmt3NobwGsAC6GWzduwOczy2KepNJDfGQZgkVQQ5yHPvteB
u3HC4MchHuwQpACn28wpn5RGLGVWv0RmWR66xdIaoO+9epqnIjmXyFPtLOKNaTEnsmMIhnBXtpS8
xUnzusz7+gVLkvgY0fd2Ufv5S7to+jv0o4APr3mDDYphc7Am207S2cZPRZ/U8N3QI9Vk15Ll7xys
Gzti5dJD4kcZh5E2w0iA2jOcClZXFaqy42s9xc+Z/Kq3Iwlu/T6n8yy0+WH9Ew2ug4a6SYx9DQ4U
blUMR0r5fhjrO2WyNyDZxU1GlZFqDvU+fhRU+M03Je8cjI45vwxWP33P5yxJvTqF6eyPs16dRaMl
stfTFkh9Lckkf0gN86RrUOh8pS8aw8UK3vqZgY34KeYQZ5CoEarLLmw7b05n/QNyYi0chdaJDyF2
Q9ZBF/E4eU0Li5ngsxEQJBAN/iX1qh4dJcjkpkfjc/yd9vY0HXMzHPuPVWmK8dzWbaa5DfpFnWuN
jpocImtYK5dlmPHXaDbBU9SI7u58ufXKu1ojSmyUu9n0V2ZdaubUo1PHJlFsoz2YRf0QygVV726U
H0pQjZ61CGt2kzjuVLdr0SAZHHk1FhyTZxtTgR39lusAkFd7ZSMBuQFYR9nk8m7BvYlcFNTNC59J
uFWuPVSF8DXnpOQa8rXRI+LVxwWyV5SlH5Yx3AmIri7rt+EpdpFegojdCh0nZa7YvZWbL2MXHcvG
VMhTEi8Oq2Qn0r26sdeBqBqsfp503ra6Ak2T9umw1OZLZZeAYdCcyVsyiMJtBaR78TyGO2d0Z8Ct
bJvTOBowr8p8genh9uh5OmgCd7WvGLprZb8l58vOzlpjks3O4kEHgQ3knMd223ZKbCsWo8zpAxg+
HLipqict0f+39PA6IBNg3phUi/7aNTAWhlKrjvU4midpdf65/0tufVNQ23xU7kLG2Wwp7Lb1Ad8s
wGSt4vfOSVcOFOt2vuftQYC+8FEJarehBQFaYSIqab4IgI0dHU564tz7O8d1b5RNVlA4lGyisGSU
7lFQ1LTKk27sBIDXG4WtTyGcRiH1Dv56eQIReEXbodK1lxDKKFxAVTmH2QPaZp6Wf1ESe2dfvnVk
LvcJJw16CV2U9TRsCx+xjGNPa6T6CyFU4YEDXlCmng35UCQf1Oz9rH+X1S8yJWpZLz1B3aod5iNO
1kGkQx/K917MW9P/4+dsUyJhRpMWdfwcTXvWQ2Q+zWfhfBHqcUqfxnKnx3IdkQJTIugARrDaXbDa
l4vN3s9Sy5AsLMBl83nKSsuNauCQIdHcEbRp+6IWEW8BT8qHwahnr8H1/Hj/fFxFIvwGPJjQOKEL
iKDdpjCjanEGMtSyXnLeRzpdflZ8+/sR6ADwBoNFQwJsXfM/AkZ7lbJyls5+qWVJ9zIOuy/n9Z47
zI0vR4kCeCn1GDSatldqV3V9hdktV2o/HiXtNwDgZykJ9AeML33S9L++VqiI0EEBuAHUTdtq+gwJ
xq2DlLFstvxoqJTQS/xa9crcc6S9PvR0+Uhc+DfIWTC0l6uHEXOtqJga4Bg8PJWdSOjPJx+U0Nk5
iVchMNj/P8fZHny1o1EhM042Lq6NEkqWfAGMfKj3/LNvPPLrSEBOaD7wt7eWzh/7IWGL28MqRFRy
KRztvtNcOYpytweL7Id5KD0MYgnPiBKjbBZO0rHvS4Prp7QP9zfmlY4C6bSOjR75haGtQfgmcJUR
mpSsKMTwdpbcEdu1ovgSq4ey0F//H2lnuhs3smzrJyLAefhL1qDSUJQsydMfwrItzvPMp78ftXHP
VrEKRfic7gZsQGgFMzMyMzJixVoe7abl3pg2ZTG4kZY9F8PwQn1wBrwmcbnyJWfZvbkzjMtyDj04
BJdNEbpfgoitZevIG4V6spTVhzIx+ptRyeItgXdH86kn7crGNw7eKEuH6xNxyTyN4DD/siIKaYZT
Hwv0soisDPNCb0Gp6tebwiAMzCIDLXnrMEE2rmdo12orwz57OHzgqjgCSWzOCLTF+VdXuahFsJYc
219lbINA8e4G1U5XMk4XR8ec/n8ri2szZPOH/mxFfBKd7rF97SKHOsnfcq1OM2/FxV0GTOy/huaj
9pNjQ/TTqOmEISW3SRV+Tf5eX6bz6aI4wDOYBAYQW6h9Tn9/xMVMu4fWHtXR9cLvGknJcPprZgdP
W3k8nU+ZSn4Oahugb5AxLYF33ijEMIhVw3GyoNMVWnRUBkfwvpFiLXuV3KfgwJ29Et6cn0AYnZFb
6N0hAr9sahl7Jeg1Xx6OkvYFvBjRByz/j5k+rgRrF6aRt/BsC80iOBrnn39aproVkcUKjOFY0n0J
24/dmhlt+kDzpWcpLFcCqo9D5NQrVHJbJDpJeFKfXpbboc/yYkoV47HbcJr+MEt7MDnDnVK1W9WO
dQdeGnv/4/W5/VbthdvkJyj8Zh/ugsEu/g5/i6fiNnPWXn7nrspH4UjQopDnO0urFL7Y1l4fjUca
lO57EB2FgDBVtka1fmmqyV3Sz6NSKTl7zw1mVAmUJsdjXdO93j8GAdj9zG7g3v536oD5vf/Z2OIG
a00aMBBuGY/GFOCejphXG0v0H5Qkfc/UX1V93wnFfV7chMKKR12aTYKOmUNjhv8t24hFQVQ7L27G
Y6AfQkM4ZLGtg0D6590PluK/Rha7f8pyeojFcjySvd0bamgn/XjX3vvBdhLW1u3CVgR9zX/kw+a+
70XINtDXaBlxNR2VCNBr+EOpZUcU3wxlJei4EAHDm0EUgOYIaC1gIqd7sTLYd5neTkehoj3C2Jvf
xYZ+tk1OjA+9+DZLVuK2c8AIhNqfLS7uuriXYzhCsGi0085U8y/t4wQZm0M+Cu3kIb8fzOImG2y5
W7H88QhcHAQzuz5Yf6h3zx+J9OK0oSj30/H794fQ3j083eX2Tze0XctO7dIO7YdhQ4hvB07p+NtD
vI3nv9jB7u2ttGtbsumV2j5++Xb/kn93TLvb/vDs18Aebdmu9jyg98GWvLYdbmT76YbttjE2z1v7
y/7+/vb96S6w3/+8X/fIj/7GayNa3KyVZQ5G3TMizc5td3d31+3k7bgFQOxYO+RR7oC5uNbWu9c3
1s/6HrZNzQnd5sm56e1boO/2jWKvXPaX1/fTLC8u4SiuBl33529yvSzdVsU+JZW1I7evx7+qJ2B5
9fRlLcSYf+liIlA2UuemVngEzuI3WOf7sZSQiIsicuKhsI2LeOVK/thzSxuwUdDHDCyPNpHFwGgz
FWNPy8WjZOfOG6JC/Iuun5PY315/BbZoH9UvK+t74RigM/C/Judz79NNmYZqN/UWJlXlh+7EN8lG
cBo7dV6+zw77Ex4Ou96l3xWm+Oi8m0flAF7P1rcttI3iDn4OPbe5W+Tdj36NU/VChHLyaYvDXhqj
ODQkPk1MlK0mFDz7UH0Pq6YmTgm39RgelRreFFVcOYYvzgmwZJSeFNo+lugpiaq/NCqVeDS69rHL
b7L0UJtvsdr+uD755wP8EHGkF3Q+HtEBOJ17YJfVWEW+dIT1t27uraKz0wLF780od04mKVuj/nPd
4oXDmF5mRUEShjOS9qrFdk4nNWmkWJeOsLOpU2pHteTI0XufwOGV3entbdz1B2imH1fszkM59ey5
h5oeHbLQM0XmwrMVrTV5N2vSMbsXzJtJlUjII78y/oZdnw7YJnsu9WwrGdvrds+Dk9ks8Q+AMYpz
y9JclLSc1a0pHSMEYLz4LhZ+Nmgsh24orGRAznMTp5YWEWdXyI0UDQZr2UR2+0v0X2Txa1bGm+DW
g5nz+rAuLyNYOKIhUEt0sJ16jtgZDTzmjKset5NrESnAGeNpSI1GEiygHlRYf3yu2etmL42R+aJA
TelY5Vl9ajW04F7T1Ew+mgY9ndYuaB4NpHM9pw1/CeLKhF4aIy5K7X1WBIEjZ3EyVWIYT5GZy8eU
Dsy+34S1rdJUWZrblJu0fBC62E6Q0bo+xvO9P/f7z6xFJEYVrvDTMRZNoI9TlMjHUnwAZ9rG9TYb
X/y2X4knL8wldubhERFRNV4cbqWXKGGpV/JxKGrHzH8FaBJGYQH6jgPf0m6RXbk+sDNJMzIgJxYX
q5dkQzdpRs3q5bEdJ0h/5HbWfQdYIyhOOZT7TtiotYU+qGGT6bOFwKJXZJPz12b4XWvlnWftm9Tu
S3SbcLM6NPaZr+8T2XA0hSaXYHf9iy96AChPjouZWBKvO12LPErlVm9L+VgIu8gjexBVm2wHIF0q
YTYtbc+gzX+Ny/dC7goWGEJVciQclUCjTq0Go1SAaunwu0D7g06ZM1jhVlQ2BW9k8Q+PVzQEKrs1
oKhPrZvrQ55/9+KY5ErA2ymP0eCw7EeVtKqf2qqVCcpNDQqhOt9NXhKvTOyFewfJNwJUONDgu7EW
905flZOZBh6eEGXP3jAdy0lx8rDdCHoGNYLIcipkw+uVw/jSzM4M1KTkgECynIv11IOqrwQy5ce8
+w01aY+FUUDr3laIik07zGzlby3Im+tzetHszDf1sc1ADMmLBe1KuagrgfoDPdpjtauFcTPoqW0O
B136XsTFqy7s5PAeusmVSPXScn62vLhtc1ooYiP2tWM+lBX9/z2RS4MK2fUBXlpOrgGYQlB5Qxt3
Ma1KEipZ5AXaMfKowMc07jfvY3kQEEfwu27bP5WRsb9u8tLWBO4yswdaxGigek7nVJw0qsRs2aNf
2+K2GZ9leGfLaN/nr2Ji7PoptqWVGOJ8Mnk8EszN6fiZb3YxmSMsCAJaLtMxkSNl27ahfqgFozpc
H9klK2BRCI1mssezHTgG6qTkQTEd5Yn4fgyRhoM0/l8FpohHuEZJmVBcoL9jGflVHvIPcVlOR12Y
0p0ZQtZlDkq4cpqc32WnVhaOn6eWDtiFd1KHXvi9gT7aFslXonvZFA6Wp/Yrc3fBHvcmKSdQIvRK
LgGzgzXJiRfH0tGLFP1nrlnjTupMwgPNCyobVFG0srXnEOD0uCSO/WA2/U9EuzjIZgnQimcZQRcw
GZosvCag4RIeRyEvm25lm83b6NQYjP0mktO0VLPNluWgIBtAiqJdeaxS0TZGXu0D7/Loi+b/ncw7
JVrZYueTeWpusauHUuhTC2w4EMfI0ZLRYcM5tfZa/Tsg49TQfLx8egHKVJ7UxhcN4Gv576RI7oMw
muxWtmUjsAXjThC0mTq6dVXvR48I2/X9NkcdZ7M610OgsuCptSTyMcxCt2Li3GNK//yf0T/oP4rk
bwxp5HU75/uazNrc/EX7Nb1YS99M6jAoBbRcj1Plv6X0x3DReenKDXfujxih1XNmKwdrs6ysSyiK
DmaemkcrSUMHYC9jotZMa1DT/2/G88nUIprT08zUC4ioKB+bmW2oRbYNB7io/xez9snKwgl7f4q6
fGRAppfummZC9naNJu6SA3yes4X7QfNfZ53PwqTGJhOKzElBArTGi6kn8DJFr9cHdGlXfbK2LAfO
dEC57jFtkpbUO6v12o0/Nc+j5d/H1Tit+MOFwgAOQc0angrSgmd0s+pUV2GnlOZxHLONDD+i19QP
tSVtxcjcTN2t1bR7NFAPqtw64m08JnbYSnspb39akfe9+BJ3xl8r9mxl2isSjx9KhUEsuami26O3
MaA8wwv2I804uWp3cUdI+uX6hJ0vz+zHMukoAgtuxMUdMlUhfPOg6eCwHCaws9zt8qYZNqp3yFRz
7Yy9kNozDe5EapTEpTzYF26tDklhaTR9EHx/i6wbOtDTHHkuwQ4qyHHDdnS8oXlXhMcgle02Ff6Z
EIKu4pkcmKCGUIOCzulhWAsz5FwolGMH2+yGGrliq5G4hg27ED7RcWFii9hhZs9fxDJ+KQj06IX6
sVQKO6sRPd7y5jO+okNbvfRuFlQrx+y531MHg03OhMUEOvWP9rNPh7yV0/HlexUQqQ5pCMEsvxUp
SScx/iGUVrcS9p5TKQHL52kB6wSVd2ZxcWyobQyhVqiDOYzlbZlNVPblbA/wi/etJb8BnoyQPDch
WeqSQ+qxL5om3mvUwrzwoMiFAlFKUt2qUjfejpX2dt2lLwCS6BpADIfIC/Qs8eTpIputRFOdFxhH
35TuekG/rxrvGQYFO7e+yjyD0GTf6HV749XJDp7iVL3XlNtaMrdS58pr6PGPuPX0Bpy/Zm4UBgE/
o4ROv6YXht7yPGAm8teBwMKECuGHBXm6Q6up1r6Fv6XesR6N9ub6LJxtbKgTgWUx39yuUMQszt1W
j+UaLjHrOHXZdgy+I23vCPmjMb1Af33d1Lm7n9panrolME7KMdhSINf76r1X7pBv6k0g70vTXmsx
mp3rZD5nY7RtUe4HeQLq43Q+aaJQ0yxqMKbo2zp/RgXDFhBdT6it5N/XEuhnG2thbf75p42lSJ1f
cHpbx0x/b8bapsMTRoQfswrw9Uk8iy0whMApLb1z3z5+e2pIqvRRSKzAOyb6aJdcw3Lw02rXWNAu
DWfOemGBmcPMqRW99yO0J0LvaMib2NoAxU+DO7NYCV4uOgToWFBVHxzYS8h/xfD6xMDMBNrgabpp
KttPnYiSVpc4/vO/zxwZPQBWIMRBVSw8XYxaNSqEyONZUkGvs5GyNyVdOVPm2V84HU3qjAeM9dzS
tXgPy/R/6GLhC0dNT+tNr+WCrfRyerg+kg+OgjMzMzhEhiwJHM9ieZooUeM2SISj91o9Si+qRNHL
af9Ovj2Ou1v9i9ZtaQiG137F7vz5C7sgfMn6faCZIRhZuIWhVUKmiMJRrO4jKvyjptl1/BP5667J
bNXbyAUAPGnF5c+PKN6QJgc1D2waKZbs7OjaCaFWKL5Ll7vdTX+spra79s2QviNVtmLr/NSg/kLO
lwODycVXTkdYRl0UC9kUuH32dwilF7N9EON2AxoPOkd1069pI38AP0+nFFtkw/i/AcLTAXhqsK2C
upoQ7XJVzqe0/tU6seiiuUYTFsQq032j/e4hpWzbL3RLIUpL94jQ3ME1tg/nMtF3ZJeMAhpziw1T
UUVZI+i5MPnAHknwzNEY792Fq03jpHtW2Ieu6d3HhU+CTNsJ9d/C+45g6cp5cMY4S8RFhhe/orOf
7bNsf+s0SsweMh5u1j1H2Q+vf53G+xHCaE+vt72ER/8pBTvk/UFDevY7q1wZOk71W1coUE1Noq0g
QtPM/RX+GiL7fGcTDeL3MxUvN4a6cAyxoeNqTJXIlULg0nVG5jwZPGtlh51pJjADuDgyN1Q6gJgv
c93T6JHohQTF1WQ2c9NsEjE+zK/IAnI+X3hs8vLQFuLG+OYNuU0mRQ5AoICzTX1Kd8k3+qEdgffF
WGzHaNd8gLkH+JS0TRqu7cv5wFy4LsjxWboDZgQ4pxbxE6hNzwhGMXbbwKmzZzWvduWs56C/tXJ/
46XIPa0cfBecEfwtD1EKT9Rjl70NQSZLyWSYsVtZt0H1IrWPoX/b1PeA8lfOgfMXCHWf+R/AiojY
Ekic7kvYxEtInr3MDfJuB2zaDuPRrhhpL2t24VcuSQTc0NvE41fJyx7KofvnwTK3kB9QggK1TRfJ
6Re0YWwUvVdqR0GwnHAEbFFDZ0bVQ0725gpi5Xxioe2d6130Uc3vgsVS+voYV7IZcm9lWrMLUwGw
yaDJ914u0cml1qqrtqsCIZeNwrpJBACS4kyaOgmmNDRj4RgWEnIgatCbTmb50nZKQP6LY107De1M
X69fYucnPCA4cq1AK9jOZztMyvVOKuRBIANkVpOTFaGmOzzfzYoTPq89ux49i+ppKNbiFrxXuqbC
e8G1IDOl54kkIihgBIVOF5b8VKpK/cQXeH6Q20MCAwzA3+A+ozTgdBkbtUvSbCNA52tnaQxvrF7d
EMrKe62BDe36fJwHlCYATKQTwCtShlw+0vogzDLDFBM3EAdpmwny4GATSEDRrsUPF0yRNKU9FtAB
Oe9lz1fWk+GuAit260FRNvGMLR0qWt3KYVwjCDzn6mFMsFoBtEYPgEN1dr5PAXkuADIN2yh1C/Qj
G3rKzLKGQbZyujudWIVzQx5e2cf3HCLduMkq46ZJ0n1R7wwtt6tq2I1p+VbTNSyv7LXzl96siUNs
Aesdoe/ZjEtKlwRBk6au6FmIYXPVS/tuTDdeQR/MT6lqHUPbKSgXNvvGuEtS4Z9XHNY7c25HRQGK
82Wx2Tld1UbOjdT1xFs1U9lzySZdKw2dbW4aTCBLhcPGnFXOP0L/T/Pvqy17APEr4hr1NlBlp62f
LGhpWs2lAr277sPnD4mFtcWQNFVoW3/0c3cyu4NZ9rboHYph8xrBdwqBjXaUlbVI8TwIn21CCDU/
kFhEY2GTcKzurKHK3Rq2GjuQunwbydkTfaa/KnWsd1xW4V3UhTDMt+m4UcY6uoUAAkZm0co3hRcJ
v4JMWKtbX5p3suiwcMF/B23J4t7yO2Vsxm7MXSpneFFo0CTedAY9D9HPoE/K7aSuU2LKbKaTSICp
4DkCiSoJM4L0hdHKjPS6r/XczXoEmrRalQ++Sq942ac+qazavzF9n9tLEISNHqfeHSr2P3LJKA99
2ZjvK84wh6RnX0MaZQZtQem6fLyKZt/T8CjnrvZs3Ch3UUFaye7s4V2By90OD3lj03u5BqQ9ry/P
k8DgddJ5lCY/smGfPL4QIYo3SjV3hym/KSXd9p+qsdjUXW1bSDHG+m1rIWa2QbDu+oAvLvn8PoIv
RkRxa3GfWOEIscnkF67YNq91O0Zbr4QFQ9YmdR9logEx6pS9Xbd5dpQzWNgX2eEkQs2z/llNADMn
TFPuhmSGacKKkBgtWsGp6ADbXjd1FnnPpigwA8Mj9uMRcnqS69NYE2tJhWt4PxX5Vbder//+s4Bg
8fsX+1gSAk3PIrVwZWPjfY0adCzsqnSyZI+jXDc174OFZ9IdNzcA8cqk3LZYqQS19MhLjMKN34tD
8RjHtrkpW6d9CdT/o6V5/T45Yy+hD5ZYSuFqlmuYh7zbNLEz1F/GZ0HbSM3K+XvBA0/GNe/IT9ZC
edL7ZB6Xmjxr4VbSnoJffvqymoC4sFRz4x8REjf6/OepnRIhuVgzR5YKWXs4d/v3kohJ9J+hInXi
odxcX64Lnndibh72p2GZljASBGJuQlE2emnXoAyX3AHUHjAaaAsIwpTT328JppmFpP7dRK5soX7R
x9vYe/fKg1Q6OvrQHVws10d0HnuQ1uA5zwuT9B6U6QuTMDV2jR/j7LQuT8VDiCQPvEr3JJv/eC9Q
ieTmIYKBYK3h59JMop4E4yapPvgwF2ZlkpY0HOIgZnYXCP5WRczu+sjWLMw//7RWdSBCGGdigY5C
YZvGPpxjI0n861YuOeB/iIBAbRC9Lc4KoiVgLQpW4JqUXhL1oNT0CN5E475tV/bU7MvLs4JSuA5h
O/ETKanTAelRMlpxmJeur+8CKOeTJznN7MFYATlfmrfPZhYr08F6l9f1bAZHaLLbQL65PmWXDNB6
RWcJHEroWM9T+mlhhkYfCx48pWuatSOlD9l6rD9PxWKq2EGgMUxekaCNFsdCgtiqRp6qco32FikU
eq30Q7+JCfEVYyeGj5J8043OsB1urPo1DNStbEex3TtVu9GkHWWVdK3p6sLinXzR8uTIojKtB4MC
h9DciLE4+6KdBe+d+M/1APJk0C4wfLgl6Otc+L0v5AR6klG7wy4yX5P+vlirGV443E8sLK6SKG0b
ZEywoPSjI3bvunkXEs9KkY90zdN1Z5l/12IlaU7lWU6JEm7EpeTUIOpJWaRF47YIrDjkGgPeDVFy
k0RgKP7dFE5JFydkQ5RDF2FFr3dEjkHduFMvOar8IEUkHsb9dSMX/AAqijkSp+rPJl44P3ZHczKa
xk0hx45T2HDi+JeRj7dlX6xEgedphTljas0yRmSryKMuzqaorzliUaFwEeq6k+r9aOD86rNiPBu0
HqZqtIuhAfcE9aYW9H2QrHE5n48VfgGy8zQBAuqE4/J0o6tQUyMmUtYuHwIe928iv3jCZkCw/vqc
nvsI72aQuR+UrLj8wh9R4QgjFJ9rVxKQoshyCLnlvZCvZQDPj3qQeQyI7N+stL4k+21QapCzbmrc
TI3sXnrJo4M+OaOCPsSY0dJ5uD6qC+bIgNE2Cp6ef5Z12KFRlKaPlYaAWv8qtDtAel3tiO1L5Uyl
uFaKPd/T8PL919pZJXYA7htEUuOW7/4TpP5GsHvtkmQt2piX/HQ7n5pZuKQEATWaIWPj6tnvMaIr
1riryh8SYpfeJgwJNTzVbqI/12fygh8qyGyQy+IP9sQ89k8XTp/XgyWkauOqe5iEvrT3a+Ch87CN
UX0ysNjUMHZabRxhANIwR3ckW98o+3wT7q6P44Kfn5iZP+PTOLw4qdIKVWQ3RCRX7e7mXJRXrGym
C44wY7B5KUPIQhf4YixSkhbFmHuNmxTQZ0A205MA9TLQ/U+eUayc7hdWZhZZQXMSDArpn4WxpiPP
a4Z9645R9meCbykCFFdN0kbr197EFwJdyNA+YLUgiObsxOnsNaOo96ovt25w8I/Fofst3qIxvW9u
4/vm3fverczjhQzUqb3FqSSmnjBEotS6za45EHm8qIdiS7/aAX7bf/aLk5HNs/zJL6RejIpGEbGk
vlp++TZZ8c/B/3c8CtkjcF7kyElwkatdmGk1PckJY1q3jx68yNUU/7nStoJwq1fveg91j0/J0ZJu
oimFVD7/kvk318f50dmzOD1I3c4U0Nyf6LEtvmASPTiw27x1LTOBCNjuRcUO/Ds533na4zRtpiRz
KsMeA0iwHxtycIV1v4ZLnV3y2jcsDhNZzr1xGrqWW4BUbXPfKsm92dQ3dVXSHTP9mMQ1fZkL2x4m
Bp1kGqgcLoLFmZm3ct2D1m5debwJxr9ZEdhFvluZ2gsH84mRxeOiy+DPN+OhdZP+rjNAWErOoEEG
I35Rhn3iHyr9W/h83ea8WmczCegWnwIQdhak53KU6ik8tLht6CiocyLul33ztLXyykU7kAvDI0k2
Eqjv6faYdCtIE11p3TCyfvVIKJqB8JZG30Z1jUHq4hmDaMb/mFqcMe1kJD2o6dYtdoQFzaYx7aLa
5fmu7e0g2dAeVDWb4cea9MmFSI+tqStzyw5AVRRdFkPsImkSC4ZoRfl9GD80bbYtIeyglLMBT7Pt
J8rhfIPUeZCtDa9iVrvXF3Me2dlifvqChf8I9VDpIeKpbtJVj5HcvGrB2jpe3AefTCzWsY1Mq8+A
VLloLWxrKbCt7l7VV8bxEYBfG8hiCdO2HGGExIpyE/6sYbj/8xZIdriVIZov7RQg0l13k5A+Jov6
nZJ8fVP8zd+ywdHpn0Djkhrw4ER/V3EoaxO8uE4ULwhzv8W1RjnbdNLW6Nfm97L3QptJixuAXnQb
Tr1Igh/QQBQO4XbZVmNazIdgUx1+y8Ou7ezoV3yQv1x3mos785PB+eefLq5Qge0o1Ocx3SaHYSc6
vbLypjuv+s2X1icTi+O67UMRTWRrvjLUl6R8CH0oXxwEB4vmltT9QUv02yx0VPqi6JU6xqZ27+u+
rQ31QSyo66udrQqjrSH8aPYrmZYLYePJty2in6QknutNhl9ui6YkPfGkP0nxK/2T9qA/jpW88qK4
eEyA9iXlYgBYkcSFbwd13NaK4Hdu23wRR4AxVvjghTNCS36Yhi8ZifuJHGAq1vtKE2+GoFgj/bi0
4sQPwFrp6yBoWTwJdbjfRl2eelfoK1vx97Xc20r1W11TZrl0VsxSrcjD0HCkLXGEWQ0FUGxJPVEK
aRZS629TOa6EXZciAcQcYX6BKWnm8Tv1XgUdlUo2osEtp3IbifeGvB2ax2HwNsWwXRNSvuQrtAXT
dsojjZLa4nxNrVbwZD0dXCHunD6I9hr9uZzoZZPddZFhl7DEi+Pm+v689Bb4bHRx4lYCZfgkjQde
a3+DeGcYYKq+6/mBh9t1Qx91jsWpS1CJSNmMJgT6ufDMvoNRP9exZOS+U4W1k5nVTSs2L7TPb7z4
Tc1+ZI1dhrUb0vqKKvdel34U4a9c6H7qobmfIHHTq2w7SIlTKN6uRGC3fW5KhHXEdC2yv+DEYMRJ
BoDEMYyzl4SkBQGaPqxFKt60+Ub/jkSkP2ytMXHS5K3Zpr9DeuD/wlk3eL+D0u5WEjvzZCwn67P9
xTkNB/ZQAzrDFyL5UBrCsznka6H27LxnNuAbETk+KVAtM6hGFUqJVpaDO3EJoFD601SOutY8pLkb
TKZd0++Vt+/A5bfGpK1N8OzMS+OQws8Fa+DaZONOd1bSaq2qeP3oJq3VO7I53ogoqNJJrngvQti9
iQrkVX4j7MNSLreBiB52a0SbYZL6lXm4sMc1SJ2Ai5N1J8+/uKE6gVdPk0Z8iSr+KPO/otU+okzs
9AKdbz9Fa61B4sK5BdqRKj21EdI+y9c3BMia2jfdSOmxcCR/uFGLbWf0zhAk9hRAjOrfAu0bi1+p
+q0qLbf61frebRKtMZedt0IwZODeyBvMVckzzREzq83Er6fRbTI3gguuDWxZuTO6vWlsx2bXGda+
gIMKBvLD3NMrhjsRblrpb6b5K95+6daieRTcCDV0lKvExdHXmbLht+I4unV+1xbEVsXG6uwJ4OVR
7rbGw2R+N/w1xp1LLkjdhuoB8TyQgcUe84RphBQyndwCWdYB5eCgRSsHpaeJUgHgSpMEo2zH/mQX
iMF7hrWWkLuwAjRgzDxtiLSyAss8vh7mQ2VoyuSW0Td4Te/rX0zRXRlZpVP2MEV5hSOITjHatMtU
wo3fQhPl/+my7E8Qv10/ns8PHFgHyR/Deso60DJ7uh9NZUThXBYntx2A0+rldIBZZK0ieH6qnhpZ
RGpSnGkB8g+TmzS3OcxNBRWu7SoZ9iUrYNUhjoBrhkt7caUFXa8pVVOJrhb5Tm7INgQ370n38u8T
Rqsz6wZGmPt6PlY+BbZmhH6oJpSiq4/jXS8boa2k5tN1GxcSTLS9c2vy3qRvy1ruC6ECQklPpOgG
7a033CCyFgoPTXRMvJpKrrJRLN8J1LW24Eu+gJ4eFWqAdHM+/HRochEh1ONhFRnM0YaTMt4aAMVX
4vZLywRJLGQXdIvNfI2nVoLY0BJOJtHN+f1V7O2B7z0j6P2rCMLt9Xm8OKBPphYDmqwsEZtEE11J
nbbd+ICcwcpg1izMP//sDegfK2WpYkEcgRaWuW0pyUpsf35xkEP5AMpTucLnFoF1EIWyUWmpOGNi
YsT8xPIhl6aVgVxANM1W/tPGTDfkMioI8y5tC4Pdk3VQ1Vm8iVpbuZU32W3zkP0sVsydzxspKZWU
BpxUIH6WOB8jqDuJQcmujy5DU+0TVImvr/35rPGriTPIaIK2AIZ6ujJWLQh1VCeKK05g9ZJq29Ph
l4LPum7m3JuJpHhwzQVvbrBlAWKoSNHmzaS6YwHDjnho6G6atNswXsPTXjDEWUC/0cwfwbNkcYYa
Qip3fSypbtaUu0gPHwvPfFdqekma9Nv1MV1YHB5xCMJBEUujyrJayvstS5FNMVxuSjsQfxYcpNct
XPA2AGxgoikfUvtFTOB0dZpR1bKpyU3XAKeX3jfl+FR7Eqd2b9l11GY0gQi/tLAHcTE8WOgHrXzA
+WyCTuEEot1lPouWFbiQNshhUkPLDeqHthVR93jQK1J44Qr+d8XOsvY2jJ1fB11guUIQOV4Y2R1Y
X9k6dMnb9Rk9j2bnAaH9yWxSTl9Gl8MoytXYxZZbWA+jfEuiwPYg3G2zX5IvHWhI/3Ld3nm/7+we
8wOcJg16xIzFCua6lsUQ7AiuFjTw3co3tXQr5v1jZYo0aXcORDjwhdEz/mBNT1MS2LXwp+gVAhnY
Y4DQhv8e1p1+0LwUn45iy2xkIxFNwZWfysQWvmuNffAax3/JbruH6kHYXZ+ACxMOmgsGHqrwSGIs
J1yBX3wujgePRi5sJuFX3Co3lVBuQw9hlR4I3iqU+8yXMERHIyEBoSP6q3Me4dMATa33PdkvZ7GP
Z2tEQEXwSTl3hvDeo5x+fXSXbc1nGk8jHEo+tdVUbZUGZq8fW1Mbb8O6fjVr1AKrsjJ2kaYkK5M5
H14nr8KZ0oUmAbDyxMW8Bk7NVQWauE2lwYbfbYoWSQF931Xds6p7X/UuXrN2lnCZe4XnnhBKk8BZ
xcVR6heF2tSw1Bxb47tufOtK/06r7MYooUYndaWajtquTej5CLFJbMUOpb7GOp6OMKm8nHQMlBdV
N8GDWzaPxJb7qvNIPCej5mgWTWbX1/B8i87jZFPMDWbUlpbneB9nUtHGjXksKyigsXmTG3q9z31R
ugHbcae0XnQfxEKzj/PsR07KwYGGrrC1YNKfc6tEFrJ+BI3kuZ4+JZuyW6UHO7ukVUp93GXzusNr
uITMGL1ghbDvmMdIaOgGhpLMb1NoCtLnlalQzhwMQ7CQE9lyXEEncTr9qSB1iKD6MPE/MN6vU7OH
r7pDUbd5pSXGDp+V9/FATlFt1jIeZ5cpQ5x513jg0ikMI8Op5bqy1KBrC0j4o6TfSRWNi3T9mSsx
4nmDAmZ4ShMe8m5gOhfhjmb5hVclqnU0xEr/Ofotd40UqNZ3Q57qt7JJOaTH3re+TzBUlHbrhbFv
C5w1xW4Ye5hJ2jAwkptgyrt9Wpn9mo7HpWlAQAc5b7RCSAfOP/98ePm1mLaztFM1+dM92le5Hchj
v19Z5wtmdG5A+hIADVPoWEyDnsNDUcseTeZGU9xNBP+WLVUxuBq0ZG190vN9bIzmVo177SgpQKUz
vfCdpk/brWBGxrZo5QSx5XiN+/HszAHYORNhz9nFma9tccLV5VDEYhSnbirLyZMaBtLe95LmyfOl
2glCeh3pDILD0yxH+rJgxrg+MWcb7cM8aqezziTw4+X0B3BUt0VAG5KRWpusE8NtPHkhSc3yn+GQ
OqeNSeSoUfyVkYY5XemxDBOowMzgEXGY/k+SEuB3oVTdjHUi0j4TtL+uD+38sYzBeXLntoH52bp4
kcd6prVJ6IePev1bHV56NJYh2NyFr4WMYFtQ7jzBEdQ1HrKzGxLJY44snIxuDE7Yhaf5AUJuZWyG
j5miVjdyKfu7amrUbazXhR2O2ZoKxVm8sbC3uJF7FOUKnu2M0rgr+y/oksY0gWjkaJ0UUbXrc/rx
1D+5kLFGVAPomd4O2A2Wp1bTBElNJvqxdxCHu7G2yabbQOC7MTfJBp5QSMwFZ9dTFP0h/04fW8nR
Mqdfg0XPVhZfMVNjioSzdOUiAn/qSoKE+GRLg/RjqpGUy5DnjTpoUlTtDS7VtzjwzZU45MKiEtIZ
/4+0L1uOY8e1/aKMyHl4JXOoeZBKsqSXDNvaznme8+vPSt17j1Ws6uLt7u2XHXZEIUkCIAgsLCyd
PUsjIWsmcqeqQtWl6UmJdtKMkd3z6WVqeIRD9zT2SgzjDKSqUTFpKEsxOCHw0BVm5MFWCiKvSJwi
8GmK6nenmKtSMjnP7hsvhHDu+/qYKASTwdLRSITkJGK4vDZu4/RYjWDSO6EGRUDKr8el81iT7h3h
d4mMIg1C0qowzvRUTwfBqm0MEw32QunWmDX/WNKds0NGG5PkkdI38HhlNtUQMAVSjuTspNZIqPeR
l0WvSjYcZrmxH0u6c364ZEAtuhAJIcZiSSrMOrbaWU6K01QY4C7TKPYxGilGfMVZjAlHNEc3kRaj
KY4jeFH4a4MAihk4LdQs0OwG93NtEENdRPJgzKDsadqPaqTTTBqk7S1XDp02W0tpRWrRk6J0pXPZ
9G7391o2c5JW2oINTJQge3wOQROY5qusC+j0g7PGG7gSOn7wgF0UVUPFkOW5zuOiNeOkKk6CdGo0
kNQ2gTf6u9jaImOMnCiYEk6a8Pux1K+H+O3O/pW6WM63+GSaotHIi6I49XBwyUv9rP1KzvGx36o2
WGpp4QFVvStccYvW3eO0Kw+xk3rzSXySnyavdbU1z1Rv/f3VNnzp4LcPypbUQds1xUlqBVsAL482
qjSr15KIQStzTTFl9P3xHtw6h2uJzI1Wh2MciDM2vm/OgQg3P+/zxq0iOxoOmE+IVgvvscCboARR
GrAoMKIlYQ8akOs9b7My7xGxFCdwA9FeEuzAlFdZzpnUc08KLg/8wZ2GTODyNPi2kVZTmVZVzOVJ
8QmiLOGDi9+5zWYt4Sb0FUMikc4ChPFahB+MOZ7rYXUSfLAnoQjR2wMGqhJFaRSnrfB3zZiIdjFi
9GqqjNkP9PtktAmMcv14R+/YKCqaILFAr/fXo+r6Q/LJjxC1aOUpUge815Zppxv0koAinkdYcWdX
kR1A/RjE2aiTm8zZFSUKtUjLlaeim0gujqcaOLQYjSOPF7TsHGOWeDsBKYz7GCkPtkfEUrNEm/us
Opl52rtVKIKoupt5M8TvaD4aTlGUBW8dcoKslCacq6SOpuqEsrWr+cMGVBXneCtE07skmD+ndPaq
gGNtt7VPBBnfhS4f9U0vwyGYusJsqtMkFOskfq1qZMXqTSb0JK9HYmgdgODrsaS5ILwEdXR6vLP3
DhBNtlBZ1BSAcWfMopeNMcx6qTr5reZ2Y0v7vnNaoeDclXfFLDkWpMZRtGJvLH9GTssq1eoUCijo
VsDZCa3pTqX++Xg5d9wlkMt/5TC3kxlG2gC8Q3XSjLVc1WiGv0g5KNt3RXpEXz4H3rX8GquW5kI1
tzSnot+NObug67Ik1Or6NDZ5e1aLWH/tisSiqBpiHFUhl04sxTySu3tuBqAJPDiWTsFb+igjRaq1
UrP6pMXhSmxh3BXRpN/IrSbKE9i58L7q5twTUh535Z3NBd83yqoAKKHyqTGbKwGiYJZgRTrNWoE5
iualr8zCHvPkrKGhNWpNg1oCKqGPj/TW9pfigAyheIcgh7Ko1jcDSQBCyFKhaU6TUQMxIaXha6Pr
8fmxlDvB3DImFQGdhuwEUrmMJ8urTBSiTMXisilZNeGkb7TKimxF0AJQ8YjNU1EN42ssdOjf1jvB
TfD+XXE+YrlbrxUKH4H8EAbXYQYAKmPXa9UTs01SyWpOSl3JBLPPkXOrrZ8S6ITX8wRko9Ev/CG+
ltEi7QonDWoL2dj4327gXFJIyE7iNY3aDCBb199RNKCqR9KkOXXIRDgAj7SrOc4qzsV/72S/S2Ei
jd6sUbSKkFwEBe3g4M0C0rWpaZ3Hm3prpMtacPEuM89A1MBI8dHN3UQZ9lTqqq3S+jGonPTfsRx6
QRBoNNQ7DsTn1tdBIAgxIBKIbdjL9ebJVZQpggWBmjhhtnko/ZYlv0DLem1wvOrtPY8HsY43gAzg
0oJGuJaEDKeBFsa6PTX1Zz++Khi0mb3UPsen3tnAKynLa+SbAebI/I5KVbQnpO4woQQMhSTEqGKw
HIKIN1cTtIXkBo+whtUNhCMoCqO0hPsYjPJsBm+q0fFndVp9Am5moGVZ1UiQhyrnIXzjS1kxzNrk
tsznsTIBaDcbcEGBDAlzsYd/fAwRlZuzEf4zTc0anS7Fv6kjrFzm2p2HckyRKq5Plv46xF47vYzx
62O9X3zFd1/yJWLZQ0SiKDWwDi1QURlOm6A5GcmH3GD4POCkmMXuoJ0FXN7orlE1grnNHG/9NVGa
FQvPAbDKwnGAlPe1tlRzVpelP8Fdq258jF7kd/0S7fuNv8v/GDTYFMgYYSo9bdZpsIlHjkthdVVG
YwbcFirkSBYtZZ1r6ROmDfq+j7JKlBLtdz6E69jU7UrSbF21OKHTDfKcFcZ46zIN5TALpPZkpUgi
uSKYAjDKL5/QdtZj2BaZhWTajCO800rNR0N3BDlvQtp2NThCNUPzI8+XrH7pXi/ldOVXjWHSNInQ
HadHGNhtl30jzitZT4HzUUq9SWk19/Ofx3rCOhGsAgBQnBRQjaiKsKxZeFcGepvO/UmZ+tgTUP7x
kincogkpXvlTnfPuuDtHtBg2rlok84BgYEwuKotBydJ0OKEzUN5HWSu8NFNmrPVoCB1f6Bu4l3JG
YlFseqokpWCXpQIeXz3uKZ53Mi1meRWXJXKNgiCvYwhD6JVxO27YBAT2ZSFk1NFljygLrvxalQJh
UkdQFw+nuPMtosvFVrPq5j2dpXqXKrFCRqQJnUovojWadqRNjQElHGDkrQkv6K+lvA74F25Zxr/n
Q66URSEPp2hQhw3SPgcBVApval22TiSMxbGL/BcjUA5S2fP42L9KkdeGvJSQ4PmRTcerlgW/p/KU
oo6ujKc4kKtjnfqjq8nKhPJROFPEKKKbKGgJ7CSh31kzhu3qWR+uAPMunSwoh59xGueHpFVkGg8C
6DlTbUACAxPflLExSDJgfGMaVvCzZW1sMCSvAmtTnxxAfzjQ1lJ9ggcRSGYLX6O6OD3p0Wy5vdgH
K6HXn+ui6ikaPh0B8SEZshZTqPK84Dw771wPqMaCvhfUzUuMzwLw8iCp01CMxlNo/eoK2Q4mDGMN
XzFGa2Um8mn0gcaSXQSCz/jCx2Z5x0yuRDM3BIrEmEczYapuLmsHLfGfa116G63k0PSbREDK/bG4
m/h3UXeU3pe+d1TEwU1/re5NCe67UUzHkxTHmEqm2jFIfYGQpamskEJoqdIWa6EEbCVQXY7s28v+
Wjaj52red0Zt5OOpNyZMF6vQmDPLdp96nfAz8w0qW7495eDvUJvEGyLXEE0KyLSS8qCP9zb963UD
Nlp0lrChmxWLc1+NNc477gi6UEXEAT16+qbmDxAXnODj3qpxReFjkQFAUZrZcWOyGqXpZxhYLKD2
6GvSSqut+t/XI9A8LjkaBe8n9Mpcn6uphJllxuZ40jPt3IeYvKuiQfBTtUD98sI5xzvbhyKcClAn
/BV85/Lv3yLFwghaFJH06RS11SoKNVKbr9W0VtGYMw0Ckax5ozXWMccMwRB1Z6x1skJSGKvG+J0D
+J3Xqff4k9hYHL4bD1UkHVDEQmKO3eNprH2trKL5FPgqXqfd2IA1F/DjaMJF/FjU7XEueEn0U2Dx
uLzZ17GFcZ5KPmfzCXNcBxIh+Hf8Qsntx1LuBB24iuCOwH0DoDySAMwe91ouBFEtnZKgb500jdp1
KaoFKU118IZJkM8TCvcghQ4CN6gUw0ZPvGGDXde0tX7uPSn1jV1iFbkbhFm1b4tU8gxxMGhYd5ge
GUqdcrZA5MsJeO/EhUiUwLVoSPWiy4Ll1ujLdDJ7M1ZOU5DZyFioTmh31h+1I3rpaqBfm2hMMGMQ
NBiRDYLF/G1e7K4mJS+ZeMfVXX/KcpLf1BR1cUPQMnyKvtFp7ob2qf6J6bJuxQt1llDm+grFrA/E
0QBlLDPvWXoUxRqSQVJy5YTrj2ROtZHs2P2tbPxtTpPnx4pxR9MhCy8+uFJQ3bLtDHNXiIEuQVaL
+D4vXzFQtbZ48KXbWPFreMkCqYX6ARx0vXOgSO3DJs6UU528gL/PjafGSQcMlAx5W7e4pZutQzin
YXb4UhRgJEWKUpmtXiin9F0XVoZTeVPs5bWLnJqwmQs6rDSJZDyy6Ts2jDyojIYkYMKWdOj1+uIh
gpJGs3aqNX0zVZNKNS2xnH/7pOCHl+mfC0rHZBnPFXmI1DGpzVMr9bVtJG1KprrezW3EGyp/Ryeg
d18TbUB5hEj2ejmq3KfyGMjmKdaEyNaMqLXVTs1sqwCtzeNF3dk5dJyKAOyD6g3tZMxlJipNm4Wx
YZ6EStUxykQ2Ma1z5E1Gu7ugxZeDghIIOlaKITRKW46CecoapV73iEIj3CJd/KPFSJPz4xXdyELc
u8xmAd4AaRSUN643zxCCMi2j1Do1slicEz8oFFeQMROd1GjO41KJ3ooDWAY1XQX0xYtSMDFQhPY3
szQMAbF+SiyMy7H8D0MZMNrXG7qMKMl8mipXRZ+2XlckqH0Pf+X0AsqSAQetfAP7MOGggcdGWgmM
gUgwsXpjSoh7e0m+JMTe7/t1RX6tL2tS2aQk7weN0pVgnzkX241XZoUuHuGbVxYw5cqSCwgN161t
R5v6z2a1/Xx8pqz/YmUsWvxNxghi7hgcC/LF/vjB81iss2d/ezngb78ttUaU+Cl+292P62OwjsmG
rnyHI+ZmXgIrhnmW9oLsN7hk5cvrXiMFOY5k7f0+7Qg9rJ5XNme/bkZVsNIYI2j9ua6N5VC29pvk
fuyHp+P66bfnCN6hpaO3ojw1kFk7YCWa19s4mYmeVMs22nvJrdez/RHS9XpNypVDgNV0FPoSk+c/
1pqz1Ju3HiuY8f2zKk6JWC+Ce7v/MUPJhxV3dYsVf7/WroWg6/B6db7+/1a3TXcZsd0LGVfr2H46
/f4xuZQK75/2Y42/f4IgIVjamBd2FMaWzWbs5loX5Mtba+/dhhyfQvvJ+00czJSjPtmc7VceJv6+
jn6TyZhyNw2578e+fMnX4uwdpt27SQ4O5j4dN3Qgz88ieV69Pl7nDcr5a2e/yWRMO0qHUcFQPxxf
uN6XPZ2J+iltik8oyyqwz2cevvG+v/omkLF3AC+w6bMlXwYaqES27ZVPP2POtXrXGr4JYawdT4oB
1waEqFQ8+U//7aYx5m0UYEEG7l++lDa0cblPLuOvKd6tUm/1QuuXc0p5Ihf7vbGAbyti7BtFAyFq
0RJ4mVDCIt389pvSfG+sz6sNrUv3zNXGZQ2PBDJ2nViYtyNHgXKx9c/Vn1dpzVE8zhHd9LDNU62K
ERRvuxdIQwv88d5lexOSlc1ThxvuGkbL2WJWnQQiXnGw5oXLdJ+R/fF4vKyf9PU/pxOhzs+fELsZ
iP2ZkMfL5Nk0G0uGQghiEQmSt2+jvQ+pu16fyM4k7wGl9JOjJTevXHadjAeRmq4ZNRGHFu629sdH
QwMykpN+QaWE0NX5M/jF3dq7rvmvYrKA5bpWiqJH+fuy3bq4V/vn1G680JYBoP+DNtjtKnmeSGDH
HvdS4GkQ40lqs1BSvKbkS+u+7vfhaZ+sXDcg6yfV9naGt6MSle2arj45ES7HMlhQRpAkepFkMMVf
l4gEpOVkr7mHyHgXNcIsony5evb2aLvuTJ68E3EcZ/P8hxup3OBoWI1h/IphgjkhH6Ax24/mbNHi
ZAf2ihMj/AsjQJSIVA/IbdgGpTkCnkOREgUr+nBTe4ZSrk+4SzcoKtPz6nzm8o0t19at9/orkbkA
pKYdpWmRuE3XH/1azSkCr34/kdW549w1/yJU+CuLOa866oJRwiitS0Ze7Q/JvrhP8Cy/PUJT5+X5
fP7kbOdXaenR4pgz81UpR1o1hmu2f3VPx5lkmMlLwH4wkpmsibwmOzI6P6O3zeoZbId/gDY9L0+P
FZJsBHcUJ0d1/2r6u37mprCGUpWSBuu3k9U0kGydPdvp22M/+i/09H+FsE/Ytsr9rG+xZtQQyh9a
7ZLVy2b12pH/bjFfqvztOWLKndHOBRYDBOuFYhI74REW3bCJ/R+T+7sUJrQs1TrACLJQubzaRz12
BnuzsQey6gfCUZT7sTkKMf/X7lhKgizNw7nMsWko8+DP2+DgjSUNts25d7ins5jjt10Dt0YbhyUE
bYXn8NnvHJ+sgudzJJItR9S/uMr/ronx+gAAyEkUL8q/fxMpOC0pllWQD9H5yF7SbXA5lwiWKU0P
7/Q55vlmjl9hKx1DZ2a+2ESL6b25H+768uXLPEIcPFtfcN/hj81R/fv33N8VM/6lN0A3YywyO/qq
bxrVPmwQrgin7Semfz6W9S/unr+yGNdSTF0VJyV0c7ud6N4ViOuuvZ54Dh6QGzyUH4vjeA62j3wA
XcsUW5Bmh0AXn9vX1R/einiqyfaQAy/WyYG4rEgjw2Y/OA29lNu0BgSH5zu4sphklFaImPktLZa9
d3XMYqfwv65w4b2hePepwniQqfX1Uv86pTfQKnv7j1/kQk4/3t8H+yce4JxT4i6LiSqtKc9CPVmU
XkKIZ+JtSCM7pTYnrpLvB1b/q3wsBqazwjQXvy6St325/vglELzxEdARw/GISVBseAHDK50IQgaO
278reuktBogZw7bYcp+mwB9j0L2CB0LjzGd7y/n95Q68ubK//f7iV745SF0ZlayZUgTmFl4gGgFn
m/g5rXknteRBHolhnKMKHwyeLCzjFcGwsT84y+P6sc3ecA1/XV/flsKEVr0Z+U1iYSmgSXThJPZu
BOpPM7KTS7wPvdIeT/+lRMYBjpjDHuRZvhyO7LX2m0WshIwUL5oV73q56QRmV8c4wKhrDYz4zpRL
7db2clLjrk7tl+fV+Q8vq/oFhXl0WkzgZM5BNqgqdrKDHBsFNX3nwHzPvEVxlO8rJfNN+VDeVWdV
x5ow36u5PP8ZSPCLc0QcxWPT8FqZGwMazxfFU2n10pN0opXpcr35YicPtuzLVX1fSlINZhxAzuRt
33TvI9sII8kPq1XF27T7wdNfPf8K476Jssw6A4gGp7PfxyIpHUQVYJXElcvN+/E2j3EOqS9UWWdC
UuW82UfXHclTvv2dEgcRLt2+8igM718f31bGeIm5QV9BX2ITFZKRN6Q3109PBj215LR7X6XUpNxj
Wy6kR8fG+IykmsfWTyExetUFb6TOanW2LtmPhPxnd+O3xTHOokiDIAYJ4+IsEPEaBKtbe0/qUoVx
6AYeg3NrSXeDmG8CGY9RFX40CToEip7+sd0f3TUgjIfmN139OZ//g51cuvvATIHZvgu/0KJL37QS
OHZfA/4b4UyWrGbXIOp5AajKmzazzR8cq751HNfCmHhmAB6zl5IKVr19Q/oKiZ2151ln1EzwH+eG
vJOJvhbGBDWW0FcZ8GkQhhQnmXd1SEJ7TZxD0y0lIZ64ReWuVfJaHBPUoIkYXCIDxDX1rrUnKm8q
UtDKNva7iMoXbcQbhnLuZ55MxtADNZ+SOKqViyXtstwpVIkM4nNlccRwt5Ix8DCPsnSUsDb7DS+j
ATORnQbT7nPnebWaBW7Ye+u/rreSsW4pFixp6LCs7dte1En+U9zB0B7rIk8VGbPO6z4KhryDjxxs
9y2k6knsaEs5uZw71//1UhhjnuqxACoKSxnoVqQJziggGZ0w0xmITQQcPC1ctOyRFjIhgGHGrS40
kGcrx319SQQy75EP43opjuaxr6BpxpzlWv46ouyf+oWncLc+8GrbWNBriRBj1iucDiZ/v0EJYMCI
nH6/9bbqZOETr4FjOewHu8a+f9AlIs/lsmv71+hn6ALsyXPqnHNh2TD7IGnA/oMFTee3bXxBP6gu
uOlricTClqPZdwLq681jvIKgRUY2m5D1urcFsif+ugemiz4PhJcyv1N8uxbFOAYjlFvd9LFxgkXi
lnSnEHJ42aA7+clrKYw/CLNCBTkdpLzu37rXj8mxQLu56exaXx6Ozw7VyXtKyEF43+63wnG/tWl1
RN0YlZ//9r5kYfogix0MjNKGb4p00nn/JGvgvJwVH4fB0xjGcyRianbzhIt5oKgJDvEauEmD5jqx
qc0xN44vZOFWHebJNS3GF180skWzAzF30+/kmeeaOEbGYkDnBlQRw7CopUb2tulZ5OPjeCGeh6mX
IXl97N55RqAyoUZe+2EiijintzFwgIDd2aAOB5Gvs6Bv9/y6x2JUD1wI207RyBiFFhbYw719DKvN
DtVUg9qg8rA7XgLvToHgyh7URXW+xWxiJTdiuuwkLhX/AyF3QdzjGmWdYB2td8AGcW9L3j2mMj7F
6Pw2qAYsz4Y7Pu5Jth/WlBv68lSEcSdBU5l+O0NKR9H1PREkvdqMEOFF8+ApUWjguWVOpKEynqWZ
JivtFWjJfHw1zxVKVR03FXTn4Xd9XEyoUYdF6w9DswT0b/aMjNdo+94+CZ3HKs/bPMZhzLkctIO1
eMmMzNuc8+s8V8/2xGZlWIt9j1Vkr4VOzE1U0sZcqxEpXOvd4t1hnINhGeLyppksrf7as94WX0Gp
8tnJBLSWK17BmafabHdPbKYGeoEhyt4juJVsV9yDZ+MdNxkvKfhFWPTASbAMSt1UR+iahygdmIE3
vcbkF4scUeVqCAaXic/LXAWvgvn+4T6HeE6DBX5Xud4oE6aXXRSUOfau7ADPhblFdrY3HMsDnpHK
5IV2tLTzPccZc+4XdkaInCddki1XWdo66kwvAk2Bgp95ryHuSTLuQ/IRknY15EyLoYU2nl+pi5wl
QizOiu6k2q5smh3RJoGwP1PGUgFi5xWMuKR70g7zB5JtAUpv3ITbnRLftTjGhcj9iNfs8gADKGJf
/jLJEsxtuVXuxd090k/GhZiGmmWiBjEDfX0zjq4tO0PnoBg1O84KxEqPHdadTMf1qpjHSi2Dc1xf
nsyvAJEj9phLInoDtUfJSeoVJTFZrQybR+XD88dsi1WQqlk/yctmhj0pfUoxI9j+E7i86Pi+Q8YI
HgU9XcAYMqmVpBjjekgmBMcdTUUinNWG8oKqJYy5PbG/Mpgwp7ekbgrbYXFe2/GHgxQH+cOro9z0
jJjguAYVy/8uhMmkVGZWj7MPIW8LCrSh64wCdHQA4miTe6v/8P3yVxwT3hjJoIjNhChgu3/bZ3va
2PQZaUTO1i3O4NHOMRGNrueKPldY1GspEj/gBqC3KcrrTWOcUd/KZiLV+P2EvO4VWzoc8AZbcRFa
903272Yt//4tFqyKHgNlxy8FwNwKd97uXfwHkGn7adH8UEVk2FGMMyTUdOkf3jzWfxEV/BXPOKbJ
yHy17iDePbpAQDudzc0u8w6KcUpRXumhqi0rfMMFDSDy8XIB6C3wHIDgASvd/LHsPxzluO9wQR8F
in+Y7w3zhpCoQ9saM55EIYl3ySF9F/9Rj906d5KC+M+glVtznOGdiAct0mA6BGcFGocsZpmjllmB
38/iZfKb2UFuO3gPkhYjKONSRI1vjuRdYVrTKrLkwC7QJXtAjFRzWg7u7DWainR9aZxbhi4xlg6c
mLR0c4uXsjnHaUCU3DGLH49XeueltEBIlqESFsZmswxgBii5xaKp5MuYXMCPSqKORyfxxUXD2DZE
mOjjEHWwu37FQt+MwtTQYQDaIRlhfULe0jWy9h9BTY8paozB4biWtk8C9fLV7odOBrskWKnsdrtm
d3Beeu+Zo0x3Fww+NYwcV+ATbhhRCwxTR1slwMMhUgZKZWuNSh7v6b14RBPR8blQgGESOct/nmbg
YgraANFdS99mO8bMRoMMJfq7CRK1G2Dox9jWDzwSpDv6AlZAsDiDTdkwFI25wQMTXchdLUOsiu7k
ftWPDe24EfqdVAj6ZtH/gwY+S7yZhNKOfRpUhQUPcKw++h/+Tths/igx0U42Zxt5kphLIQGp+1yG
kFS7W4PEF8tJJDuxV9uOmLR2H0u79xxAh8gyBRK9jhLG/V777iKtVAQI8GyYVUH2Ve70MpkDJEYU
oGSeeqqi06KZD8J+1EnvvaDEZXNU815mH4gVTGsGWzXOiD3AKRjHWvUFhMwb+fBrXLURiVYI0A3R
y9Y0cnNqz8eB97q7czdCKvhN0UKL7qabJ5cmtvMkZuoF3WOxteoGnYq7pKHxU+lZ+q6baGcQ+d8e
c4E4BnuNdjXo6sLcxey3OCSZYIDq44LEuNNvMdJtjWFbP848X/6FM2L8D6gm0BwHXlKQ2LE9a5kQ
6/lYKRBkTxO1q5/igi+oX1Ny1NcBQJUCyX72+D9lL4X0RxyhTqRswKVJVqZBpBPvDr0XaV99EHO5
xJKVt6kgW5fGCQ771I02Df0AhQMxDhg934M+swjJmYdMXH710TYw++0Poa8F4Ii5pGgPfEp2MKRn
jirdibG/LUxnY2ypU0GWgMEzlwnc4aEdpdtxq64j7fWxqd7zr1dymDjb7CzwLweQs43XnTNZtB9c
66CS5kKdNLepUpFNXHAeSMv+/Ov9w/Spa/8Qt2oWdGiJvEDm7Fgd6cFa6f9sR+BItQtnhY8PC1wb
18LAsaGpVakvOitvhp+KPTQkdjOq6eSwUaijvxU2N03LE8r423BIBQwxx7Zi/K3gjPSQ04Dj0+8Y
I0iQLEXHmD+wuKhsFyUo64S0GHzrgkFdJPfyXTbaszfT4EU4tuv+h+Y1LzFenhpIHvdBQvXcTRJM
PqDden4qPzBmoyVJegk0z//n8Z7frh5DF0XMJdHhJnTQ3V1vudiOQVaEoX+ZK1tvdq2RrQsVDPk9
YMJp6ho6Zytu9QnyMDADY01BNYS+8Wt5Yy7KbVEl/uVNdC6XEMQd5I13WevLkV0r7bUQ5kWgA/Jp
lRgkdnl9O/7juluTbpHrciVb6km2Kry9a2/3aEM4rtHTGqzC4+l9s3HCw8/D4aBsshNe4+cY6LzN
JnLpZvNMf/KSN1/lvEefuJzLt/AwiOZA98HlcrGBsP/1y0L2vLcLwJn3Fbl4hw1AU/NmI9HZWQEq
gNluvGjt9v7DHmm4jcxlGgjmb15/wBwFmlzXvo9q4OyCMkhbzavhvZxIuiqOwjsPw3L3SP6KYxMe
Gehmkrm2/ItqYqqj/qZVnGfDHfd4tSC2lx4EF20x9JBQu/kaAws/KiKCZ6GiFg0PwXtJxtea8tgR
v8DR7DmCdQ/DIzUQ5dyMxYmq0hzzIleXrtgC1A4qPUbEfSIecEc7qNMLEDM85bmDaEYMgVgUIHhg
OxHPX59d0KR+3IAI6oJHhWQDUAp4TgUW6sPPgRRO54BTiTz/fOwovpCqzEqvhDKWq+ehL6kthNY2
rKYhaEuK/vHttbt/235a9udnsbKHfoWBd5vNJqf0rGcEgzLP//41eL14xrhNDG4R2grfoSIR5Bab
1I7Owdk/rcn0ljv6D/WXcHm89Ds+8mrljK0ugxmnuOrUSx6Rj1Ih+roOXF4UfMcer4Qw9hjEcpMW
GIV7sa3jh/7P05yS0UMR7fx4LbfBytXusVirsMmNsZZ79WJ64fHppGyEz8cCeMrJdptMUWn4ogUJ
81H8aJEIUmx0FKw9otq7cTO8pYS+DBxvdqeDAsvSFRnTPsC5jZF41xaRTFkhzOmE3UOrOHoYAufS
7C9EWJoFt0+eQT2q0Wdxi0lcOflz5pGF3IF5X8tnLFJQR/D/gY8dxpEBgLhUcdyKXhC87NcJPf1Y
eqwPL8/hJnSQNeec6Z3k6LV0xjQRoeVRnGD1/Vv0U9/AMscVAJdw6s7px65YH0DUEPJgCPdc39We
M4aItz7+ednzpQHVdo/a6rLWBfTBPRmOA1DJ5s/0a9nxwLa5Vay71vLtvBmTVKZGRzoDsgHHCFAK
fE2f12Q+O052+qnuYqSgqfWf4CGu95mxUVUxemM2cMqN4+b2Bc7PUwHBfDd4+nznTQxJSMGBCh8Z
FZCoXOuzbkVxHmDUxKWH+fyStmsvJTsQETioR0T2RHjoozs8H9cCmdC7iAKjlWYI3Nr7D5QCoUNP
pv2k2x4gpuB29XKKBAS32nPXtX5bJ2O3BeAKAPdDLPAl+9KV1HV6kHefxmV7Tj+WpideQeRe4HW1
s4ylGqAnNKwREju6td1kVXn9avxRUOvpH6CHvBaVpp8vL/U+wS5b67N2NNamkzrqgePw75vPt6Uz
Riu3oSaFGT4kAeJl74LY3SdoDPGi3W6nbEqyKWwgi8T/jzrsvVDpag8Yy61iPZM0TA4FOPsVeDb0
VRQe5vuaRFyduf1XdyL+K2GMqaq+0o8gL13WGZ/6/NIVVANxjoi5SEc94TxX7yTNr/WYMVFZUISi
LBdpM+1z+EHx+X3TAOZ4Xqqi9uO7jreR7CBeLdSEwPdnWM0ezwuT9KiwoaNn6ecBYwjHzd/BuF+t
zZSunYJZmxipUMPpmftqA5YXQjx0E6GZDW3HNHci21hz1ndbELiWyLihIkySKMFoVqCyXvcfrpes
VxwJd+ORv1ZgMn6nmdvMTAdIKG1XWwVEOjjOYYPnDiIfXrLz/j35TRjjbSJFqxVMmYVXtc1NQ2Rq
X77ig5Npe4KXrjIXg1XskqMl94OTb2IZlxNaWSxLCcRmZLvfo5kE8ZC7Nm1CfpPdYOOpt1kF7ueK
14zDczEm42JSTGVLpwKCX9+2CElcV4KHKV4Eh3i/dw5elZtnwc5pSmPK09Xl3G5eC9/WzLiYuE0b
ENVCNKb6nXQqEXQs4DLZASbp/HToM1J9Z/M/eAJ+dzUsIWI2YRZ7sggVl5YqnO0lo09rz3e9gwxU
FUd1eUtkXE0cJqmldnA1260+0BoF4qUS/Z+0R1wZocXU8FsNdMKhKauX8D18lj911FCF94FszzxF
/YI/Pjg0i3EwoyUJupgo0Jdwpx1BwOvs991rvZPsX+uKji15esL9uDvIaMU/6ATh/M4xvHcfU5IX
5o/k13+3w2zaLA4Gae4We5UdieA4SUK9Hbp2Q0d9eizqDjTpepMZP9TmYE0fO2wyLFQg4k93PRKC
MU9Q15fRQ4/m+Q/PRDjO1WK8UQ+8VyrmGt4spZsetfYgroFnWFHBtuxh+wzencC23oUdCNsfL/YL
KfnonBmHFMeBVqctFpvUxDaISDFQ6slFcrLzKp8A3wvc8lIPAkoWdrS1t8+rZ/r+/gOhyUzfD4AY
Pf6gO0jZ691nHFWoVnVYirgF9H3l/BLwcllLXu9QZE868vlYGC8CZCsjplhipEeDfU/+FKRzkHBz
/4ez69ptHVm2X0SAObx2MyjLsilb9gth720z58yvv4s+wB2J4hXvnMHMYAKgYqfq6qpVa4ELa+1b
XEz4P+9ju6KyQzJDX9FP5IPhKB9/wDi7j2Z/EhDJXlgnfSDiUv36EyYLazuDLLqdyolXKoVUaN0W
axvg2BLwsxmHT+PxABYeC9y04tGBn7JjB3g+yd2aOQkHAuFCirYSBmVDhrS1hUdY9RwQI9dWLEnO
C0dnnKG7GQS7rgz2RwjCTMUuWKd2IQmh4bAmO+lL/APWqAULs2HJlQX+NtQqeqECJgAWQu/Ex7um
1nsGJPPk9fFMzgeQV3YmbodpHMUTBuxFlqL+aFhPb28cHcGXiFWXHuzzW+PK2MThxBUI5Mfnll1B
KSY7qj9NfOagetwlRmn32xqAWnZhO44H99FKTTyNpvZNUnKYR//nUkavKbOp1YWlmn8rXw1r4jwK
LygdLlZRySWXkQZr5K94Pp9HkqSF5Vrad5Oghu0qVy57TODWT/QBQoCDquuLUerS3pv4h4QPg8jj
lDFcvKDXqGNJ9NUZoMfw9Z92pYHM6HURjzhvE+K14PgfReonXoMNNFxFoiehZ0uPjnCEuIh+2i0e
Mau/iwX/8fDcb4r/NTZt3CqkhknbMJDwqtD3eqQiM6gSCu6KRUuzV6z2jyXu9hjnas/xrutLeF2g
EUkj6WWRx3H+xXllY+Iq+gKkxRLv/KYwPhqPADxh8WQDcqLIWth/M6wVcO5XtibuIh0qTu0d2NJW
e10ALsvk150Rvx/qpVZxYf7k/jN1E2cBSEiSszwDD4hFGktTH8d9bWRrvaSm/fz8bGk0M3bW7r3e
HcBisfn5AUPgYp/JDLjvdsQTB9Jpjuc6BTamZiZjF7mzNus1v10CEc5wjd7amTiR0BfrOnBcHIBt
o0OSDg+0kaUj2SIfhNrRhr4k9HTSl4i25iOfqxWduBSubSJH6DG+18v+opj1fjgdzuP2oYuvoznv
NcJ8IH0FqZU7TcqmbnLBaSPJLjcoh6ZE7pEeYV79tXhBoIVg8+9Wf3y9jXtketChOqmAwxG5Uegn
3x4/l82zoogFyRbllPCST7olGM/ol6YWBE0GShD1NzBpT7aHlLhOqrDjmEjGkYLQT+576Q6bDXeu
jUz2RlN7EaM2qYT+dKJ/lJ/hgaWXbfyzv/jASSHVo/e7/wf97ZybvDY72RqimMpONoxm95Xu+WPj
f4muZ8euSKlbIIMyKrrBpvz7eNFmsyTXdif3j5jWAwOhvdFpKhjvL1kSOCV3xhm8dktBydymvDY2
vXhStaqKOJPsoaZqfoidzfDpRZamLzFSzJ60fyzdBa1VKTUOz4/TeQEWWngLd5vmDPbBpRHNpumu
DU0unQYCpV49GgpRCQKDsIl8Oth9rSd0MUAhZpnLaPzB//sQAMd3e8wCUa3EelywkICJEChv+vN3
mYVicQInl0+hZU1U4sEKM4V+US0F5W4FMK5s6z27AdH1pZn8bfp8NLDJHTQEbi0JPCwiV3/ZS0hV
X5gVm5NB0+U/VF+9jly1/QZ/WSd02p7PG2Ogb0kEUDYFvc3S98xe9dcrO/E2ECLoml7A96DqZMZG
anXPjbES2sVnwdyKQkYcvE2oAGkQCLhd0QJ8cHUXtzDEJGSvXXjQyZou6gMvS4d9LvC7tjRZVBGs
8VpQw9LwgvCZiahCoK0ETwMYKNzpmMgm2EwLLmbu1F9bnSysxkPlq8s7yQ400od6bLEVUmfDE+o9
IxsWj+zv36V6y/ib080E4WAVwGQJvO5TpFNTo3+06CXJvlw40C2lADwSjnimpOnZKi90hxgSMrEn
Wq9iB3yhvbUw6KUPmCxqIzoIE3lRsoHHdD7jzOTtZsV61I0/RZYCX5uik6DPLcFfsDx7gV0PfbLI
QdExDEQGJTsp9fwVFVr2XaO7XY3UM0INolhvlAUu0jsNi1pSc2HktenJSiMh68qRB9PZH97oClvk
1zKg7rUDHFyr8+/qu6ZR1tmGQItHmxQ9ZQuzPrfBlRFVjEXnIB4yGTurJRj44ClIRIPU67h/TZ/d
kxeR87l981DX/PvY3iwS4NreZMBxjH6OWoE9aJghPvc4KusNcdAImL0Bzoz8d2/uwMus7SQwl6aG
Z/Vo/VoJ/0VnmwbIIXT1eFnSxijs1oe4LRuO5H2KHaFviRWJp5xaU9pUY22lX7Vfp5M4EAB3ls7Z
zNm+sTsJH+JC8Rx0tyl4joOXGqQZlxwtrfbXgLP2LK5F+08C5t/N8LGp9itm/aMs9ootfcEkpsgr
HvR+PL7AXUlvaEP+Qk/r6fUibi7bcvPXNfvVwqLPpXHGzgDIk0pQYUbPzu1c9xl4NWLAxOw2fPJt
XkdBp9/G5pjGOZVbz5LeH++yX66OiTO7MTgZYh8lvhs1DHYZsN1cTD167HR/xTYGc47Xn5sX5/Cy
MYj3+ltfAmgAkIEKhNUheggWPmW89CafIvJIR0BSFzJp0Am8HXuZKmqntSVjq64ZdjERFVv9Khir
8J8k9Clx2aYV3tNBIVL7E6dmWJ+CVve1jvhsRjL+M8/2UlCQAC4wAhPoKgx2rU/i5NiotOnWTFRT
XrUL5uANRg7a3+94CS8696y+HsJvXeQKjNlnaV9lcsHY3Ev5I1RrXvNA+Vtre4czshOzzh3a1Pbj
eZsLE2+MTsLEfpC5Vo1zxmZYvUDsZAZ/Gc6QtgPCGZMS9Ui5PWufWWBZTktozLln9Y3xyV0UebHi
RRpGnNQAG7+EEau7T7Lw3Gd6mkNoi3nmk4W090wDAI7IPxtlShmRC2oudmrG2BJP89J0VMrxRKu/
m+0XKIOF77xY138c8keBGK0In5gH3NJlsLBXxYlzHiIGnW885nyUouTp9/NxLE1mRscYaCOFHsVq
YZHHebw5HKPQtICWK3QMoftqCrdTa5Vl2KJzbFel5j49ZC+iEZiKQiLUCw8GbQwgemh8XDiUvzv2
kd3J5ioyNZA8HnZLbl29FVt3hJY8l1RYIZGi23sWBbXIJFZpWnaim5ZrBQifA2/9EhmaDPBmYkVU
eHo8G/cJ6N/ZQLcNJgLkTFM3KbFpJ8sO79j5KzQH1TIkzReKT195rBfaC8OOAnALsc/9Tp/YnLgn
tamcxBMFAK2VP8JWO0l0c16ivLovKd0auctopuAOReedYyNJFq9w6Snkss30xjPkp9BCs436pDiG
1BMWtEAmbmAU+X5AI8EP/3qHj18CaD3kByFZi3+59cZa3kPoK5ExXMFBwf/4dRwJpYNSTxx02Gy8
bmGn3WffJwYn88vmUuHFjeTYXbGqKoCtm7/1XtkPRnE4xDZctukjO8ivFuzex1m3dqdaG0mTJQ5m
3LG34c/2Eh5SqOp5CQk/HPMt9EewHFAG4+tFezq9RKeX08Jenj3Z/0y0MjlhagS1RKFUHTuVCFuS
iiWVwZziJ0Q1cNiPjd33j4yDRb+qyEH8gVOmQI7arbWKFT3G3oqWcwqekp1j9CQwgGmi4gY04cCZ
QhTDtQb0A73HzVifRy/Xy8/j77iPcybfMYkpOXTUpSnHOKATsMIccp0Gv6Oh7uu++RMYVU5+trLx
2OZ9I+3E5mRHqx7DcbzqMrYepWCU7XZm9Mc2/ZDY6z1pP0SBfMrmit9u+rfTahUZyudnr3+eEeUu
RbbjVp46VQXirID7c+N7YnJ7aG7ulpAzZ8CvZL66SAIOdnP0LvFBpOFGtdp9y5FNZJR4SoorbVN9
BJuCbnKO6EtdbbNe7fpTJpmIXugKxqnxKWW0kqq3jqWSsG1fXI4EHbrtmfXjReDGoU2GDpVCdA9D
vZKT0Ohw61Yyta0gP4RTjjilPsCPGh2ELlCT8lAg+vvY2N2LTYPMEG5LBYLbMDoNKGNWiVNNxiaT
KtqDny7ZMip6oQ6a/djOfaLz1xA6JCFtJ2BVJ4OCyGJd5EqAgITo8XP90YRIr8pH6eeT1yOjOa+Q
8lcWyQTus0i3ZqegwSZUUqQ8Qwb5VT3EXIoB2eWmbCJoX5JYmnMcGg8ZSw2ywtBZn1KChV2rpUEK
W82I7Tg1K1NYtefwwx79BQGYB9Jfxov4lh5RrwKs5gvHpt3WdAlfPHf133yIcLuBUjVX6jTBh+Qy
EQ+BtpEdg6edeqqVPxWNa5K1C7oG99nDcZ6vxj45rmHWs90QwuTrdt/p2V/T/PjYb7fbVQY2u/KY
4BTL9Nh/22VO6rMR29yYFcjfcT0ny0na2ROEcpooCQJKTb9u7uqNwXFpiAKMxNiRa9QZ+Ku2rHvM
KuJpZq1ZakTl7uC/ax1tG6vUzIWtPjrJu/OLKwTpUoAm0H98O/3QUxS9um7hRBXi7BP0KPnUDfTW
5MHp+zcdNUGWKM5nB4wlgH4lWBCEX5dyNeAkYMIwrRXGTrljg6ll0yWhzPtWE/y8pI3C9CryG5I8
8YJc5rhdX9femVcPABnQOFgL4SljLrII8tvEZGhsyKADcNzXRHhXt8JAMcF9tpH4rRQYg+YsRJuz
5w395IqAznJQEvy6nKtBQ4K6SH1gOs4Dc/KqdZefxPbcdW8lsnsZtNQpn7/yfUWE8tLwejAoRjOQ
4TVoPxWFNuhRVtxUFwaSRd9MS33Np0NqtvJeEfQGGEO/WooX7/Jz4wppEqS60ZsKXeJJGOMqmSNG
fuOeBVNxoIUQXUQFAWOVkKEmYkpVwUgKK3dpjyda/BS5CyHFb0A63ZkgVJBk6AiDIGKKOVSqNi6j
XPLOcYIa3pMKBn4dcVyybj8rUW8/BzBP6+XrkO25/L3KQJQhg1le+UpTCuhKkAe6ZMZgKTDVitbC
mNsUjZT5HJ7zc6xRziWs/CxqxDea3mAlI1ZMVqCc5ew0lWpmF67lt2ygw8Ff1w5BBzqn6enGk00H
Hep/HSQi7GrvUEgOBVBeZUjt695nC+0v5+/jIzrrrjRBE1VAmsZdPYmtvLJ2JNaRvTMTUO+Yk+DC
U3Xj0Ug3wQhPcYB0A3jEhDwdRT1ahbqRPW9C81P5XClrSa9MbdW6i+mdmUsSIrssWEzGNxu4TCaO
O+Y9UXF7EWds2HMZ8QeaPdUKS6TCXeX5vtn7MWUikr6oqZ4wK8l5KTrSPFcyrcWl03XvUvAtPFQI
EQYjiz8Ng3tUuZKhD/xzhc7kbN1zevSJFc6/pcDsw45koV24lOd0RtqMcVBLyqAhPUoKrm/wkcms
NYkmocE1by2zFB3eYU0gDTz+gbOEuAXV6FsXG2dBHqZt7J+9NXPxzNR5KoMV+1Pi6X1wcpKhqTol
IfNn+I7Dj4DdawGaBdgV/69B0ON3iKO6OlTh8QicxMtp18lF1Rb+OeqftBccH2kXn1FmqPsTU/tg
8TGLbxkZ+EFnVSt/UZqFe3fmZQaiGVRYuPGagzLaZCJ8Jh4KzmOCcw6AQUPLgaYKTb9L5y01mH7b
5mAU2TWkqA8IV5niuUvN3DValaRf7jGU9g6DsM8sg2PwXBVUWkhC3Afxt1837rErD110XjkI49dV
aNf1aODjYoILHvZa+uywpKn0x+d65oGs4EZABUKAkvLIIXNrMC+Guq8GLz4H/C6DHsYn6xh1oOfs
Nt07jgkX49tsseIE4p3TgA5QdF5CMNwnOKFhzgrAxkssKmDcNAx0kiJgGyFMzrWVQO3myXkHxAve
VW/f6nV0ZpfE4WcO6o29yRaI5azqnAD2EvZHw3UH5OTjWb2PZ8YBiYjdEUnJ0rRtpIsTTnG1JDmD
vdKFIPBP+/X/6E67f+PfWpnsFc5BV6XsFsm5Udf1qdsKZrXVNkhWu8Uq1cUtUy+cnXEv3F6G4PnU
VAUiCEC08NOkAvAeFSMIXnp2ip/KM7vqtUl3j2du5ul4a2MSCqb+qI2bw0a2vlQ8YYOtbDMWuy16
VKUe25pbJRGPK7hrRZSUKcLd0WKXr5oqPSOWqHsD2a4EvOOlwb0yi52Ec2t1bWtyzLImDyJpKNOz
8qct4HcIu/W8XRi8MtVRvpQ1LRszSo3HA5zJsyLwRHwro/Mft9IvE8WVNwnqXEg0X8nOXkObAQGE
cgmTdcOYkB32hF1T6nFosE/CTx4NBPnsKrTdesWcXG3HSB8+FxCeI7m7UgHHaokU6HxMo2SlKJeK
ea3L9VAaarlufGRbNj0iE7To9YgTA5rWL85SrvR+9yFHictrPFYIp6fv4SwRGs9v2/zs+bokfaTJ
XqwXHiL33hcmkENABkHm8eIew9Gr+YqS0mEcbcjPYPsmXfdSAGbgP7OttOrXyUl+frw89yUHTQXB
myCDXQpxAzIXt+aAhhN6li3zM5KhTU0UjjZrr7C8+iCvS7145p4lNGZrYYh486+cW8zSYRsd3e2B
xgfgNGvI3iFemdJeBEHcxpzfYbwdwHagRHOR/gdyuCXN3imp9lSvMnHhxrnn9BpHfWV0EtMrXcsC
vQmj+87mz1/mV/ASDXq05cA4s6nQ2GEaVLFAcvIirWnQrB5P+twSa+NrAuceumPTQ5+VjSNwbZWf
pUHPHNJ2qhV2QBVrmp58+hWVSpY+tvjLxHw3yzKPQYPRhANv4O0yR5pQOXndQ6NJFzozRV0xSTjC
8Yb6k7/WoCrKiWYkDHVYPUoMzjfrlLQiHZ6BsyH+tpdpgsrbZx4gh8v3OiKzCK1GBUSDPFpEdHBp
+dR9JxntABmp1xnYb31aD/vOWxXxSv7iS9owqzwzMrxNFpmz7rUH8JAcSecwMAUkbdNNxHW8rw6N
VJw9gbBVRKPiLYipm5tF2FOh/fBTi3VeNc8M33vpuRN1sX0RvlFkkiSQ9tNEA4ObKaiGFq8ClHdK
AK6LdQMYFa+zeIqiFKastE73lG3N6alm4j9KyGc/XqTf5rvJIt2MYrIruTzKZFaSizNa2n1NVwA4
UvYCWLmGXfkzfAEtgRKQYyXf0AJ33wd1HQQmp1hOTxV1VQY0HDY8a/V6L+tBtWoTSxueInYnMkaa
mYVDvWdJOKZPyof/LGSGL7y5LRQlUVjuDfco/qkcQ0l30Eh03jpmW1iCvJG1k4JH3XceWEWsM/5r
qFlleAw5c2BWTmjyEi0OKd7c2aEPMiNscip6ZLDQKOHhV7wNI5FApgLM78rcYAuTa2jfPnlftafn
Go9UDv58aoF99aSF6bzv7ZxsivE+vPKkflUKcqGKxZnfBOs9cznWVpyTCLk0i9VB3ukRGaEtGb4z
SPbi9WokVmH55lL5XxqXbbqsMpoGEF2CCIX7fQ1cfUfeMB6IydTiLBzbH+VPesgP1dozOZBAuHa8
MxNozRx7OpjhwSXKXrKCAxRUkZ4/R+SNgu0SkkQsNMjQa8jSV2j5nleSxZv+MVh4Pc6kIFXu+ksn
D6O+SIWwZJTizColTcqfsV1bfkmeJQurGprekr376OfW3iS9nGedIBQuZoY7FmaJes2oWDuAFkTV
PdNZOyZ3EI8RtIvrBQ88U6a5sTwtRwoJK8fwGdgbp/DV3TbS8/Au7luVliWR6/ehXyPuSPUg3KQS
tgb/8vio8zO33vVMC5Oj3oayg+2PmdZWPPVd2iHpDDTQxcVJIL6JmpwurNNtQqV3h5ab1Ei3wnoE
pzz+jv9jb8ogk0UzGIj5JisgoRLaxvH4Hdv8Uz6VtNsmejGYvIzX5xbHhR31HqN1lpD6h33Lnrpc
z5FoOVR/2YBqf5RVHMdE2uRW2hhBSBzClETLKQNmo9ocd014bG2Gs9ph59BKj/Xm4PKk/gpODZzI
JtQdZWFMM+E71lYRgCkAmoJXfkvRV+eNa/tIixW/PPet7nUIHn/kVKNqEq1qfseyOQ1y5lAo//rV
DKuIoZBTUDUkXyYrqrJNLPmSg70sGk5E6teu84jy4W3d5kVeYnSdqTaN1hSkqVU8mpVf33c1xlzk
AclhgvLsIbtTfnsVb8rVvkjfAAwSs9UQ/JEan1SC5UOxoKZJxC9EFLNH9+oDJrm4wKu9lk3D8iyG
6wggUYTd6ypcq+W2W/ASM2m/27FOvJI8JIUnqBgru9kzx8AeTPbzCOogmcaramxlQ8avGtv26VsN
Kp94jbcaiWhCK+MzI7n5E61XUE7AVUVdc+lVNfMiuFmIyQFCx6DQx+L4ceGay1ZxIBK5e358Smey
+IjZkF7EgwC9KXenVE5kpD0r93dHB+V7LtmRtJKOcQj+VeUs99u8tpjMVMAkxAAxsc8r5GmNqnvv
wIvYW6x/fPxBMxmb8YMUvOnwOajYjJm+6+2nulHfyFh9BVd47R06s0Xch6ipggYosxsg4SOxVNUA
4iGM8xRR6W+0SZYAnHN7EE9LsDKCdROR9CT5ALSynOVShT0Izv46Nx3vdUj/OCUABk638E6Zs4U+
WkVRRrlgcZq7zLMwbFvZq87AY1d/EMgwyHAjWYj6AzLfC9PLz0QM6ohMBUhFQVA7eQN6Stl06ZBX
Z6HdqtxF/WHAOawoIP8hoWsJUklV18jLcMOHC+mVufcgd216cq45OYszP8mqc/GH+woFgQq9Lko0
rVSQR/m0JLWopy+yZHWHUvRpApRBWmzVpYf2TAkYiLCrKZgc+jRpU4gal9UZysJrO3iR4ObeFetF
RbL4qOj8whGbdajX9ibnuBEzN2M52HPYDcQGQ36fQ2M2C1BxOVXtWq0pFxKWo0qzUmytWfCms5GX
xgkj7v73ApmsuCYMTspUdXWuYxRUsm0mGmJOnW6fVZJRaAEtObQB5MSR7YW9Nv7yNDq9tjxZ8D6p
Za5Ei9E5KFtSJwiKlZjGg+GyqAR+h6U+VJ9J/ifuX8p6y2trt3+LK9q9P/6MewaYsRSICFmAT2FZ
4TdguvIoIed1UqRgAnoEwU9gQRd1PqH5vg+Ids4+ftTDSUINxzc5epbW8VY1AqMm5Upa80tHYBzx
3YygzCYiEzyyVo6n8+pTvNCvhTyFS2/Cj37f5AbSjOqYGelbiGkOn0y6DcW14lH/wh3VVk+z1ePJ
+I3+7r4ArKNIEKi43ZXJmvCj7DpfxuWZu6SG9NQiIVjxERFZg/W3eKcA4lRawAuXndlvwS1iORFK
8sF3hdfWpihQB/MvENzdey6VOqr4FuCDTXt6/JVzHhE5vf/9yMkJzZyc1wIJ01SkpM+pj9s13uYZ
yrQuRdT42Nh9a9W4PzReRXMKi+06zftKXAx907LAFUhBkCWT9YB+ATw09f4S2v3aM5D6W6hXzZ6M
K5OTfVArSQj2qrI8VyGyiXi4es4hCfRAWXgMzBQQb8c2PhauNlxRBym0x3/HpoFqJNvVaIsTdGTt
DfRFrMFcuhNAdBYZCSilH8/r7CKOiN7flnYQQ96ajpKoUbK6Kc/qhju2bkSLAVaC+hgpCxfoeBnf
7ekrS5P4mBvaTIs8WKoSEMm3CSOZbpm/PR7OTBlnnMp/xjNZM1cIuEYEmdoZKbUz8yX/BPkqAYZD
2MkJYdO1ty+dhWTiTAQIrnqR42ROk3joctxOYd36rqg0EuipK88I4BvD7F0SFvbI74N0Mn03ViYu
oXY61QdJVnluNz0Vjfo7H7mwM71e5UalR0/uVvjqkJTjKGs21MffBdquG4Ndd+iD7Q7hyxJCfmbr
YNeA0Heslqnowbsdt1ZIyNwGTHmO2jdfgdR2c2rQluqbAt7QbdP9N9N8ZW6yf1rfi/KBccpznnzX
KcRV1K8s9BeOw+xaimgIGpdThhLB7ZgQgQdDBWnec63R0PmJBXRThEuA4DkjnKriZmE5JPilyVJm
XFczfRDUZ9cxXBGKuRXIzpfaymY3DGA/aOdC+YVXp3cIU8gig0ixPhd6tO50The/PXCQDmhLLdAm
aahrn8Zr9Riu8WT0nsEyDnpDKhwBrTDEFa8X5Ofx2ZxB/gDijzw/i1QDqrzTPJjWOqqWp2l95hKS
W/mZ+2Jr3TU0WpoVclwKRVIaDcciCxoPXdpt0XilmCLdNmgM60i+jZYu+rkdfP1Bk9VWwkGrEzGp
zwr37Ms0jbZMu/FDX1cD4oouARwN6QwzVgkvtJvhwlsyxDZe5X7BNc5dABAw0rQRtwwE2vQh03Fd
oTZNUZ+3MQrt4A5bN8dhpTz3xx7d0EiuR0ZMmp2ebbh9sXCNz/jlG9vjbr26fBwhV5uQxap0KKoP
3L7q0oW7e9zPU9cFyaQRRgX1EkWZ+OR+EMssHur6LMQAmnX7Kts69Soqn0THXNhioxO4NqWNOBz0
MKLGARQf/uF2MH7DqUotuu3ZbfXqAjgTIFkWgBUJyB/3aOTsdy7YaFTa6isUFh8bv8s7of4gom8D
yKRRzkiZolaHLhWHLMobOw3WlwFHrPpyjiD7bnfpwm0w3bi/lmRUCSHKghzQVOWziWonjQK+tuuI
8G28yVp27wVQEvOqU9CvgZxdmNjpJvmPQZAVjrAZNO9NXJbss3xQFWptMzzywegbbMRywb/Pmhhx
4yjvA5MzBeVASjxKQs1v7ChGpZf30PzyL5377yDQfAj4kaShED554smaxySxXzQ2N8gmoz3lQkhc
N18Yx13ZYTQDCAmWZuxzZDXhdg/Wcs01w2im0GWr2KmWulE37au6cVecnuiMoRg+NG3yNUc1K11n
h3rtrXjSwt8tbMjpRTN+CdByIiuiLAbW78mAuUEtBwRLjY1Ci7/Ci0oFHQGJGcglbT12xe74dF1/
pdsS1Y9/b1rVkJeBiAUSM/iOySSwUaAWWtjZMioJvtHvU6jDB4f6ORRfpNIW63XD72X+SUqM4ACm
vQX7U5eDkY8iQkiPCrjEoV00Ma9lXh6keWf7vkdzBrhH9YxqVCmuS2Xh5SqM63nrc0ZbAho7gOMA
PnSy3morMq3r1rClsARXqxacxGYvoljHoKcZ/hzVL6WJ9QAvOFmxYtGjTfXXKQ1ZKEhfvHnlJsxe
23Iboddd2IaclSaGE5CsojK3AQz3has2cmpwIdCOubh099y7zNvPn6yUVDgtUyiYqkpZ8+iB5Qgq
fu5zqP1EIdEEEmk0+vhvdgcHUK0IMAU26GRj+p7ohJ7XdHao6lW5Kg2h3mbbZsOLRvaWci89eJK0
dRMepPca6MD/xjpUZvC4RiSiTQNX9PpXCjtUnV0Xz2JX0wL9x71DcJyJA9ijwBE+WyVqgTzMmgkM
LqVp+8qp3cJ3jBN7u2809ELjSoSXQLQpTvaoDMQMHpYda7NZyNCMF2PEmn2y4ATG18eNFSA4ALQG
4z+LPhFUIW9PQp7yTN+hJduO1JAI0b7vzZZ94gLj8aTe9eritMEOavC/duDFb+1gGzmhj/9td0ft
JS1IuenWJUU52HZ2KkMKlzSbeLd7b9f91tv43IJvv7sRf80ruHgBpBpTprfmG6WBsl4K89LO7fZ+
a2T+e8OhnMiNgNxhYbR35cPf0YqIYuFfJREIzltzfS13eI3AHJfZObdS8lWZGLEAHaaA+KVCqyFb
eRBRLuNsH9T1p5+Xn9C/okFv5UtufnaFgZuUZWwkPOQnMy8MYZJy47d0BciLu8gagn3BPIXC4qjH
SZzuJcAjBZlHnx3c+2SSBykXUTj1OVsqDbE/JbaYUJV5jp/5sb7v4Q1T9LpbHzuGIwAx6WEYL4Ts
c8uMRiRgZ3jkKkAncDvvsupkSptFnB21P4NmVdGJr2GSBft8ZEs5uxD23GUlx3XGvKpoCoHOgHx3
jaV9EnaOwoJoEHwo5HULBZuP43FtrxtQU+/eah1gb/LioYlydXp9fKTm1vXa9mS2Y6HkNdcbT253
qMvXYpsD9F8N1mMrd/i83yGqEmBtCO7GGtPtlNZB7LeVknD2HmMDO6Ro4Z0DeTtiptQC2b9lhWCI
XtscCY2BgM3uLBj483Psuu/JzyKF0N3D9T8fhBgKrD5Y6ik6qlGcIMplh7X1BpTKKbU/9h+Xyz6k
A63N1sr16FBY29XLy+FwAtvW2+P5uCs8jObhw6BKqqmQPrzrmm0BRu7CkrOV0ijPMegaIrmgAvLv
QZJD7lAgPCLIUzO8x0qy0Z4WzM+dMQWIPFyKIGu74+CK+8ZFaFlwtoCUZgR4d7EqvAh4pZPWfHRt
jEblc8dLRiVBrDDUhdbO41EJ7fFnjD5jetJH7lge3k0QAQy43RQK2pJCT+w4m5fNNDLyFlXtz+yV
D82mPfsIZh6b+y3JT+0Big8nhhZKVPMmPqyoJbXMQo6z5fQQclBBtYZOw218gD581aIDYJBWQqR3
jqk5epmdg1cRindyaHWyLcREdneyRDuIDwWDwTYU+nBx8QVsV7ROu/1QJqSPjWxJ+O+uZjRuFQSX
WCx4JLzf+dtZ6rsKzB4Fjg5iBe8ybH0UxcQVB4atlx8wIT6eo5mNoaASCOwzcuDcHYEKcG9hxECT
1hYuQKaDg/r78e/PLPnN70+WYJDdPBH8Chzqf5H+kNCru262qmStHpu5i8zHGuo/w5jGIxpKK0HT
YxgfeIPovV4vnN+FaZoCa2Kld/Ocwe9zuqNre+798effFeqw5jffP1nzSuobVm7w+yM/pIK/2oO4
adbE82m6YGvmArgxNXlYaEKbKZkGU87+yzekfXB6PJalqRoD1KvMT+Y7ktCPv8//eCZq9Yt9NksG
xv9/ZcDvw7r+H86+a7l1ZFn2ixABb14bjqCRRJGQtPSCkFmC9x5ffxLa9+whm7hEnFnzMBMzMSy0
q66qzsqU5i0VE/SjkWmvot3IaPfou/+ZeQfWWeFWNvEvZeuFxckLsh7YNRHyQzVU3jTyyBFkYACH
fAFLZ47W8LD5WQNRLQQlV+s0b/kLo2hRFKo0xTAhXiHrzMdGff6+v1JLlxJ8DMpLKA8iY6JzzJiR
63iYxbMO7CE7cXq+7Uj7FEFEbtevvHotHNArU9SuiMJwUMRshJTbn3inmGJI+N0a0eqaDWpjaB2q
FYEAG2yp1zoJHtq1CZsvKOpCUZFdISFA5wtycursBInCNkzCzVsPiDodoAEbFLUjWbNzkz3PLWQX
dqjZghIELzK4Rs8+nq3FD8d3BDt+AoT2YY3lYf6leyOi5oyJC6/KQowIbPzeSiq6uB4Xo6BiQCRI
Uh5H+O20JsDG9vvVetDaPFFnRMylqqhnPaUzdF2fAR0XLQF9Bdnz2mFc8ABXCzIf1ovDKAPWXk0B
DO38Z+sz1gWzN1aCo4XzfmVi/oQLE76EboWIAbe/vD34O8/ozN5hV67JBd9/aYMGWEVgR5UjUCGe
w+fWTl40Y02Wc9EAQmxQDSHGVugwV4l83gOwCuEE4QwfwOf7Hmvt56kEGZpFRS6m+Pn6J3rK7WmE
NPp9C0vRF7Bn/4yAuolVj+MbDw5gbtjPCXbV80D+bjX7tElWFnxtMJQzUcY86wZUOs+GhOpJq+fn
laEsng4IzOLlEf0gN0WaJE6DruXAZw8O15yE5G9t8Ku6bgu38Vz8/q8RakmabCy7pIeRwChM7f9c
Rpwd4cWvU6vBKqVUji1+PUemzOsW6HYkiFStRcE3D/yIv67sUGvhR2EX1xn43Q2oAh9fMkeyuA3X
r5IhL/qRi/FQjr2fhB5OC+OZY5cUivDnwjZWln3R7V7YoFw61oPNwwhjeXlBWR7ID8Qr0PJufMLv
j8fjGlT1BttHz928zy8clyaHjTfgdj+HG+egPOvuCRpJu7cHY+/+3B/aoou8GBnl7vOpqPow1hBa
HhNLdPYTONzWhrM2e5SnF4M4j9QGo4mcmoT77c/x/hiWQv2rrUb5+RFtyZDRxfIcdv5D5pzPzw34
HsiKmeWNpoH8DNSQPHD414syxWpWNZI0K5Nm6I78i8YYN19j2Vsywkl4VsMlD1Y5Gl3XgWUkUvMA
xLq6ao8mh8wILACkWokjlhzlpRn60BToMBtbKCKodrhBrm77K8DjpX11aYA6MV7tK0wzwQBQMD+l
y799Rdtx7VgueeNLI9Qx8fK+GQcWRtgEeow1EY65Iz9yW9+oN/m/uOcvbVEHJSrBdSQPsMXb3N7b
5M5aOL+8JHgDVPAWBuQF5fXBewRW5wH6HpOGPlIiOtGEmGjlpCxtLxBfSKggooKj/bbnXTiWRu6i
uPIEARnQm2BUr9kO1Ri90FEThRfbQRb15d9YRM1FBfYc5Xe63j+x/tjkkFU4hyQ/EH+bD/aw7R70
DZCHR8n4ZqxWHx7XVutGA2P2oGDq+a9ZamuMuRd5TKQK0KIwJJZEpwytb2C3M36O4Hf7+UHnIf6q
NyqwqRI4zdai299qLJ0FXH4AtV9YaKJ2So4PwExPFq7Al5fGiA+KSZ6enp+5h9NPYAbmz+b7/nzz
8/V9Y3eGqKBrdu46oU521nl9yhbRfB3CMnorU1cGZ24Baubtg25yWG7vHOG9DhhisjrqpWzuF6Ty
/6xTx17q+DBqeFh/eYH1ncXFuufIjm//2aJN7gTO29DI7DWA22KscWmWWm2oWnCNXMOsB1ow9Tvb
QrB0VnC5P7eLh+diaqklHcJCZP0KVljZeJxZSAeCNJILVoLYxRrC5Wio+1Kpm5ZJOtipt+BEzMmh
f24PUmIAW3X8XvGh4tLlfGmMutXiJm4YKYEx8TAXyvqECBvvSXv+BMPYe29Gr56BcH3u+B4w4m6X
yk85N3MwF3pYQMSpIcxT9hcUoL5x+tm6Hy6eGlYuXmkOFW/2NN5f8QyMBx5Jplxj4/WyFKv9f0K8
t7fEUVCkUohqz3ygw2ZeirPjiE8jBwg6q8epSb6+YpCVQwa42hRmA7hlbUSmiu2/3Xz/zAUt38r0
n8L++fle9XnLzgfFf0AaJCA6aBCOwPtJPqYoAtUmfyz2A8RwzrkdWMFr5Vi1XRPf8b4yW9C34SP4
FY3cQMu2c3+z3uCwfz3gxUdQuyga0jyeEnyE8JjsBTSzJqf0ELvaoYQ13wp25dMateLsW27WCSAF
vDmi2w0p0nWEVPZKJRTlhJJu0RX6TAylI5AqVo7hYrgncAKLGAxyVKADvDZT9GqOJr4SylFvaH51
JqcXAc8wAK4yV3beYiB+aYpyLHzPCHKq5OIZELXJkV4zJ9C50tbef5QIIEyegGbnR7V8Q16hPlqK
ny4NU76mU0HIKkyFeK72oYnTp8toGFhzaLdAOChw4ZLiAU7TWGChqBytqqMQ2CNlOhd1SaTxNWpO
Y2SXomS/DgmgyVxFxGztyWphaGgXwvs3AHj4Ow3dzQZxjLqmY887TTJr2/sCbVD+uMbQvXATXVmh
/FoiNkXHI287R9KP/8G0egeVl8lKhu/xuwFdhRKsvjLdXr047XMvCliLJYlXqBMXp12iCEhHzwXk
RrxEsLTppQ7w1o52Oz/Ti646AWxdi7onuQFvrZz32wFfW6cGXDRlO5Qd15/ZzpjQ/VA2guXlISlE
p2hEXVY2VczvQMm0Yvf2AoFdVQKVmQA2RlakAo4+GVt1VHPAkkYr6baMUpMpn4DaLEwxfgjGn0qz
Ih/0YcNOkqDZoSnPgPLaTa573XfTrtxnC6EAPgckgHNHMXCsv3fJRYQr+j6vxFo1nJWvWjxO1bGc
Njnz3v3IHWgXTrhD280aPeSCm7g2Ss1BKCLu5URAsxi2MVWuNquWdMO+VCBOGW3G8Y1pQBPkqHn/
mRtj9NhzoCVkQjJlH6N4aDJ3ZU3mC/HaEV9/D+Uh2bLrQ+z+4TyVxpjtlBgXY27KGZo9jz73NBI+
yo1VnNRvbHlrFiQ1oE9AiYluvZySPi+5rh/O7Jb3dUV8VurB9nnJrov3SP0jKFYppw9RAk7+k4Z+
xCE/FLUTT47QHYRET8ungetJE5yF0ZbFRzUsV0Kredz3PpBapy5AS1vNAgEY9cJboTGBHbbBjsn4
aeU03jQCAxmLbfjPVFAroMRjwIDOczj71UvsnRTwPaMKij78uLAY+aygeXA0BMCeMAXptip13jsw
9XPEHavkxPEW6/9Z2RNL3kkBjA8NE3gMR8Pa9a0phVOhCj43nLUkVAczS4tY98VY/NBGdbIyqfzb
ABv+WEmlZ7LcsGMioCTxjP3RJ2q6UoS8hY7AY2CGWLQ84N0FBKPXH5OUYZoPjTe50iP4tDzPVLdT
TpJTsu820xtT2vWL6sgGt0tVXT7Uh0i0h8GAmoLn2yrahqH9UZgvgZWij+7Ybu5P1c0FNX8cmvkA
ExUU0NVQftzPB1YBjyjreiUAJX1XFmgqi2VSFAFDIERQQCW4Re/DwJTmfcu3jmT2pFikmdwOAIvf
7O7Ce4FNKs56rmddXBv8cVKfh5onH+Onsq1iW+OsUNSHn8HuC10I9OYhPAfhSuBxc0TmL0AjowCC
bPhz+mFW5MsqjgGQdRMp6Y2pS+EsSg4tH14XrIWo83G7Oo6wJaCMjr8BkAsI0fUuYKWyDYY6Z10D
YC0o67y15nv9hue/tSblW3gYZYna/HWLZjSBTVkX3RmGhLwXFPv4p9YcDH8j2xoRdVYv0cpnhR3Z
gpdUstEy3p5H4+dfrPDlmKmIMkyUTG4kfAlAXPNHHDji2E8ECERjvwXBkb7ySnzTsjKzi14apCLJ
ovHLJhP+Y7DBC4zRdcQo9Xl8nelD6x7MiWsxwdImurRJnaCo9nnBb7Gwu4P1+ak92CjJ6eDoWqOx
v02VqcFRQU/YK/Cx5Wyos6BiXKCEraOD9mCsJQJLW3WumKF4xgNPSVPHSlFaqB0KLm5O/FB/Dyqz
ep2eYzRAgPNnJEFrfEd/72+VJTcEwmkWbgB0Ejckuknk5XxVD6xrSYzOPTMgPDvyayIba0aolZL5
DqcwgZHE0ciw13AqdDYDqc39sdzwUMy78HIw1EIlClMPPAefWopW/pr8ER31JdKOMzlwqZjJLgdG
J9QTCC+oZqAQce0U3JQQZvvgN4R2q6Dh6Y5yAH2uVUI69pyL16jGIzG6IJE0Jpb69uDqsbDi2ZZ2
C0CoCur3EKlFLHrt2OSyVNXeE0eXyTknr3dcugp4XTpilyaoAZWKnEoTI4zudPJi8hJ/vFtAgjrV
riMTnj8SooHxEHwrD+ZmcwQp6vf9Bb2tM2JCL+1Tfgw8/GicjDBE1ZUqNL0Z7+cQKpKqAX7HfivD
MpwLiPh7ArEY1Fjum1+bYMqpIT7p00SVRrcA5laV803L1MmKjXkE9O10OULqaNQFjmVfKaPLo1pS
NybLOmpRWrVXnu8PZtEQKrUy+pIVNChTZwOiM5I4CdHkcoEbCURrfvLJEsWVPXkL3cSK4U0ZVQVA
CaATQa1YmIQoCane6L4IBPcA9zbqb9Wb8Qbk1XkAsxn4iZ77P6FuAu4BkoJxd3LrJ33NZS/t28uv
oFaujJU0qiJmdJXiGEgHRt6B1u//Pp+XJqiFS0IuLdMMCyeyYKlWZl7BkVTtfuKFFUu3pah5TiUR
fSFzKermTbAB+0MONOvkRo70lm64XdWQ6DN1UnC7iyT8vD+wxbD5whyNBZHKXg2gAjG6HUhodUhB
BMZgWJnhAAGu6HsgaEz3j/f4+oWAzTQ/ThBbW1UauakzXA+Z7twEK7ifilMwufx4KJWOBMWRVQ0f
/VN9yyFh+Ahbk1nt975t5IC3QbEKISnSKg09o9cuFU3Kfhxz6uSmD/KLX+qc1W6Vapdb0eR4AKaB
gbzXtX2MTq21PqTbvBa2AbmfRc/mNigaCqskSSJHZcu6nf8x8Kc8eQVWEueUiNNHGjb2BJ5EcPwE
aJlrws6JQP1YqhlR3lqJ1OAZUMNN6Rlp8wGqYkPyf6RpIuxKq9aSQ55paBGyI7tDSyPlRaZJBgOo
OEyueDi8gZ79fYd7YfgaLOQrCWKVvDKyh/ktWT/5xvHl/s68rSRiii6s//73i8Rl9KFMU2fj5A71
tn3ugZJQXlnGGoRjWBs4fWuk2bd1HhjE5SpLaFpEFqlQ3izL0YfdcfLkegMZlUgffM30QkhJQdGc
IZ0YHNDBvUU/CG/yAJ6vDHfBi8low0CHLWRZRGzH690YySwKBw0zue22Nt8Gy8hHO2FMHQJ4JxC4
QAv1vsHF1b00SLnNCWIBgyr5rDuUIJMQfNLgZagD/3lsDJ9tDFU2MIJk6EXsvnwgKIsHhntkBENG
fiPbvQgFS1ODCMaggQRrxQnOpql7ErKAaK9iwUYPFgMqEpHzjGmYtMGnceRdRevkRx2v1AsWTQD8
Nq85uMzoLtGq8SKt6nAAU8LgdXyjucNL4q5M8UIoLOPy/a8Rak3jJGgbmYcRCZrgPPpZwm1qw7HK
MxmDVeyBYNpDv0T3eQMbqrHhAspTsGV32QEsvJv7X7O8v9FYgxISjwubdrMCnlB4KJqwrq+IX+Av
M/naqfrYZJIf0TvLvRUxf9vQUlAwyyRjxfhCtAzs8txYg74SMDNSS6rk2RAJU8m6/cCQoX0D+2rL
6qxM4mTbDhNBaYAEGWflwUSY4iWJnlY+YGnBZ2YPFNPRWQURmuvz1SZTqmYB1sKLTq38VhRH2W5f
VF8PAgtPlSdhGIkI8uURr2mgsc2Mpn0UmDXHP7tMemcDdCkoChprQALCX38FcppCDhOZdUGyKbBP
5UulGaFTB4ZYGaCYvz/meU5vjaHeJMxdoHhAuzamoAVc7BOfczn0f4Y4R4JI2nolD5r38D0j1CUx
liU/RB2MaLU9yC+g/4eaUdq93R/K4m0Ad/C/Y6EvTLAL10BbM9g/IxR4tD9N95JG4LA/qtIhGcwO
NMLcSni7OH08moQF8PeKIAu5nr58UDgmAZ7YFXhTe+j8lZ//fbu8mbl/fp8eUhOX3dCyOe8Kvi+P
pGbF8IgieMFbPisnGQn9KRuhCZBNH1xfpScGopYi8Ts/K40IqeJARK3DzST6YahZ/VgkZiR5oH3s
NeTfZtbG2n4Q8ho3WMTVYJNqWmQ0E4dYnrAqOn5I4UF6w0x7Jv4e0qR9DyBX1ZOhmnAjoKQ0QTCn
TzpBz6YGNAKZP8Zzi2vPZTYndX2jF8gycjIxyIT1rEilR7ZDcIJm2ER8yblMFY0RrG81ATtqk9vF
OAVWJE9SQjypZN6qvhoG69/sk4tJpR726y5PtRTgDRfN5ag/gKPWRmG8m3To3GT2fWO3r/K4PVBc
/d8d8psfXYQo4JEfS6aLOLfac4YFmnM0nU1WuFH/WrzePE7PPGkexr1qsUawa88gTl/pib19FKC+
YHa7F1/QsuIoS+W8R9knlTEZSLTUj5KwLxOzmJ581hyKjZqpRlJZbPmGvkujkzND9I4j+NCbzszU
Jw29/vfnZenau5yWOdW++Kggl/gyl+ESEugzgDlx0hPvlQeL9X0zSx790gx1pYw1Oq3HAmZ8iH0K
eyUwO80WUGpK65Wjuhiu4z1y7jwGh80Nr4c2yV2WcFhoiUhg2EJZdxe+dA5IxeFRI3C0gWl9ExB+
k2yjY/8JUvFyLjmvVkFvXuF+l/uf76BmNi6CLGe9lHPTzmieGvBj7tR9NhFTV6vX+7N7i/aYbSHy
xw5H7H/Ti8sGydAC/c657GjKtp9swIKXAz169N+23lf9CF2wdA2ruhijXBql1tSbynQc5ZybZaJA
zE8yeZ7iCgSghvrYuVVhJbF5f6CLF5gASi6Fg7YMAvDr3cr7gSepTcGh7MVv88xoAbFZ64FZPBEX
Nqjgw/cLsAFwsMEIOnuUM5PN3HzWKxnHlbh28dLCUxyuKyRs4F+5Hg3WLJNqkPm4agJmyE8JQor5
Slgx33s399Yv+HKu10Gq5NpEk0+9MCBfdPPcBB843pUif1/IhH2SBidcQx2tWaOmbgz8NhFyWKs8
ewDnMeBNqIPEjX4q/kXWgY4xgEr/M655ES/cFmhBYp/vYElN0HhMsuCpjMyu+4zWAA5LuwG83coM
XgU6V6aGxFejHzSIm9zwJ/YJyLtDwkV/cnYgnPxv7sNLW9SgcpTG+qyteHd6ZBFNQFic4b6EXtE1
UJs8Vtvi/0qjhxAW8fU/g5vX82IW5TaUlFGDwVjs0Da/EaS35O/9E7u0JS5M0DUrdeK6XPBgotXF
1Jz2790ue1E5I1gpgCx6o0tDVDBR9EM3Sj4MSeXkMBCpD6YXj+9JBd3FEMJED4N4agFBhTxoKDv3
B7kY8V4ap1IFdcj9Lskz3g207eQZWDz0snMogx8z4CRXzvTqUKlAwtOGuu54DLWuLMhk5InjF09M
vS32Yf48sSCSbKyw3dTFivddvGbwjCKDuw0lOPRBXO8XsRbLlE9q3k0DfZrLO4aqGL64qYrH4ZxY
UuYMDRgLCyPBG4A19WuJ6Xxl0t4MgqRgyJGRXIDS8to+X+eMhzOKSlyjV80JMjajMeiSKeRbLrJZ
eQ/iKIjGaE9auJI5LZXPoVXwj2nqqDD8WDUNMlZX+rLijWRNDo5ntWcg6ZlYkGf1QIIMRlHgnZWj
uIH6ZgJKKJ6FSgRPGJuxRci4twHqBvd33tKF+M9n3dBQRFKd9rPOjouHA4L6K1Se7xtYOr9Q+9NE
cKnParBUFOMzEP/w+opze5RWbaj+9QUZAt0/o+q6EiAvPecC5stCXQ1lGACIqOUdc6lJfHFALGpw
n57x0ACuyxhHb5VNd2lQuDzwPAfaNQg8UgdoGKsk9nuOcwE96eNu42m5MfC12XexUVUlCZunpFhj
wb9thIS3VTGLwDziUofS2vXuLcBP042Fiux7k5IpeNBGs36SXjySPpnxaQe26pXYful9QkbtGtz7
ePbEkw9lsROEbhpjjXNjsqv2h95OFOgs6L4hPt/fJYueAaMDx8asdiHRJbpyqEAUVnqcG47vPfOX
UZze/5ZrJzMLu4p0PjBY1qwqPfwT9buSWxno4npeWKfGyYj1qHn5bF3etbktfpT+a6w6lf8ooSy8
pv+0lGGAuhJ1oVkXDME2FbcNYI5S5DHk3dGOJx0KH2gILKc3AYJcHrjOYxSKzOqQxZv0C2JKJzEx
c1TMQD8uORxjDP5P5gPpMf25vwYLzhGYnRkkj9cQiFRTF2A9Qbk6V7nR1ZDFT2Voacnau+vSCb2y
Qd1z7Zh2Mp/BBpg7rJ5JLZER9zLIjoGqrA6RfxigvQ61sSLvrbx85ACEvD/I1S+gjm5WjXw7xXj4
zkczrDu7mpCp16I5IDrjmF3jQSSoFEjuNaTuB0vUUqesV0BSizMNfSho8SgichFqu4FnuR7agR3d
UQDXj6foTBStLOaN8BBCMxDt/GODijtVJS+UcsJMj/ZoR/vACZzafP/tO/HB9jQ8o7rkiI8y+bM9
zT1M96d56cEB5kGLiTfj33N97auiVuKGZMAL+9vh/dOHZAsEyO1mE+s2XvZd3Lvooag3gX1cU+Ga
54664i8N0w99YwOghqwBWNBOdi0/KO1Hn70l8krmtWaFOitqPuV9V2EXNSlEn7WyfapTFWo8qLmx
7Rop6/9nMsE2y2mAhACXfj2ZRfC/k9lCWelweMzQBRKCpOuZYDb/qKR1Sut0/C5WFnFpmyJBAiwJ
9IlgLJ695kV0D8pCkOBIeJTj5G3sP/NgVr+/S245ybBJLyzQwT0nDFGFqhZeZUmPjtWDbHfA8j2e
sTnRkvmiHbTDoDfkK9Xn7qGQZAZvDuihOONd5e8rYbaNLekcmhsEHTKq0Py+/303TNbzIbr8PmqZ
maSR/CzE9wFth/oiqn6JFVm5DbniJ89Jddt8cCMztio7tRLImmV6Txh0BiHouP8lSzfx1ZdQWyBV
ew24h2lyATgUdWgFvmdGfpigxmfdt7S42S7HTDlIWam4utTwEDxT4aHhGnrykaU6gQEmPOw2H4+U
J0SJ/S6z1/gXfoNB+vBe2p535MWOi+FNUk3+tf0OwSekXYA4Bk5KEHYQLPpAnr5aa1ZLaDZ/968F
GpvByZfpyQE9u7tVmNDiZYEXHLS74uVeQI/L9fdAbkgQvGAaMRfVOY83+VE1+upBFE4px0GjJGtV
AuFJxbm/BkvpIJj6/rFL5UmZLLVqk8Aub6dA2tR/PY3oqbVZOeCrdqiLqAt7ofdj2Ikh/sZuDWki
utuvgb2WwBdAjENtG2+BeMin+SShghrypdyzMCN9PT6eS9vxobZsTC95hntg4z2sZFuLx+XSIjWw
yUcZn+thsSyeMgnCGqLeJygnQlmm2wcHTXrw1mBDi5OJiA54dHBIQuWWunFBFCOX4gAs5KEzUPp7
D2PbdzSZtLGuriXSc4RIH5RLW1SmE6IurPLxiLStJYe3XoVGijIdDFPqViwJs4u7sYQR8SpOAaRs
KXeggjFXK3sOIGtW1Vu7VPYaTiG3TR2bPPug3LJqS//JDqpPEvu4Q8e0+AAam7yGK1xb1aULCRyd
6I+CAiwkyai4OaqnKeNEjPoQvflHRee2emPPnJw/OPzf98/gjdTs7PsvjVG+v1cSr/ereTl3k/X5
br23dg+Kbwtb9/lZ06F/tns6/zVfzY9Sf63swU30DSRlDf+0nm8uobDRDIrABj1vc1Mm5RD6QY0T
jcFbQNOJ2W6MU6PSEhVrPslmDWj9VuLBJ6GBmv6RZaAtqXmjsoszOX8J5Yx1JDzN2RE7KQ9dHib4
34reFiZReazxh4Str614sMVbBITcwHQI4LTAZ197TmYKgwIqHnNdwfBstIKI/aw5HG0M3I2ac8w/
fxhjs5OcFn2Qa3CX+aTRexY06IKCFxzAPWi0dZkVatDnqMDXkzlxnwJ3HhkrQAP/qN/fJGuGqPtB
jSAc4qHY73aK+y626GnujgUmtFijPV4M5y+HRM1nJAs5hoQyipIR422mp4UkQG9WfyDIKJmoqUho
S3hSdxDkY8j35uX+OJdKD+AB5pGb493kdjnTqtP8JIX5ooJIhXKQhL8iVEDbMNRF5sdjKp1ldLEr
8eJIaqhX+GYsTuf7H7G4p1Af4HgBz9ZAz1JOvckKD+TWDedmvh3vJqJ9vNaW3UBGzDZN/8/DdntU
wEuwAxX0fctLF5g2nz08YINwHnvqejerKSMoUwX0YLuNyQFll94E0xX431BgOgpPLVkJ95aWW0PR
BWWXedLBB3htcIjVRAzn+d4JAckH8lr9ZGjyKMgDwVNIpmtGCc1YwXnZbO4PdR4JdXTApjEnGqjs
Q+aIcvflAP8jVDzrQkxJy95L/6vp9wlLIBOuCJGBrsCVuZ1Hcs8gdYQkPpPUAYU2N/ri8oPCQUwB
NOL3B7VwTJFoc2A5Q2otwyFdz2bKs4ycl7CRdoexA21rOBlZs0JZs9SjcGWF2p6inNdFEMLKVOv+
9jE8xhvWBOvaF+id0aUvb3AnbtL+hS1W+8znSbqZRFFBiQ7U4DyuiesBhnIghloHb6uCGtdXTxq3
z1MzjU0gS8qhNSqmJMNfRSYjoye1m3/en9+FocM5cIB6zWTdHGpalP1C5NJuaniAR/mj8jVDMWLT
5pQH9g3d2RugEGrTM6en+2YXABHXZql1nUQIfag5zGbVUR59CAkCVXfQLLXfVB1RQ3SKKpZm4BPS
4EN6ZlHnkAxx371osVFWK9HJvLzXa4CPAZ00tFMkPKSr1Mnp/L6OkcvyCP8cCC3t1h5t5v//3u9T
c4wSutAn7YTBMg30JRwRihcoLerStMuqkygzOlsfNDRuj04+HZpuxSUtVGivx0dNNooQQ5fO44N4
RP46PNXS2YOqc/ocex/TRyw/Kr2ufEMikADAen+hF0Lra9vU0SqUsRNKCWNPQLpTWV1dECZ/Gl7L
elMBKG2K9dpTwhxA38y2OMeA6ARHKy4VzLd8M8ZSiVq7EDcJ4JpQfQZnSJugg1LpZfEUezx7auuw
M8pumiTo3AUSNDSqWJaJWLLAFnYpWHetoVTD3ZTGRUHGoB8+46kfP3I2nb5zxS9T8/5E3To6zNPF
V1NpwTSGCXS5gBCqoMjN1vJGAHA7DnbSUOuRmqxYm1ecmiN0LczA3RnsCU1P/PeLbJ3jmkLN0S3l
htKrWDpqdE5b6/6Abq8jqJWDBQXYZRkClHQnVJuovZCN3YyBSQFnTPSxrB0miA2leAFPeJ+kep6v
lUBuvSnKXUCvQpdWQl8G/UqoaC24tEQRIJG4iuwgTT6GLmBWQseFmAJWwEEChm/4C5bm0sp6MfW9
MOBduQa+P9nWFQnFQxvwQMl6VteVEamryVBbK0zfqsRu02MKYnop+lrDVi0dbSR2ggTRLlSk0UZ0
vZB+Hbdy3KW86x0gc6GXhmQ64bbY1YYJNWDIkBLhfH9dF56gMfoZ8o22JVwadEmACdSxZSU81Y3H
nNSoDae6aHAPg/4QG9K/iN9QhUZHNl4goV6Chb0eIJImRQn7BCCCBDcRYIzFN/vB6yn0E1VIWASk
fZPxL5/718heGejSDkbSBhQwBwZW9Alfmw5HmfEYBB9ukBO8Y40EhHlOs1MeoLiQ7Rpz+7d0gLt3
kTo6900vuDC4gv9a/r09L44n+jLTxOcLweW6WGcKm+1J2gO6aU6J4QUrvmAhQ8Wr64U1KgRh+KnP
GQbjZH8Ko3wQDMffpjraQb3HyhTRHwb+XLxexwEp197TFo/SpW3+eo4bdRJTL4bt4mloSGtnBlQy
0XSns4GpM2Aq22F+9fT1X5R8rgdN3fkNIvg2VmBYKYz4Q9STR2nYSzp7RoCRRCsBxtItiLqSoMDj
zt1iCrWVsgbFNVUbgFAZdkOndxr59iWr0AyAo/vgY6rXIDFLDv7CIC10x0+cNgVdh2sXCP6RDDzh
Ecfu0eMubfv9h/e6TZCDrGXva1apnYRC99CUA6wO6Z7N9Lq1W/lfjQy8EfKsHyahlnS9Y5ieb6HJ
JABvw780jOgI3GQ0UAqUeLcUiMo4Kau+c9lP7VkJb/HRhvE2/ZpO3YJrgDLoDDXFLcqBQ+n6IxIQ
mxZsmAlurw9O8tk6voX5XIud5s1P3dKXVuhFLPIhQQMirMwMbeL7YLQ2916+5Q6e8dcK+At5K+57
JK5znztEt+gUfWxwzSTy75CMdCM2s7b38Kyev/ov9cvlicYReccfpkd0/AaWUBDxOVvL9hb83tU3
UKHbUE9SnEv4hhj9N5oehk/C1gM13ec6ZdNCpHBlitpGYcJGSjsP93Ei8rft2+SVCNuf3NQ2q3Jm
C8cCLSQATc1TO5djr3cLU41eNMy2DpL5vbpLln8dORxEWQBU/IUsXFwWLS/7uSbkgltZ2Rm0zunm
ObRrg7XM/A+2iXH/auIWkpmZnva/5ubPuTBXxYoKIO68RqSy6p/eBrAa1yH72O5P7aZblexcPASQ
kVJQmpdYAGav7UFGtCzirBVcL41Iv+0Ek1cP0Wd4BIcLEZ+66pmd9nWWr41zcS9CNwZ9lTPN+y99
4sU42wjFtD7uedd447cTUpVIfwjI4PanmWNyDa+zADKba1S4BUQWfzhx3q8X5ho1bsegKQAsgQwO
a8Sa7rXQE4dsFi/Epp+oRuYlmIN9UYSkL3ISCEdOQQAW9GY3ulyyC6ZtkvN6nW8agECKfcwbSnDq
OV2sdPldCJBeGmz3neAdJVkLlZYmi8MrgzY/c6PKTR3coABqupda3n0xoI3bbZxYh1IinCMyvBLt
p8/8zqjB26iDUef+flwgeMHEXZimDnLUl1Kc+rhzxiN/xGOf0RjgAjU0IoVEeGUr0/yD2psOkYw/
f+yH7rDJVjvbl0LiORGARiC0f3ikBteLN/jo6tJ4XO8CiVDFAcEZRxodDaHH/l/k8lemqJmWvRA4
4QmmXgzjTdyWkEBmCHdgEaBtNuIK2uVX0ZW+gUBNALlXXkYrHJ1Lo/qm+FWMq1V6qz/YF2U3GN1Z
eIjNs6Lbew4cMgEJjpV7OgmuWxFivmabPUE993T0rZUTuVClkS6/hVpoZRiFTGBUwLHRaQpOJksS
sdziWsViaSuDPw6t/cDOQUmPSo07qQSFlzoJbiM9RxpJM9s3B4SGmRnG7v29uxR5gwbzH1vUxTAy
A++NOQvXbaA5RjuJ+vQZugxEcPbZh0q2202h/+grVv+HtO9ajh3Hsv2VinpHD72ZmO6IoU2fKS+d
F4akI5EACYIGtN923+6PzeLp7mkpj0J5Z+5LRalUIkjYjb2X+Sr39qnVsx21R7WjZYOm3y0lgMmD
qPXG2vS3nhWcwt2u8bToeZ79bGX67c/vP/irowqCNsgKwCQL6eizvqWJLOcut3DTcPy+T73hhg1P
3zfx1SyBEyASmrCZhPvj+fE0U5VqLT6umADKdRtP73aMb7ILEf0XnLLl2gI1DeSllyzT2WzUZOrY
nOBTBtDJpvv0AdzhUwtFhn7leXz3igmKK/Fr772R8EVvvWyK1Qu9aX3VnR/f4SwKbU0jS1Xq6HfC
FAS0prwtzLjUZ/fBrbP6TuZiuk1V036zEtfqAtEloIsbJLP3YzqDC+jWveShHKZSBUOkniBKlyPE
8KwqV140DnN6T/QoKnmLXZfp6ynJsNxZUoJ4q7ICearULF8Ly+BFZCXcDhvSvcygnBymrKt6b4A8
/xPw+N16VseuDrhLzDtba61bUZXFSRNNj5SF1KraLyeIOfl6aelp2ALRlOLfs+mJCbtBrlStqhUx
OAIzabsAnGfM2eemXqyqwp5XWWWlPzUTNV+/M0zhF6Us4SnFe7lxSo2si6q0qVeold3Dw7XoSvDl
C2UIywY8TA9aAoBOl1nzrBRDo3jWMHSJD6Zu/sLRVa2HvITSe9/P0i9PjH8NHdQzP58YEGkEs9PG
9GG3tQOQs3njTtBbEx5ZZ9skdNMozS4k5L6oBH6csggWP7c5OVY7lSi53mU7y89ujixIr9RYhTBE
ERaxeWEhflHzQ3OoIINBjdX+G2MAlNTSZWWC2Rlmu6CP9vt8VQOYBAtL8wgJtGdR+UYdWIXvExEH
F06Lr78WbqvYxJGBBCXw89eaBk0ma+TGndEHPbmaxVV+b4Ao1HjKGnPK1qFY1O678TBdwsYtTz4/
NGHA+s+Wz0+QVGi8mk1q3LmPWuXD0reJNbETfdz2pwvhwJc7AGILyN1jTzXPIR7ghPImHUsDF+5H
d9p3PUADF6oXX+90H9owPnckryaNmgraaKL9FuoiEA3Kguu3JEp3ve+Fm9XN+8pe3zsX779ffhwg
k9BQRW0M3gWfGyb6TCY1nY27LUUz3y/AJUz6bYw+PPssYuuQOrb15dnTXQiBegAAv3/+1wv8QwNn
cZptjsxyKzTgsFUSZwAWPooeJT0D5Ty7guP4legsaLPuBnkhaPsVbX73bWdHU21zTECIcWPh7fc/
jhHQWt5QA+8DucHdrl4fDhvNC26gY50Gl47Fr6KnBeb6zzE7W3VjyiqWZoqx0A720/sP3Ec8IwRB
aH1dbOPq/eGJ3x42d0CQXK2QQ/hfLfp/NX+OSiVqpegDw6f3j+ruuFwAIGJv+9PxRgL9GLMLs+jL
TQYXNsT9uJ4CZH/W1eMsWlWl2FIXz4X95HMzkOF0u4HQzs/kkqDjV337sbGzvnXHgaXzZCKNYIT5
xvaL69X/3DtzEbUCRsOFTzhM+cyzdVH2eSqTrjCQqoiqrRLBH+Tnqrt0Z/sqh4ArPY4giCOb0AP/
vLJ7rAvHtLFD0sZP3qOX2lt8dbwXd3tcP/Vhdu00wcHXc++uv8uDm++X5lcRIoB+YDQpEKLHG3xu
vLA7rte9Ztwx66Wenidxy8nzpIXft/IFIBY9+aGZs28kul4WVqtj93pcds3M708MiKnae7lNvQzr
wfC8HblyvGHnS9+CHS5QqZNHAjeAeFeHisP3L/Tl7AE2BOhU2JShRvb5s6tMqxVtso075Qc5FkNs
dWuhBWBQWKf/TUPWYnOOayOG93NDtlarrnAy804GjhXpL0qyKsuwz1eV+/59S78sIs93Osg62Oai
9w2G81kURdKUVJyjKQEvUdsjN3M0636x/rGPIH9+A9LuW7okpwpPvSrew9LLb6GlyU9gJdMA2n53
37/PV9UM1JshhGTrSPRBWPbzpyecuGqaYWoF+8HfNzs4eLjMbx6KLd+Zm8zyO//Siv3lp37eBx/b
PDueHTPJiCzQJgINZD8WlzIo6o43EaaZF796u1DWfrhaNFivgvsLH/zVQgbpCPAVoJ0Anz3bLlpp
LEoH2G/JTVW4kV48Otm1Dp2gsQwhfMbGynfqGOEXwey+lIT/8oz92PrZGWvQfhaGMy2fvg+ak/tg
K6D+eg7z3yF/t7rwrctk+q2jkQ5ccMKLx85ZR89OMqqEWsYdBx1Grus4bfwys4Oc9eCFO8HIApm9
ft/ol2c5QpH/bvQsBuroVLYVwlvE7PePCZwHbW9/bL3123A6nR7Ebqf7cFRa+feXtosvAiRoBgAf
gPgdQmvW2SrOa5Ywq+XmnfYOkZIBad4AYjUjib//wOX9zzr1UzNnK0YYaZHLscJmYc5VPDMHfUoo
86cEFYjvm/oq2wJoNyJZ6AhCXff8yp5aeWXOfW3eIRfpLZKp1/Ep9uEL7t0Az3phaSyz4dOH4XBD
a1gXyoKv+gVz/5DPzWelHgozHe5Kp0iDrMOHdUPWXThlfpcNX5qxFQDKUf3Hxn62AAdk4s0mdfq7
8Zgf1EBf8T3S4m/Q64qpb+4fZGgEbeD2Vxc+z/1tNZw1fLb2TGoyKMdnw11qHZJmS27kWudrCqsb
x+vls6395JOf+dYOpBsR5Vn04j4XRshxPXeftLb1ZMCv64Du67upW+f0AfoUheYXuyxuEq/twc5o
gxZhc5jeiqMo/H7n3qnsweF+FvDUa4rjWMUmzInhmNauqhurPjWq9BoQ1IjHVuVzDQ2U1o1SDfdc
Y1WB5ruhAIGyHVeDQQu4n6NG6ZVA+JlOOOiAo2jSyw/jwt7f1yb3QAxCsV2SB6iZIC9ghNneeGHt
RWr7spR+myofxvAsiHQTimK0Y/d3Jgj9923t6xJ6yDsVan54GfvKJGGbhc7198vht3jg1wCiJqWi
EA5vw7PtzMmzqbeXAVSj7GgjV5WkMMj4/2vjbPfq4S+bNBXa2Box2G/VVru0pr+ehv/6irP5P47V
5NQplhnU6oPyKAFVuM8xRbx6mzx//zG/Y23Oeuxsyg9TXZq9urTlgSxoipVehObVIfEqT/XraNiq
/o17yTDhy2ECBAZ3YARv0HPH5Pmwj/DJqlup5GhUtl3UJUXhTWo+hmJYNxyIo1GO92WmXFKs+h0X
unwsihngOmMbA5bqrF3BuF32GDrGfigz+Goa2DAHuFsveOJW8XRITo6x9ZNqu+pNOTZOAF8Bz+hO
33f6b7mUs9c463PgJqdSKdmwVPvLiKAM3uCTk5CinlMfua1H37f3q1r622L88N1ni5GZYjZGif42
6khmnunCMoCydWME8lWYnj3DQQD+v6lvnRwa8nVur8Sr+tYPQYYrdqj8VIEiFA/fv9XF0TgL3tuM
dsKmxTL1RLHKu2tT9bOXtLp1fS7gGNk9DnSXo0tKr7WCnGzpdGG7+L3OhpGwoc6AUA/OHSiufp4Q
pcbbjlfmcNdaW2ohR3wqT67uS4Et98lMStixmaVXrGsT5gqgjDDPvVbpw6hHk4OdPRxBfjGRyx08
ncX6sLeMtXkRZ/PVVrqcg4uCJYLw8+z/hOqYoZUWXrLxrA0bMYDWVWmsLRmnY1zQTW7+aN2Tqd9c
GKCvjntIICxKGbqt4ObzuXd03CpbYskR9h07lV638+jPI/Sna3pi+o/RUiDps2m0SE1YSChezv3R
dBeQr+dXAZAcYVDggKsHYy8F19uzuZuTxG7NDiSrRyN+xAxx4FT2hItlLGIOvxsfSLVplUeggeyT
ayCrAmtfAkqyuGCaFzbmZXv4sIx+e5Wz/iCAlAHNPyt3CmDtej54uXIAmDvhF775/A5w3pB6tj/q
kGDoc4KGGigcUvXnmJycuvKgbReajRlJ2GBu9U5CLOfH1JUXdouz3em3xs9SCSmde0O0inInxa14
TvjNrGxov6JqoMrIIheSa2dHwW+tLZP/w1GgKsSRZMLw5ijmWLd0GOCb0wW8OfL8ErfjYr+eLfek
cJVRmKBhlmslTNuoVlYl/FohuMN8id1/ZYbjRXmNX6N1Pm2At4CwgmpBK+XXhf/jJ9JmsmcNo4ly
KGzb4M8SMehpwy4C6Ev15ZLCzZdfuUgaYauA8w5gnp+7tGMKVFEBxb9jRmgWvilXbO3qq3o6IYjM
ivfWjRucuGryemG/+GoscbwqSBtCjQb43c8Nz3lts2QC/UzvsuTe6qYhHjVU1ESZap7Os+nHRHt+
TxydrVXFnlacTKDhFeKJz817rvIhbm1DXBXAwh1noQG3pJjP1cQu+el+tZBRCAeTSdcs4zff4JEr
mSgSvChtow6nYabGItCd0v++Q87TZb8m9xJpAEFiLVips3C075N2QDkDgqBNgDqRz05Q6TzxKytk
P4dYQueehGa4syO6NuMh4GslqlEqg7jpVR64a7gWIF6nEbmwj/26p53PyI/vdT5DhKrBNRnvZWtv
Fi9WfSRb+DIirZOmP2x4lgV66f9j9/y31/Hf0zdx+vvz27/9B35+FdXUUAjJnf34t//sWtk8F/S5
/MPrmrfn7g/x/seNfJa0lfS1/Y/lYf/9x3/7/COe9Y+2gmf5/OmHsJRUTlfdWzNdv7VdIX+9Bd5q
+T//X3/5x9uvp9xO1dtf/3wVXSmXp6VUlH/+41frn3/9U1u4rv/28fn/+OXhmePvbv/v/2lyOr39
9idvz63865+G8RcEvahpQcQC3hi/1ubwtvxGM/+CizWyt9C1wL0Fo/PnH6VoZIY/0v4CDUz8yoJR
O3D+ixJOK7rlV7qJ50FaysY6N0Anwwz756t9GpB/DdAfZcdPgpay/eufn5cFVu0iqYSqG9qyoOB4
rgMEokFrVSgSQ/eLPXXZsOsLd8tx8PBxuHDvAIzv02H698aAeF2+BxsVtLk/bxZ512qyrKFoKgXh
8w1nQFtt2lKlQL9LgZhPq2Cxs89Ml703c1M6Mc/0oQ9VuF+tlJYjbM44gKyeo3ZJdUWcujPXeZqy
9qTVyCCsSipkFplzXhJI5nBr3Gp1IuuVZQ/2XqdFLY55JrWd2VKZHsqM0SkYYLVYbzNzSutoNrB3
BT130inQ5Gy2kUoUDolp1sxhXmuQ6R6bYvkjUxtxX09MPY9lJ+WJSsBwol7PS33TVbzOUb2vOfCn
g5EUqNb3xynt8CQ5lj3zrYpXT27uWLUHi1ud+HVr19Ad7TN0Beta/cREivRflQ9m5lnN7FZejQf4
g1b0aeSKWVGDXmGo50tHych+AOl/DdyTANFODgMEYWbFyOsY9GuV7/qKmqURFB0Erz02W4lca27J
Ep9Py1Y4VHQRCGhVt4mzWVDpqQOBBF+bYhA9R2Gu7Zltl94PUzfDrVb0xgMjzPCMPiUvKeOhqpKr
qjetwNTwptBknvy8rUg4UADItHauoaFJ4G4/LE/KkzKoCFrsHTumA4JsUqp+obYygJla6lnSPLiV
fZ1aWRWoibx3CSoocrSykGTaY9bZt9bEriuN7qFGDNqxlv80iTt7U5f36xlpEprPLMKMX9eTY65d
DnQELD/gZDG7qZ+jaaDb6g21uo07KdTvRy0Cxif3VF3GAs4rMJmkPrPJsR+HVd9DBBDh+KpoS2zp
+XA11mw7K5wGGSNRy0XttSN0XOmYBGCDO0GNcR4WkIfSvqmDxsIBomnemLQrPnNtr43mtVFquTdp
6XPWapvJTveVUwC/31ogc80Jj9WyjYzaPDl9geRzVwVMJYde7aLZaa5RTD7kc0NWhQpE55R6idOh
MbuFHTprcCFhK13JWDCWU2wP0wrWC0d1RuuVsHbC6k+mlr0BAAkjhaa5bbr+Ru+U0Cynw6Tj6OZd
cqfLfqsYCcAqbA47F/Kk7ZysYfHD1k6hAKJjUwAkJ4gtWyhVOA31hRyoD8oaxHOh2+IaxyJXXC+1
R8cr5dz4qkNwocw5QCtYHkFRZg9GkxK4IXTH3pkgHiFJ47mKErgA55TE/akSF1Zl7niwaQ0OlNm+
wYAL4kZJb0OqJ7vRNS1oijlKAMrxqrzdVyq/tXLoFpq1ux20GUrF9CQ0hGBgc/v9rBzGpEw9PpkD
GsqNiEPs3E8AT48SXXDP0dR7rXKLgDpy9Ny5jR3Ij5mWfMSL7jQHn+JK5dUleVgjmjhBYOB9Trub
biBAn7kQ8qqtbVmAyKOPK6lDttkoAWeiZvuSNW7vQ8eii/SuNPxJJCSYGn1PXG1rT/joucJNi8P7
MsxyxvYSde9gsthJr4QRu1V1mkmrgUNa/+wGACUbBoByD2PYjkDVV8/sN9glRTBHElBmSK8rVY5+
NlpDqJkQVDFq0eBshqiZKOedkeqNzzUx+4gH3nugEfEk92WGikwvIZOeJvt8nMx1AjpvmJSm3xTV
m6DAzacasT1gn4BY7EIAA+BSwukId2A3KGhGvdbWjv2s479Ium0zpYopQeWMgyY62Q5UMngfzWz2
nQxAtklfp0m+VRhHOcuFOVWfXIEFZkD3DUtVs/kVMveN11ATyDQTGqG5bt6njprjdz2sIwfD8VGx
mQI+WjeJsE8aHNZPCaRiQ1mVWgjI1a2hNu4qc/TIJiMSkgOUnNJ6xeB95wz1eprRmt5Ykw/bGeqT
TIUfHo5pb04BqHFmN6Z5BWt2aNXHgyzfp6K8F5b9sxymuFSVLJiVTIcNc6f7kOghAXaN17lQg6p0
NM9wUTMq806Gaa3BC8sdd0pbm75h9Gxd9mQzOhPeFPEUqNp1rtxnPMlWnd1FSQrfYb0FppElV4Wd
HizevIJ6Ci/kvvAEzczQdeqQtwAGA8MOV4uJ3nLFDbQWrjXWIDO/MZsW+256aGsnnKbGDi2eoeox
KuUBk16EqgIy734sZtdXh5YcFZ0ju95lqacX0B+GBzrGts8jVH43tkvGsEkSGJW6/VaAJ1hXeus3
rv2uDzm2BjXPcS6mWhFSR5UOugVMzJJsalYqW2hdI81kJPmqE2O20kp6lRbNEzIze8HVW6lzTGth
xw28mQd/nu2H0q31t5Zxcig1FV4pQ7GH+eweZhq4DusguhbmFDlt/eJW2a02CONt4oUSmFZ9tHEB
ucrrqYhHHdJIlgCKTzzJClu0y8FKZkRZJVoxBmZSrbKu1KAYXDlhM4h1aUHMPrGTl2lMV0NtvvcC
g6v1lbNiRladeg7VR9Wq9BAeTjqOyJLfpglOzA65FL8rCh0dhUEqlfGutBnSi30WutDvQ2G6utbM
SQ8Mqu5nUbzzcm4jtwMfF1DgA82xqLjRdr5Jy9onM5ceLU0cs0137FwYUXrp1IBPxsuHErGaX1Wt
c2gYDAAbt7tPXMi2WrldQEDaJF7JkwmuUtUWgirNWkHg6rucbhnmhlemiuJlNnsCrrBbV4r56EyV
Gypi/pFW/Ipgn0oADgHc0W32GjfhEkNzY6foi0LkuLhtGjUJOI6XOcs3jqBXpmj2jl3emA7VQ3VK
reUAHEITpePr2Z0S3ACVwk9npbhxrPnJHDvNm3ojTgQIzUJX6IpAnTVQe95d1W3FtoZGYKgMPhmU
d55SrAjclpVuZ7lsWlJgdugOnPwc9OK1G0dxUEd6Da+HHAO3aOA5RL03HTsqB5PGRiWIL2braS55
FSngZSIPCmCiyjHsNZn0o97IGAku6ZVzDvKBkqxzqYcOz9aG1h1V130ejHGPGQ59yB4K+FZSRF2R
wsHHdA8dn7BOYBvug53deTxXETLbtgdRb5Rp5q2auyVuwf1PAeoDlKC2BTUB4nXzZyvXj3PjHpmk
t1UPyimS3k2mAMVUFa+5W3skSQuA7y0loLOymql5AkjvSs48njTjcZzhZ2EjxEAgh23QqR1vLJRn
6VBgETvzHl8LU6V6fOnB+VBsCU6vPWwh5HHrYiJCiKLZGB2sxJ1iIEHXpPTIOczeRtgT+aKtnypG
4DA+J9pB4GXGNQMwD+IR1VR0sdOMVXZFITqD48Uh9uj31lC+0QGO5WuIp/aan08Fv04VLR/32JjB
2qC5ybOgmU1zW1GuWDFRExCuBIM46QrgdaV8zps5fxhYJ/ram4DB7H0jdfV92xkKQkJ4aPmsafEQ
wy7L9qg0OrTIPtzY/nEt+ngNWtLv/7odLzcTJEcAzcMVzUWZ+px7lJYauq/IFF9wkGg91muQy8ek
26F0kKT+RKex8YGybS8odpyBEpeGbVgkLU7FAJhAEPosf1I1su9s3ep8QxWwU9cqgoLAwCT4JYXj
5LpHaheMHTYh++Mzi2Pc4T2vKehntw0gRJzfAN7dx6Qu9EcoAmTRYKil4tlcpsGcS2jLOxMRCiLD
2dxmCo5rrueAzJGp1DVPaUzltmtEWvkp6S+5yv/eq7jZwmUMvCMo18GV+fN9D8DgzC56G5KRvCnu
W9Mt7nulWBGu4RQmE7EfrTp3lPD7sTxLdfwaTB04mkU7BjQkeGB/bhZZVKmnyqD4FusLGhglCMh6
DcXTCAYwPPEarZ8YMqsUK4nzEbeMcXIIrDYsuwDUvnb/Z3TAv8+uBaeF2w+0BIDi/fxCfeqaPdEa
xe8wm7eoRznbMW/JnuECeiJVRfa1sJMePGFyiXb22/3+V9IB2XyIYIHkb57VndSMOJ2rVyjE2kP6
0qdOhe2inCGhpGsMo97Ys+VcyDUtqaSPi8lc/BV1UM0hLgs007n11aCNjW0nRhrABGvD7VWZdGEn
Hr8f5V9v/qkV0JA1FJQhkOBogA2frRxz0OeW24IH6o0bFcG8PnIriFvv5Ue/KSPxaAArhUNDrQNF
831nhU0/+v4VoEf0OXEO5yIkOZBSdB2gFpAmOn+JnHGa2KlIfJnVWzcXt1mC8KvKuz7QbZHcjNnQ
BAUxN2OWH+FYtK4ktl7u0HY1FdXsIcxbzuUMgFqJbU7YbrsZ7ezdIt06gRMFih6SIYASen6lNXMW
qG3BELNmD7KyYSFfG1VsWEVgu1Czb62oRdLAnAQMHs2NTa1TxYbAWgSNiDjIRlvJomo9izRryAFA
bYBJiL6j4ix7B+e1Dk1PKK6WO8fKtXAmqDoNfDh1evLYKMDym/xGtOJ11vnW6Z0swC3mUFjDQ2OO
G7NAL0Or9SHpBsAixielrx4SXdswvdwS7K4Bkyy0K9wvR7Ve93yRAyLubbogGFKMUaJEObViYYxr
Ra2PLvQStq3jvDKNRLNsCn9IkZWakVP0+oLdqBk/VIYVTXRJIDsbrjuwChwCuNH9GBK42knrmdbJ
bsjT1TTo1xQ03K5Hwcq02ieuIjjUmwf0yq3ou87TFCcCxDJmExzzCHxQy3nfkvSQ8SkAajwqSbog
MrqHHtpnOVNLDxe0KDVIbGbkNcf5qqkUNd2qfxOGuMU+jXKrnOOBDpsECW0fqzMgIgGIJgW3u5Lh
DGkAmNRfZ7r2aOaZP3T8fnbFpuMGWGFKrnjV2Ea2U/tghXgsydei0YK+cp/K0VynM7YRVh+0iT0M
KV1i41XeDxFN+mc+uL3X6eJap8MNLLi9muuh0qo/iGWvnNZF/IqB7YsZynvFLYg3G27UcCDpW382
+gHHgwOgC7zAcJdh5ZNFyeinDCkIC2GabysZsAH0bpBtHSAjV/sgIAP2CbDmVUeQXhjkUerlbYpK
QFTXI5TokqZ4LYVuR40CihYT8ayVW4t3oVAGmCfB1D5ICN0Zs70Z3Rm+YRxj7CjuHNZIWsyZE4N4
LLwyl3FVzLvJpLrf6e0V6XR5KEeCyFeyg+60UM2ej6QGsMWauBORzNgwq9rierpxZ6yzDi6b0CoQ
zFP72Y67ptBDkmp0lfF8OoIJv+tZHidJNyNTwXrpKQNbFX0WoSaKoE+fp7XRkDvQacnaqDtyhSzN
Oytg9oV784NEZU4Y0oarxDT7Cudy3WG1hVTQJ+nKW4sn0BAGlSNo0ReKPcfYD6Q/wTLAy7BplFzs
SGn5MsmP6NegFAJsKyil+NY89p42id6rxWj5tEHcBwisgpQgdC0KurfbZFWIWbufxhmQs6m7dVFB
wa9h2Wr24sGpcBjWSLPtmsFNIFfT4bCrZBEUcnAgDya7bTvW74lmbsouBYiZiCysVUAE7AZiVpl7
PbTdA2mH6yFr/LTNZt9OUD+zdeTKKqx2aJUbj0aj1BtSZ6vZKVEcz0xf4+6+YlMI8tmtouhhgQJW
YIsZVhN4e6uHgZvVH8wxfWpzwDLUOm60caVyM4bRgCdbqLAkyDXOYjrQTj0mrhlpmCmNoODcyE3R
kFAjXdAjR0HqMaocFfyr/NhN9IWDCpYJZUUL44SqtQ/lvG07pSbcAotIcUUMYaWnDk53mfrQzRXb
uEwaTQwGGMke2kbpYzksnCkd14OhEUBwdQRYlaaq8MEpXo7WYWe7scqtN4ug4oMLf6VEhTrZgFlQ
OPqC/t+GVleRZ7vUmJc06eBbDStvCpua193AGqSE0eku9kZopGxV0pdXtaQV3F/pGE/unCMtDK4P
7oaY/FN+79rZ4FXtOPqlprFb1c3rE5LIPyVR13NP4AnvqoE5kHfSWSaSgv1oBpZO5bCe88UlopEn
uxKOr4668j7OSJJsMtkh05kUSMSNjrIXOW4KTg5uEzUBJ0uBXjOzed5XVLkztV69VhTWwuyB2ncd
JV3IWgN61MWgnUqmFq6v4SO3TiMQzuq2fElzo94wVk17yHAu1LU0T3zYWmtB6sjjgHxKXBft2oLV
Sdkrhk8kJO+FA9LmnOB2NQ3WnkKFKBwKsnMG5yQHzfATXI8CMM5aP0twvqcd25SpCnkXW0DZYUBo
m+XNvWz1x3qEOaFsckj+2q3mN1ZNNrpTH9pxuJp6uTOmknSebUvxqk3yp87lEKuJpfp9TZAN5nWC
DJcKsueTq/RQfrbLgrwUmeFwb5JIgkJuDklnUT8pQ1VtemrMqpc5uJ5fc3WmSHXwgh6RqzLeVFQd
ohai1lnIakPtAW4pTaQW86yet5MhmR6089SJANXL4l6jEKzBpYGssbVmPbIxrsqDFm7xhdeXyUj9
NDHGHzQzXrtUMfnKtQf1IOFDGI1OVgY24SA1ESQsAta3WRtRBW47Xg47tz3yJ5ZX4J8AGehXUzU0
kUgS3LsacPHhRNaONBSAI8P8xdHEcZrb7jEFp/LAOzVNgtohbcAg/4ekuXBegKSxw7wvquux4sk6
pWwHGHfp6Qo87bOeknVv6uBGIu52r3vEF7eSpA3wI8Xc+a6k/ApqAZjITA1G5K0Cp0ryHSaj9KoG
xgdtdpr60Y4dIu57ZLZHRyeeM2tJoAGOETJkKX3YkcRORnJfUDI8ZGZzrbqd8LMBGyDtB+uqrjkU
23rbfSQy05HgoonxXiLTejvzxpjCSZ99Y2RHriW+yyDkVtWw+WAgMojaua+h4eoRTEffbuDVUzcj
W7laaSMFK0Vxg1Ck8GByAHHywSyuXV5m8K/rpunWBSQYAoCw8YQg1LgfaG08lF1WL4J5SQRSahq6
yHTFJYNQj6k3g+9oyXhi6mDCkcMdVobb5XJlGpMe4/pQM6QDe2zoqkEXIEqSrHq3qsNEIkc6pv2u
dMbhEXUxKxjn7ga1xHnbSIIUhJLARTvJXecW+/6xsYd6A2pFhRI9Ajy/yevBiBBis9gRyPfpyjY3
q2d0zdOYuQfWaRFqX+sGoGY2j7H6X9SdR4+dSpTHPxESOWxmQbip0+3otjfIbtsUUGQKCj79/O57
s5mRZvYjPT3ZVvcNQFWd80+nmIJ0CNbqMKi6QD1njcGphN38s3iivc+L/VAFbQ+87pn6PCqGqBU8
l7fTc9ndg2Mv8k7bbKKtwbCLHUbsDo5oiMWUc7uqpUvdddnPmD+e89qfuPLST4bA669dsB3DvJye
0Qln695Yp2CJMqKE+zPciBmvruzu1Lo/sEI2nLZqzIxhZYLGWP/k9G9OCqfsJobwUHb1z7ng5swR
GRKDvV4ZlpeK0LpRA0FcrOpP4Xsvvm1MtC7jxW6r+9Ve1wTU+1qH0ddQRXtqYILZwGbSxZvJLthH
hB2FdaqGKh0doF+j5gE0ivXBbEcGCazRpTIAkw0xPwxheC1qgwjQqT65SzQketFHjQ0g0wWUHqQG
p2E5ngj+J2VQ7ft7aOXvbuHbCbSdisd2fZN5O2SO13HuthKbsBVRQyCRDeNpUvaPlSKsjm8V5c1H
dmI8JgRhVVpr1g8u80bKyCuvar3p7HYHEWi/yrj2wusoc+chUIZ7NBbP/ASunC85oXduS/hgb0cS
Fwb1aww/SQs9yBaDgqEH8pxHLzhzFRC5uMOWTG1wIjKaUZxqN7/GUQhs8hBJv0sGVBwN4IqnuXWe
pXT1Y92GzqvJVFiCQsNrP8nm4DVu+8Nfp4dFN0u8ReK4Osb+PLRUqoVXvw9R9TF75RZ7eaXATN2n
IDeR3FsDCi1nuxQj+G+xjj9Cf56yxpyZdKXDYHrq1Lb8beuhT9lZvlfVElwQ5rAhm8tnW+c0C3td
3jcF6yg3h+3kgQcchpH5OPlEyboWEF+TXVbMNO3CQ+OoneHDxZWEcmgNI3jszE7+nvpGP9t2HaRW
0GfOP2hD3p13bzjW7HlU2dDQzXxoK+Njb4Pnbhm53P2hiFTiF5sF/juFSbVa/Us57Uk7y2wy9dzE
eS7mozZU+GtGwwCKmUdUc7eipNj8s5BLVaYep16ZYGYvXpmdJF8311s//IXo4mMBDq+ui991ddzP
LXN8Zkkmaks5rzawQp/4MJB0NnoIUw5Le80frbXK1G3QaTj1p90pn+ExY9FNT/4+POmR0RNG/6Jc
uGpgnaPZOeowMlkoGafo71iHvYrndv7mrsaSrDpIgPHMu1HnxmGzyj6put5I1FbIw4TFOrHx08di
t7O+WJtjMRvlyYcvYmv5uVhThfjOfuhs985S3QVk6Qsqw83YELOSGeNZ6HNer4CTsR/0S2yswx4L
PV4ZT36nJp6AbqleZdvdO9CehNcT39ytpP94bWL38GlEhDzi4h+v2o3uomCsX1yJQNpuqR3yQJ6X
Yb1Kv2C+MK3XABUxICXWKml681u5zeyShXPWi8k4z7y10tG2fw4E/nlGTvArUQCx587r98Da7Dgo
R82FqTFzrs23vLE9KM35O+kHYQxB4Z7Lcn8ztqh7jnCh4rZ1kPZ7YRfPW5sfWD5nb2KiYmkX/cGp
gAT8HNmu6WszBWe0HgM296QS4tPsKBejBfFi4FX3zpY3mfKosVf1wMFnxzyTCAzanEgsf3EONqQ4
Ck/7uZiil9zgsg/B39G2piSooudA+0VWDkQT6E4VxG7TonvtY9Ru9lGGM1m/ROVs7XwVe3Tn+R0+
CmqbWEQ0RBUu5Yvsyy1jend1Ye22CBvm6I9TGteGSlzt3ph4VvvTQZg7MEfyWuPra5bgY+YIpqVw
ziOU9FlOzsVqoZcspwhZvOPHsNl9PMPdvLhhda3hmR6WogkBkVeiGFZ1vxjKOxb1CC0PjGonKtqD
u2EdwbtFf9l8Dkh363dO5W0i3LWVp0LZ2ylfilfYDSZez+DwFCGHvPfn4mBWxnM5khtvLLjVPSrl
peoW7BoO37fN01HAZPZreYtsfZ2HEW1FMT1KOYVvi1fBktd7kaLLKLNemhZnA2mQgzt96EnpkwqV
f4lqQU9FysFp9BYvEW1+srvyl7u3+ne3uiSJtV500fX+yxzt8BJ1WyJF9X0YXGCgoP/eOON1N/s2
mwvfOAfNKrN6FVNKCOwbqps/eUkI4s4em7WN89Mr6zbpw9lKNBw5QUxBFlYoGjQWjr0vL2Ia7NjW
xVWWbZWENbdpNowDWvvHYCMF8IY82O7yGmr1xBUqSWBvTnpheqOC7xHMhHVssSVePtTHge0Y4Pmp
WshDQ2cUPQHU/jC3fYzx0mKhsf7CNyqydbszObNXYS3uya7LTwkOeKT/NbJSjQNsmE+sG/Ewx3WV
162oYF3kHp6iRnBOlRChjjn86idQ83mGMKfUf5xc9wpSTUhHXz9NQ9/EFamysWd4v7yg4i0CV5x3
fy9Id+pf6sUJEyRDDPJT5l3bLMdaMnlTUAFeBDPJf0vZ2keMg+fFrz6VzeIs1uC+Y6k+yF6/1gKs
fQjp2tXUP9ra5ZPspU6F3b8Pg/m+RcG1aDSjPDvSllxbp7lHiD0j/94sr3xSPQvaMOUztPcPb6YW
ipCZ9w5i7NUZkFmo8s7Ss3Ziv5YjC8YWCWGmT15f/y5cVk7pMcesdnqeHkrEZjARH5UOIPPC9Ixt
vLU5oWck27q41OcMbd85UbYxmlOXf4tlvt1PW/8uBvm6B+gkhsp4mxb5rXPFiavITHePP2zyqvv2
k+L3HA10uPQewImjrtMNPQfPSKTTwVFNAowGxzEjfhz612UdybUB5jGm4bkqiQjv+vGuGooHx1xP
qlrGUy4rssFMdc1z6w5HyUMYTS9tJRm4M3kfLhqjZDREk1Rm8601PZBW+VTt4j1woa/6cjm43XbW
ufzphhrvh3n0I0RZpdN8+qOsPkxCYeN1MQ+CC3MPW4CRq8eC4HNqx8Vc3TPYGFEHMCN33K3Opud+
DbqvEjFXB2dur6UKeN/l06NAnaqaFqOpzLiou8QefESetguGBqKkvSO0+ZNfoIFQE1qagiklrv65
jN1pMxYqj6rvDquMFv4KOEse4+vSi49B7H9Y3O6d20lC70UusyIfsnrqchCy8LmWy2vAkxsxJjxe
A2s5hMt8slT15GsqSsPDfeZpgz4QToH6Cz6fxv4gxvJKY1jSEeEwDo3wurnNAMQkuwOMadbMfv0Z
VfYaD47sUiJ1TkLDwoej4WSO3wzZZoQ8Tm31UxYTeXXWcqTNPfQ2eoimXUXa6uU6+EPDSDvvEQjh
ZQ29zyFCyyfdOmZ1pXMbpbuPK02D73Ulv1hFQHR26FA6+9Gpk5hRVnccf3h6/JIi8o50WDu7ombC
w14AyUjHzu1UMFfnsrIVp7aja0p98xrSesdO7tG05fnT5sn7zVzuobweigF4yhkVnjtThy+Bt72v
eh0zR6rvTW3W8GQO81fzC5q+iiHyHISdRUGfqyA2m1A8ip2400r5P0NlbRwdvG2T93kWqvXZ8jyb
TB9kWJ4c5gS9wqWOyNnvMP1NNK3R0Nz7plOmpVm/uZub80C0J9n4Y6qq3EtgX4FF14fCHB77NXzs
c4dB2oaTCllKRHnL1zyxBQglX0VrHqULD7gvIQXTsJxXd78MZCYdsNd0MQJkRpd1U5vunfkxu5zq
IsQRWNnlnOD9Aiq3ZbqsJT7zsDbSoqejQGbo0AUXsQahMaPppA20JqhAnu2905mEQXownfZ1G1aP
w7IIT4VFQ+CUDIM3d9vL8lB/GEabVLX+GZU7CrEp10/mAHrmdg27mnMtIuHG29SaL8zgBdOq7dK4
bDr/vYwoIOxhb37pxjIegrmXiTKjzFrzO3R5Dihou71Y+Q6WHam7bmSi0UJjnujJjO6QdTvHtjf6
ZB3Lp6kywchyD/CxZLPZAvU25eAJUioDMWFvHYyROYCB1T8Rny5it/T9dJsCIk1EiL5vEkb/gVx2
evPzbrpu0syvq2F1WT+2St/nPjoKy6qVQ7GlVixcAdnmhcmJyfZ5nEFFac6XQxmVbEDUct3wy/MV
49Ig/e4dEUWHsXPcGN51b9JgGcf7bRQvpTb3ZGjcn7IKt9OCRftE3Uevb362Ov+ajM7Hj+S97wOq
U2RZQ2yF8jdxgWUiRlCn2l+/7zXyj13411qbW2rZ6gNtw7cy8hmLTRWBqOm2bkhdzODNfjdFb2WW
Gp56n4rE2eGGnN4tjpahg3SeNHjgZv+QhWWwZPn6/jyfVqFfRqN0ziZMZ+Y79p+otqpksbGrTkLe
GcvOJk5UVYYbAWDNGr4NoqbyC7rMLMK7zbH3S28U7y6N/AERYjbUe5tBF86xa1G2K0wMx+EfnQvg
2JSjQs4Dh1bCeGh3uR52f6ETXRDIyMg6N4I7VQfskE5VZgpYB80eRd2IMSNVJvHzbeD9wpbw6LpE
aoHKBinCKe9xJjX+wfRwcFXjNsaTJ7hm1qUPB/FogIWlTsGY18LZFjSadVvbSeCNHBCOESRtW0xI
NvrhaVjbdx9nCbuvlEaV8tkkY/j2YQJ0LQgB8/0SkseaLbs5ekvZtNk4IVaOrfHGJvn05ozQdT3/
MnmBlRTWgPTrBmMLa6JtrfvTYPeP7U5aqJf7XbYPI0o+Cfkx+8516KGt2HXOSxscGIzQPjpLvjMv
JRyieCm9hmRbCiFsWvFi0d8GdIWpMrbMbtYLHOS3xfB/NT2Zp9ydgWGn0bs94CYPo1cDCF0W74AQ
T5Fq5OOG2jZVWzSc2OhrBJvuSSN/Q5hlUMsKt7t9mVqMsb1TC1ZWDgJlkMW1D+c56oE0Gmx10RE8
HMzJkw+t5waxLANMiMZ8xgZCaZNrVN/rceyit9GhWal3+7uxLh/R2j4sPp2FT68EarERabZxvWY0
UcW3XCyfy7rTy4G/6yY0D9YevQfORFqoEQe92lLwdyDcCNceq1NQUxbTj0YsJlxX62b5GrTpjJCw
csMtGfLuA8VKNi/teatyUqjML+3YL6O27nsnt8EZJiS+GxE80lkeW0RGUbCnq+tkqse25XX1i2ym
MatnpJZ84r/IZx/NSkxHmS/P9braSevXiD0bLXlLmQ14dIo9vMtHFGpeRYlW18tPpyGmVSy44HV7
zgcc3YEGfeqXqyN+kPlC6JcyLkYbZaEhUz7ZN0jnt3z6s250vTROwiDKfvwqqpmjK7K3xCjFqQvc
z7UTL10wwLwVTsoZfVeAoE72dKGrPCk9/rD2PesYWdXvDAGeZpjX8EUNlYiDeX6ocf9NgXjSwAM8
NWf6lqPXlz+CfepjG0HJWergNGPYqx19FpZ7bgIhjpEIXneN+GmyO4bbbu1hQINFC7mjzSirPzIv
/vZe89cY9mvuuU8U5d/qUjJDqbhh2c5HYUoEpgFxPknhUrrvBsqVoLbWewInkPJ6VHyujcO32Z4p
wubYFtaBjuMuamTqDkCdZtB1/qFafVz3LtBvUpv7k+2W6sGaNzC2Zlm+D7ZPV6DU8OIVff7KHgVF
Xa9lnWyudan7EXr+ls9dOn2TupUB1q+J92kNRnJk0pj9v5O0i/eoGItDvQ+gdPY8J60ym/WcEyK+
ex2Rv1v7bpf7jnDWQisH5zsqxBGrSXq701RL2hLfn9q1aI+LT3zurYUvQ8E4tzz4yot1eO1aUNJY
CT9PHOmtoE5WoLJl9zLMA3zdqncSX+zneVxWHknSidoEiYxOggJURq79cnRc8wdo6chqFKeQs/Vp
Dxy2iN60jhR2X5MMoqfQ6T93F0rHzMvHWUxtzDE6oU8Lq4M5q6wQrvlSFraXOpt/v6M1QAqRbVA/
sxuguO7H/rUcfOxFgpgRQbypWSOGdnrjt92XpAD7OWz9hFZNe333KHr8xkaITQ0dtan3JQvsXaCr
9b5GOqbHpXDfglw85wGV3Lh/gWR6mdUNRsYInoBvfAsxufVATlD8VgjbU2MKivMm7Ce/Kj6CzT3L
qH+demLje5XUXnfbJs3mZ9sIhtrDfZe2A4kKxTIWqr40Y/9JK870FD2BBIDLHp1KGb+qnX08au3h
0A9OCGI5GCVaOr+ZYoTUgH3h9OzKjbcv5vZurcVJmgYzajZxj/thiAtE0UaHxLbK/fokZiwmHd1g
Qkzzp2EY77vfP5kbc2y0Dc3XKA376HuJ12mLCxVkwQ4D61bRFPdrPaaeTYuxkw9hdCnUiopL4bw2
MkIyrZe0MNpvRTt9DXVDvdbBDQb3ze7GeeFViVWzXt35qjplZ4EMsDJIlUkCMROQdxUXlT/GoQfX
SSF6V/XYPJxiCxI7bDjO3fGyG2sm9vZgzbnOZhvOt9+j/TAN6ryFTpNxzy/VNgznsQMhr3LjcVyq
i+E635oWpehkROahnIrr7qjlwdiq72M5v3drsJ3nKcwBJKoiEcrb4t6bX4K6ZRg48elyEjpRbc0q
Md3D2NdB5gGXQPqRorvnCA7UMtyZlvpEac5jxst0cc7XS0NLjsnqNjshXVVwV83GoVetH6NbzV8J
lFc3o80nahqVUHRfK2kd1trPkfW4+jcjlb9tk+ITKw8NKTxLvOVOQHNYiiNXY8SiHFaf2jX/iNGZ
X92lxdLQTmzItb3DySMPIRr0sW+5vmbf3HkVXZVD0FKy1fu1FIXzYuMGILlj8jhp4K+TEfF+IsQW
3ba493UU995+q0AmCu8u/JgaRpP35JjD+9bQ6AOn4gCEAem0qRS88yw7QbBCO1x8Y/fPW0mVos3m
jbb3uW58kowiaR+nDcIuaD3DShAXKWKeVCvp7ieRjyC/vYmOziA79ogc015iwXcq7rj3e3Qo+wBJ
c458s/1uSRhA4vmsbbtb3KAAWMUW691JcQO6TFWr1EHsjjGIqEf7yZamVz9sfsebtLvGNWMULrGm
gzLLN22DTTIOHRfKBaI/CjLLa2cmG5qRw3JxoMcJNMepRRG0EdESbF02d1bvZ5ZPw5R561LxHGy+
yvaw6OonnNXNn0VR0RhDz6Y9zLzofekF25QFHiUdZpuapThFFBd0UFX1xy911X60mvWN7QJZEcMZ
SqX+NHLiqGcWkXfaLHcfv40grRIu8ANclOteqPn2/2JGc9k6W70BPROYHreDZTgnTXRslwD7/XaV
Y0PgVNTj3QTzmy9d09xrES7jBU4IhZFVbNH3Ymz5XNpfdl4UmfuvwZqr7Wu1lyX80uhOPsSam2Xm
sgb4WK7pn/aC0vRlWa3OTW3mPj041hJsCUG33VHjstgeTBVJNw0p0tujvxbOkCEGxgaCEAu1RkiX
VCfWiIHn1bOW+WjngWLilRJEQHJmaq77bq75oR79LbiSqxtFd+QEheo7tV7ZJRPSTqLDJQMs4jUK
V+OzmsrejLUPrchCnX0TnEGAvxnT3jnUzNDBaYm4PnORjNWINfqcmmx09mOxSdT8eGqtNzfIozLD
22Htx0UygmyIl0mVD70fGOIcqZUEnRAHYPMbOEboowCWQWBU+YrCVqyqdwBi63bJL7DqdZVouQ7j
k4d3qnkl88CnpIIq1s9dAyl9mVwE96kcCE2+FG5e2g9rgEUOWASuI+8rZNf16BhmYmwmbnJtrcsX
AFa7UmiFvfkgCKXRB9OsKyBrs7bNF8vfvM+5GNctcwaFWMGZ4H6f7dGQLTq6aj2EhT/ChYqJLNtx
sOxU3WSjF1NNYkQKI7ecxk71HfF77mIHWDzoMOwnCzH78uLL3XeZ+VByZ2CKWYyK2VjBfUATd94R
4o4Jl9Km6ydrhvHAiN9C6C1ZGU9lS8VOzn7g81pjsN11ZrvbZ4+RhcHj7hPOemJDRxcdWd2ynup9
QjlqLhO4qiEQAsRll7NxoCAUr269g8CYtd8zEq8QHmyZJHZlMPvwrkLa89vYesWJ6RXdCU5hvUes
/1DZcI8x5x+Ck8VY5uembyaRdLrtoRK9bX7fjc6lSKjRsoHyGWj5i2nHhQFsfVn6ZsEclxfVoZla
CQN6YyxDXXIcSkDnWIsZWhZpREsZ5BUV02O0bzW/EItYv8qKIyV2ln+UmFRURuo6s+d+9N5ijgf6
s6h/sOuq1PhsFjmi0ufqXEmx2W4IZP/Xaae9PbYlEu9kNTUqtQotr3MOJ9/+ZniYGOJyD7B3iFWj
0SmmUOHNDyPa9spuJKK+al68U8+swC+lfEO/eL54q0uNLlfbWMvW2M5Xu7+0frP+LXhf4msAS0Da
hKRbGd1uYRC8gKnCmOm+TaAcAyKt2pszu9+MHV9EOYJXeK74ChgG58dtVUaxaq3wZ1PL/qqXaLp6
rgGgI+wKQg74CnhJF9t7UGmWcjTVs/2kKz5OAsclCTxZQz+tKpcsGdtGbj5qJe2HBZXfyZUNHp0d
izwmOK+ZLxQMNWTMZLJ5mrqoL0qM9Uqh5qDdomQ2pgSJPNSrW9pcX7QjbJ0WkiosDv8I3v0SHf7W
WEgUpjaH9hhvevYtZ6okeNTwiK2ZLRJW5X2eJwwvDsnc2dQN9XAqN4vbEvW6RGYbzsabh1+oSCvH
cU458QT3M3jvtTNxPzEErmGeM/oDAnOCxnqzt0gtfFizxKFiyPOUr9urEp11BcgAK+8HgMpkNNsm
DWXZF+fOcliaCwCgCz4Fwnb0FTnx+EGL5QlNVveJzpYtBDxpqsEqXCpLx9zFnO5rwf5I95T3SdNs
zh+MJwy6cEZm/c1lbS0pIQtGBDCBklsRWXYP2tOOh970u/ux3MM5jqKtOzeWv3z6S4iCnSg3zqFR
gyt3XceB24XcJ93564/RJxQp8d0m7OhBPG8leMyaHsTmm7+QOFHz9waDQi1S2Z+Q1vBrLrsERhdt
EhnURjIilipfzL8NkuMkKnGVJ/lqYdINq5KU9WIHzszYXvR4KFucY/GGtZJYNBUtfta31CEXM2wM
1COshrgWk/FT7tXyfao0Kt5w1VdczmGYUt/LD9hCuWWrNSH0NBlkhj0iLNzH27w4ilhTu3naT134
15z6+XGJcItR+vbIoSYOTsfaZua7V034fel0/4b6ST2UAbblceBBSDAn8Cw1tsS4WhaT/zq1PlpP
tH84+Nwt/JnvpfuJuI6fbW0qiGtIlyVSk40d0iU3xEs09h06hCmQb7mY7t1ZTnNGB06dPs36rZ03
8RlNAxiXGTQuIpNayPbnZNrtszZM85cnERzIRTW/St8aAOs8HNtGbdFEzXsP5iNV8wJxgtDONHon
RdRkdnHdu8t5UqP/t+x7CqnNpCqZm9U+gL3JD1SpAguSJwruzI4qpzEX00lXS3uvSg6TcXJhWR7B
XpbMXvuBb+SI9YUu922Wns1m5a5omGdvq962MW//qEX+VOjhMx/8jZHWywsFf3G1OY2eQyjD+q4K
RnThuiSHzhcRZtzRH5MBUhRxCWFBDhlt10F06t7puiitZVAFaKiM+XEvpUJpLizxVRZRjmTEnbr3
Upa0lTuyngSWr8YEvIScK9Y+PqOQCH/ztYtn18nRFs1FZ9x7/WS+jyoovzrEJgaOOhWFhwVGGIYv
8GY3xeOrzmUIYk41YJQHUYDooiQ0ebQr6XKk2c7NlyvHzW8QsOzjY0VDMWY7EmhClwA1WFD/+CX2
UC3q6DiU5oydta62v/NcUu3x3Ft6a320oU2VOKGEbdimqLAvxtx6f+HmjSerkBV4vomN+d/fW8oI
3hYvyJAipNjvEHZFP1Q5W1/mjhstBZTrX4RQEXFLszMCnSA3OteGyZ5R6oYdRrYOj3GOQPTo5A5K
mylAyz9VA4dPxwmN3Mjjx8zbepJF2yHFtHH42ibE/jrh/o2ROiK5GmhjilxTcIupULw6CAGC987y
UKFUVf1rRE+Telbl3ZmDz667uDLaCJhx8FwMRkjViljrSzMrdTrMypNt0mAX+ENjQeYn5uM0KPV2
MIugTivSG5gNVMECBjtAY6xNRk7HjaG5lD01MzFkblsdm8hepphZCn6bYcmUv9aWnj2FTcBStOVT
cLC6zZizCKj7Lxpl24+dwvI/VhYyW5klhxW3buD2CY2C0K8Tc29g75yWyGZjwB4SreZi/57/uVjz
vIv9AwxFfrCAPXSItCJFHMhZA7nm+LHa3SLVuKV+9seQARKl5IrMFpAWfwzzh1vae2quYZm0UaSv
o1luVRUjicaAwGcjaqBuOixlTVW00bsfFsURp7n7andwplpp70P4DsVlQ9VlxhW93Kdr6RZPoxsi
WvJn8SwmvT8irrKf190vxtSc25tYHeNo+ewjkc1jBlANbhYZBSXSuAnxHKjIci7O3OwHNQBtSOii
DxEFOArKkcgpBMpjONS/rX0oOI0RUIPr+g8g/1TsJWNcWwxjo81v+7h0Bzz18tCSqwBCZi48Lu0m
WT97Tm9HrBxkYNztnXqxmm289KNbPkJwflmEfqjELJjvnhULgRsfnV1vfoZfgxsqm5pzpB5n2z2Z
kTDG7N/Tfy0VMmvcmCytEm172rubvu5KCDJ585EnfAFhWe5cJoSg6NEeHWXwj+Utuh01D+1kTM6h
4UkZY1IHAJf/eQHwb1ZEhzEXtUHVTfrqDwUllxPdOjdfeRxSq93xL67WLPy6jngu8c5bZqL9Thhz
giTL/FXfnhUE9rgbPdPcDrO/V/aDH0Ru/TBvoc4PO9Hhd56aIx+XzMIFqvOBF8HxyQG1zpuuT84o
hygjPITpPFQMdMb2vN6SpoXm5//dBaBicv8SkiZQ0CDVA3EBo1tj9fxnA8NhEGweGNRSMoZjXhHL
KeHmgCOytHkz1LFoYbqOt/QDr95XFh3EjUrCVnWueUK+iZQeqYIxoz9bwdPqC0Ps6CUWlHUmZkS/
2RjrQ/cWcd3/KQgnNh/zvZn3mjmtynWaK9I0AoVmhRgxwRprk9FGLk50ioQ/j0fLv0khVxbqcc9b
Nq9tZ10gcpb1h9GUw5SA+PrwuAh7eKqRaP6JRs7TWCPjIBxkmf0gUTOFVLwN+W6SWkxflZR+yZ3c
zF629/2mrerEzN7OjkejbkVqGN34jWfIB87stFdkWjLC5TzmIwIUh3ENbmK7UfE6T2NOMTPPxaUv
2xJXhD+ZWKzLGiPHYNubhChCEh3vO1jJUVglNvQYTaA9v3t0IGFGWYR/UA0+IinyBnhyqmCRH//e
wxH4fTrIqaiZLdfWphcP/HSX0K9GX3CTi3MEA4IONp1pujKoQip2lXAm40CYJvoVpfEESZF74aFi
JlG6mljXn+kX8uDo69LEl7A2zZfjA22y529bk9gMYw4B/WbzrWhHd3jVCHPyC509j587atgX9FD1
x+REPPIlyEubNkGdnzm7VvsJiUUu6RMF4RzAinKCF6yx8EdKtwwX1Jbzgyo//KyHPKtCA/lUibPm
JuQlz/zF6Hn21qL9KEpbc4TIx2V18Xg4tD1AEXG0NcVLUUFgYzKbESrNf+0x+o5zkB3R8zisD7Op
/82f/K+MqOu/9sD/EUD1P/76H29dw3//PWfqvydY/cdD+TXiZPs7/58/dfzT3QKg/l8kWN1SLv/3
BKsf/8nemTTHjWxZ+q886z1kgDvgALYxRzA4UyTFDYyiJMyTY8avrw+prFeiMkuqbLO2tjbrxXuL
VCoREQDcr997zndeKS6hOX2nYf2BvFr+wnd+lZQfIDB6JAeSpkm290I8+5NfJT5Q50qTf24SZeQs
vtY/+VWG90HwYkv+nH/BsVwH1hOi8wVgZVjeBxO7JCcvQQ6aUI76JwQry/HeuzARp+O8hFepXGFb
ELZ+TstoOeWiWAbro9Og9TdRnhcxepIc7JBo4gLuXeQ58zJ5VeG3RlvjU90GMGpWQwwG14Du4w5f
RplMnN29IqxPfm6ao7VuWUy/OkWHSGCl8zCPrjKsYrR8FPOkx9gPvCbbpCBqjnOSKOtF+GMK680x
Wr1DlkNzyIsn85ZtUYZH3yhSzG3BHBWXYWxIzWgqnbtt3g3PdlUU0242usmjCZTlCFenPAU8rUVi
6R6D2ygVSg3f1BcC1Yi9qcB2jKCdw8mobwPaHsjpYxoo+ZbCLPTw2xLLcsB/XaR7NbPcWLIOX/CI
oYIVyr+M2z56mA2rh3xlNvej9tq1XcXjc91kSCKZI/PBmu5eN3OFrbD8ZFeM3fMO2ZubpRsxWQOI
HTpuLfYVBstu/eqa/MQEbuN9YvB2iBFY7p2xTC5Ns7s2UEZyN7oJZ3peIVSPmi0iR/tQ9APuswaC
SGzKT2jCiGuuTA/BXePeiBzfKfPAzwVd+UWQ3R2K0XW2UySfGL32F9JR/YlJVPEtGtECBZBJ9qlm
vFv5g9zUy3iptH1EiDTHn53cg3Hcsk0mZTDUWBfttmLwtfQEcC1muF4RsLRVjdLa8BKZfhxV1U+7
1G24UStdmaW+pWU5+5+GyEsbJgP41kBvF4lABMrhwx+ppH32ZcYkCPCRpkvN2T/pFx1/El7QnhXD
Qad5nV1h070pajMItx4usWDLzqfXfdnB9XB8Bz8cYn4KGlEwmPwoKlAYzdg+pArilbeAv0wkWevR
sPFAudDJkpwhSKDrbeH3qG4SepaoWwq7N7aepiNwF9NdUTsFb+mySYx+MwZiuKXCLoiVIcRL3kcR
WtJV53T9p14Hno0gpI2D05xEMrlsUDTEJ2546p6tzP0csS3ZR4PzV3pyKjOqVoPUL03GI1PibXJ3
4TQO4T4LPVEdgnyuDplXICaiv6mjqv06Oy3oNkfZj6k9Nys8YtZN4UialijOfKmQtPuFleNGM1A5
mdptNsxPC8BRQzztutDA/TwzH2/eGg+OCKIb2r3rbAz2Fl29GZWjizwb6rJGiTimyj96YCrFDUwx
miWxxSSD9wAYUh/eSeaLdTdneztpv8qmEuvexBbJ1iSfDP5z5XPjzXV5UTVp4m4My0xP4EuD4jPt
cmQPXWZXw4YJY4b3hhKuvshc1ehN7GYMpoPWGZK3PqN+XJude4WwFbOSHnqHWqLrhgJrRY8tCKzd
y5Q4UbwpJ/ctLsUx7ZvqzAJlgYeZG+5p5NXKp0aq4+ZoOabzZI/5yeZ7FgyqOvNzD9IB1drQ69jg
vZRMrWqFCkTPLrGrHuxDxnAZ4Rc7dKfMowgbHfKtMdP7PCFYokWKtn/eRAMhcp/7rF84t7Iw6i1Q
y0RsfIOm00rZplNu2DEC/2DUfZRstWZQ3lcdjR+oDGcy66xbXt5x60x5eekqt9tXOMP2BQLdT5Ot
p3jfqoEuY9+YlDvhFzvBOtjJrls3tW0eI2PR6KHr+DiZ2TXlGx5iWTV7kVrzbuqyr0W1tKhZ9Hci
QILuJa28aHPcvnYdG28e/TEWzpBDbgMTyDxadjfVO23NNhyounF2QA+/piETRAus40vdFk8NZpdd
nLvTCURguasb372wCk2BipDWp5O6LqTzhf5tfNm3NJjnAfMNj4b9NJg0doopnk+ofTAm5f2oV7Sa
Qkxwdp+eaYPO0Ia65pAV5lc/RoDBehucfW/GTUYSB6rhpd2gYWjsXZWro5MjqGkrNb8kNDZ2Bk7h
F1sBzaYHGCTnJCuyI13p9NbTdgEaOr+2HPFtrPO0XYGD8k7KC8pz3tbzaRgBBpeBI+5SOhbP6FIx
y+O2OcZpH568vgL0Nmbh1mEZrClI7eFoTc1wHS/CxG01WJOk6+W8pr3jf5ITghNfxMMNZrTkdrLr
PRqJfIfMi7kW0vBDatbGuTLwW1ZRwXBzUPyI/dps+CSuOjOtuojjzL1yh+ahCHID6UDtNxg4Zueb
h7bMAVJ4TCq8tzoJzhFDii7gYNuW5YEj5WvFaYWi/MbIGb5Cq9vldWHeC10AKUtucyCOoQeOy23G
HewhLPmxxI1WVZgBJTxc3dU7JgnhqshGzm4xTGVR4knitu20Pd0JcGDIvdSGSpn+l+kebWtutvz+
9qNvD/ynhpZMhsH29xEdxMsxQG/Ers9qEWUkj44okiEChJ9tq+tO8zyLvTOl6YZBUHlpZfjVytxZ
5z6+AE4Ob2EfDrfegGkkjh50M9m4rgXqbRxIVTk8dHEP6w582jChoJj3gey+lT3Zf1CjAlrpq1a+
NJq41SQ6NWVFUxGpwNI+HefoiQHgpu/M61hbJ1eQ5NsqbyfjOLxMMupvujx3kVuf/WQ4Rd6cbE0d
Mo3qykcxOIcI9bLTGPYMRi85KZfOXu0jpU4rIVZxA1MQdNzHJK4wZZQTVi3XvFGDx3cZAVNKQFyT
YufV+hMeXST2HDo2TjsN02qGm76NVZSyLiEeidLAf8BexbCgj6fnzKjDR6/myI5atJnmHfof4a/A
ZdrNphpdLXd+Fbco9OMe+xhnIZmtdaOyVyHn66pwqq2K8nEjlZYbr28059CZ1xD1e/QmhjA71q1V
mu2llcpuVXddRcCzzLI1kIcUwaYFRTBITeKng/zJG7xp45soTic9591qJowOOgVvULWzppzpzkST
Hw9gft3QikC2bVfdSQDm/KSh8+wcPcER1DHdKbv0iQ0qWF1WjTUw9cESk6u9Z3qIwKdp6YMPwqCQ
nBNLwAueCrKQMaHJyxC7pPvUh4regNX2Ccm9fRPemOiKrudGqEMbxvK60w76rJqmKDm0U52qVYSZ
6Tj4Nv/YztBpNdKab4AZ2Vd4Cgg+Tgninse0XvecRldjx00XOWoEDt/TpglIN4HlaF5XYWteou+T
qww3DjK3vnuEMpvdDlN6qys6mThAkTZInt2Zan/fM266wK+iLyenu6Np+ql2PB4MSvC1zRSeEnA8
213tZUSwps5mzNpih2zgPmyQILetRWMh0Y+4mDRtGP8smI1gi4xyhjmQoIrBDdGe0VtCTHs1NOZw
HfJCY4AzD2Ys+fWDGecmswTXik6R24fbyI0PkzaODdPVV8dL6o3TpP52MOf2OJbkiAeCjXOFDrx4
4Lb2n/Koa85G6L+N9lzvehLbD2XjPFVGo684AsnjsMg/DFXcWyYPqju5U7RNKzR/tMvKYW1UbRbT
t4xzBFJzdPYc9hPwhRUgibGXN7rO5vsBQO1JRlLCFsErYk3O3lFjeOwBkpH2jXk4H6PiiTlesB+U
i2QtsaqlU+fvxmSC/tcD5HP89svQyduYscZzbmJAcHPzRdIzWKvBzG+DwKi2Vj6Gb6j5/TOuevPZ
wT0YhSW1n6rLZ2Ro5josQtAvY3HP4T9/buPui4FRNPMSEg50Mn0ym55p8hAf4J7Zn0vsByfHqLo7
ejwIN3QQfq5a1/1cSgdvcWTbH/1UM9OxAqBVVRg49wXq2HWoyva+M2c0wuNIlwCBQ/eNztu0c4zF
WGOZzd5ASn3ricbYK1G7L/hFumt6t8UqVCZKthJD4lba2cPk8LG9rBzvzX44ZnGH67CyrbfM9HrE
ScL4ZGdj8dKkmO3LybO2WPSS674yfZSOdn6deZP5Kc5zJiUq0xvhFU+9HC2IgZgxDK/clwMWoj4O
caplSh87jNjryhXZOkaBDqJnxseGoHA/N1a8r/sYSbbZCQB8ma+DizHAEVG1XX7rdwTHaa9bM9Wk
i6fIF7tJFbOiye7ikxEb6Udks/06xm2850W9Y7yNEtN0kJJVAaR4BjZl1GKNTxi7DW7kXIwU8hvs
+Vus9TUy7HSbdEn1HGvTum11+QBLpb4YZXiJPQojrGKu4nHWPMjWS6+xEzjI2KtxbcjQf3Xwvq09
RBuePUY3uRWqi2q2xL3VyOhss3WsU1uKjYpDvS2D6WNQ+qd0yIZDQhf+LqFEwlsC4jWxUBbT2QMh
l2ka4qHjxxv0pNND3ycRCY+dhQoKN429s2wOfBMbzZekKNMtpS181ryO7jimc7oMoB9dqbR+w0SA
SS+RmEcdLwov6tLwz0VgEEpQAzLgCJMv41POHFhmWEFsBFT91F8YDukhYERADUAjahEBb73QoQ1g
5M5VWmfhJWKwGbRel7I/WtE6gIxKzzT2IeU3/BqDDjexaJtdklbOXbHUP/GAvsEW1ZvpBryhtQVd
2JfMP01IiQGv53EY2FNFVZs7qZvHZMScRfuUc2g7VJy9K3w+mR2zEcWjj0XL/opK5DkxI/ERLV+H
MMiG22tN42ful8Oc6I+DcvzccOh/5nE+BiUyf3fOol2S2+Dz+r4CZ4mB5mhXSbbNaRRoHDRTOHIc
DBLmVz5QY2k2yD+jEfhgMMqTnSYOZXTo4VtIzoA9vH3gBJc2uhRYIthQgY5cofD5WMY9RMLSP1a+
d4kEnqyEGm30kNJqpgK89QMHZmgHGnau41f6JDm7ftbu1ZTiy+1BmBbJvErqGal19tLn9gCIpm2a
a8RbjwbN6PVsRe417I/sAnYl+g5rRn2UvUWiCA+R03aXXuOqg6BZ8BK484AHD3EjY649ftiLqkNX
auBZ+Nwvu3Mrx21nVOl9E07nDNvvObAMus62mz/UbvpA46h5bDp/AAqjQe52vfzC+eDVq4yr0ire
igZr8TA2+pxN9CiJdBnMAzQ8xWS5cFCkEN6Fa8E7uVW1NZRvPEWmjveEs6nXxFLO8zjY5t4QNRNc
dIksMuCbxCyxEAZSH4a2tw4cwl9kuUyN7PZZoSXkEQl4LWR5XTXC2I/BYJ5jbMmuTWh4Kctk57SZ
/c0O7OFB0dRZ+QlWH4bn7qqcQpQZHRbsME7RVxjyrc+zelx5eRNvRG06GxxZ+cexT1vW7UjfJIzF
ca+VasPGa6CYwwxYVQIQrYV9NqOLsjWQDqx9ELs7lSPeNkvT2Dh2DSLEhmEAfKT+WPe0RowR7WhW
DPOtsO3sVKWCE7D5DfVetPMtM9wBdFLuBoBkc19N85ckEChIJxQBmH70ZcFMfJt6OMPGUmCGMJwR
vo5s9qVZ642HH/9CzL65D+v5ylLeeZjcJ8ojinIS06+qssqPbabtc+bJEpBxhjDGxfX7UsQcgGHB
fhsn9vLMcwFT9ao4t6Q2btGM4cnky629atqakfNIDx3fNiy1VZUDQvC7hUmOL3CfNsX4mrXWCDWX
cCIHhy7Sjfm5m+t5J6cOweCc5Fxa2F+NMDDWZm7Yt1nHJCYxJWSOsM0vy4jcImC67onkAXEfF2a5
a4TZ0lJYznVyhkHceZwJ68rQ+xq5BOdq1niXc8bW9tzbusJDV2oThTvCmcMUzPURS4xxtFofSWgs
mHHOBBE5CZPMFHXA4GAnqkWwcqNivO1TbSFvDL6JPvGh6kh1yIXbHtBfYCPXdbjNfX2jBMP3bmJ4
MigQFsJrcoZdfnDley3Wv6lJgPIq2h3HgUYjlvJl2jWQv8n7g2FgLLpbA9L2Lsv9BaCtfdqjzAey
0aM6CmBMbWY5MVxscAe7TvaRDRpLJFysbRHgSbCDCs2PKsAyRcYLOx4cp2owLzxQesdQDIzrEud6
KvJjhebwwgpJyNPMNOieMmFBYg1LqGm9ZDPZQ7H1Ui8+JCOdJdv0rL2sm3GTCuxNbVDDfnCaj2U4
Pk4hnUXai+IF/PDnrFTXgky3DVql4RE1aLM8W80RjFu3pwl+Pc7a3KTK/mqyy5JXEKXwk1S6qwxU
tl02jdiMIKmIoI3PgVRsrEXi3qCmo/MakpAejlCXQsy6fTvRQbSj17EPAnnizN4GF2KKwhGNUBOV
+1TlaX8WrRrvawyNzi7tUnQmQUgnHtIA1oGN2wuwcQ3xjNN1I+fkHCOS6tcqkCZ62qRukNiwPGAa
dfGfwYaB4zz5SVI8j02qOEGbo8QUq3LveZgRRiFAdbOnzBqqh7jneVvV+OfGY4fQs95oBG5MRP2R
M6EXIbBh+C4biNtBBs5k03vD1O/cvGLJa8yMUwqknfvKbELrq9HSrrvFkzEYp0SXAvwMoB0E11y+
Fbdtjx+SrQFoxsbyg666lIMW4sQQHnktBa0VXVTkQvdbx9Ip6Sz4L+eTkSjRbwYmzghjB96lxeSW
j+dcmbjwZiMQ123iTt96pUymi71ZL871lu4nSpnuhs6/f3CbeDqoInxgAJ3s+klRpuWXODs/ZtgK
101GAy4cMn1XhM6ptq3PgcD9m2ZWu+3ztMEw6n7pW2t+5EEYPtK/TfbKxCBHUZdNT1bDcDBNaHUg
5x53TOeFvRVp7qwggVck5zZmWMAnAkRMWe7V7caA1PE4Irdob0XTFTwPGucM9KBErOHbFxgCwyJh
SF5k+X2hBxKsaQiRqUDbstFh/pR2XgiqDyvD5VDNjCUi6yAMixTJKO3XmZgNnAJD+Tj2/VPGQCyv
3eCVqbF9B7fLuausCeZFNJ1HQYmoalV8au2E2qLFSB1WHAtYJCMWJaxrdVctcseoOjIBd2l30jJ/
xAjlHmXlObs6ifUzVo3pm4RIs3cZAk4rWeHOd8rgOUvaaRu2AAdRpVhHGgDOccCU9s3XmNHWESuG
x8ygbKxL1GLYn51xIPtKKBhP81w502sOy08c8rgneo1SvHYOskOYtuehhwETx42P8KItx4bMztxC
5xhWtZYXo0iceKscK6jXdlwjjioFgx+OyIjf3E1hCz7uqvcTdCMsCCtcyw3xniWjTyjKJMU8pLaD
jR09fsyuCiYqxYwxbdqaoXV9wNQCooXWjDvgQqqHV0ZBQb6Cf5bv2hkYZzwHqKS6+WkkKIDW9Cmc
zAljEpYB1Or6YM10anMz8Y4FIyWO7ECT5mEyT8woYnsVoVNCxVEQb10oZ4chEUgUq91KDMC4u9C7
9HszuWLesRo4riAT19eZ69jrGmDOXgw2HqSsUQcTYMK1dtCXVzQl131CWgi6IFaSNTjH+hhUlYeV
pMnFRWHO1QuyUvc57AP3XAOa2lqzHF6i2otOIy1SKBURXVmHucQZJQmQSCRWB68ewxNcW+hjQ9Xq
ivsDtAYvJ7t9hYwAQRWPDMIOBAJbNzJFskYxiigrSO+gu77MYWDdMxggztQ6kutQdTsHbOq3WWt4
U5qy3AzQWVKCE74tsD2hr2vcdR5PYs3+WV33pNNmKGwMe1XRqdq5fSvpx9sTQ3xBy+dpbnxIgqFB
G3ekvP2kaqIkSnrMmW4Vzr5qAe1ROFOlhDQMRXnZjnP7ua+8a/iI/iZBi7WjQvePiTmOSDCiCj53
Lm6jUl4pXxt73QKn6uMrXNgHXSkfUHzQafajpL72YYARVIKObWjw5Wg0YhYkvAo7Wd8w9sGAtjLY
oh8MN7hi2sGmyGH6tkawvUKYlN0hOL9UdbzD43WKGedpS/LMW1HxqTaYnheT+4qDSmxsmylT5Cfh
nTVF6kAXICI+ANg/LFWBRkDQvY340L5fbifhp5+rOTk2fv9aVLhSJ58OpVRyQPjLJh0iwTbHN9bb
/KnX7sDbWAc7ZU7XttE4m9BtsdIZdAg2WqZ0kaRpAW6otHOPg9+2SOnIk6NAFHqQCVhWqEriga7s
10GFH3PHZPzFe3d28mk84BUh68JDquTn/pWCp3sTVtxDyKHUCpnT6WMf5d6xHpk16YZNG4XtDBkS
0kTZSuOqsxy9sSxMNaNR40kiZSThhfaMe3Qg9T05BndxThEblHa/85htEv6VWhujEvMxzDAmWm5O
AMACdEikuTInD3zXMOSXuSE4BAZ6Tyx58znU+FCtLrxylx9VW6QqcIBLNmYup01MNVflpGcobGR9
APeEf+kxSnMwrx7a18QaXofEWiBRVO6bKUo8sDsNc05Z5JdhW6kNfK83HMsMaVxpPhQeewFW8kvl
RJy1rHw+yhD0D7i2R18lf7TKrgpoApqW7Bb0rfHi2rBqKhat09g7cJE7vGqbOo2ih95mF7tIh77X
V1NDmQSnoIH5A+9mCF607gNnS54DpI0Upfyq7y2bfRfEYjAM5E0aIzSCoeLo4VdUu7U9qJMCWhR/
ZPAR4RfzOQgf0mkoCUM2zaj+HBA3dUGCUt4+/CFM+EcKjv+ZPOO6+lrct/rr1/bytfpZyLFc740R
kf4zsezP62/+b6aMiV+njGlUR19ev/zrtfjyr4fy82tYvhNsLH/7u2DDUOYH24es4lkmMXSmhb7i
T8WGoawPiDJs18WwhcbdX9KS/5RsWNYHadtk5SpLAe5GmvFvxYZlfjCRDALDkaZimoQE5B9EjnGJ
H/DgjkMEBFOv5T+EMchBOsKf/5CNaKLwGWu6RBgihm7f943cEl/Vbn5QsPyp9PmR6O8t/O/vAqBF
wOIoU6IEQfwmHLLLEaL8BJ/XaDsMteAs6IkEDzH5hHAsGrrTK9o80ac0sjlZ44mr1cacktFC0xwj
sSI5Z4QbUjBlngMnRgrIQAqQ61yqBtp0R1NdqhZ+CjvZyOZhd9d5T+IITjNv/ExONEQSQxopOa15
S52EO3UnCjQym74m45Na02o+zU6lb/Rkh+FFo2ZYtwH5ILdLL5OjadbpFkepD5rAQTKJFNkME+J4
stbrjolb9ySxNoQ56r4ar5jc+2rr19Rm+1FNNZLrwC7OOCyJ0kyKosMVMgeRgsrH1+MQ58/fULug
8qTrQxqaEcWPsWnhacI00T3WIiPylkNKzO5lFNO5YweRx6nR9lEk6Xya4IbMK5ULmpDV7NQUoXUG
J8GLTc9Zl/Qzx7WTlkgFe74N7AG7oOj20MSWDryoSC69ixrcyG1lG3gE0zkLdrJYZh4BUn58IsxX
Z+hzaU4KBN7JK6Onz5Ay2oOFrkbvy68fk58eRsW74AiUSy7pd2LBFr1/GNOcg4lLawgERrOI2mZM
TjLqfkOKt94n3/EwLpcBFE+EgGcJ64/E2x+eedqhXusjrgReUAykxLt3TY+/q2zt5sJjuE1vOQgu
rAT7NK8t9KEgiX/zGXjp378PfAS52DksT/qS/3//TcOkQtidL+4eJ2ous1HLQ9zEgiZPVEHPUL+L
NH+fAvD9K7PIcFVeRRaVn67X2iB5KICMNTDECmyP024yBIT4V11r/+ub+FPY9R/XctHOmFI4PGZK
LAKxH35eLP6QQT0C7XB7xMa+FnHzbEy9Im0GoS5tF1k4IDvLBHiNcpqbMjTNr0OZx+lOZok8jzTi
vfVYlP11zTAACPjst2j7UdPSRm4pHAOJ7GJT8fp4a3K5vO0I/eCiEk16y6zbvUxUqa/+j211/Vfd
kq35L3a65l87RFivC//x/4FNz+FF+e91iesyLxFi/rjPLX/h37majqQSct3lqV5eq//c5Wz5QZC0
IdhjyJj0iFX59yZnLLucYofjj312NJSy/97lDEt8oN+N9e67zFG6zj/a5pYH/L82ILJcFH2fRfto
Cz6f8pc14YeHUtf0KuJUyVUVdlrhXXKmQ2t58103x+adbENnFzBOtLY2tp83k1qO+TPTUFE0WPcS
jZCuLIpPYOYQ+tlgJSIW8Y54SrPABx+R/pPQ7sjLm6DRQAx8J3IvqVaDcj3j0hip8MLuYUBK+0in
JwZXLdvsBYxRfi4LEN2cgbFvQuCdqebJOfLZrucNq0R1ifN3fp4i18YrlNrw0JpyE+fRxzo0yydj
kKVem1kFwNqsLbU3g2QM1+Xg0dwdgqfYKYs3DGDKWP9w7/9mRxfvF9HlB3UkSR/cPyobX/68iEZ+
bk0Z6X0r1NHWA/4CfXJsL0vWdYr+oJwa6wuB9xl7NZKy9dAOI9T7oKnvwGenT5hzOFQyfz3MwUKU
BMePq8Ge43stCDvdlGjlTkmUOfKQYpn6zYd/v/r+8dkR5djKES5eBXup1n58GDJjDrN6YqQgC7rS
g+8E+0JM41YZsbelh2L+pvyx3mfv/PWCywf64emTgRlF7oCRP1c4axPzOscpYTETon2CeAdSkcuh
2B497MWSrITinM0ZkEpx0sH0JIJ+23gap9Fw+PVdfL/hfv9cakl3591zfRAA7z+X0A0jE4vhQrJg
ZNBalCcjHYPfxKn/7VXYZh0l+dmdnyNomNfXjetWPCqc+s+aw9qWtmP/m5sq/+ZHXkpZaljF/uPI
n15xSTJaDIxDcdjzCKeNS9voV0CXQlS6Q/AYdRGm6VjU05OptPmoHUVLtFNm8poiPC5Xrn10OzxU
GDtLfHMJ7qONz0DvqyXAnPJwBpSl3ZJ8OnojjIAUD9DBDQjfqvpDJfzu2pJjnjCoDoEqElD6zFao
TpOT6wbeJsjAWGDlrQvM8Wg0mqIBkZwdoQAgLrKSkTMlksHoe5jW/z+j/S/FGv/fb1dH/TXjdPbj
drX8hT9PZc4Hwp94VnxFhaI8mmT/uV+hGP1AfeR6nK+UhbR0CUb+81TmOB+kxxHG9WzL5a+yJ/2n
jt6xlu1K8k+lp1z+/j/art4vUNTe0J0Vpz5ULMvx7OdsZit0m6aZNKJEIT5xdoMlRlMJs31OyE3h
5v9sffp+PT45Yn6PiCjl/nQ8S4VHnwmsAUbLBYpmBPMSJRKKXQ9eHxcV3Ak/QB3pSpo7UaSc58Qh
Ijlp7fJY0fI4sbzfgQ5KT9hHaeZ0AjEEb8DvArSWhfm/dvE/PqdjWtwyimcLoNpP6yjNMgw/YEfX
satfarQhpwjV4joGbHP64WH5m/3tr3fAdXg6uBoZdK4UP13J6hrLnJsKEbgf1XuOxGovEs/d0rQt
X9zRd76/pnQ2/j76+/3itXwzd1kZLdZkqid2yvcrMXLwGBILe7kAprKektleR2mBciBKp0uEyRj/
pOH95r7/zZek/OJqlsV4XMifKnXiEvIGNQSwJukaayPLK7rPqCQ1Gt2DLI1vv/5NxfIYvb99PFuS
CynqMNKDl43ih22wZVoiodYxBJiLJaEW5etHun/ATqA4NM90wln+eICMe+lWoLeCWav7mqiNL65Z
ZmRjyyrpkehqq9gqOHs4Y40ODCzfYYbYm9jqIbN6+YZo2nypidmGgoRe4J5BsVUffv1l/u634wGR
Ls+jEuw377+Ljmsrc6JqiQswvXOhdbrPObFCq0/LbdEJtf319f766NM+kZTQPCAuvpqfXlEHOLtr
Rkx4HRAIF8RXuUeRJYRj1IChf32p5Ta8v02ey/5JfaRM/rd4jH68Tb7FIIgkbRieUyJXiP+Sg+cx
NPv1VSwK//eXYYnlmC+Btvj2Uuu/vwzBdQZiLC5jKn/cJpWPYS0JvM9I89CJlTQ9SCcfAWs4M8bJ
st1jb59XrQjU97Pd//zd80zBo2Xz8hFQSFn7/oOErtIwyTHCGH1AIFjPA4oFCFoSQ7ANvkpJRQDi
8tdff3mh3/3IXJRQbHLcpHSX48/7i7qD7utY4wMtMsKbJG//KqgNQcslxHQpVLjvTeJ7YVnE/xs/
vKDPouDNEQZiej9930Uy6xgx3xc5KUAxi9yCJAFOFRi5OMPDtNaDL8RVorS46JhUbbzEDVdeABX7
17/BXxY9fgOeMZqi/OiWZS9PyA/rgdVBsUtL2udpHjdwEVHKJ5yNogbcTBj6xgmOkf7Ne/vX3x1P
xdICYm2nFfJHp/KHa6rCA51bY9tFClHtpx6V79yaZG0lob8OXFAbXkkIDQkZxW/u+N888I4tlt3c
4XvTCv7pgW/xR9TDouguFYJMnEnVBcpNKAFFGD+OZCNtphT6dmukizJb623Y2fmm0yLc//p3/8ta
4vFB/KVcodKh+Pnpg4yJh0oN4Aj3WWOVKpDBOOgfiD/w8tWvL/WXtYRLSUthS7QlZAdzuR0//NxQ
nXrROi68ksJLD3VGxAWV+/SbxfGvV+Ep4nWysTBSfvk/faHJiiK7Qze8rk1T70Wcx3dMn9RvHte/
/myKFYu1yhc2peHPVVlrYfMP5wY8f+V6GA3ydM94a2IwCGX31z/bX98M9hRyO236FZ5PQfn+ZwsS
zDyd5FKGBru+HejP7trYU9s8IbLSR3SGsACs0G9Oan99OdjQGAPYFm1Y2/N+qnoYzRsNZBWoYS7C
vckxmN2TbXPurQEAfYvcI8dWCvjid6shTR2+0bv10GVbo9ym+qGLRPzu+28MC6aVdcb0tzHc5gQ+
CqiPV4vuJo7JR9qkVhPvy87syMjpkGcrScQu4Sk+GeghRkbTzmVyBSSm5zA7J4AFbK+o0CAbCnlv
EqppG7uKoqMmIOOrzGvnue6gLB1DO4wuoyYPG3DbTBb3FUCkU9qEidzqySoeef/ageAETDH7yPPQ
y4e241wWgI/g1RWtOFVSh7dJsEgCEUsu+novAp5RCs6eSO7K5G4k1Q59YW++It9EOFBBP2Te4WtS
CeKJdI92dniGQNmjyhIlADskaiMGwNFu60c/Llpkv1WKysRiZr6r2U9QiujKb1dzEiDDsEHrvgUx
wAoqdnyWlFL1M5mmDQkcDREhtRu7B7c27dsZJney7YfQPDTUGc4ZbkD2qSxbHBjMDZgWZtr7aDOA
nDd5FPqb4T/YO7PltrE0W79KxblunMDGjFsSJEUNpCRblu0bhG1JmIeNGXj6/qCs0yWBavFk9W1X
RWRWVGZ4E9Me/n+tb+k6AOrM9qG2DMSVtF4P5O5Pr0vth5H1SnorZyWFF46zB7YvklFZ9/lQI1rz
J7TSUOjmOZ0jN/lgjsEOrwKH1G8KGQu5EbggwBihe7qxc1t7qDL8ZCswnlhUCjcV0RpUcYLiY+xr
cgtS07lRNLLGAK4nKMMLPI3RRduhBCNjIYmQ/sc+mhe3ttuHXkOCsA4HKOKrtomMH3U/N1u7UiVZ
BIlxh3e17qqfmSpgjkZBgfMuHVChzC4hUBFUGdAtaYLVaAplCS7SqbkTRFAZa2bynoSBfDKMba03
Tb+NG/h3K/KsgxQBnW5COxAWQeiS3eo3ske7gHU0jjPPKt2W2L6+0PnfuGUf3bKceo+cd+VHmrto
gHjBe4fiVIvg1rUTHYFHC2HaUePhsSoxPa0LxwVqq49q/4OILt6iyo2HX9RYbDQoeSNvQ7MeMae6
TUkDp3WmINwaBlrOMVRpUalNyGEibgdw9q0FI1/65H0jj4N+SF5n4F9Y4zRa2zbua0AQM80S4U4N
Wyd1g4iQuSbGW+uHY7Bpw6i/ifo0eemmkk6WLoilSC2zv8XpTNTEQLQB+MAxCQ4aAVUAfHmv+23g
F1m2Mhuip8pM0x/Unq38BjRVuQ8zHRFOMPuqso781K1LQz32+sa2wM10+QEdf5QifcoFYZ0c0rRV
ULVI0edG4ZONlhzyiBVWlofjaPoi+gLRq+oQFgRZMRylF9oKmpEarcy+DSZ4O844wPqIKBsNkFZD
9YXbz7araUoaFdPYi5eRAJFZC9LBtmlQHJKZQMhWsTGTOS7cpTV4FTaOyDHm+EHmDeh3pnUWRqa7
0rqcLz40I4LrzaSj9Nvmbe0phgV3uiGHASFnoCo068dGBWxlKn2wyRXgd8gqy/F3rJOuvMLWGd02
ikMpuWnrHtdsnQHXt5zC+q7RlQPPRvJITlCp1m/slPAZCJ3SfWoFsHDPDyMF+FUy3qFSszEHlXME
Rl9mF6Wq+vfzt20gGs+ltWaW6n4oRuk+1iBHopUIIuiIGIGJqUC/C5p/LDP3GW1qOHFQVPsrOQgM
16EzakilQonupe81Cgh1EBRfoqbFyRHhgIcwNmr1dZLCsaJCoKZAW63KuqMHx8xgDXlS4yALiweU
CglWNVU1n8xman4SlVwUu76jEL/3+bzR9iIdXjc6grFVQ+iNTtABfBsrjwgFhPQ7IH7CoAX13MF3
tO4pPXd7cnP8Y2JEZB10ZYx610T+JGlAzVO1CPt4FxKj2uCDCvRHra+cr+Xoqw22QaTv7mTLdK83
vUR00isG9XgMy9AzM/LvMk2ACA/CVsKYqVDD5kTJPYc23C2+yvJn2I3FHyvWiMI160IDEyuoBQPb
yzo8JDAFr6gOhEfVkWmyUTFv0KntA/NpIoEmXkcoY362SQU8LKzd8kgaPY65Lg8QDQqKWTeidVIg
Whzlk21HPw3X5Ugl+YXHCXm0bxJTeL5hAQZIMmOEktIEGmpw/L80raEWD2ZmP9SKkv6ES6niOFbE
kMw8zla9hJ5pkFbehG4Czywm09CZU0OlPZnHKa9CCEwlch3CmSAugiaCyYiKWK9RN7sVDXl6ENla
kADxB68M9gh/5GNYJdIiLyQqNYT0vTNwSs+6LLD3sIwrdO7xnEZIbIKyl10xwlyWAxnAUiDGp9Sq
zIFe8ZRfxyTSqdhWMOPyg0KDiR0e87SqZa4oO232uElq2aMnK0wLIE58/2GkBlPTWpQFhGBTTx9Z
wBpm4R6/Ykk5JFzTcpl+WwlWhA1v6Pgla1WSaoYMc9VqFF0ZbCerQL8rC3XOVG+wGfFPcVSt0KZK
lHVNZkkcN3a0z3zkBBAWEvu3Y0OdYD3oS9pKRs8UL4iKmFY8W+26sEINPB1ZpsGK+kj1TWKECT3M
uZh3o9Af8APQP/2hBF3jrJq6mL7rOFn4noxUpRk12vpL1oGdQERaQgHF2sTU2gIy/UFPTkERlBbO
H0GGRXg99Xb5syNqImNyHI17Y+IS5igiZMyRWg1reg3ijy1t9ZnquO7ZKpsp8MOd/4JNpYBuzK1K
trCZC2haGs/C0PUSAE6W+NeR0+pPiOqbTZpPxc+sHc2jHxKAg4NSr27TRNFulGLAvmgZ6Q8buuat
E9HsWJuIyyT0NBVwGDweBOcViwwQPGgPiNCjAgW8axcxsCt9pmuBmGufizKafphmaHyFRorB2JYR
Rg+trsJNbrf1j74esfjKMGtJhgFNcWPouVFfxGjMH3F+curkxqk3xWDD5Bex0z4SnTr9Glq3Fnui
YJOvfpHjmYg1lpt1r8I99I20kdeSfKrvhulTuXBlXm81SejqnB+H2TDo2POuWlRlwIOStL2sSruk
H4e/dcL0z7+DmdkdXyDlZWyQhI7yMO4wNqyauBNfCFf2IWVk4/QoC5iwXj2Y4yEukJWAUxk4tba8
Qti8Gnp69wOC+zliprC/yr5kZtaG2jIhuIVmEa5reI7uliC/ZvCoj/m/Wk2vnuq+Tr4iv1DLVSpa
rVyp4LYeZqZyfEHr0vzOS2t/Dcu+vGSdC2xkgPZAWMvgIF9jayhdz1Ajy17JFBOgZ/ckla1UTTbh
1sfeDSBEpIG5ggcXhZcqkr+9rNUh2imxAgQPH5GGFsBmQbQy+IlrCcbAZkXRwmstVPUK+TECE4oF
uM0E5h53E7lZ/Fs6AzpHpxqJX5DoiCkAZzK6MqD9ppsqTd17FdSTe2GQahAQIG/WXxrQHxyyXSTi
YjLBUKlz8mNtxNkPQr410ukc96nM1PGrsJtxAvwaqcMqp0nMVqy0J1C3iur/8NOug9GuNqlc6ami
BRcRMRh3dVSokZfaGUGGuMf0owxrQ6x9x8fZofZoYHE9B/1DlFstUP1wZM/WxC3CGo2NgFwXpqvc
VnHAds2SWr7vioApScfi9GQkAOtWUzOWd6PwQQSn8DHgtpWkdNOfAnPPjgBq14CmkS1bBrBtk+jw
grzcLafbWCHind2BXT6h+go5hgjNj9ZIMibg7UEn9oCNEaQWab0bEkfbGKwkyboTo3VRUI7gybRt
dzugWmWihXpBcXaojcRTtXo8Klbf4dzQKM7cGabQUX5OYZ+xkkziGYolrCJgcWSdOBpWByOQVNAH
mrv5KjJ67FvQXUKgzEk/bGqjiWi5piltB7uV7Y8K2LG+Bo3JPfWZTJ+lE2BbMfAQrkrkTrnn4Psm
+DsTEewUENi2F+Q+/QozyUcc5lqS8y6BEvtFdHzqryo/4Zjs6szM67wSpNGkFW15LBoJ8IluGJgH
cNysKjKBieUQiDUpOc/lODDS6p0R+bS37UgWOk18nHQrUtJGwwNW09zYOoSCdeASD7tKsFQmOus9
O3T+bcAvZk8uGCm7z1ZAHg5HIKIU2RlnPMKhmqqLoeir1INND9XD7GyI5J3VDV9jJ0PAXhWQDcE+
JvtElGNCVJhu7yWZ3BEfYIlpoBv6S5f+yGMnVAIjWz5NnZ2+HH76mobunRKX3E6S/SCNhFLb1qZs
MNeELNWbUjEGchuQN68IF7O/jpZFl5T4aFFQ+GonnxwHwgnXGDVda62wLyjWatwN98aIyYucakPc
BsVkPpPbwxZf+ugeKj3LXlx9DqQIA2c4xGCKfpgAd9gP2nEwYzCjhnxHiWvsrq0z/XsLd8ReOway
v5XjiiZfR5Ur2FCpNV9OUECo34SsuWCV9ViVnl+X02PdVAautGqgLwWcVj+INMdKpuqUxtdkCsiL
qRo52UGTRmJXEyDob2r2vIL1Lcu2vVNBM3eHKR6gbo/VNwXddQdDVBXHtBJjQg2s6tDH1/HklWpt
gnJoCWHVcO5x4bkbXrt1UAgvBNvLrtJhQl7BdcecYIbw5bJmSP7IVLg3sOqb6wZwRLeSssIqQokz
/dHb1XDXY1V7BrYJBmJUEN1f6l3S22tIJQBoCnauN1Mwzym9T+Dshn0SuKQ6cfAxcgB1dnix6x8u
0ec1YX95tG/0engCNqyjeB8rYnJrR4kCbyoF5QV0Z/AvWl3lgaFdIVYunPTZQJpigEOFkuDHm7ih
sPBxu8VSJdU6aXK55jcF+pYVESMQRUQl3jau6VyEBpk8bJiN5BeR5L3pAfrKrvEhcbdJFI4OxE4a
LzFKymekbNWVE9l2d8HmjdPcAGjwmzbZ5gPGUuYLBMs+qRKkIc7m04nchbFO6YfLPNxXyKmslRVb
xgsS/rj1DLsZgh/oNQxK0ej5DLxslXpJnQJOeVUEEz4YkbF1HJJ43BcSqRvHR3QP2y6WOKyLqI7T
HStrmnpNn2CdCCcHpUdiV8rVYGBYWXEcipl7oo4zs+KwXLKFK/80WjhTCoqgP4BpmH4OTdNc415S
fsohU36mVJnRSA4FdnSCIXL9MpBSZ1fAytkgWi8reZnEBOpuOTGWvyrMZvb8/eOVKJsiAE9YZoFz
MATklDzCNrXBz0VADr0A9akZHDI0Gnc+Mhd66N+ndV2QdQTvCYdyJeIHs+mN7zUf8bAHMGM8j1E/
3UvD0YCGpgZK8KoOrJKXT4BOLUwfE0sgOYGsUko0VwmTMP93UjgP6GEzdxehR55tXi1TSshXgDhP
MNi6N4je2vd651y7eRJxx7sw3OuVZom1YeBHYevT6r9tK6aFoRVGne9tKsGdZ5dVfAnhpiVgvCpQ
muZFar9ydlQ8Pxgo3a3dU37DAhPT3EldyDttbLWZV2Uk79EICxVae2iMdlgM6m++XVdHGWEpXKsJ
IkOqQVZuAJ6hWjPHzVRPEc4GXGhs9uJVNqjtXTYFSuhZQZJ8p/vDyTTqG5foWj5m1phCUymFtGUi
L8O4Ziu5MkiXJKmxFqZkd5hFvcc/dZpjHxfm70jQspmRZUTIqHkbP2oh4Yk05Y3K9mA5pv0qCGCd
8koqRbITFP1e6KA517jFOXXyWWe/WeKG61pkVujN5UlS0VTkt7z35A56dL/MTaCaVu4ZTQHxmWnJ
t0FqGv6trFJ2NiAaHXlJLSW+4kAx4r5vOVBimDGgZynR1Ovgw6gprJKurBtQ6240Ezs7VyRQ5YwY
NlWrGGvR2TW4Zx3CCLk5BOIFehf2G2vUut+sv3CKXFsLb9BrB+Y+w6KV7+MiNdkB2YSsbWZWM0ly
Vhoc0yIevv+HSUCKmjek/kkqirdlJyeCJoPm8B+5n4yY43tavgS0pp7Kon1BrDnOrL9ZMLcpHOs6
bXSkvZpmzbX7N30GS+JFwWMn6ZoTl95TY7lWFJ3kldhODjJT/C9+TGbj54MulcRz194hf9BU6Whb
qB8X9XJDZn2Lt0auXZTS+L5VbNB9nFY7sEWQfJTU34ORibYwyEibzOENV6Sa/N22BD+CzuUMdzRo
GcywyLeXrphOXeiBCfF3aDWgDK2gTq2bh9Qc8uPnF3zSZ5mHcmgQCIr1tFsWfRYN6aSCdWxWEOvO
lTGnnMiwLff/xih4JuhFzOqLV6HXm2dJBGAtpM0mH3T0tCHORfkCoaI6o/A4vRb2oAgX6XPw4JiR
3t+2CjhuXvKlrruui3Y5kXIlu54Y5tTnV3PSNQLGyXMRtm4bluaYi24ruRC+3ocNMd38SxdyvpAi
MKgO4jU7M9RJ12juoQgwCtTGaLtpi67RmPgUPEhaAH1gBVCvahg48M2vsFRRVp0ad9PalX2mnXzS
M2JQnTq1oJdM681YXJ+e9cSFsQ5Q6Ob81nbszftYWrvKzH9LXwAxotO69hM7PdMje5U8LFtGiCFs
wi1Z9pErvH+CquLPFUW+Ph12nlgFgCvCFV3VZg/UKZkPY/aFMmiUyLBoQYysiCulQYMOdYLePSlA
sj9/1K8y+uUvclxd8BmaYCeWTSwTcErBGUOu8amX90kNjEUDjeH1w/Tcdj3Ztwo+rnqK4SUqTbfv
jCq9cI16WCN55wAHmnJLht2LO4Tl1ejOnEnLT6kf6Ll1ZsI8ef0dPq/547IRRKNvWvTbRNqr2CBa
crG0YfiaMqI36mpy8fkd+WgUhyYmKoPZXHSiWiECrLSIcl4bGXSlvLC/D7FS3v0bg9hivgpEW5q9
mAC7lg9LbeE3Y0sxLnoh09tuKpxzr9vJh8wdc9AtWQ52LhvFyvvXrdWHqstyP6c52hoHHST4Fgus
C0SLTOGaTsBKuJW6tXAZ3bWzs3aqW3w/mgmuMcT/f5GZWnTl1IPyUJid8+vzmyA+utVYuDSNz9FQ
NXvxQLVuiDQSbwm0yswXNQrkj7aU99bsjNChR12mNWCRyWypgti9DdjFIXGeuML+YAVgSwtjoGoq
4v7x8991Mj1w11wXyQVKKQQ/6kLnUrntaFBqL9ZZKbItIEiKWp0IUNZaQM1l9xykeQbGzX36fNwP
npYxvxKzXpMyp7OYHDiAzF4EXgpS4yj5+w57R5+SKziuczP86TaANwJjH+o9XAwGDbT3bwbF3U4B
wEObFbPrpiNRzMvSUd9k2Fk2zQikuAsi90AMtI3VdiKN252UM9+zNr/l7+YefgSyntl+wbLJbuj9
jyD6gZ12Q1cAg7G/RoGpbaCZZStbBX+a8tjBSQ7uJSWd4VepNNpP3R1e8FwLJD9UjKSmhMeETJ9N
KKV9i/50GlZQm60v4UgJKygrRXi96InCG1TD3Qqg7cTqSvWcGPWDF4YYJ83ELAKgR18+OGqpo1qK
Fi2HMNpnM4ice6LGMriYZn4/2b7yCAkyuRnA0p6ZvufHtLiDhPvOOwLEkKa+1OdALm5KonCIyWDk
373jqzsVEew9wh31Xo7uuU/jgy/WmvVPCILQECIGe//EchqvpF5rGQmHUtyja2vBrBj6mav64EPA
74LBFEEdApnlvICmIyLdkE5szoP9oua6ZMYKoqOTlOLM9lB88A6ynmD8QrmCs9xcvINDY2ItaysI
quBD1kLPUs4gYwuKSqF91RAa3PSqoKCv8q1EGiCZPvsmIv+arQoglk6emXxO7zAGD1QlmnjdeRnz
732zkyxTCVSxw7VpKARWGeBa6G9mwZlP7/S9QaWDcIVNJNMAAqH3o7hzAIfON7QO0iF6hMOHvbRy
+wuCCwBb5RRN/u7UxnjYJJlodETor9acN1eFEZP4MI3xDC2PtrVBD4IqvL8Ni1r92y8PQ9kkfs1/
41VdXBqQvRSgFRHwdovz35wVSVPiDHszcuIzQ33wrGZRGtL6WRaJPG5xFxO6WXbKG9OlUbE14arv
wk6c8y19+Kxci0VSQ1ZF2/P9KI4I1WTouSCf5iKPyayucmpB62YwaM1ZSXdmA3T69XHn3oy3WIaI
eFMjB9Dkuqva6Yu0HJgxQo23ZImck+1+NBTu6nmhxVEK0//9pVUumWiK4NKYq52VYZBjXsNRulLa
wDhzQvtoKBY6jEMI7ijMznf5zRsIFaocREczKy4bY981CRnUQyYOhdoo3ucvuzh9YujhOVY4JukE
HHPnQ8+bsTITemEHvACzjCZ+A31FGWvEzm0J3CHeFkVlrdvMaB9IdqXFXVfjdt7uwxaX/jo2Swhn
ufQdj+Q2unQRQHkPZ4U480mevrzzj+SlEojYXEzu73+k2rBvLFsmWUzupTdg/IO5rrnbz+/F6W13
tL8stbACmNQXx28K9oi1O6hbeNezXehnYHSlNXlGYsozQ50cJR2cL/j72FCz56Wi8v6CCjJaUqwI
5H1BSkpICPPtb4ND63HEk5+vVLCuBLY547ld7AeXaNCfY110DDSy7mJc30V3ZLCZXndjb/mrPAiI
WrNFc0Gk4JWNJuieh19f8qpPB60zuqsxgf5ZWr4PSjdQKUsVefGk0lT5KmQ/nXnMp78O4bPFPguP
GfuE5V0J3GYo1QbBAXD+9ouiBsVNOyeWhYQ7n5kOT7dBLocy3ic0/zwAe/GshymiJVgkHGPtqkOq
p2db2dR3LLrVQdMSZ9XRvh68XjXOfXGn77I779hZyZglVepK7x99PMP9ZIlCuZBG/eD0+njvVBP5
cZ+/zPMFvN9tsbvTBdPI7BkGk/N+mNL0zcJJBrTv1FsvpwG2oN5S9kRo5gyzcI02Ytc7/V6hTLty
CbI88zA/uE7qMmyXccWrnILnf/5mYknqSRBLQgI0e2lg6kUbzyEYwZfPL/ODV4btJDWg+SDivFrG
3o7CRFkhSmjwxZIFd9+M3R2GiOy7mbLefD7SR9fj4kYRGHlYqa3FRDnKQIl6pUPvQYDn1ieH9bet
uuXXz0f54JyJYBzfArJ96j3aMt+FOCewfDYXVKFyTxG8OOT2jRCbQLEGG6tORw+QJHmxuk8Eg9X/
acza2ZWom7ZUZJANkuyC3qKJvc9/2EfvE2/UfABzwK04i9c2EaBfO5p3azlI87pGMbXOEzoaUw0z
llK/wVHc8vNtaaVybbpSnhn/5PZzS3hhmJXxOPEQFjMXk2Plt3NoRhx3yUOouMmNDYbszFdzevvZ
Ws+GekyLeDfYcC7eWqVPaxbkEDKoqQG3bcJwF/c+Gr08papvJYlz4cbEagQCedomC6dfhgjBOqPE
2yhR28D6TO2HkP7LXzfgf52m/2d+l/57p+n2+em5+tU8P/3jS8Pf6n8UL/94pSLl9DlZ//4V5DT/
OX8ZUOkW/F92aaajU0/CPj9Xn//KccLehZNUp6TKfoc+xryN+39QIMg/9FuZnC1mk788YP+McRL8
E1YkYAmsTTx+ADt/Awr0fvGnSgN3iIouVSSMDrjb5jntzcyIGozuU5knN2odrck92wCOW0E6gD2P
1tb9+uZu3f415b+FA73/cP45GpOwRdQg3kB1sZmciAVWRr6Zm0LpLqpW3xjq9d8cgX0ZuX42tlqT
msLyYD90UpZtnhk3GPE1IgYQJbqEUZ/5NE/uGomr1H1NFk7K4Lo+r+hv7lrm2ASX0Fy/KXEWrZLW
NDayytpd35bhRk6IFBxKGme8awtTEXePXTF/wfcyj3zCYWgAVZWoweub2m6Va+HnLwjoCcIqXIc+
Zw8SThjBHpkcgNYJBhdxIM6wzjuIh5/f5Nfi9r8W9H/+El4/AE+WQxVssaCzm+wVt9GrG7AvzpbI
SUFiTSW+K4j4Lvy+CTYu6LatEYHnnaBXIoshIrV3OIdJFV3SMCTJhpM0+zyTRnkXafomH2V5EQzd
d4AQhdcWfe3lsnV2ZJd30YrOaHdlUYm6J/t3DlgIi1nK7ljXql9Yd59f3+tbcnp9WHXZZPNhGIv1
FQz/qCAor29k6FZbVNmPBVWdFV+w7RVBA61wKPW7Fsw9zgc7PJBwZSNnQnbso9jyhBaNG7SGX/3W
Kb5X0hhvUTk1ngVRYC2Lrtl//nvfn5vmxwHUwcVax0FBEFizeBxZTjxnxgxzQx6ctaPia28HejiI
2Ht3Y1a6PPP8Tz5jyo4aRTOmJtZAipDvX38zRR0wIbC+UaNoPWHACc5ixBb9lfma3o+x+MT0xurH
0tSjG1DCh4mwsC2nAy/YKGvei5VY6xvtmvaap67Ovd2nd9OeF3eVnue8u7Dnq3/zcZeqYgXDZEZk
tW2RGYMIB1TtjFdEKJ25j6920/fvGUPRxmU6x36rLjszWhMmVULiwg0I8F10H391j/m1dcn7Lr7H
19lK3eXXw1Hb2dtyWz8Ez+6Ne3coD8Ue9u64Mtq1+YLyyD+e6y6+32D9dfPf/q7FC5VIQGSE5EWA
gq9GkQBZtjZK1ew4im3jiLj6DJ9HeMaRdvJWUaWf3f4U8ZGh0Nl8f9+NSYGm3UbDTSPzF8x2O3S3
/0Rk/Lf+35Nn+zoGm7bZkg6Oa7GlEm1dUhZNB8CeWJABrZgt049xOyTPn3+Sp5P1YiTW9rdvES7b
2LcqRkKl4hHecRF7f8w14u/juVr2ycNiJJvdAnQLjqvUZN+PFIwZ8nWfkWLUprrfb3uJynn81U2P
ETHjNCZW0j5T/n1/ZOUFeR0TMhFbEVx8M83p7dUZ6aSDSy6hF+FijTXqabYDZPbGcb/UKYYLeWZZ
PzfecuOgNLrbCcYLgdeoaXHTTfk2EC9W4+8Dt7zRkjMDfvQyzr1uvOJst/jb+wtUSQAaKEANN6IP
B9DJjrYmzO3cufTk0VHWxR8JyAYPJmX0xUQapEULR76WBxu5URjWHmBduPT6ugiJiWsDdJrhHkLy
me3Lyd18HZadH3s+Ki9LBshEbLkxxFIeFDe6I8R52yAbnux6I7Xip5viyGq0M1PdB1f6KlthStUx
8C4rltJWhOHPVypzgazXp8CMm468wkklD1xDLGrml7W7//wrPPncOaBRHQVnDF2Fs/JiEcmQmjZ9
aY2HyPC90UDWX+3sGB1+mf/5fKRF7ZLzL/52MRuTBYss/108SgcxgBHqk35j3ChH4xIZ4aVlrrWv
0K7n/siu3OQbkF6tShHkzOOc/+i3q8hfQ8+DCmN29M73/s2CNRRoI9za1G+mwSKEaPRMLHsjNOs6
I0iZET+/1A+HY/Gnw4s/mhnn/XAuqUT6ECgQ6B0VH/kt1ZBd2o9Xkb5JNMkp6b/OV/8fJ4bXa3sz
2OIJWhF1lqh8HezKUX4K//7v/vkG27v5P3zk5DwsLkazy0aPVEu5kb3fkiGA/WgcFefM2z9Ph++f
kEFOLm0V+h20CF6DdN88IUNUItKyIjjkEpMjTIKfRZqkFzGo7O3fvp5X3CRrKGUbd1myKSiZZIh/
o0NTx9FNaOSO14V6f+YVWH5XzPrWzLMwOJGwUXqFoL25nkCMU2QqY34MFd3apWjQvk5dKX5HWIB2
Uk1/fn5Ry/mK4WwOqiZr3OxXX+7IjIpAown71TEeCI8Mw2Of6St1FN5Ya196mHJtd+Zz/uAC51rh
/LhmLMpSaFfKcJKx7OqjrqfFChzA3gwmLPGBfYUG9cw7ePJ2zPIc5icHWg69qiUQqEayHQx+VR8b
pmNDxw4dG/Zl5ppXn9/G5ZrGbWTHgySWbbtD/22+6DdPDchhnkY6kUAIaK6i9ipT3d3/bITF1zQ2
CRFSPiNI1NKTenSwm3w+wgf3CiHfXPmDlY80dTHXlUVna13Q1EebzRvBVFq9V6LS+3yQRXObyXy+
U/8aZcmXy0Q9+W7CKMZDebRJvnhMyFGpV+5dREjWKn3ufa841xWdb867SWIx6GJvag/pCJeTQcHh
NLDpxQaDWAga59x68cHnxLdLQXEGDOEWWsyptavI2pnfNyLsOJMWt4av9JiKQ/zk1YZUHAJ8u6fP
b+ly/Z/vKGolirWsx7R75nfzzbsXBiL1a3eqjoQ3AFu2D3p8AWmvJAgU/9pZ7u9HwzloU4BbcESl
Rf5+ONjOYCdNs+IBmhflbYBNfKtfTVfJTbCbdslev3Qvp5/KE/ar8rl4/PxaP/rO3g6uvx/cqLK+
mjoGVzNQ8sUt5oMzL+hHTxBdrzPPwqz5J/UnH8NJhyH5yHrihRja8ftCLsIQGBvTwR/zn0UenZmE
P/gozHmKcuhT0Xo6OTtR0HO0Tlf64yCEl07dLVIUBO61Jwqo03jRg8TYVsnPQU020Dqwhpsr/xxZ
5/T7N+emN3Adtq+cPBbvkVLlNMOqaDoKbFZ25XsNCoVzgrKPLpUVRwXBZbE9oCz6/gnKyhkibv14
FKCS0hUWctI4tT/O9+HQr+Tv7lv1APL/87fmdMnhyt6MuXhrapHI3O8DriwP1lW+zXD2ZjmFD/P2
84EWYtp5dqM9BQ+VdZsTHPD5xdVNERXNUkxHXBxNhytxlTme9mT/pGueZ159rT9M9ubzQU+/ifdj
zs/1zfdPeJ0WJOo4HUNdeOrwWDbnemILVdzpZS2WN11EBAIb6nTUKRXpV/IG89eGVPuVeqXsFS/a
A2DZodqPilW0r3bZS7hzvzr5mU/z3IUulsC6Jj1X14bpiO/kUiNlwyrPHE1fN9jvFwru5VwiQYTA
jnUpn5k0O0GhWk/HEdvtytqRd/HUVXsU+k616nfpF+fLQWyUO/WP367IwL2LD9W35Kv03I218q/a
M9uKk1LH6/sEKElFSodJYtlDmKjC2tLM1GPyjaoDpTkCUIF2fEEra/84d6T78Nt03oy2eMyQmrXG
VufRXronU9+bcucSlUVsDyDXZGUC27kooq1/5iAiPpp53o67eLB66KD+7Rk3e4nuzS2QFS/ZW7f2
Vfglug6vSL1XH4czn+rpPM+TnonaKL8oiC0LuypV8zFQGFN9MexrFEvZPtW/sFjrZwZaYotf5wSE
ADYPEV8NDcf332crzYJVyxqPw/dmG/2yv05/4C3dg2eIrtSHsfJA8iAdhYDifG8v/v7cMAsjadlQ
BkFO+H5sU/FdNxr98TgB2hiUtTad2zWeFPTnV/TtEIuHZxspLBRycI7qJYo9b9iOL+V1fq3t6ksM
T3tjB7DM2OiHPN5jHWvPbFo/mhPejr7YcI19mGlZFU5HUM8kxQzKVrap9e8MAkR93rbO3qjFJTop
Cq4c5dlRwYFW99C1zkksP/oCUIv81wiLyyAxWELTYd6pq29TlFylo30hM/XM2/DBOkilCPENuxuq
jMuudxS1GOLnabx1D6RKtf0jSfOiPLPazndjMYeiCUQuSkdk5tYt3vcJX24RE/J4CALjMNs244c8
bO7G6dpVjDNr3+lmdN4tgRmmV4isbXnuIul9FLGbmwctdjHkhQ+Du1ejKxdbLMHpuPNyb+rOlRw+
mCcxqsF1YxNDq5Lm7vuvSo5JU8WybQ+4xC7KadqPJAf7jvLSKvvRbjZZYwHvyLdd9bvTHA8zKSed
bvv5p336MGc3AFJ1mtiohF8n1TfLvhWSVVcl6nCIfDoo2mhvqf3LNXHCX2f/8pm193Rngy5/hv/z
V5w51MPeX3MZJrXSD1pw9DmKrobG2BRKQMJkvndSH6ucuka98lPVQsgI913Vbko3OPNinXwkdHQE
HL+5WDErhRdbR78j6RjTl3uIpMM3aJR0TkwZbI0kiM40hD8cCikKAhiMkMJcPGE9lwOpMLp78M3J
3KRp3INv8Z0VmI/k777CnLSpKOE2oKk+y47e39h0aNQIdNV47PFVqHSChvA5Gh6gbVyrBMZU4hg2
Z1oMJ1/NPOR8zudxzh2yxXxmSF2rEBKMx1qS/GnmFwMylsjQb6mgrEetIRxn2k19e+Ydmm/au4lh
rvojZxdzZQvG9+L5FVFpA4brq2OnSejMpD5fuSmZgkMINjWO1UMEdGDfWWNx5lP54OVl5NmlyCdr
mMZSHEHHSwZOKkls1pJdAcTPnJOQBcfywAx/09jZBLG6hS3Hi7fD5SJWVmedeXs/uHruKcuHy3uD
Anf5nOsKGogtq2MyKWqHCMRICG9yyzX95PoJnz0M0aYUt52ozlUlXi2LiztPbYDPl2mLo93S22V2
ISwIQpjITVTACLqWku4KO3GPMEVz2FfaeGW74XQ1ViPI8rYihaOZhMd1ULSw3WFNiOHjSHyaBxxC
J36qMwBxWNMWqFCwnqp22CeVRfYxmsfd59PcyQKP45PFCkH2XNvgrX3/efhTTiJd6lfHqHdBeIK2
9QZSq898EQvzEV85w1C449hLk4FRFk/HkCXsdpcKURy7bJMaUW4ss/2eJLG4gicQecY03QU5MJA+
1p1NjBr9b/ZoX38BzifkL3RxTpayKcr9MPPV+mh1ZbufqjTfDr2Tnrmdp58+BdH5I8DJMhcql9fp
IllwfL0+1rVlbFRnyn71fu6uLdCQX5I0add22EYXTpf2B5Sr6f3nT/Ojj4DvEPcz087cFHj/NCuj
l02bWTUsgJmVl0vdg7+j70qacaLsY4A0CvU5gyDVzwee/+DFF8B0jsscEKzO0168Ro7iD6Gf9NYh
maGLrfuf7J3JctxMsqVfpa32KMM8LHoDIJOTxCQlkqK0gVET5iEwA09/P/CvbjGR7ITp3m0vymqh
KnoGIsLDh+PnaOJCbYYOXDDKpmiJaJd16vz4S5uQIKPV4zA9A8k+9+94sTldLXThQ41b912SPsZD
4DFm4yvZE9RGG97l5MFa2VqtD9beHBJ3hIMZ8kKeUb9x5uamtLaa/Cef8dXM0mlUeLOQrTleUjmH
ttKlunrQDdf8FVJtnFzlY/fl/Id7fzF/rKxOien0bYuOrHroxXhZlpA39NdROG8k1ydnkbXAKYmK
Eb5lKaEer4XcKA1kRDwPQ70358tJux4RDmih7rlrx43jdxKsUbRcZsop8RGm8vod25LaKQPsP7Ki
59z0jGw3PoXa1fmvdnK1FxtwpdCQBcEIJPLYhpIOTgO1inyIdGdygyZ9TNEUhT8GPTRkL5VSdptJ
vSrq0D9v+PR5Pba8hpdQHIIt1BEy+VFH1blEuxwGcGn+UUMhXcrWRTM3vmpKu3b+5nSyDyH+Bg3B
8v2OrvfyC1C0AFmzkOGvIxpedztFUl05OFa2t6RwFzlfJhh6u/y+RWd8Y73LxT2xtnhpoILE/+t8
sCY4tSKmDQ/ZyDSnZV5UsDI2kQq7avKkj89Bpj5H5WdjqPxBYkidoa+pzDaCmveOFAGcyXINQJ/r
cdkiV8oUvnnlYKBE2DTftBzOuuanjCLf+eW+d67AaRBB4bDQ1FCPz9WcOnZS17Vy0D4n/b6r0YS4
KX9mASw5ByA+5429tyqgsrDYL0PAtCaPjcWyMqGdoWiHorc/WbN8M4zpx7bOn+vU2rgv73gZMBp/
TK3u5JjEY+yMqkavRv0Umuq+a8ebEdms8yt672guSQsgZSIZvuHxikRedzoquXjmRE+9MHGegx6K
41bvnrR0uBRmvAV9OS3JkJsS5cl8Pk4nWfixySovujhVRHuQ49x+zhg2cvs6n6819NG9MM/rK9zh
r0xOrZ2V6uVuKLpdH/UfjMqAd03mqQpiqC2hJvw4ZXP0sUqbH6WSxRex0fRfzn+e0+IfXCiAO5jf
ZbuBPq523EgHGL7brOWV7DVIv9GAZmxlV7a94YU1LlknFL3pVUeC2KyVd7Af9btJzB00kUXkdRG8
vnmXw9iZOer+/I873Tvm98nOGN1EJxbg4vGHRK8uhd43I1qCeXWntsmHpI4gzjLGeaeZ0g1EhdXu
vMlXAOyxc6GeRS8PtCkARtKkY5tOBFE6pMPBYQgm61tod9HPIW2zzxOkQ6FLJX74NuaaAwsBBKVf
yy7WTGgvpZSyMP2bzzCTxWhuM84KWxWNfeQig+QxzRLpWyVkJSftscAFS5MTf9NiZYZnmEPiuCGs
d/dJ1MKFyjT1fD0krXGvV6oEn3CYNbbrqBlsWLKTBg+2nkr84VGdYR2FLPe2kKBVdxUlTr9SPYcb
IbUl65ueqMM9IuMQsLZVN3yfGoTq4VpM8geZsjZ43czsnwCP5N+Rza17Rgzz8DAOtDP+0qvQkgVQ
wQOsLIV0huKOv6lcQWTGHRUHXLcfjmiFh64WMUAzXJzfvbVPWRtaXfZBkodGExjqbNlvpd6zs4MT
jBvLWX7u2yOytrI6IkjvgnRm8P1gyGBoRbQrUTM8v5DlT7w1QYGA2h1vHCJDkGGsS4W6LcEnqCT9
IcuT2zDKr/oYnmgYMEwPktot0P96QbRaQTpyy5ZJSeDJq8+WFEDYKjhCD3FEZQfmAuhdbPD+59d0
8pBRXqXAQn6FOgOTeavP1pvmyCh0DEgj6nd1M0Ai3lqfWjHsS0tzp36mHWkX3hSnf3kqyLMwvAgP
gSIH9bhKBOzBHNtS5CSXuumWdeHCsgsh5cbylo90vGVYAQxAeYPPyfN5fMjJ5wCxaQVFDqn31e7A
hJlbguA5/xFPt+rYynqrIBmeFLMkTU2yYpc7wRd6D8P+vJHVfBbvwfLFlhSR9ZBCrWvInTEPcmQn
5Ilt4GeJdRCLaFH7iz6ul87VDlrDy8qBJgyxdl6syUVeAfqfebis4Ps9/2NOjw2xD91j2m/8rhOi
gCnPuhId5+hulDKvcMzrtIT3KAUipSKia+hMlN43qrMRdZ08PQy/MKzNFBzTACqWj3dTnxx9onUU
35k03px9PF4bM5oZV/mX86s73U+eNoofCyp8KfCu9lNHVlFRCym+y5RW2svQzLkw7GyV/k7qK2RY
pD/q63zSK+bweDmhmcEwHqq8pBCmuHqqKqB8hmnfK6gKDJa8MGrqlHealwZSUxrJ1Rawbr1QfsFr
44OIT6YCtmgVvm2Tw7wvuqJQ2kMP9Norp3yAHjgvN4LKLSsrH6PAKoHyi9weRic8GDkAf4uJnI2z
8Z4R5OZevyk145MhySHPspEa7kELTZ7NVC6qR2lW5I1buPzWtw5l+WI8lvDyQf5hcimPv5hF0GOX
8esltIq9GOKF/laqfXW04z2CaWL3d0eRZ21h0VrUH3FUJxwrWqUnyJQo4hCaPa75tzAezxtYtvho
Qa8GQCtzEPDHJ5Qf0MiUcm+IQ2aFrhMTx9Aiip7+Z0ZWjZKxLjgBUF8e4mLwEgE78mdhbY19n5yA
1UpWW1OkRh1CIC4OSvltAEYZQ0t9fhlrr/fPZvz5Vqs3KxeRWY3oQh5gg4QatYEKA5ZzutRu0O6G
rWbW1s4s633TzCqD0c4AWYlDrj0oaeWWww0FjI1rs3ap6yUtP+KNEaXSpiJZtr/6wXrmK7Q3R4sM
fcPM1t6sXICd913LSJI4TP13DcBhvJUibH2sZZ1v1qHFzK9Koy4ONrV8Kb+zjAfF/n1++7dsrFLI
LJPyOEFV5RBO4IHtFy1/MrqNiveWjeUIvlkH/MTIv/QcsSRn1AwmjBrNm8129MZ2rAGnw9wkTeWw
kh4BAqh2XaFvaQGeOMrj27gefcoaFlEJVRwsJbkUFvpS4KjVaqdV38/vyrsnmPEA1V54SqkkHn8x
uQ0iwI9ce1KLnU2vxhi+WVCkWc6nwNhoiby7O29sLf/+ZnfsmPHLolxSmdrxOuuD0j+aeeSfX9CW
kdVdqSU5zgZ18WM9UgrapWxLnvLfSf+YDfjz2VYXBrZqp25erajRosOEKIHqYtrrir8/0gAoaW9Q
iKRZrq3WY0oqBEKSjPOHV01HfoF82S3GDSvv+GaKSaCJSGjhIltPIgj4GYKqbsRBc+gYk1y7FYT1
CsqudFU9eD/+epMwR0QOJo6ixEkLTmgB/fiB4y2+zpSuYPF2mYM9b+QEVPGa1L6xsj5vo5FlFIPE
QeS7JXO5re7S+wRNusptoID/MX+M7qHkO2/1nfO30P2SYSy1AWoEx4c8bWMVKZyO/XIyPwiGX2bX
+5Asb5Sn3zXzpv6weq4tmwo5nQgCj+RlBOuVSbdp9/P8Ut5xQkc1jtWDrepK2hoSNpIg28v6fa08
Nm18McNjfd7Q+zv1ZjWrj6Y1ydC3De5ugNhApZ3nzvb4sR7UZ4Tk4D63F1mJCxrSnwyYyjMnue4t
7aKHUf38D9la8eqNssqUsuqweKik9YWt+lrL9LqsXtjVFo/QSUL6ejrfrHn1Vil2WiqMqIgDMnao
dxcIPzw0n6zL9DHIPCTo6INBulPug7+T/qRFdVy6elV8fOOGU0XK0mExrCTw7qPH0U/35z/jaW62
MrGOWLuCkslSHYPswHnuZlf5DuNq2jJz5jvhPt9S6d7YtzU7Vago5eQAhThoo+EjzK3GqLGkKKQj
HHd+aRv3bg29RMsQ7xljKVbFTo+v0RjaK+nT/8zI6lHO8y5EI2DZoWK8NLobLWqu4KY7b+Sdl//t
7V5PBQdSgxaXxh7J+XCh9LU7I8SndoMrpbe1siVt++4D8+e0r2vQSlXHkrF8t14h+oeXroEdbC59
R3+0Wu48k8KdsZXTbB2LlVvp5/9jFBw7buWA5pA9fpmbjWGLddv3nwtFz4zB7mXCevkZby6Uw+Be
0bWE521R7lNDdilFuyYgZ8up9tTpbrv5y/m9e98ilHbk0fxnfd7hH0tEns28nxUigknyoSomryhm
0Eb2p9RxPNFugY1OgOP/rPKPzdVr0MKUO5gRuXShIySqPY+oK9ha781DDNsfxAvqFXRdWnOtbQ6x
nuwj054gExeuUBNRnbUQeFRaZtaoknHbVl+1TPgtU7mlUfpg63d/+WFXllaLRG3L1oc8NG9r+S4Q
8pXWsMCEVLWNH9vK8mkvbFzD19LKUQlhZXJ12bXJHEwEac1b/cJXrxvUWDx6ZiMsKo0LkMS1LsMd
/IVu+2RcT+Ynm7Ghm9jf6mecdPi05WcA4GGERoH0TV81poRUzFk/8zPip+Zl+F379VXzqf4c3luf
ql320l11n0tk4VxaaP5m+/vdDX5jfPVeTOMwB6aKcfPjQMkc/hDFXdTXG6+/afz8brzIHtEdHn9t
0Yecnupl2Qv2FmANIecalplquWY3TmTejrXf9+ij+VPr19IubndB6xq++tHcOGInfndlcfXuo1c3
aWmJRTE592rxoMzxbgwRPAqe5mhrW0+eq2Nj63aj7EAuHCE3g0f3M7ve2ZbwR0e+OH9rtqysti+T
5iKoU5ZUNvswqXlBQuTNfpw3cuLzVktZRbwDyGQtN5cDGuUXKroNXeFcavW4q3PIekTt2gwsnjf5
7rEEcc7BgPSF3umxY7fFXNMXC5DssBEGzlBjT30pu462hrze/35/7KxcQJxlaj/PtnEbh4w9abeV
fKGKjYRhay3Lb3jzSA1lNitN6eBDy4cM7UXNQuKLAavC2HBop4Ht60b9Wc3yS95YmgNZQ84BS4jf
yvfOj/ZzgQbpB/Uq+979GJ4hz0DNvtuKare+4eqtH4xxlGv64LdFs4vqwU3nRWT88fyB2DKyyg80
oYRJZfAQ6ZKzs+N4n+S/mmRLZP7/4ZT+fMGVi5BkYDiOyrmD9b3XD+j3OC/2TzIf84sk+128N6uN
G3z+dKhrbtGyAcFNKmDcivJCc24y66Fh4CDdwpFsmVk5inmq9AhlcOPWCCtPtVBrm56L0Vedend+
o07CzaMzeNLrkhnDSjSU3G4r9H1CF3+0DIZfwFkiSx6iB+etbS1r5SdaWZLL1ObrtfqPwNSvK/Gd
7N8bas0/b+g0UQbFBP0+pSdkeGDPW3mKXC+sokF89HZkfi/pvfzTCEeZG/9EMc90P2cXW5N0yx9c
RSeAG5jfZx6ERvd63EufgJHX9IZvHW03oW0LD//fZlTLkuiHGkAZYQFc8806YMXR18SCDDM0Fbus
2U8lpHxWamw9ve9c37em1jGOlJu9HjFkdJubCdpeOyRkPS3+fX6PtoyszrhtZ4hNgmG5lZEOhPfa
N5vKy62tE75lZvUcqgm4Jq1nLZY1eDqNBzl+KfutAZn3DxxAF1q6y6DhupxlooqBbL1s3Cqf89vg
SYwwRZDN674x0YZwa8hb0RPdwuy9v7g/Vld+tpwnGTFnrJYLNOmhNZ7NLRq+9+JuDsMfGysnuwxA
zRaKmbcg1T4Yqqvvis/WbeTXn7O97Td+/zt5MS40L9+r3+XWdb6W38vL/85R+b8/YY1y1QPgFYqY
jNtJ6chPEa9vvmXl43kj79/gP0ZW57FURJAWAescpKcpepnbr3/39w2uLgPOtFhxEguT5/Fznwo5
aFG16e7Q50RITnZ+SaO8NWd4sluLc1hwh3DBAUM8gaLYAAYVCHb7u1QqZOQmx0D6po2F+dDQ6Dsg
uCASXze7+kuS5ZRDIZ5vyBHHcHiKuk54M1jmHJVBBYD5lKnDN8WsjNEDiBFmbsVM6xetikXijZSs
JzeHZqtwc6lpJWbuRbsRya4zgGUtoIvRb6DhDk//6nQ7nVa1IZLVd5GazQ99IXo3qUVOPdOCG1nJ
rxYyzw0vu/zNt3781Sb0IQtjOcx96wdey7octWqtvcOj97+UAc1ucLCxWwxQTxqVNn9N5f5x1Iyr
86djfZOxizTdwncJSgLUyerBwqShCFke7kq0Dm/Kcq7Q2IToGRKzaCOGeeezLl+UMwg3I/nc6qBP
GYjKARXxu8CGczQK+l8SVwpm6odWmz8GXdb/5bO/rO2twZULTgxoeIVmDXd0T6LdkEkPiCcNrjox
jNU0wV8mI1hjUTCcmmDEZeiOju+ZYldmEsrjcOcEkeqlU518MoPhCe3O4GdT91usJeuYZjEHwxH4
bOwtFOnH5nheVIQki+HOsOAF0qau9UNo4Ly8TANfKoW9sXsnQS9DdADpwKmCaaM5tAabhYbRVJFk
a3eZ9TvWwk8GDJ5ppV+mMpFboPqjYd+oQ45MdPUBxcyNvTy5H2DoaHvBIQJCBebnlRdzatuQEubs
7rQp+TbqTXg1yWHrDUX75FSacOEKttyk2uJgOhl0YNVHdpdteJMsDYE5ZNOosepE+TJO+j4ytJtB
UplIrdy5bN0GMC4amlfoDgOCHTVGcYoN37B+IYyFNYUZdPBoC4PqWomozmwZjVLLvDNS2fZLzSjc
oZm2GmPvWuHQULBE3oWhiuOVKuxuvQyp3WVSIC6KXEO8JmWC47y/OaH2W2h16fkxCwrrNvoBi5d4
80Etu9S6spPi+3E0u0c1txHECYZAPjhzUCCLmRfmS5E0jDYgZxONbpa1tuJVVlE9hHBk3iNuP15A
hX8VNmW6n0NZXM+JlPzzBPx/TvZ/UUp7s2P+S/vyH6L125f81//+18dyfsm/A4z79ZaA/fX/9A8D
uy7/mxLvQjdOC9XCDbCB/zCwa/K/QW8uHOgw2TH2uhBw/oeBXVLkfxPKkRnRJadaA9DxX//rPxTs
kmr+exlegH+d+BVBVt34Gw721YPGPAFuYiGIXwZ/wR+u3LBsJYYU0lV2R1mR3FAqjQ95Zyf3wmw2
L+bKB7/aWnjEIdKTkWp85QF5c5bT3nL6JqsGtNj7AHKc2u6R0xy16EdTBv2NxoTSFtXC6pYuJuGq
UqB8xwWzAyu3b6R2niSqoAtkDq3fk0PvijqKN6KCdxa25Ho8KyDBiRtXxeaMB0AEBtWnKKRCiS61
Ahcm8PFuH6mFbbiDUSCM/uac3f0T67yls39n4xYi4YVfbBkDWkP1ogxWEaMFShN0E8MJ+pQHXhbN
Se+2VrfV7npvgY7M/C9zVHzEddqUBJSKEIMZ3L4pqlutcIyfejmISyH11XUH06mz4cNX7xfZGSBH
KgK4PKCo/Pex2+NAyj2i4aPbD9GN3EzfGU6tbrrOeGoSw/mA17uJRLPhbNeHZTEKmzEW9QXvu0ah
R20wluaYjO6YKMAqcnP0mqzMNg7LqZUFm2TplDwgTIau4XhpvahyaZaRcRZK1d/GVhV/FI31/e9O
B9mtiVIcrz/MH4Spq3M/ToU9V3U1uZWh1I/OkE53qWqWV43S5Zd/bQpFAi40VEHG6XoaPYRueiB/
TiDZmr0sL+Fei7VpeEaPuJs39mh5794E/kvaDlE3+cYiqIMTWX29IWZMAIHLGXX5WL/IplZ8jaq+
+8LAjXmYu5T5HTMZt2hn1+f/1SqxPTgYPiocN8d7FramEJUdYVUx23vk6sabxHaKD1pV1d40FfIW
AuCdQ7JwL0Fr98p0ayz//sZVjoktbDkH0h8Hwt45aBlc2mi6X5zfuvetgF0gUAKUtb7WmaY0AQrC
M+PegtQwQS91aFRlw1O98/HIchfEsk1EzWk8XkuQzVY0yw2aqLUqLsrUkG4DEVvXKv3z31FXiA0+
qVPfYcO9yLwnTysEDOtZpqluzLysxOwa2nzJV+5ppTjCLdvuucqVA8wErd/WykZDYu2Pl3qSCpcP
sHNksbl3x6tkqAWapWJknridrF3dGSVDM6ZzGUhz9/iX27b4KML6Re8J4of1MJAwK6nLtEl3efua
j8McJhcFBYMNF3xyOJbBPlMhKYR5hVB6dQRhxJcTJs80N51i9F2lXBr9qm2Vz3+5mMVLkd0yzMoL
TYx7/N0SpvEcu0XVeDKr0jUHx+aFVpu/XQxDUxQoFi01OFbIqI+tUENoGeSsVNcRieSrfQDxZ1lY
/vm1nJwBbiyVI0bo8ITMRK6sTEidMREA8TXMp9J1nc7zHQnK6CVmswV3OdmdV1PMNsDdS27wmn6+
cRDyGMaMbxdwbBswf7tT3sn61VTF1lb3ZnGoRw530dh4HWuG0RnW5VWAWPd2V7bqDHs46ncKPn1q
rctYz5miVq1pmL1WndIJhV4ra+GlGNPOtYfEHvfnP+3pek2Cj2WgnEEjXufVp+W+akkYWyStYz+G
11NQ0fZVtbwqd+cNne4hnO3LtDj2GLVYjwZLQZKHNey/bjaWxT5yBOwA3dxdhlqlPpw39c6aloFn
YLcanCrUCY4PpTkzBFHnow18c4bqV9KLS/ou0Yb7fccKTOkkGRZW8PWrCzYVoTloGWoxiV2EuzLV
Grfohs3RwfWYMoJw3CtyCJTteUxOhKGNOEnm3hpCLwmjdtyRhefNTh4i8dOy26D+KjUx891M9hGf
IpNZBablijrQw4uwSaPis1k3FsXpEVlotMMkqXRrdUQMWkW+Rv4Qp/n802IAukLzYUrrX0GQMSur
B3qTwzffyGA7QLfAMsZrXO/mRIxF7iqhktbX8hjMAYz0DGtkMUT/vdUGCEz2k2G5QxmlEGbhpMPJ
vhKwpMUM+Y56vx8aOzQ1n/dM9PfGiDooYhOJo+9m4FHKPbA5aL6UKul616peQUqJMVkXk8YE9E0H
pP7JiEr5Qiv7NPcEq6sOgY4e0VfauVOG5lVuzS6oYsvw+t4MZE+eyta5TGNHKe5mxyinKyaF5/Re
CvRY7JVGGscPxNsT3KyF1Y0Gxc6lgtMXQ45UJtzlAW9qapTWrh3V2PhUNmMQ7aOmteEimg1Jv0+h
7QVrowbinoF7xXH1eMYnGlUzzPR2CK7cLrUrY98ZjVo8q2EQytdli+b8I4WQaA49ZAbj7CWLdDPa
VXRsEBgJtShyGSvucr8tbNFe1miH5kS38JK4tTmE39JksEMvrtHW9PNRiR/lKJbmK9upJNXXp0SP
ELqsy/jOmiLz0aaMDIvmbGfDVV9b2u+56UfZz7RqhjAts0oEG4d+qqGFjPMIdqigi+7DDn1O2lJR
rvhmmWYFcSh//T6S+hi6HOqYiavlRjZ7UWaOA1M6edbephGTotdFpWZ3neg082HS7Wa6atA6NgKc
WT44+a7uw0QP/UnOwrbzh7GJpO/wPXQoaM+aPDa3dcKM4M0AIFDbVVLS1z/jfJqvam2yA0+DtBBm
WzMnMdPx1aU7qzFMOPsxt9v6c9WKLv4+1ZSsNRBvsl0jmkQ9XWsuU9OR1NBvglJWC7hxRWj1u1Bk
zmD5qgjl/qejMUf3QUfysPnViaQG1AtxuDND+DZpyq2c20V0DSdsNO762lTEJT+i+UFRrDAuAseK
7+xcFr+lxmwU1ynjVroJB8caO5cAOy/vhMKIs07Kp2n9jzkJEna1qyVHunLG2ey/y0OuFhdh52Qt
LW+RMjGQoqfsFmXSDr6T1InhQhAQ2jAKm9J4VfdxZnkzvCDh/ZhpFkJDrdM7H8c2qpqLKMzLn+gt
tP1FhLy8zASSFumeLYnipqVuNX3IaJJk+8GuevtKi1JF3sEqaAx+Fhn9bTtoYXgzdnabfbKz0oQN
Ok9UdRdJQqg7RYvC0YcnK4G+wYEO0FWCtK92KWOyzk5oaW5foJmTg0zQTV6wsav4DFAAzIQkZWAe
xnRQnqaM4bgLiz+p7/RG4tg3VhSlO6bk+vKyVSnzeq0md6WnNxWywHbSM6kRNFb6a24tWCyGKFMj
RhFKXQEHOxTDVyPVRXMVkfE4l7FU59pNhXC4ftc54WB+Kcuuiz8NwJ6qKxOSzflCLQcIZGY1zIy9
U7TOF2G0SGFVDowuapaUv2Sla8KPUSWYSppbpJR2aVCV1W4IdTv7LGo7mxnsKJVlg7rhRe+d1nJz
AFwP5ZBkjlfUloO0J9f/Nh2LofY6xY6nSyssAbApDewdbmKS8F8OaaQYftFEfe463Mbn0pKa5Ztl
+X3TMePnpeOC4p9S8RnHb6leptlSeKGpPV6jKJq2RsqpSh+qVFTAWUN7rC+QIjCa/UyRszpMAar1
7F9rNvsmro3cQ+fctneVkVSx1xZjbe91pRI1fbGkDp5DohpS91JEygfNaaX6Vhmc+ArlZku/LBUj
SbzJUuPiaxt2UbIrutn5amY8nB5DHYP5W4gpkl0bbu8WBeCIsdFgigbVF52dSx9MBLZr3y6yzLye
B6Ux3HCQO2jBZmWSXblFLm6nq1077eW+V2Y/Clqr96pGkxRXcUAAuKFctvN1xG1R9jWEWo1nd8XY
Xos+rGN3pIGXM7HUaMkVDSZQ8iGkiupj29Z15I+WHjrXMk/55I5DTvo7LsoibmZOjthrBYUbsOiV
9R23JuSPZmnBKhoaaDJxWSp5X8UBWseRVeoQbSdZ73gjkJL0eurCMHLZyZJ6R9RRlKimmZUMYVeW
fqVPceIZfWnMO6fWw+cpQOwYWoshlaFLQovFnSuLwrc0DGVNJU81J1qTFUFh5Zj1r1KqgxpU+ZQN
HgfKJMZ3tOESTaE6B6UfqYIxxtQI9y1vwLd4qofPiRLrrZdLJlcxy2rpQDPTUly1SvqB2rYVVr6a
9AxMZKnKoO3kSDEivqVeJ3sr6oXq92JMIUfureS3mqt17iFAOlhe0+XTd7sS4F8TVC7sXVqLDt9u
hrbkDrLSIH1UKU23U+VMzS7lvOp0N1Z78tW+Qo2+U4dM9XC6ToBH7s0vdltExVWcF1IHsZECm3lZ
0P3wrDKe7qn6TYUHUAKK7FqVKmQKIQO4aTNDsj3TbPQnxvoK1c0bhcS0CTM58RGVneSFOmKYfasq
2/tonqGf4Q4YimukCfz6wjJzBgGK1JkQhJqp+UO1S8aJOlf5rPL0ceWLWSvcXtSWStVRaD8jq0Yj
Txo0ylpNXzSpa/MSqG66EOp69cxj4Nd2UmRePKfFy1TrZehWWqk80H4MeQoyoHu1XCfoCEnJkO3M
IoEUJ+wbZBQaZbb31BZGmwCJLihFkhDp3Q5+UnVXCStN9kiIB+IuDGQRHqYoqxyvDe281dw66fvh
RhTJrO0k/HvsWXJRRh/TNBtVNxNDMn5W5xyOm9LWjeRWR10AeVm9TcbLmcYLxPHRZCo3QZs66U1F
LNE+FAlKy9w0FJfia1Prwgoel6ihRQTVSzDK8z6XYlu/KpHJbMMPqjbFxo96IFTgfVWFFfpOzUNq
ur1FFSj1KknTq2+ELWrp13PTCDdBqifwdSnvLmMexOaiB8JpXMYh0qJuleVB64Ukh9A4F10T83YU
/ejpZILPQprC7prmVNRirFaoCpfWdG93MTIKcefAWu5IUZzu68DsJn+2w5hxglirK5+gS+vdSCQq
n1/wCXbsjHHdNuipXHR6m90jDt7Prlkb85cyMsKSGFx0wg/rWv+EIkR/bTSpxlgCHupDGGh64oVT
bbYe4/HQbwVlU9c7iCSc/rkLVe15IrfluKlOp+yBQ6BB6MhoSO77eEJek//djCKZ3rqaCM2f1PpN
SDvGqWsgJtHEXYQUd0Dxpa5ojjc8ja7UFdKtXMuWyZEvAn5eCUWG11NTCHeNEifPgRzhQSQpyCe3
0wgSXa2JmXhEN7t7qXnUB68Tkpq4vZq3KXOwwfBFAG6fccPqULiVUoGdALGR7QpFYQRPzVJmBrIy
j2WPwLWGEUm1UTifciVLXGYNigdDAqkFq4lktHvCPuvOlENTdjWoA0JwVFHyrKpxnXi20Y+aCxCq
uDSLKpiwTnPGFd1ofwJ5IOW+nifA+Gc5zBOU1ET/K2tVM3TDqeIaJiIBNdUlHSP1oWa1T003RT/K
tKZkOiMJLvvkbMPvwp6qL2acmJd6EBBLyalCtkQuAFFcKKXNB6QnuKtGDRyF96YdazenkYdAewep
qIsIX/kySK11Mxf6mO/UMMnM3ZgZsHLg6apHJ66F6Y0RpAVu1CFn7wsgQ8wuWbK0ryMzNfdyCjrK
swpj6ODxLSDvgIeWVy+dkvm+K5IQ2BCP6QcEaMPwOoKU5lGYoSU/VrYaDG5dp/1hFrDkjk0na54d
6dKnOHEiaWfKvbl3gK58QIJV79zWmISNV6vK73oRlnd9R8pIiJ1mJMPMoc6e3kUByBWlyIAsSWYQ
XKh6l4xXiUmicU/NY4BcsSh+Z1VvGD7YFl5PppnU2neUsXgZaRHrPLl6PTZeEfSTAi1KaLSkwdZU
zFDJVnWBm+b4lElzY+FtnK/SNOf1fSpLIdxZyGN2096KbTl91ApQY7lbqVOoEmNrtdoeokLKuJVS
JTdCeARA/IslB9ZTXo/z42BxvaBFLgwI4SpAgDDfGcZz2CT9g04qWHs2WajmK3NR2hylRay8bEfb
3k+S0t+MM0G7Z80zaQi3NebQyZ0ZTeNO1dvoVy2kRnfR451fRtF0PxPRRr1XOrw6nFNJI8aUmIEl
4wlTtLpFWtwYZhBF+xyNHChZitwMdlndEAHPuao9lbEmP/UgEUKcbSbnF5AEdpdJUWjpTmSjfFvo
WpazD5UZuRaR+s+wC0rnwrKj9BkZYi3y27bI9uAbYs0z1dl5NsZOqu7U1BwCMi9TM6rvHYqQI2Bt
mmTf+LaTsksl5CJ30UjoDRagMx+jqnZSv+xpgrqSYJLKD7S87/ch5LL6TW51xgOMdd14MRIKFhl+
WrTOvUQ5I7kpLMm2fNNK4VBX+0a+oCArfigTwIvdYCYEK1bbBQaJcjr2O4pNBORlq4PcrUVFptCD
Q700hjkzXUG82cADNs4P8yx130LTQS+oTGXl2Z4M82Mx8Uc8Ebf/xd559MaNtWn7r7yY9dBgDsDg
W5CsIMkKVlXZljeEZEvMOfPXz0W5p18VS1B97tnOog24beuQhyc84Q5cFWGPRBfKHyIOTcDrtRUr
jtiB8qnGXdsWoCbRo2xzm/JwAQuzivxkU9aFEdt60mU/Uwtely3QpR1sXQMW4bSNAesoy1tkuAIL
mDQBaAp3GRzAo9AHVfi513IU66LRNKoN7U/IZoQa7X0FDCDnmjaHm0yqU/TY8lKwuOTL4X5qQine
TFkHcbHvBCHcUPYDi0F0axQsw17fgrzUOmoRFJ5xshCl8iYPQ4uw20x043OXSv73rDJzzw31omhs
Q0vlvZDracYZSrBr14M+x25JVF2FaTsMrjEJ0VdCvpEANOAOdSrEgFq77I0YKQM1g3irNRLSBrFp
tYbTtWr108j9vraBRXXUeQwpTjYDd3Xhsi45DnNEY3AX8VPLdxMUqWMnbsPkB8oraNbWo0qYPYlT
chBKc8IO2R+eq7Sc2OVDWDWXfdF1v1iXvoI2HanmyzTGWbkRiY2FS08KG8zcmimgP91VUrI1q7bJ
NmCmuDlLyWyVNVmvKP5IU3WCs65EcbmqxGZ6GsqQc6dNA+ku8cI+v4iFqXoANlIRNHVhhTOKMsWj
4F0LoznI6S4YW5X9VbZjtOkLQpL2RizMUXbjcpp1fyYy1Z8UDqL0hxjpuJr4lVQ3m9ovKFPZuAeE
zT4mjCu5+HpkQ79jPRMGO5qKhhrZXjHF7NNAE5P6HgCyZqFBN9BwKeM+LK5NMDovgOVQEB6zIeac
lj2yZSMmXwkNPfwcT6b3rJVd+kJw2z4UHYp73zqvaJOXaCD6XmNuoCDhoOeyhBB6EeW7IPAL9IIT
swn2ekOzmipAGX1r/OY+i0fc0rSukQJbY2koWUGwGwlYU1pa4HqFJm+Z5x91Kn0uM1ylcvWFfDd2
g8L4lSXy8BBZJj7Mpm9tdKO/rOeQUyikjZkOjRNLvaz+9E11DK7+s2ArAQ61MjuoBClzuzoU7gQ9
U+qVJkdQNPRCpWYYAYR8oCyhkcoYlGA3ct1rt/9p5vjgVaR/JOh44tl+HokdjaKovQXiKO3IzGDd
ozZIeDr2Zn1XWKhe2QRa8eHjuvCyBG0a+DVQrEUQF8o9oJ/junBmdRorUxdIQMDEe5QonaHwLLcW
hXOyu8viMIkhfRd6SGAJdMwaFiBDbVCGZip6z0b2DX8yrkFXbcbhD1vejEJLRKTlTVsEcMyieF8j
wtnkQSTYrWpUlyRB2WeALefkfZc0bXxwcQQnQSc4p9Eov3IC3/REar+pVLmpBdvqhcTDDoxbx0aJ
HWi8UccYsTaqedMbIjlF7JfCweTCe0H7mNDnzz+ghEKjArRRBUywaFJ3mqdKgsAHJFBunb4xLEcQ
a5E9IfzVrvg/5NV/aPSJ/3ZrPQFe3eTVHOhk/7p+rMLH7PFfF3XymP2q38Kw5p/wG4UFKfKTSClP
wq8CYIRk0p39jcICP/WJ/6UDEZpxLRhu/o3CksVPkDjAbNGCfwVS8o/+AmFJ6ifoI7Opr0IDR1fp
Mf+//zoyAq8Xv38L5VlgGvj57AskayCqghLD1/Z4vyOJlnH2aANgcCg2oiD9MHBBd6JMpEMCDdoJ
uNn/rCvEmAYmE3THwTG/QmKPxyxq08iUTOrvpq7t1qEI2Too0/TMxl9uyXkYQGqcYSb9f4xo5vPn
zZakPZJQJQbnXklB9jmI0u0UcMYkkyq7kTCQitSyfx338cWQmTs9Kc4hl15BZW/6lyJAkTmJwo9l
1tej1Xz8BLnZteM0jdWdiWDuVqVTs+4LTVuLVtdTotHiyzQVZdcL/NBJy06+EOI4t5XcSraxVGm2
plfjVRso8bXUSP6V3xX+k6J3wZmZesUHHD8nDj0cjwZSohADlsZq4hSoEXpG2V2kZMGaKktka5kv
bNCt17aTPHXEl1Otkn2UN6EwBK44FQ/40UYO4cgvKAvBTzI25SYSq/IynS3ZkbW1tolstGuK4zgI
+Ga0BttebFWxvet1ADqSgmytqSGGHsBFcOJGzH6Antm92ZjvINVOFwFLm+kHhQQTDyjr4hNk6SiM
naImd5oVq5eYcM+pjRZ+Fnu/dqwqER0iv/5G9dJ+FWREi5mVDO7HD7EAhTCuOcNBMFOXQdLicbBY
BrXeI+QXxXdAoOUrhHS+ReRyK6XX2/VogKb18Y4jYDuDsDl9d2AhnB5IJPPxZrzX8biNaNWdnqX+
XU9zyyHf/5YE7eAEkSagdFBT9W+CneFpEf6+ce0KVXfO2/GEayJq3O28OKgpdrypLvZgJll5FumZ
dWsgOr8xfEF1y3Iy7v0s7FemZyQbadyB4rqtZSCMZMc26Y+3hsg2uShc51exUgZrDC/GL3FlboMQ
vnImZC6F7O8NVVF6RJUxWWcMhhaRCRgaPDYBwWITzzc7CYLiRi36QZCt2yq0jN2o9d2qGUtv9fGy
OIHpg3BBg4H5oYiIG/0SaCUPee7nBtlCGKUXg98Km0FikZro37WxFq2lphoeEV58ClvkEibq78Bj
jTOH8Yn9DE/B0CaBCzcKS3UBHhLiKsi6HAn0TPHEG6/1rimre9+7xjLvGq+AOkCPSvosp7M+LmHp
k6aVeuC2hWGycMo4f9C066C2ekSvq94H4eJ1xo3Wkz/IlDm2QQOMoczU6gdS+8rzmTk8ub90acbZ
g65BcwBo4yK883OUGDAHwVch1T5XQug/1ApLKwLAR7FMGqHxda0VQXWo82sjVKkODkPnXRgdGMy1
SmpoE79LP7Rer6/BM6JUAFLXv85wnzi3H+dnOTpm6a3i9gdCi6t9dpA/3o+yNcSUILvmVonS8h51
z2bTl55BjS2W1oLgI9vdZcZVNhbDARRZbXvYCMAN7ExO2pL+qROrZDDkCFFzKxhKuQ4yAvbfcKX/
i+r+g6l/s7pOw7rn/l/OY/L8C4/gx7ex3Ou/+yuYM+RPIMVUBFDB6FjazIz6K5jTzE+YOKF9IQOe
J6nhT/6G1JufXtVl4FKAaZut2v6O5gRZ/oQFDZk8wZ7MgQOqdBG+fRTOLdI3YHMWuQ6oNi4UDXjW
4rzNTQM6nF9492nx1EeuLn4L8jM2rIsd93sI3pMnBlMGT/F4FQtVm4yBOnj3SiiuouI75u0r1XqU
/H3Tqb/X4lG0+jY6XR6Rr4OxtTHH1OgpAjw8HsxDKIdTSxLuMYcPnPHGKldDucECzCBiUrfZRj7H
l33v9Wah2zlkh6q1DBjEqJHI1Kkety/5j/yg7gLfPjvI4iR4fS26+bS7iFLnZPv4tbQCVIoCzuO+
mIvoFOfBfTl0miDJhGem8J33gXsgsygwO8KDZTGUR5roEyB49wRYjqAeiuQ7JTRbxjtWD/9Qf3x+
L+57LhJuT+wAxcVdYlRDXuRlE+4Cs1vpSCBX5/QBlgtcE/n5uJ3MlDp+WQpE9Q1wrQFz2F3hiZ9N
+Ub0NZca7OrNxn8nbFxEbBAqjkeZJ/VN6qCWstmN/uTvvG7lCbaufPNu9XVHMc04x6VYxBqvQ3EZ
kAuxc4GgLraTVFPOptsZ7Oqiq5w4XpeafE5bd8nk+j2IDhAaV13imaW530AMnkVFGuyqX2bsjoMz
Fusquxie8gv5KShtZBzgb8nfUN0XA7u31h9P53K5z9M524CqHHIowBiLU0kulIzINw92XXIY1XIX
9DmoiPhnX55T313GvL/f9M1QiwMDUUUqt30Z7LgXUZ837sV1eluu5c/DdXrGourdL/dmqMWXgyiq
GSkGDztJ7y5wuXX8Rv7DzcvEzQwpUKEQNmamzfE6FPVWAuJU8Taij8SMdqWFAfZ2IAskaRvQG/34
O51urvn7kDBw0FJ8WBYD6hr416jI/m4I5FVscbg2rnVOeOO9Qdi3GhQDnBYtbZGVtMFkWGLFGQH6
8UWQt3hpHsL+DwXlWQcYOQLEp9VGBojmwvHMgTdFiCOQg13ZaNFelYIZguIJ5yzXTtcAwwCvJyLA
j+PkMhSHsVIKUwt2JogI4CumIxn5uULpezMG12oOLSjQUEI6fpfaSsAr6D6nal+t2uQmSMK7Log2
H3/8d15l1iVBNkScFV+WtHZ6FfqkaX24kxI6B7FEl+Ss0d+r5e+bEHj+LEeDLF6lKdNisHBs3LnX
t3tlK6u29a27VVzV8bdP93eTM7qiC/rnUr2qBjvfyVej/eUfvCeRFvw1eIfEXseziRVmHgQAgneK
j2VPE+c3ftas/ndjLPZtUCehBeyEL6bSy6F1WvVnKB/vfq03b6Ecv8UYjUITNEW46xu0yAINWHNV
Re4/eY2ZoAkXlJNuccL1dZf3ZtqGuyyutlEIfjLb/u9GWFy0zRDl6TB2jMABV4u+E5xT930NEU+W
HIW4/3mJZUxikP71uIntqrW8Gdb6ZnJDe586phs+ewU3RHi4+2lsevdmtMenXrS9e9NR/6yi8Hvd
g7Kfa8DvUMe0AFFe8Kjhro3bC3+KXdiuZw7vd1fEv4d4vRnfxCw+1RIwPGO4s25NM9zUmXDmFl+W
CX+/hKpQMjapkKBDcbzmsGE1Iq9X2LxPidtu0m2xrjf5dXyt3Xh7Y/Xz4XJruHxH/T65jtfyNl9X
m2A12r/+wZp58xiLVRmkUe3joBbuTH0H0okwVjuz7pc1kZM3XSzLRKIpncVGuBsdb+Ndjs8YS4Ng
mRrbXxmObo9utkpWxSZp3VndBIjXrb+OzlRm3v2gKKFiSPkauS3ec8I3LBx6Ldz5ernp2zJ9FOTS
e/54MucfcrI76LbTfaAZBzv6+Jti/RUQx+vhLsxvPGC2iXA1tsos9/JPluebgRaLR8oEKkQdU2qO
oaOYwKvODvHuAqXECp2L/yhnLw7FIciSSeFm3F0/pZfJWrqSvtFM7bbGCoSUA5jHBZvvmKv2iha+
09qt/aXfBpfi1fYf3DEE9DDXLIkm5zJtbbOQmGBKo52a1zdUe24G6SxXaJ6w4y+HvAdgBDq2VJWI
co6/nI653BQZcb3zs854rieh20nRALI5V5S6dzS1Hx66UpteiqFPvo+T1jwCxEsOhdpF17oyyPeh
H4eXFdUuzK1HAexmHnXeTxMWDKfjlMMlo9BUXrdeJL4MvjT+7PQUbJ5eJMF1L2peS8QjKZNTmZwL
9L3B1NmJXKv7pJTzGMiskH3RM028lnWP32vVpFhOnQKTtuOkMGO7FEcYapZVDzQYQim78aohSW00
ZtT7qUyDa7MWdMmeBnNQVgNckNw2k8pobLnvQCmHlTx7P8dBCX4RUgqy36o3IbavSfn30RQHgC+z
0rAdpTNE0hzqc0Ycp+kGW4b4b1b9EOFfKotV3dVeUgxDZAGJGJs1aKx6VbZiooAgsoTrFsTaLXtW
uEqDaLquFZ4IjL317eM9PJ9GRythtvuFJwm1UEP1Y0n9SzO1yMIw6nay5t2MxX2uai9WMgL5v+FG
+tObbHYv02jcoXFCRLA0iZ7CMA76wRcZTLQNoEBCdeZIeq2DHr3PrEzxajBGfqAyu8crWyxUGUKG
igUQsP3YHpukeNDNXvmVj14DdF3NxHtBqYTOBkNQYQefaMYlKOHoJQ1j/24mFFOzaQDk2RmcgOrQ
AhmOnHBQja8eLh2lTRk8/+WZcnoHsal4aVpd/CXXU/tjTOXesj2vUzAB1YYaXasW6PZKnNoMoG6k
xfd6aWmlLeUKPP1aGmjLaXL6xYytAfqQqQSOEZVhZgMTzJKV4GUA/aq4yK79KmswF8B1StsMIcm4
3RImimeO2aUKDlVw6o80Leg3Ulmirng8eYZQ1lTcu3AvmMV4LZoFcnZSC5fCT0AohX3S/NCNWrg0
4fYgHeUr9GL8n35f0v+y9Hzz8dJ8FUs4/pZkFDQ4SI9og4onj1PkVluWebyPxbhYlwC53MHzzK0w
irONKF1NGJexM3MUd4B2oXqOSn5QxKiU4Bm09aouze6mAkF96QE0c6Y8EXYWvKK1ZcYZxcDe2EHH
Wwv9mF8rntyuxaGU1smojZeci7mLj/h03SWG5Qa9Cg8qapTVx+/4qi13/I4GYgeEmDSZIarqi/Xa
N6JfWY0k7oEuzkdRrjYvnTnzb4pckq/CXFAf0qKbLhSpEnpg7Y36pUccqdsC4cpmEx95DwS3emz1
abwDCh985XaT9vVYKBAMfQlqw5j3xV2DnD0uIgQmCvyODqD8GPXlFy2MiSaNtI2vdbECKDSVnkdj
0/LNZ+zlhu/08CvDpggTPnc5cClHN4MWbDL8pORW0OOudELwPYnNHvCfC+CV34Q4su6CusXgTow6
hAm71Ii/y11Y/hwHAcStVBTi15I66q4XouZajluQhx28MddLYkM9V8Y8qQSzoLH3I3vEUQ3tzGVl
ewQdVnpdb+3b2vItt9FpKF7XllfAREjabg+seAxdFJppkKDFEMCbKGtT3UyoHeMkP3rt148/+0l4
RjcZQJGG5Mor2mYRI05Qur1W7eJ93dLr5rrS4CAaxt3Ho7yiFI4Xl4XgBAENNTR+XeZgoi/Nav9p
tve8AuB33+qfvQgPycIXtzFXjQPWMh19fePJYcO13Qy3feplTojsVGgHvXZXswfXHz/VO++O4ICh
8uaIpFA0OD5kIDAEWqr02T7rgQ1XTa6tMLw9J3F7Gs/RNUHwgpOM0grXziJVT+NaCnSpmFWWq/oq
0EUP81xf3+L3ceMXY7ybjTs/S76BOWEi8N2FUFmlPnStFjL4CqE1lE4UfHAHmCQ2ylXpVhIFxZ3S
+N6sQfS3/ZBudd3Ttm2dBVu8OYurRgNTbUZx7Uy01HFT80Kn9mAafTyFJ+Hb/G7c2BJlbIotswLT
2xKzb/paadRlvu9LH6albghOreIXhFbrOSDAfOQfLSGGYvIo6bGK6GksroRmYpmq0E72pt5EV5YX
6SujEC2kZhSK2klmOGmXxHtL8iynKMbq4uM3PVks8/A41qLUAtKIpsrxm+p6knuj3hR7AlPBGfTB
Q582bM+0pZZQA5OjBhihOEcmyOzRnTsepihCsS6sptwDVA0AvgUWZkhTM61i2tUbOQ2btUrid++n
ns4NL11XgCqdTlKFrZwk42XaojRRDLF0mcBhtqc4RDxPmAmJYJht9MwojidpGjqm6MvroUBs+eN5
OgnjyKxZ6NT48D1BLWKxIgQBQleGufTeGtrJkbRKtdGg8R2t1nZNoQW2LDRnJu2kz/E6JOCveVjU
JRefJlC8gHt7KvcxBGJbDiWkXhpIUb00MEdCawDoDUl34+ScMMt7L4sSBdrlBs67XJrHX6uRLSyH
EIXfWzH4ctNrkIWvpylZqVVWuLGo4pFgysWZTffOUmRuKfrRfONtl+G6WKWqWEtKtY/qvHHGIfQc
uv/nBHROtzbpNOknEukKavf64tiSWl9tChbX3h+iyDWG4Klp5vuoR+7xT5cMEil8Q5NLiDxwiSBp
fWgUeqAp6O2xtbDc8BBsr6fNCOscsp8hu5qg+GcWzVLImLdiiYKRpfsNSBhk0fG3gy7binqfC/so
HPKVKmgXNb7htuXVrt70lwBHrqSg3VdyuW48s7SHTrtvPBU8bHxO+uH0g5JdUxSH9ERVCjTx8aNU
Sg3rQx+EfdDQ2JIi42UI23Mew/NaPD4/kTpRWDMa4E3q7/NDvKmsJQpqEk0Q+YfKKK2VLudQE2U/
nM200lUXeWdxg/NTHw+I0fYMCSCvQ5hGWQxoIgUgiFqDcnyo/8hLZePjCWGjVfBl8HZaH9s1VacM
plSYxRJge3kdx+WZrXL60iiIskFVAygB22XxDJSlSDmRs9nPimtOJo/T5Uh4QlcgHzdRbohnbol3
A7xZkJCMDxAEkLnjWU4zrq9ZEmgfhOIoucEkyw8ZWIq7Wp6V5SpaOvfqOFktwuYDdssCfPRg7YWJ
+qvh3v/jciq3MsoRaLEBo0Y0b7HIU7hHnaEV1h76AkZ+viA4UyK9fLx/Z1Tw4kvTzEaCmPIbHeAT
adgRdmsSemp6CL2iI2PvUtaVGTXbopok3GuSrrkQwSepm0Zt1d6JS2OMZyJjTi8Vwp5dpSZqCAWe
444aBIPvmmqPXn6BdR4JplncikmurcmW4+9Tahi5rbUFNW748z6Si7pn3pGcZd8QFO0Hm95IZbm9
PNTuqA3xXURScitPWSVibja2JMBC2F3IbRTUaKB5wldSaKhnUVhbD6EqQMxACgkliFzTi9QV4lK4
V6tJPuRIn1NjsjJRQAnFy3gyKB2+m4kRlPs6QrHNnmVMbke5jAaHPSjoTlDk94lYir8+nvJ31hn6
rK+6mCw2Jn1RNwuUTq+7sikOvoVIYmmJCC9MipDY+CwrjhrBOtIgNG6NKLrUuhECWFTEh9JrzrX1
5h10vMtNyi9scfqUIO+WRpE5YnwG3NHoIBqJfzXqCFCC4qg2Z953jsVPhiFHQeYAKUo0j4/3lajV
olTFXnTAqA4D1FA0r3zI3NRuopgqoRdvPTOsV2ErBPdS2xs2C612P36I08ME5DvijeDVZ7T7UhYt
9xJdnXId9RWrsq5pZg+HfqjEmzS39so4VNWZKsg741EzRzTP5KIiR1vENYVsynE+DeEhxaLPFQK/
A8Y830SaOKw1PzjXjTsFWHAPi7Mw6qwvSltucVqQ4gtDHfIthzxttmPddE6LOuEKxXfdqbMSqfSp
Z/NZuY7cgpWsc89UXMHrgB+aM8fGCLNdPzTocaCK4EYkDWcahqeh3vyEnONkUuRtyynJVAMKLApk
B1PiE2iVBZyK4R1CPXXbxNPgDF1bHrLwbFn+nXVOlxW90DlZBjm3XIClVkbKZEYHSlbBtifIXFNZ
PNfwPy188QlAiskmGQBx17I7pQciykmmDpjAoIyli0hd0CUd1xqlApRiQmVddAaKcrFefR61Nr7U
/Mhws0BU3B7kxpkVP3/wxa6jWgF4g/L/rE65OGVKaSgrIcviQ5haKLiML7qZ73XPf/CM6KbOu6eP
N9hpyEkcqM5qaeB79JPmvUn52Qjxsjug2l5c6cjq3gvm9J0SpnTmxU6TSeCPpK6o/wFf47I+Pk4a
39PSFEWNgzZBpfXF5g5RoOQm6l/xtnW/kjylv0gbqXZDM/xD2xFCT5OMgVoAdDEEzvXFWjJbPO9j
Op0HYzLEy7SiBFiIOhyrVDuHPUQI8OQbWsijUVIHqgJewJgv7zdxnw5/NposrzoUbNFiK3YhDBkT
fxAF3na6KlQhLpw8U/ofkzYq4sYTKEnOhOr8McuTqL0yvCRJN32IcIBbTAUCGnKRazvJLP27UUJ5
YqUrk7xW9ByXeDnsq30vw9LqRDgfKyTZkhs95Eu4cqWLj1LXqy8RxkLbDgtI9VJHSuYR+0cMhkNw
yzoFQHoQszxX5rGXiQjQYDDDBytvRwxfe7B/PVnxkym3EDXRflDvhnZUnzI/tkJnZIOuUl2pKqdJ
jB510czq50BjvPcC/p7dkeLfW1mk7PGMpfVjJV55qNFGwvZKU1yc0VrvUiwyAas3Xq3GyVvrWhsa
XIPaQp8YuzrXymtDazVzHURo96B0JHvKtV5mqWBrlCC2Y8FnsOcWA5Ur+iYXRtvKlz6Vzj1sYu+F
BDjuqeO3kJMILrrvk9TSc5q0OFnBUEYBNo6NAdZwhgzXSgQy09uFOEMLxHYKxE2MPkzh+HkTtCie
9QQ0UzMGBJh5b2wsgWYTX4H2QCTF43Rb+bHwUJqN2DiZKnUtAKIST2caTaPpQt2X6bRoSqm59NsC
BFVKmLAuJagYnRKv+AZ/XpdXY0eC6Qx8N/1OKGfqdIHLlWxnloh4G4yYOHMRm9I9F9M3NHC8rsq+
cVI3udvKQ2LAB5aEZpVTizLtBsr6lZf51lNIQfcJemF6PY7+LB1kVbm+0gQ/K220sSbVjjPZC91W
1cKL0GoFYKapGh64I2T0bxIzJ18zOuXGIrjMbCOZrQhYGNlDMrXRukHS40IchnrFEaBd+gDr95Ml
ITCihXhMTarmI+fgTaMr98MNm08sbvU6rhQbeq6auWFuxJWDokF4b9HS26Ekgwtwpk9IN0xZeg3U
aXyMKKHqjjyhRraNtBYznBpQe2T77SitaylLn00thcE/UF/fV5aHApto+sGXho330Mae8VC0Znkn
NGPy3LZJ8rlS9RCYsK/mV4OIgogr6LX/VDa1/42WpaC7WA+LdxOg5tyu6/Cg9mq8kZIyT9xKAcrn
kHelXxEqaq9KfQw2cDSD1lblPkAZYhJDpPTqYvyaj2TzTFE86U4VqMjawObRL0drpKczENd8Q4Cv
vM9jWfxR1pVVcfeH1X1ZVUZtVzVBOiYMnXZtNRDDncicgnWh6kK2ihp1VY1NfBhltbsppLAXbCHz
m+I2RDEPThbQMkbQ+/BHJpj6rT9l/lMW6i17X9CVBGGicP7Q1m2Xmfp3j254RcgjSBQhhGn4QReV
nB076MLudV+J3ApFKYtSlpSXrifEnQ5ZPR9/labVXHVDJG/NumcaxjJAlStGoLcLxc9xL+q/AvRA
oDrnrfJNVKb+ls/ByvMpummrQejqwIbaonwN+bPatcTcMp0w0dv9NBDm7+N+kpBlQi7uF4wX6bY1
reSXL1u5gKpUUewsH9c00aunJ0MbVDpusqShutUlm9E3/JWvKhkl2rKYXjpNt+tUuOki6wKdmHEb
q179S6dvgTAKVmUyaIBvvhrrpcPCRg9BaUzlWvDJbMCPe7DVkLRB08QP0cHCvWDELtTvlAZdrlF8
QYPJuyNa63e+J4xfU6kcL62MaB1RI08nnKQ+RxkpKMdnJJknpq9sVQgmGqd+kaMg6czUND6Zl4Sw
tfOyFG3il8h31Ym1xxkXyr7NORl9ycx4JqVFueTy7TLTDs1G/YZUjzeeKd+cBoIWitlcopTd5tRj
UZ1qokaQyngsD55ep5d+rckIb5iJy6fz7CgRLLdF4nCLhNe5qPy1GnMcFAEPp4NDTYM8QF1ClKoB
vrM/Ju0BnaUOLwmu3W2ACMsqbmXE9ETIUCml2SaJ7WEcudKKPhp7R0Bq1Ukwa7utPTG+llXEiFCY
otQkxgYyJJ1VX4xGbXTrDFci1aa2WuWbJNWaW4tj2nCZEBj4TV+FB4QU8fdFqZf1JxlhghiflQSb
wBx0gfVdJ7EjD1SR7caT/C+tjkvtmcLKKSCNWac8TUYEoJcEdJErqGoczepG1UGWC6yao1H/0jfq
Y4q2y41mleIqr/LMUcos3EQKzgFVmg5OnxoJmhoR+0A3GnpbjfJZ7Tuuz2RMtkVtWDY8AvkGLku3
KQDOb7oWN8VencyLZvCL+1lc6xJNvu5MPHgaec61GkCwfFoDqcBFcyHilhtGS6sO3cRsxmNuOWEg
tA7O89qZmZtDy8XyeTPUSZBrybkIZtOoDmMb+CtoXpprTdM5+f93Xgg2NowJeWblgaw5jvoGUQ2Q
gNSygycUj31ntbe+aZYOxnray8dB+zvvA0AIFoP2ClRetoAKYPGtH+r5oWoGwx4o7yJLpCZnCgDv
jEIEOydEBLPUfBeZCFJhZql3fnEIBq44nCmJnXTpT2kMOn7dmP3oVCg4wdjhx7M2ioJHt7orv8bc
FE7eqqFTNAAwPp6x1yTu7RJgBCYLqXODVg+ElsXeQY5Fa0YIhl9z+4eLfJ2Njo5jOIX9Eqwy5yyY
YrkWlsMt5k7XES8cdIYTHc2WHUI1J1wJK85yxopWl5ixrj9+wzmBWb4gBX1AE9ifc04vTmcCAXA1
Kl5remHdNgqRuVJET0ncPgt1fqbkulwZ89u9HWuR30DRxgpcFbqvXfpZ1X6G0f7jd3ntyX/0Mosy
jCxhJRsPTN+VZZd4UTcuBoHuxZPqJLZpS8594Gw42lx5jRCkK9pnCBrLkgDZm0irBx7cPJ+44CxW
C1SQXM9kZTjEZSZKjhfnI2W+0ZxdimK5vpTiAkhZkUWNuIrzUC4Ak40GWjGDmKgrcgbtNsE8IFt9
PC/S4gp+fS7OF2JhGpUGZbHjzSJWYeDh+zUevDQcvrdS09qxRiprCMF00Zaq52S54t2j54iilW41
F00uexjk1P3tmBX6urWq6rZEGrqX6uRzM2IqMJai74ZqHN9//KyLNfL6qApiMHSYJBgTS9+cifyS
qE4fDtZkCG47lqBLBlLLj0dZrHq2MooWXCIk9bD9dGuxEmu1U4QUMbnDSKz9JUwFFFyLunViaj5b
NIP+sub5I47rbfGc7Zrq+bm5fiz+a/6nP3Oa24gVNK8EzH//7jr8WeV1/tIs/9bRP4Km+df4M7P0
6DerrAmb8Uv7XI33z3Wb/B7Af87nv/n/+4d/eT/txwLvp595mzXzT0OJMXvLVQV1+mbqTziuu8c0
fzz5+7+5rYJkSJ/oPcPhk2cPM77J/5Bb+SP5Ez6LeIBJM5hrtn34m9yqfAKjR+GTkA57FByj/k1u
Ratk3nYYgGr0kTEn+CO/KPW4IMMT0Y4BYkXsykNwpy2OY6JrIU3NSdrLWUgbpMqqCOczbyp+cU6j
14vMnS34ko/rQV8kuWNKGJU5YyjHxkXWiWW/DnMqFGh1W/XK78mTwQ7p+p0KWNdwMlHh6vLjkYgx
ksd8F03Cjwo1t8jO5D5/ItGJqXbkoGtXHh2De7TVoJh56ixDLCfdWKxaUQt+pXphorCZZVpiR0GF
ZlQKgvEuVNR0XTY9YKte7oZ2hUtmKTwIgWbdUnQFuJs2XncRJwiA2n7GwVSOw3QGTnS8necZBEM0
66HwHamOn0TgfNlwKhNpj7OuhzAuwEAkxc7FhMfb+fcoM6vV4NRlFS27skmVNG1ZhNIeaGq9ypDX
XA9K3a4FOQhWSpeeYya8szB4FbT/KYvT0qFReHygtjKyxAqilntdLMYrP8u7hwHFZ2Xde1ZJGtHG
GJnKUmRtEC8PWAySgYdprRSl0w25ulKKhkJDpGbqzzQTm2ePjJV824pzw2mMHv1Ff8zVnRqaLDj5
v6k7s+a4jS1b/5WO+w5fzMNDvxRQcxXFmZJeEKQkYp4SQAKJX38/2O7TFk8fO/xwIvpGOGSHKZJV
hURi595rra+11dPoKYc2m2WpZpu1xP3XahL9dqwCd8TJi1Q5WhZDuZtinJaBYZZXuxu7skm6MPqg
i2yrVQRtxvGNFiwjwfF2255J0e/u3TSev6acgIuQUGvr1clc8c5hNu+ID27JQbdlzGnmD7vA7W/P
5D8arf/pilG8WczCbHQgK2hjXTd/aHWSLM9DCGnO45DU7/HSnBONz2Yxg4NWxL/XOH9r9/2Xe+pP
+/Cf7tH/C3dfY21I/+vgqOuPOfvW/HH7/fUbft9+ffcXRnSU6LTWCaxhWvff269BggD1v0/FRtAF
Xvh/7L/Wmh8A4cej94+ChzLnH9svuy+DEJvHKbMXQskAOP6NaIGfixaMe5ZprUq19eS+aow/LBFi
gI2srtPumhJtToJrYyrjU2GTvf+NrG2TwFuN1IvzgAxM28WlyJfnP3xW/8Ma/TC55RXwvhnGI7Bd
pbYMzn9epNmUlWkxtPLSILQ3I1MKNyA8xjLGo3KCtD3NKGmdW5L0ZoLY8pxMyFNZWUNThYkhkgX0
Ql/FJJT+xev68Fgi64EdBywYUqbVKPfxdTHedwZjKslImQbSVn0GnWRMZv5ErFFeJARN5Ytwb/rZ
svtdUc1BGvlWpcBm9jLLbztV0NW27VTzTk7Tj8ZflZs/n2KgAgUOrmsKKwZsNDc/SjkwfdhYsJ32
krnZMtJm0S11tlrNR/1O2vj7DIZrOBtE1vU7aQqa5ijla/9NFekoIsbk4j4ocMSfE3Ooll3pyCAj
y0hmzl88nT7YKThuMwnXecqDzjJc/vxwhUk7QY43m8Z50edyPsp6aONjB3yASMRuHkAqEPn5o2nS
8a4oRKEi5M+9c+jsecj+4vCw/qr/PrvwUuiR4IWGcbQuPP7j58VWU6LPpWtM66Ysh7Azqr68TtNi
OUgDx7z9krkk3yZ/ca3WbsmH34qhmAHeOjmkOfThGF0vDZmRBPKeG/ScMhoX0QXEgAHuDathcbrH
xRG5TlfYBq3amBX/XxHELO//fEl/WDG8ebQ/a+4cdzxjxY8rhsd2DW1x6s46XWDt1KGZGI8kTRP4
3rVN9leRIh+qkvXXcfdwFqL8Zz79UaBqKdrzKXKIM327AqDT2DY2I/MOoOVfYecALn+4XdGJIXhc
9cTkT2J1/3ikYUw/x43Wyn3faDy9OVapdyxHSh6shEJ2y5qj/4YOBGdTgFYWZgH5v7ChnW0M2+KT
5VGrScg9MK9UGXkduUiE3/rnWGR03Mx6CmnoUHWIQZ5Ku7JeusCdDp2uufdT4GbhLGpja43DDZYl
MhFib8KkUQYxlqFdh1OVDCidfv2g/ZBl2Ye96Mb3AIzRWzv2yFE0ozzC3XJuRF29VWOr7R29GK7G
3Pph6+giDMzYOJSLX9GzIMniLApj2MOh8x81yM+fMsKaw4rkpM3cNt5OT9vqQnBHF2UaSXBk/JcF
Hwq6Hjb8J6LFxH3qmdhwZFXsmtHJT27dJPs6rp6mtljuJHqhrbs0IpLGGO+HoHcPAH/T13Yc3r1h
IdacXncXAoJcNvGkLVHlDsU+CGY77Bwhgz0fA1SO1G5vhtWuQtY/ea1taxwGK0e2zXDpOTYmcsXd
ufA3oGbEK5p+cx8DUdqRotI8Jkj9t4se1xGPDuPNn0yVblQn1FY1ibraTnHbo2W7c3yO2oM7GHfg
aYp7CVPlXebQ633InvWJ+AqfFqYz1Xf000Cp8UokICcFMMOpoRChqPKtrw6t4SZExNZdzEY5p7kd
kGpB3dg7yg32o9s+5MjZTg3n5i0redp4DUiWNOWvYVgduq2rBZZ2NpN+ueR5NT7GfpF+yWVdxhHQ
zvxTMSiXMXFsfdKSVD5XtkGfK5XgYsZCYzhla5s581UQKnLUCeiq1n5v16VbrawG4FXoZ90okCr/
VszO2aRL0DP98vQkD3Y4hHKneugSjcV1M9uzM54QaH9zjNZBnd0bmzJX/ZHB03yWge19ltMKukhh
2hxSTSMEeMi84dDo4tlM9PK7BXru2DIpolvdMdMgWfqm87Rsbd7vdK/IwlHHRKjmgeDzlr6qspcs
Whg8bqS9eLuSIUhYOW2xI6aeCbnZy1BMarnacVNF7BdyS/MAux8S6AdPGJfcdEpwKs13t2vizdQm
RwMw1YPhpC/KIHO8QD+38wRqNGXM+hcj8/cStwLwh7G9AELQQzsbP8WNnEDaLPPWKov8MCcEc3NQ
xIpEJ5NVZ/vTjtFrH04yX27WHNW9aebtwQT7dltbqn9wl7iCLZ4lt1mcqEueWGQyd/N4JqqcBjjz
CAdM0wTVYTPgsRVha0qJJMirYmT+ivT4kFz0+YeFWA/SxFgEm8yYy6uRDnlx9tOpLD+nRVxqXzIJ
YZcf4k8cKQEP5ekV6ESdfzfi3HjvuHLm81Jb4p4QdseNprobhhs/J4TzJfBEFj8LUvJ1DJNLlmcn
SS+3ePcbyUhbM1XvPqwuj+/geSCJpPkolltp+8m8NzO/1yMr6Y1y91vRUGvuSPS56xP1dJxTm1fV
qxxv5qQXUDS0eaLv6/dSZGTJE6xP/ZNScfTjOJe7IG/M9Dj1ZeyHjar4CXR9UvLHFfG/KYMbYrhn
RrqXpNYXO+znOkOko/gIUBQWcyMus1EyGPXYiW172xHLTUlnCPaV5zEtZnSRMYK7Ta2PAW7fskp6
xMnL7IaN10z2xWlLp7h2AQSOW1vv1BiZ2rTEPxbF/XEFB2S/mnCinFOr+uWpDlhiAOUMQenmugm1
kdeBsvmMvYzPpvfZO8JeK4fTYjatlURW7OrsuC0O5L6pGGAt5RLvLIN48vsKglZxGlO3XW6hB/nu
Y4UeqIQNRb7VGLI6pYO3x2/9DRc2ZtTfkaxZ/6iXMq2ijklFczZJRkyPRIe2Cbmbmk/4+w6ESg+o
yKszOoI7hE/1FQU2hK+676x7i0I9z8AekBnvhlrZdXl1NWCCFcnZGSvwb2E3zZK9i11eD31lTUBj
uMJdvaONENT7TG9kz70vafhva18nPlV2RdG6ZOssiIAio9C970GV+2m1aQzl5Qlq7wHStZcDxNs7
MMN2TZaiPIzwoBTjnmPo5G/ABPjNxSmNIjkFM1l9z8HsT+JHVU9cFs3XW9nD1krBPYUTf8x7jkbM
MbZoN7L8YiKsGr8O01RnbH6NXq4uURk39g+70pHeE3keOxAOcir25J0ZrGjvFuqm5cgmaff3ScyG
CfKMkvKAsifJnphV9O6NhHnHJ5UanRV/qYWq2bI4a2fxPRNovMqb3kXkAQKOgt+uN+Sgdfl71nFv
Mwsv65VqU8V21wxR0yNlRfRXz2P+iBc4ffGSnPR4xgmb0g86uZ/7ojsmwER6hnmxfTNYzvzVqfv4
idDC4NTWqRuilWsjH+7vMyXjS0fswZG3V+8m1Hz1Bp4R7JOyOLt2PJU7fMcqXgFfwy1m6NdODvhV
hJ3tYz/3r9oAo3uyFevMbPsjJhztQW/ier+YMHgJExchCtKGXznrdy37ShT0gfcp86QVBlngRsaY
OsT0YssUwJ8dUGbeuO0W2ezwjgRow4ERtUGy0LFGSBiSaF5Ei9RBojl+UkY+lEMgbRyT5qgL8vKU
MnO2NqPTEcvoJGVxDBZbP5qLjA8Zqs2DZUiijqop3mXp9GyoKvM2bpAQ2lozedcr20GiINTJzp3u
bFbTtOGalGdZs6odcMJb9MOuD+yrdd7MpC33Vg6AocRag2BgrI8rL/CuWYx541vgDsWCBrbu8x82
qpX7LnFqzL3AIpslHkNjbtL7JufH9ZjNnpwSMBmaIL+9CB1QxUbR3vmUT4Kw+9pCGoMSySBcdiDX
1tFG+bRMrQARMqzyDSmtVIUQ6KS+FcNkvAfIxi65sq1nM+agtinRjoV9CwIX8k2e7UBXDGRZOUJ0
2zSNnefCMJWz84Kk8r/YIkjyGzmpvN/4bL6ciJw+pwTs0zSqHR/QU1v7gmKIVh+te8oD5E3l2D5k
PKxPSZKZb1bSxOSsTuYRwVEDhSFI5J5UIxiNTC6RVAyJ0iJBRww0ixTjiWbl9NIMorkdHEFBxbv3
7wfETTzzYWA81lXeQFRJpPmSIQpGkJnPJ3wpzf2QxdYxXQ+dka3m/qh3M8dgIfpsuxRyLsIsc+yd
jgbERTkFFQgjXxF/H8DMPztGRrySO7boNUZN8X00H8jbB0oDi6DzwRuWI8p5frAPqEDqWRn1qObD
efbQgo5iTE7M2INNa1k8t2SukMAC2cno143teFGZEF+lnxUEIGFRhtY7Li8WlCIeKG0J4wsAhHXj
D6Spbwy96qawFE1+dXDP4qaGnvaEPKu/Y0MvVyZlmX8S6D4Owzi10cxASe36CWzZNsk7RE5aKUu8
RyR87YJKzdfEcpP+ALBmmvh88e9sSAt1NDhwwLtgv2hbI13m10p63hYOpvEg8cGGcjU3pivGrBez
sxdx0ux6hkqPRV2+Gk1hH3iDgDWALFkvfLSI1dTS9pHZZAZRLUvgrj1ZtU/Svj53nJv2losuv6MN
j7pFlKm8CagPb1GNT09u5k0123E8Pc1WPZz8vCsuxVhUV/qfV61TA4FuQ4wiofM/IbwZsGIr52DD
MKw2FlSavcqSkx/4Of2PwjYBRubisug5S6w3e85U+qAdWrcSn5xm0V59DiozgSTL8o2bFQmlbrno
0zLVvjp2Pe3t0f9u1hSYvJ3RHyF5WfZIuTJxuMqC/GBnHMcq4WtdZGTJj87P3RMMkzSCSmbs877E
JyUNwfmq7q/mUIqt4UCKQWLo72bfKSLNkcaDW7SQ3aoqxbI+tttaOT+cWUsjo6/Q0Y/JDipXcKcD
DHwcOAOcdKrY0BTBdDPAPSR1uTE3sbsM20zm3menj/sbOJ3sOuQ37Rub/FmPru7R0WW7r+ze2Rpg
oyJoFh1pjd0F9C36nKIHcDZPfcggkG8t3PLUoEDaKgKtv9hTDuTETvRjWdt4+rMyC6XfH+LYhR7i
yzawdpZDRbXwgnZ+VsXgoopvwvLScNX7bCXBHRQ6gzrUoJwi5Y4cR7Ui2YI6GTpCia3pm5qIjgQm
dip6Nzk5OaQ2qqx7F5bmO2cs7CicI29yTh79VrmwTbaTr033Kz4WQ0s/tp/MXq+968rAmjfARf1z
Ws16BhlH+A7sRmfAgag1yr3Nakd7ZJgU+Hsf820ODMjDANRC8v1K7WNE/soZ3Si3utct3fysREcM
Uda6w8ZHy8pnZhTPPpTPaHBKCFJ17NzrBcSNpQjKY9aYXxA4tfdTOlNH4Sm/rdtuOuEsStizPahu
yGjDmDrhIdZ9mH1NhaBxNijpUCe/dK7ww94qNVKbzWfSQs0DcCQaVHqZuhHp4VeGQHzMAhxWl9q8
CNlW39jK+k2SavNLM7ayCG0008eFKVZEugU8n9p1NbDFcr6Zhacu3NvlxpJ2cJm71D3lcfHG0Ti/
KziGgE/szLvaBgiLQ2s8zLXp7hI9oShjnaQ0ILriWMGlhDpWZg950MqbNR29PUhdmSE+wuqr3Wnt
57bruht7Nb0YbdUdyqzTXmnqsYkvZb1jRXvFwTe1ZUc7dVFhYsXGu5jA7CweWqTWxt5Q0rLd9oHA
Iwrs2Nqw5aBxbFt2xq0Nf47FmFZhXzQv6SCKW7MoxT3xnmTxWZKjIiEQ+Ni04hpk1GZ6PfWHtpXf
GWMjjJRdj46/rzNrA7Co/bp4OVEWTsYBtea5zfqbx25LNfyK/BfYItFXxibXjVujb5pTvD5rEYH2
Z8vu/OssTfuGlpd110szrzd4ocyDTOMzuBVIlc0CHZZTTWphijas/ZBp07x1KAAfUnxnn0bLyF6h
Z3IDZov+TpJEQWUfc1yd5jaJ6MPFD7Y+6DeNK00znKkJL7VtDjuRtVIn3QJ9KIGl3rZfgmmf2NpR
6rj5k1LTd0kLP2zTDwaiXY7ow4+RPu56mpRRDcBuXzaQ5hYC+r/2hW6+LvRi+o03so9R7/OB+b23
E5SsWz6AH6UdvLTolsOisoN7ezHarTFBu1VxVR7IxTRCtH89sdMiPya26MIkmWeFKtVQF61k/k8d
7TgvutkNd/jfJC0Rx+EleHgKRudJE2p+dfu+3tGdrOztbImFU5TXfqmSSd36nXLAkmmVAxgTN68T
0eQkJWgoyq/lUk79F6W4y6mOArkz6oI3VovG/hZU0JJ4WAIB4sJeeqmB6WmYLW6cSdkPiIksQNe+
3lxKzZvYMc1RtqHlJxNKY1lkZ1pGcXKJXR9CZkHnCD5w0noHi81ujDh2OS+oaqansrDElBIolAZa
HSDzdofuMrKwx+FldhHYMyvMbGlaHUIpwx/ayormDMXuTGk4T1dlpMYLaRj4AVvEmTxpr7ooqh/0
Sig52kST9m0xGN0MqIqEmaIhacPitZ3kr2cYkdIZuKmLjrNkKofS3tOBgRToLnPAo8GjTDp3ZsZX
zbYlMaYrfNFtFrVyadXqm9OoG3Frc4fpnpDwPRs9uFlG8L5R3UlbPibBYF/LQavdazsJ3f061pZZ
XJdpUvE2dksgZV5G5si+Ln2NO5DASr5LdSVNxDTriuACc95x7hWiGaYmtQ61GTCTl3NGyFqYyHvA
Qxyf2bjj+ZuWgnweEGw6XfwkCre3iKxfeLH+BGfzRxb0w3LvLXpJU68FP4Cow0WBsV/GCky5vyRL
foauJr1bS0MrFlYWDEpFb8BM+ZdtdIojlJ74HZvhXOleciQ7bMwPHk37mxLp/XK7oD/MvpJVZdHS
RI/O1VYWZGQMur3nn4hQM+dPpgVq41qsRvRz1xpzwd6KHryCpdQ3tCfaLjE5/gbw3m6nBarervHs
ni5IQS197Mi7rs7kTmhiq+N1sQ8jOw19dxkn8wsmohrGuQHetNnSwo7tvW8M5rCnNKVZkBSzDqgq
IxQcb4IY0LDbjqrA6Qa8VhuhQ3Gd6rnJ37VMtByCJBX6sTVqMmwWXNaEWtBjHtT7YvgCILSXLL77
jmc1ByY1jz3ryTDSdZzTNHzwlib4E5amK+8dvTQ5lw7uwtTJhVWfXcpU7/IzrFZ+d+1R2n5mM87N
W2qhXFAhG92d2ZTGa5FargPklNOa4AxviXmbJRyNuXNauvfxWsvortpCoUPNEEzCGWEFBhog4x6E
4ONUBBaXrpS+zr88+H8sFkfZiLUHsrkoniqPcJKljZNqk8aUmI+9ESe0h2flE8m4TPnJ7FMPNFic
s0kZglCCuzFZmmbXxa1Z7yiTVb61Z7NeFR/uArokz3mfad8UNBYXMydIsswS4zOk1AE2c59MEL8k
58QldFkaBx6BU3BZKHW17Wqyt6/10tvdhgf/Arvd7vHPgtZjeBdXLodB5Qe4rMdq2HX6wrum2RGc
DQGIc2OXcu2cFQkXkxRuo97GAxXBLrPcqWJwk9dxNPVGQSpF11JbsfHNHelENt9le9LzqfmYB536
yV/8E7lqdXqk4pFy2f42sbN/vazCmoXxYJYjDtUOkUh3jIWjw38sNLlcNJQsctNU7SB3aqx8cxss
cqpvpr7ryygHPXdmcWnBzYgS+LjwG8W9jdGlfQ16gFGR8txiTyM7b08cNU11Zj40ertcoEaH5DJW
+n2Kfg4J5Dw5SxRousxvyIyF8DbZRl9fZ7sOIqev2ni3UOxTw9aBG1w4GKEZg2QJGLSlf4ypdjAz
mrt2IF5kUNXxhtAbVi1tmiEA3L00/Tc7RwcbGbbs3tToyNukWoVgyjRE/z0ILGwbBOpxucdEVCoi
58F88QDgOp8b8kvmq7kk7XeLS/1Kj6iwDkOArWHnkjzbRGbWxFak2Bji7XqHrWFIHOoPZb0ujSEv
1dtvN+cgDNaor4ugO+jD4qUIjqC1LYdaGqWKUhdX1k01Nkt/MvPKmXYAX2t3Nwg6iQyF2poI5bzP
z4ZMapz6ljXUUYrzVZ1cZYrkk6XHTXcGRldix57zcaCXmjY550pwibh+onpa6D/C0862OQvX23lD
QJRR0mj5WcLeTo54YNt3r9en9N1qHGOh82zGbs4HZ9PZgVlreSeGIlX12RaYwKIMT5UAP10VNE5h
luPEDxeLN3drmpJL0Hp2WewhHyf7yRQmsTT4z/1lxcN05Z5AgkadOLEzuoQoSaL4e05vp4ArXriE
gEoftG4EVmMWO0aTdNY1p3XrXZsH6rlTtbqYqmBgyyBCsH8SpsXuNcPM410KUnDCIsCXfHKWXCc4
ws40iDADNor4OfNSUHmB5viaQaOcSpt9uoqnT6VNT+xTMGdps/PzgBVhDkNm7edSMs9KnXkEDFz2
MBE3VVtpRbUpsqYsT33la1406X6OLzjInIORlkN+5LgRPNmk/6PqGhjuRYmvQ5ip8wYOerX03Rse
QI7dQ58Zzg7Wb/pZdH48IRvNgdH89ozQcsWHPFdpmW+bLDceEPA0yZUPyWnuGlvFtCz4G8Nzq9LB
vfltx/Q6szCepNCbfDcbeuaEipOFtWw0m0DLPUIgfiZ6M8c+2KltrDuwTmAR5qklP5pcymMrgTiF
ZHcO+F+EGQ+R5InH7uOWwt0r6rCnwha+Hel12X9pDXwCW6n8pR7hhkNyRKM0jy6VMhdZp2ZLulw7
1N7AsjBgr1t7zRib9nayGV/Q+Rxmba9jFg4+aXQ+403WJKP/tXR8p7ySveR+o83QqUuvDbYd5TwW
5SMVkSPvEyrf5TY2pSUfvWTsuH3nRh7tXHPlpawTfbkXls8XXWQv6JwCVlJ2jDWcVt/y2lW6ATGM
h+TZgqzV/eB5UhY8UHBnYT+gf71oNz2z5nY/5aWuHxy7XxvC2mjaThBxhI7nKUxl0rnf4gqH38a3
ExAZvnCqJl23KWOJNN1vljRqZlOL9cggtmCcznXXqJbEQb8BRdFVoGG3ruRJ/1XACZ+iGEcVNxXD
gYARQRagkdgYtM2ph4UHYOehF6Vs7zhMqAwf4uD4Fzi3E6S13KxI0o2r/EshlJGzREdfrD3smSnH
oa4637ih/1RBvlghW6eEoSnNdpEz9vi9RsLeYlF1kQJmH/qsqHl0oRjwwMvws5ebRC/kdyNT7ADE
aabaGhOm4varcMzBphcwyfKa5Fo7P/ikKCEjTkbWWe3XXDQ9D5zmSOuibQ8ajBoRlmi6xwfscL5x
QCatDweJNPiZQVN/mCZdtSGc9Dq/YHGTqgkTV6oZWYmW/PA8Zp+vnFm1+nNCVtWbB1W7+0baR8A5
cJpT1xs2ZPfP1ADMLFO92AyVmbwFEhva5ymYu/jVUTFrI6a9GbwzYJm7A248ZJNC5QSyLFqx0MNO
GUUA+yys4gqY0fC3MZkP+oOin9XCweaDPYD4Jk0JPFhH6igSqna3VINZvDjM+dnoUWE6zQbEmduX
O+wips34kKLre5pmriTvN258N6xVx0ixzEGh83xPEz7X6tbqkOMwn1wCuVe8ZOC/o1Xky10bM5Y+
w091+7eqHgXOJoT+GXoSplDjWbSYgw8C/ZexDlmy5bKIwTRvWjrlNZBeBKZq00wcz2KCzppBfW6c
sstWVLIzXatuqO17SSaCfYDwzt7ccUIvrnkwuctJkvKFVqXVB9+bQ61QPa7Qnpy/2zwmAeaG2Dji
42j+o06jKdIa610/WJo6c2YYxy3WfjW8eI6WBVvawBW5jGXe6L1JqJEj6BWWpGp10TjQehF0Ths3
KbcVmgqt/WRpcjCCq9asWPNNVlLojtuFX0tI5p+rVlY5/x/FMyS1rPom7PY+fYd/UpF3ceL6iW3O
pyKnVxe1v8ljiJCzwDf3WvWEYMJejoq4OvvwN3+1bdueTxIRB1pehr0Kav6gn9Rcu7QCKp2Ti9ty
3vtuhauBzqH7qckWRCy/PRS6ZOQQ8ee/+aNUh02AnZB3biKdx1b2QTGk6SqhuVu3pz5hEBV2Q8W1
+01qluIU/Sv9zAcV4NoicWCEeQi6TWTdH+3/DucW4Uox72WDW/xhsFXQv9QIU4vXOXUYjAYGqobb
peQu+ByUAY/4X9/vv0E8uv/R3LxWP/qPqv2fFKaPTcU/H//K/0JpKbUPsuE/FfdHTfG9+Y//+x+P
r8WPHhTeT0L/f3z/7yAry/iFU42B/wydGapR87/Epsb6FRchMMkCSPB+Zfb9rvW3vF+QB5MxgTKO
WFaca//Qmq5fwpTFGBYRn2OtMtS/oTU1+O1/uJURVLK+uJ0QVRIbA8Hzw6pm+IwSzimbu6R6z+2n
mWBEAaIQESxZjjUOSWjxaRt6JeeuJN3UKCr+/LYyflaJ/fMr+GDEQs1TWPAhm7sOkyYPmk1fJ5DA
84g20BHkXMT4MBu/omXCkWlsAu37v2ud/89L+KdV/i/V1v8LF7qxXux/raG+eWVS95OEev37vy9q
1/0FuxflAjlTAcYTNsvf6WzrV0gVwwlmY4P8deX+l4FF/4UzCcrdgO+wLBbwGmjXN+OQ/uf/0fgi
q3n1Z7K1r6JIAE1/Y2H/E1lgzRLhRWBi5MaCgbsKQP/woOBeLGm0NfEt4Yh2ZKYMNvr+bZWq0ck1
D1ZhavRIijVUPSET4ofQukdkecDAPaADQ4XdXZu9Z9pJcZrNTDPGItRjj5mz/KYt5tu/axH+f6fU
XyX0/3qVXcb5R/XWjCL5aamt3/TbUnN/4TG4UnLwb7OPOmuU5G9LzfmFnZGFstqoLBThOl/5fak5
+i8kFKGZI0SQFfCrffX3hWYHuKhcflZAz48nOXrjv7HMEHb/vIHqHPEdG92ORS2EB0f/sIEqxHKJ
RRDlxuxp0VrjrLZDlSAaaUrxrWtbxkjtVB3SvDLuFCnKodNp1jbX8ypKjSoPZbFU2x5FKyn7vrlH
ues/B2b55vTLsCe9YYqsNrE2DAhfs8p9bb34uRH2F8I8wpSe2s53sneiMR91VSO754hIMd0S3C+s
liSHy4Dr6eSp5N7T/O82erxNb7fdcV46b9OmqRe5GPKx6YOjWCuOTZfGb90cTF8GQ6hwXtLsYZ4y
FTIPHDdLonvXgdyhjevSoOIMScRJZY4475qC99m3CHH6Zecnhh6lcA0+6bEerL7C+RIIpqqMv3O0
AvXes9STX8dfk0oOp8Is7lKCf4kd4VWGHOm6fe4odFwabVziYd2wGo2vsEnvuI+piOrum5fO5SkY
Ssio9INnI0bHN4sNMev+rm6qNyebrH2GRjasRdLtCAJAwdi7y05fCJ3g4qB6RvtEzHkyhg25Krwl
/3UaXHODdmCIcjcdTvNcJed+8L+2Pc/B2RPmW4M0q4pi4TFvNytxxnFARJ/O7DmZvKdaLyVztkpd
Obhr6BD1PMwZDISGRvSaKpcj/ZDLxGhtV3aiu5nQ4UeDnycM1dQUBWZ9n6ITJQQl6KO2ZpyPZvNa
0h3nhRLAj5/V3XQzoHCnFc+WgpcYd8rnD9QhWdA9WTnGWztRKtRH59kdm0ddogL0nXlB5iWf23YY
doWhrg7nqHBq5/GG9JpuIwZF3zzz2k2ZKmNDS+iA1pIeekyeYGrIl2Fq/Mg2u4fe6GLa+fKK4mPY
NHXdbEl7ZfW2atfW1s5ZX0Hul68xj3OyHS5OR2cnZ9geopu9QXaEWiQ23yin3e3Y5Xx6bcNUXf8y
ktG0Wbdlo0KLx05wLolL2yTJGrYUGG9IBhNEOwtS3fqJ7vyuaFyyemeCkHrnpey0mBRUd94pB/3a
IM0+bNpZhMKkQVhZI5lPrX6AG+BtRGx/p01dkik1vbi9TXOg0bVj2s+raCzvt4EYvwgreWzTNQdU
6+QhS1BfWikhLbgKImWb9M39AymanBjj1j02nYdggHdJ16QZ6m1Q2mLTt6v0Bjbzxs/El94r7Q0x
3oz+hBcf8lFhXkG5rstxPsjBOiK88w+BguLt1Plesr5e9EG8Da5O4mrdoJFaL0KSWtPORQWyg1f7
VR+Tb77snqTFlGV2E4WMDf5kz2vaVMES7GkmIbTzeJ0IYW7aYAZQbfNBN713LkYjOEp0aZeZsPpT
XwODXnvJaJuagL4I0VFojb6yJ6Rh6nNd09mkT+MWL8IX5Y7xsRF5/fRgOfmXDBjwsLRL5NNx2pOD
WYJbb4uNNFR5ZG8093aPya9x/CUMqi6V0Qpt3qHOuIFXslUUqeGwMN3z69Y6ONmY7boWRknCNIlP
rbDvSR5xHr269qMimeAikRKKXIvdPzLoQmA/OhL4JLjVXPq4ZbpsmN/W21FmdxQqZ9wC7Cpahhzx
1Z6WGelZ+f/YO7PeuK01a/+Vg3NPg9zc5CYv+oZkDZpnS9YNIXngPM/89d9DJzlHVtL2FzQa6AYa
QYDAkVVVLA7vsNazTkKzFug1VRuEBUoHd4V3xYTu0o2W1zacsoOGrN4BUxl+ITre5JbBv4l6AADM
fLgBVC0igoyTYX0YSvVKVsp5PmZcohVqJkbM5j4Mm8d8cjOGzPGxzFy0Ho3+uhJFcMjZLPgshMJ9
mHJ1YmXwKm1YzlKlWcE0Mdfq2WR7Rj9HxzBRX7N2AKCTZw1CuvFiFvOXatFmL2UcZ04wC8woUTsV
ovr8+7XJf6X0/aFA/s96xf+B9bHYqtr/vHK5S8r+HztcBC99MnRvq5fvf/F3r6EtPrgMPHE2UY7+
3sn9Vr4AivqgUw8bitgi/NYkWvyrfjEUVQ+tH84gQ0KUd3knv9cv/C/KFx2jIT/hUMYYf6d+eZcT
iN3KppV0LIiRuLzpULfu7E2ZXHCnz9ISzkBNQDbDNDjd80uE8PBYugO6aysNktPFbBPO4sJCJGbf
CQshBvrfAOMfC7JJPhmTk+7DVb1GjKcObd5dG5Pu9UOlsYIgWzCE2Wem0031ffGTLv7fP0F/Whb/
cAZejV/RSrZf/wGNoPvHfii/8AVW5f+CyQRWqp+dkNdV/lLS/H79DkE4+fIf//z+F347EYX8sJ1J
IDAIQ/herf5RRmNe3Xo1CQjbpoq2Ns/3H2W0/ED0lcOKAi+oyfSLM/TfZTQlOeHAnInfEZV/6zR8
50dkfUaZzsIW4oGDuBBf7o+noa5Wo9XZWPgaj5B1Z7Ka6vepEbHwKCERKY+5Is7yOrPd6xWl1s7M
MhPjxCBaJ3hz0DhGS1SVbx3aXFpvJyLbWzFJcTAtiXyMduOdNXLERtR0RCD4Q46tCXt4uBva9nZx
IvGL0cevXome5+21h1dJoHREEVHMhbVrIxg0SBfSKzsR+u7nH+qvDrBpbCQH+hXmtvb2Xt5c5zgn
8k4rmVuWaz8eVgb9/mzIOnAJKgIcMA7UNE3vpW5qQtmbxZ6rf3n++Zv4q8/79j28O7KrHLp0Y4FT
jsTJlcn8PgjLRLudjfhXE+o/dWV8iQb3STjmjPGN70OnNx/XwkM3AfpGbIJU5dxo3c700T3Zc1By
IQDkLthQHX7+8bav699T8e/nMHLdzTyOyIRgq3cfz9LALFoxHy/lW4w9Dd3DTmha7HdVp11qaMo8
RgnrLwbi352q718W/J0iHwBUE+OYH79Z9ocLJg3qmkKM1aNjDMN5FA9ruuvGyQ73lTmHpt+qUhiB
5UAdl26Y66xxWmd8Xla9sI9WJC1jV+h22wQU9Mjj1jrV7hAVadeY8aL6qm4zSKHaElfjtUrzWv12
B+e+C3vl//OacxkHMY50AElv97m3Z2eeAZLYkgF8hU4XlRxevIObo8/1THOoPv38e4Lv/+dvimAF
Dhe1LLev9z5yBDbuXJJA4FdonpkL2QKlWaGS5KbCrujQxcd1GIwy13J/ioQ6V1YjRnbkVh3h7Qpt
BSOoCief+h61Aj6y+tzQWB8Ek+pVg9miNNnWcbaUQdP2Evnv2s/3S9yi++O4Vw/jDD71YU1kEvtu
hPPFTy2018iO5DgiKK6bb4L+LwHx6pTXZVxkc2AZ5Vha6MpSxKxAN9Dv1MDuj9oYthUs+2asA31I
yuS6RVY1HevGmWLa34acYa3M1ueymut8X6TUIxetM7QkqPWRdoduXb4OhRXX+9As0RJ2kChsuHjM
HnRiSQCYrprz2YiwYHiyMVrY8k7j3BqzMx5ahbPE61kiAgmLaUMDW4v7YSfEpGXBPBjZU6837vWA
FaD33FbWD0y8GSNM41jdWEj0isNSDRV3+HylsO5roDJWkosr1pzNJw6TRUswieGLY5hq2Q8SgiQS
gTBHxaEi6+skY5d9tDGGmb+5eD/bclGPyBHtJwjZs+FVNXL02urXzwQRrYuXkyj3BARqvWzTKfpq
LGK6GatWkUTThNkzJCSarLZcV0wotJ43fTYLRAlVbX1ciMGqvLGyl7u0pSHz67XS71a2tdGOmLfx
zslq53ZVIwcqHwWyijmFLul1Il+PtVUxnBF5MQysz3EJe4vDbAFhJmEXnuaqqCKWYFSf7XIO08Oa
acm3PpVGEqTwj89haBY93HpofIGZldN4ZUWdOG3SBGgTVsn8lmcmcmGbiYEiN4Pp1/pxDiN9PNja
LO3TuKykPE2cUaCQXgvclgfIaOkDI32hfPZ53YAAY8ro+SrVPnSgi6DMZq6sj+SCSOtEQhqs9mrs
6LqlE7e9N4yhNZuMgIAM4GdG+SYup3LrpBAqRaEnW1xou7Zo5ptI10sBoD0eG5x39HQ+YyRux4RU
5p/NOEvmHcYxYLltjLDfc5exf66nZGj2LMNXxPajshZ476vFpSJViqi0V/2DyZNsQeGyAPDiwYYl
d03WTO0odbqXnEWlcd4wv8O8mpWkpq3plGO7EdplVODwOYq4mVCJ2JE9XWRr3aIrF7XA8TAOyMoc
NF42Ho2QU6EHU6oje2aqWJ5Zk0WWOi2/js4O+6XciLuNe1iy2VkuQrVM2oVACLQ8zowLxh26d6th
OtLP81c26ul8Ek0x/3hKTVBsGOPM+avgIpNo/PAKV7Isho+dHcbjlWBZHl/p7YTUl9qsOmO6E4P8
DvHX3tTMEh8tnfAXb7WXqj3gT9N8vefsRAMntDLlFlUyZ2DP0/aXnALuo14vzCuQP0GyVKWVpb4A
zbmezDNZ8b6mUs5gdIR5YKpY3pWGiJltsrCOfa129QvmKoQ+xpmOF6hPli71Kuz0w5FFtLXsRkPn
DsJNE5XUI5E48bWqo+nVgDo8PoVFjaEZYDJN8XNl2y28nmoaslK/iMWIhBwxAvKQs9AMG3UE7mGP
OFXHHhu8V7eNQMjNMIWkzyKjT4ZJqXc56++WzlwYKFcKfURSkdj3+WANI74elOy7rrQIxAH8LKYL
gYcGTLisOQkH6ClVEKaoafzJmPv7RhLWdyxS7P0M9BxQFAO/zEQ4OGePi6WvoWcsAMp9rR9s4rwY
+h6qcMaVIzsgd8du6bvqbkB0WnEdlfbHbLDHexuf3LlmtPEFe8N18OYMNTsmMxmdVWga93FmxwGM
YManesdxXcf6oYNJdydjNOnAOEZmASsCHRx1RfkSxnm4n5GXe8sEMbyL6+4hHpbqfHSXPrAnZ/wI
QBdXYMRSI1T2DiVdv5u0+SKPm/kyTfOXSgJL95rQbnflxLym69vV60nI3HUxanEpSKbQwkgEcY8G
3EP4l993yTjqnjUY+hlb8B166Wyn10imp/RTlNpgds3cwS0GGOxYkWO+11rXfcoGV/NWFd20Y28l
x6S2zgvXDS+SdUZXZZZ7a4wj5Ci6faaxhfHmah333ICyU3sII39d1rtwUYFTqpkxbgKyDj02mAi3
yHamRFWlugMm7WQjNVmcG9gfPRhh3T7J8njf6/URzNNjs8a412U9Oy9d0TnYy/LiOJT9cJK1Yf7J
ZZBynCo5HuB+8B5myzmAReauoox12dVy/ly61WOGP/zYVqRsmw2PAFFnfuaEY71X1pxepDOhpYky
u7Osq006YyN8BnptHApGdpDMHRW+Gu50QnhUeAQY/tmZagvsVGE8N9mq+f2S8DTv0uyAYhv6QZXS
P0PHeEREZT/CZ67vTe56mBxX50ZbVnNXjFXnmWr4lsZY+DQ3Puu65vOsQugQTX5TldaJG1XpAeHP
ozLU9eQyOM8LntLZdqyyPO93Ed6wYG2XwfVDnfm0gbP2JIxbfZ9Y8SnSu3uRmxJEokFyC9Ea+ynt
1DGVoXW6ZNCWy6Qx/UQbcYhQGxQ8nKT+FCZmzzitjZaDARLyEiGW3AhrKxRsMWWD145AhceseZZl
E9+VYhw28WePY64NZ9S0Kqqvc3tB4NmM4QmV7L1pKeMS/Q5PHNGUV8xMTtvEPRboePDAV6/xJC5T
NzwV7cpOLzW6E6ev1tMqwlYrq8l3h+48FnXkh8rVNr4Et5UpjpYUSVZxXo9l/G1bWb6qddUChqYQ
JGwMcbom17N0tTub3yCYqKO75G7AClAy4vcICkVExeP0PEahznBfhjuJcbxO1pXsKPNqSNVXfeDv
AEIWx22GDwbj24R0lSKtv6o1ePfwww/YIDq/1orP+IdbgNXEp7SmvIqnaHyarU47kWt8QzYelWaT
QoUQItECvdaqm1UXiWe0cxnYK+qpTrX7olTB4OCZVl2zG2x2CSUZdzQ7gqF+v6MaDE8SaxJBhQlq
l5TLTSXbaB/jVYq60bkzS+M0c2pY0DrB8zHGGzd0LkJwCL2qXyRhcsTVdXfamJ707uJ3UfzUm+H9
MlQLRqL2rK50EdRx9FKkPN+YRxhe34SXRa7t7IR8X/zy8VkNdkSDwuKhY/rc4W3Gkl85vkJXc4gz
ymUzzJ2gZihPfyrJW+sEPzxGMjxEabpFtVaJ/VQtqg/0Zfmm50kSxOUSdAMomQR8SwE8SITY5jt8
7UiVcy7O5Vnq8QDYCFGU5vbnkPG53xJmKymIJ4+bvYP8IJoenDkhTgNvfXsoW3OcA92eJn+qGnuk
XCFshNPdJaTIcllP4Dqr2qcI7T6/DKDxqxiatQalv3Dba0AC+07WJsdi0NabhFiSuyWZyR2YbDij
IAIbjloRFa4nMOozLJ+E/lX1MRSS1B4SxO+ccxDVE1vLPBK3e7Z71sChL3OYzNQndnlixB0YA0uz
1uEJU8maHFC1Nu5Jvar+Mh2XUO6NUFbXmd7Wod+Ernks9C4+FTyB6fQwq2zGYDGf6FkOhW5Gf+2v
ZBNw5nRlpjzpxuZrZNh57uN0wECcmmb7jcOYKx4RpR508eJ+aReHaXxLUOtEYoSKMB1EktiwDqDH
MzZ5/NZEXFjjSQ0oHeFoNHIYNT28T/ViJCQe8s0tphNYkibCrku9X7osaMHEvBhTafAgYBaFH6mz
ugTDip3hOUssUvjqVjROgEymn4LVCal8hbVWGBzAvnXB6Nb6R1rfu7qoIzaLDHESYhsauOei3CQB
NLf8N44e1/DqUYu/1aEBgmcgUmgO6k6r+0NUNXrj2YOWnBjmWD1HoAh3kxWKj72Lwh6YitY9Tqgy
22BeSo6Swg3CstEFme7XTmSfJ7nZE1ghxpY/jktsjXgROkVvNxQfbbUkH5Oo4EQ1MNneG87MY8zp
M4doDjsa82ANw/a5I82CY7VA0kzIi2z8elHldbw0rtwRCBLzbMACw4urPn8mGNuxvbE06qMhyBM7
6YVsvuIzTJ4LcGI3rq1Pzw7AnBMM6ovJuV025k7lrvXYtyFVYF4264FQWLIbU9Axs19PjMw8kbqo
cECbGa9jnLiPMnS5H+VYc7jvZlq0BiaitQc89TaFPCfmSIRcPt1K1VRfMry93JaiJsz9YUayPFQ0
Bb5cW9JL4FhbzY6AelketMqovrZk8z3rOA3uTbuoO2xGyMX9ZLTYKmaEcAwB6taJG9cM34VLsZy+
wNMwycIoO0LTens0bmWu+pstRic57XiR23yiOPAYDGnjQVp9xuNysnO/J315wjfgrK9hgXR80aKa
uTashI9hJZrPY66vV5kpCbPgKqstzoWouS9SgcO/JxRyCpqehRAJkFMugmjoVqI0KpuapV/XyAxc
KCrPJJWQhDDMIvmsdfgweOKGhfT4QCzNw7hPvqHxxnpj1vRAslddF1AirE/OWmFDmxxF6gN4gqU8
dKLOH+YuNFgNlUX5RRuImeFG3Da3I376CtdfWdWs0boG32he6l9w8siVZGZ9UpBI0S7vJiKM1h3o
fyrSdZ2w4a7Wspzj/tOmoMZ2/QlLEftmY9XqyoedEa7e6EDS2M+ZNldekeUOB7lfaKqssNWyXTwN
7Fr73DH3dL48LuIpjZRvity6NYs1BUVChf+QLwpzk9E5A51aX8fouXSTIK/Y1stmp4m2PhkZPEb7
pY+MiR7PNk4Ki2TufUawybxfCdbtDxnOQFbYOcoiz7VF+lGr3EJ5+FbjG0XZauBynnDGWoRi1EHT
OIQ6ViYOVAYQW2ektdn61QGUGh9c0BzU+Dizbx2CrRxPZ03LWo8Nf7ZnyT492Fprgz4nnkijwC6b
G2NNkLMn05J1RzQhqjjokZnfsL9zsX7PnR7u2iwecTbGggnyiHUv9dTUcTtH8dzQro1ooN05Yv9u
O49hYsGCAEHNdCPKt2B1LFoZksN/rab+YsD2XmXHCoksCJfuFNXW9xnwjxM2u5J2je0uxiw067er
VacnBUMhhARuNe00c1iUBwWdqOYeAAz5oqqrLutZi/aGXWv3AogKEu81NvY/f2N/GtTyvrawPKSO
iB1N+930Ev1+l2UZSWzCXD4BaRyoz6uE+0GU7KjH9Ou//XLSgv0JyEoaTBrfjcGzqGlt8KtJ4FpF
FogQ+cXI8OGIYO2bw4rsFyPhH0W8jIRRgduM6JCmAAIm6ODHoy5FGYkEK3XQr3HYvSBHa52PqIMw
bceYsp8JizKylwY07m4lPu0Xg86/mLczmKE6ZspChvimaX07VcVUWjFlZL8ACIx8Ix4jOIRt/UBc
2vSLpcmfvkbMqrpAFE24F1tL690qY7QxSQzbS0GKWfe4NrLATAczMPoNyFfmv8I3/sVH2z6U0G2T
1RQirx8/mhq6XLe2+b4AuwXdN57PuO65ExMP+Ivv8E8vtaWoGGDoOPuVcDeV2dujaG5AjTjOeakI
J4LCAwYKj/bAXA3rNxTmf4Pk+qfrzv+Bu3Tj54LqC5JWPr8D9m5/4/clusGinM0kEuotz8VltfPH
8hJe+geuKxMn8nZdsz3gEvtDRG19IIGRbZeSMCxYzPxreSn0DyQGUrH8vrokOeZvaAB/i+j99wrG
4qxgTU+ELZe62i6Edxcas9xIY8r20g5g0M4KmuPispbpkvnYTxroUwnC/YTUpoKNWz9vIkevnm23
0xg6Q0TMk0OeCFYt/mDiYVyuCaikWD8n2MpuXF9vTdB2Ui/abwW0s2z2Bnzw/X06mTT+Xl2ZzHRO
cGyASPCwC6pBenYD/PoxIp2TFj4IYfbNLXyzZM4wAVaaPnek3VF5D8691CLGH17sxhjWL1y8vjyg
iGTIh7sWSl1+DcpvsJ7QYuZiV1ezWV3bKoETiAVXd1ElgiU7ZfOlFupGbq47l6Gu8jMVZWiECoq8
04ihIXFNI6sAqg7ZfgtjrWsPg6QmvrPM1q1v3WHSaYrtIv9EfJumTuAPdO2R7kCvtqSm6CUtJupe
vD20cziFUx74kTMzlloJbebPWxHIXms6vLFlg7CIWoORlVOSViSwxF0p2u9t/FGnau9KzLxHLKQ8
uKvULFvwLQ1ZVky1rfpA/2QdO3TzOBDZitZI35nlMTTJ4NFsxJqnzsmWCzgdOg/xvp2/1XbYDZ9l
xDDzsg5n3Tgzki661zoiBxkUmeFn2KxdejDnpJ4eaktP0COiqaTL2SUsA5KXQo9NeWoWbe58bXAs
pk9wO9f2ivmp253pI78JMUrlVrsYXIR5iqFK3hD3Vzt76bTza4EDLdr1ZZixxSVo4larLBXvpIGO
DAhSjws3WYH4oOSMZ4xXRITOPvgMepKVgBSIaASjrkVHwdqSzHXfc6llLIu2oUfWRupaiXCGGSrt
Dtink81mwP/aBFpVJb6Nwul7P9PHEd5VBdpkZbQMhiDW26tWId9ibzaUU5/uVJZ3dbO3yxxbQQgn
giC5pqkgJSSLs8demLunvWiQogI6FN2OsVa+XrAbw9DDvIN5wjJrhrWLk9LNLtPBgGe5+YQf6kGv
L5hjhOlpYdUAdFNiMaMrxVIiwl9aJhSstW0847OCPrHqxvpNH2vHPOid5ILRGaXbF7kEGA4qRs9v
i3oynJNp0izrMOaCb1qP5BIdbJlAACQT2gpww+a3hDgqquNQc9GAJq1W7emr1xUxHoEJG5IjJArF
hUvlWYxa20NlMeHxS6tW2oHuq3KOZDQbn5JWx/Wo5RV7G19YYWOedK1SRWCJbORrQ8BKWvQwDDS9
GAm1FnpoHrs4+WWTnEyVFbd7MqCnh0aKuMAHtYlq46pGgoN5D6oRx2QkctgmQD6GXxgFBcNF0NiM
Zs5zYUaLR/oSEloccSr1jTKKSZnCVO7A9aqxZTSVMu653UZ3shwUAYpsEJ2dCMNJ3md5pU+HZLCm
/BK47RAHUZjRqq5TOAhfFIbe7VMCGOKncZxHgw9QZwnno5Y5AUpm44WjPE3XdE3yJu17ffYmthfa
Hfy+8cgH13YDuj9GAU1Vn8ipkHS3YdFkQerITDHyKetyB2JtNvdjiZDFmwaYll5aG9nKkA7CZXtM
cL8yGgZRlmNebnIFfweeOxNQPPz1syiq8owJpjSvRY2cjip8gTIJ8BqASTNrycvaWtYNXDDu5GK2
B3Wo1nqid0ij5pvqJJibzZ71WAyTEe+cDaJ2SFg+GedZX5ZIwyfDiA7DINynJQSlK6OOo5VO2EHP
KR5RvdiK9Z9fMBNMQQHRwexWYBzEfI1pBJ/CtYclvpzGWooLcFJqYQ9b2+LjUCv14sguGx47TVn9
3uTQ1EE4x1l2Z4XA1EC36WZynGzc1CeS9IGRbGbWH5cAMfS7DAZZ5yE5tdPTWPY6419HCTp8CHue
m02q2pFrnZlXehGD/NK1uquC1sxoJli1aoLb0roKVs89suOuyWb5tVlAlrLOLIx1bMEbZ7jxPSty
nXrx9Dhrlus4lcxH/bDoEowV9pqEA9fnuqhZoHkOKxiGbTxo46mTqyg+kxlhpXSpmd2rcysttPZ1
W3FEMBOh0OfcFPJ2Mn3NKgASiH5mlrboHcQbO6v0h87BtVp5jJ/ScPZdDXxpx/ZANOqqjYZFHqsp
L5a9yhrmNFMqx/iYImSPQOtxQ/fTEXTw9YgabzkwMeX5GEjmCSmjD0N8RyEL5my+wFNyC2506H12
iGu2m+ctwCeCBb1eksNqzJivE2Px6IG33dHA88xXpilupAPxjVT4woQ1oEfaahwsI2YOlYMbtM7x
0sTDYY0iJ3vKCAylSUujlLBbP3erbSwWD7HTMaNPi7j/mkTAts9AGFkQ7Kqwxsa1Dy3N6V8wzYJE
9SKuMICiYyIRBeMdF+XHNE9nU7BWd2y2fSZfbn2Sw2fSwU+FyxTOO7fv4+WCzTRyKCuOi/GMfXHn
nHbAA+wDUuWEL25ld0A6sSrmYd5JnnJd6HODcMj9sPVt7QxsnYiQICGTFbotrrkZItk8lAYOXqHN
DGSzgWkLxFskvlxmbHfiC5IFNPu56a2lu2C/WA9XU9lOduOZUD7bx1qYLJYwHwvBgq/V7LNYS/vs
mhFaVQYue04Fa7Vlt3TNuFRb7kEz6OMnHAv6mnla27CFpC5akpNFRA2xH1FSoPey2J4xdypVZH7D
cJGGZ3k3kR0qLcYhn0LM2s2uiB0GdgLTLQdOrcGqZPlaqwG0ib82czo+T1aXuyC34RafEUFLTkJC
NZBtUpB4fMnGvnhtyj6sj/Ag8/F8trmMT0I9BV+IEFtO11lRjxaUObaHx2yoypgFHPk2p7Asp/Ko
kDH0T4xz+aRST6L2cS5S666Fu/nJFnTBD3ZhkKRSOksLUmjV6+QYZaij/GmGoroNT3I9EOPUDieG
MyXafZ7n1XQ7uZVVaFy/TdIeHRmbbGyYSvOm+ma6jUlTmXbfG/P/a33+SWH3ZkYREET1u0Jz88z+
xz+PL0mf/CDa3H7+98ZHGR827ZHA7cn2eetgftcOK/lBKgQYiu9dR0C8KTN/b3tobnS0S3ibdBMt
m9jSPf7QDjsftl7JwhLHtIWf+Vt9z9bVvOl68MgSRsl8i5wUVKXq/SxldVpTm5xY7cpxhAqbEFdw
4Ox2T6olIZw1Imb2giea9pW5YX9lz22U/mLqsLXef34H0kCnSXOIAevH1hymQVa1Tat2TFSyfduY
pi9jkP8iC6/efCd/MT/bBjXvX8nGko10UvBamxPy7RDAalotLPTJ3iF1aVi+oZKKy7z4xef58xHl
mDKgMy1GYVJZ71SwMdaNSgwgt0GG6VctfJDOb6oq6sDt9brciyLvj01Tapf2PFiPjI3Er2IRt0P2
4we16JdpaImeYZLz3nbuMmdWkDLkboM97mqWn1iZQoAeeVccZtsiL1UPtV9pGF1O8Xcva1NqbQpA
Q+f7fB83CXskbHK9tXZ6WfNcreIk1k80vP4881ndAkOYCZY5ARWEhDx2mxLjk26BpuWmWl1FPZnr
3N0AhoxZbp0T3Zdbnj7azUuGB4zndAWA10tb1zxrjJWJUU0m9uLNayks8M6EJXvEkBAzvSyEfntb
Pl9/aJ1Y3kMoKWYawhmrVavSRH5J404jFLnWymlPWkL4EJtJ+sSXld4qeu1XJ2syyFDMBvtNTSJz
nx7evo0WF34acjb7BnxpXjxI1jX4+qylSY/OoNmfIpAb8tLM3XgjyCz5QVYpgginzCCTGvZqdp7e
F+Ojmuh9dsYs3foyHHJxF9mq7EhfU+nDisbEOLgS4pBnT5syjmeXve7IKB9e7CY1PpuRpbPRLCbz
rBqTmTp+doneXaXe236jE3nPfm1UF86w0uixeW8jButxKAnQ7SkIsXaxcCk4KYCfp6wHgrrOIL+O
/TyQItD3AjlaBVwk6CsSA0pi2YhhKAoz9RlUFltt2RqBHBYgLnk4WJcO9tr7CJUQHJdiRRY3k6hx
rqYiwbtFpsDnIp/RSkgHGgsPagOQimukLDmzkLLPXpfZB1bTDQd64a8Qso27NRNp4pGrPbm+6Iri
W8MWOfaiZZ6RGpQZINJ2fK3ShPgB6BoSTYKDixNR29x8Dvuw8FetM46tNo1qF8o+ucl7FZ+7ne0+
tdEYfyXfuEB9oRFKDS1xNZ9yE8ti3eX9QUnNOSuyRY0Qp1z5qam1/Fo0JhuZpBPytBxcukVFtXUx
g8mi+YbReDMy4mwD8Os2LJQ5EvuIlMwiqITqNsRZA6G81OkLR0dOl8ilmYPIYi6NwK0Gmm1LaPHH
OhvjG7aZbNoTWbvDMQodlopQ6BEnps6cfmSUArOG+kZl9ukwxDAP67WR5elMebOeu9mMKRWYh3ub
KKDMfqwx2fGrLlsPHXvv0ReLYwEfYWPCVpKNNuKhuLKro5zy6FWOC/tkuKwpUJmwZlaKHk96xACk
n2tVsWow+1WHTWYh06MntDXzaotdDv2lRI6zy2Y2DqlEJOdDzl1vF2RNn5x+FZ+jvgLeMmPwu1mq
1LmKs1TBQUWM+9AMinM8nYzuq0K7ew3fFDIv8p30BnZgH+3SUAdNK5IihdvD+u6j1PTimXV3+c0t
e0Lc3SYfnztWx68IXOeGmwvsSY9kEgrMTmaFfqwZ8YdXI24ANqCujtIQQuIwgPStZsPjXp47vq7P
UwQmMuM6MVAnXtujFfdUVqXxGBKFhQOUCGLOQRaMcFqTUrDiTs1sS3gwhiAbmBMws2MuF8QUsdS2
hmUIAExVjXl9Ekr6Y+KunxoNea035n35YkXVjJ407iFZIRecbW5kgMj2FQigmovVYR6WYHeMgxAE
DkTBskOO1WprDhKNbXLn08KNDgZg/MmHYTRrRBkTazgW2DyIDivmSVQfXDtMMYyGpaprkB3jDYxl
uLmwDnyZKbdVQHZfre90Mm4KMvxMEGDUDShim7Q1p2AeJz0+lWGSWWyRGbUFU+aUL+hNi+uVsxcC
WBMLKExU6Ff2gkfBR5kSfnaHOgVLGI3DpzzS9PsGSkXIFcHGDT4wWimv1cXE4pMmf/Mj6azVRbmY
hJC3beYGE8K/+6JCJXokSRJhTWkjvD6dhp4zc85YU2N+tKA+6qVT+ES0g8L/ec3w407EsrAy4HaA
20oQGHMRuS2H3ngQnIo7EG2OtdOawbrJu5vKQDmVrnnNQpxj9fdfjeULuybSQS2qwh9fbcVbVdld
au3QUGjX8KhWPISag04xlxfsTr/+/OXe2Q62T0f9uCWI2XhhKFXevR571LXlFiJ34xoNN7GTlLEX
WwyGGFe7rJWtdNvGT3GaTjsoQXr5IHpHC9HLcOLveneDJSK5hP3WN528oCHsLK9CRhP62kjG44WJ
fg31bU5qFPz2KOm/ljz51C88OO+MMdvn0EkBs3mi43+DBvDOeoAHdUh6LXJ2QMI0pF0EvBuvm4qQ
BxEca/uMWmkWJ01KlxXMDLJYoq1Cs/YESNnDbwXgf0cX9L/Wxbblov9rdf2ndmhPUMrbbmj76T+2
QMoBffNjI4Ta9wNkX/Y/Blogpr+UzL/3QZohcEpuIWeASFj3IOH7VyOkCQN4BN+7Y+mWkC5d0d/Z
AG2v8rZ8VY7ELwbsBPGC2Pq1d5d64+RJb4lOfkQdupxG2tQ9QQnUXsuuta5iTBVXmQ0/M1TOcKkl
o3mSzUzfp0awXOkp5351Um8n7Zsqfns/hK7Z1NIukxXe1483Ay2N4kifNPVRitQ86WWFRZ5K54w9
MDo61+k9TavK/ZoKzvskpzbWMEJD4in+Xt+0vRHMfEyaIAniUTK2vurNPTBchRliJDU+hmWb7yAI
dUG2rN3xzSly/dsHe2vZ27gx7z4vYcXMMzAisBHG5/jjyyy5rYW9GMOPWphzDVusn51CX+kdKBRI
1nZoXfoz2h5G6906fZ1rOJPglNUJi+uUByFu9sJohgPAB8SU5QoBeQpDCKTu/6PuPJbcRtp0fUU5
AW+2JECyWKVyUpGSNgip1Q3vPa7+PKi/J0YEa4jQ7E4oVBuZBBJpPvMaZY8IJVz2tBvQaBPDLi5K
EHVSUL+l6FZTQUsj29UAVrq+qvj7lTdbpLhMoEz3meNVoZtGGXhxPOljQ5dO08wTTfv7ohWOHlaP
kPIfSgR5YXUdZLCeBmD4Is+3ZYCL/djN0fUmRLGPtpWrSd5OUUvwbuYxTfNdFJkHKuGfG50epPAA
CI9bQ3y6/diLdPnfp8bWEIMa7ofloapgj0Fk11inQDHKg7Bw3BqLco1w9+EoaGoRf5lowi078ylg
J4N7xzqNeqtvzUghUKnNYXf7Xd7rGJebiU0tzQ6N3OcW4mCXi8sH8B0oiRKcu2QMX1o5Mfx9RTMF
01ECzZcKMWMJ6cIoPI1V0eaoePTVp8CSKpTuY0DObgPweXLLBFU6Am4jzfF7AA+98pwfzAZRDnUf
+Czk0csAAGn+pFZpf52iohCuLVCjwXNMXzlaPtpqrENgzpSkdBreix3dF/B0gVp4p5mvd+iwg0BK
XSq2UqYDFiRq3c6xpRtFRb2fKDejr1oqNHLi7JuuYMMg5r5gXwUYl+XZrzCo7QO1yOkZqBcRcADt
YmwN9cEuakETupuciKbdLLScocrWSC8pgs/oACtr1pjvD778zDMVnloaew4oy+VnztJQUVrEbk+S
l/THCrO9rVGNP7mB4j3SzNm2zRP64gMSENSdqk8Z/F2oUon2inkh+RR1e4hr0CRvL7/56rh4LApr
ik4VEJI+Z+hcHPz9BNUHX7PIvH16+XBGhlAOIOFL6r3llfn9WKn5lmOt+gS14d9g5H8lZS7iV9SW
GBmOpAlUCmjDzAv/fWScOlsDJUn/nFrpAyImxmdsGv8G2yrumsioV+LXqyOc0QzUDAw2G3f5kqCs
93msqh27zE5ibJVyyultr4LZz1OkcMpioC1UqisXx6LgNr8i0TJlVEpexA7qPAW/XU/gHnikHMUl
D4GExyCE2JqpWrZVtCz/aga26Y5adlbbadrrXd+t7Nirs53ROU9wR1VMwEVL0FQkT3HdhAXnl0+N
XzWS74GEIWoy4lJ8exFpH8wuMp1Q9iCEAoox5j//7UVLCsV6oof2SeArNdFxr429n8n9T1APwaFU
ewouCH/TYP1p2dP44rXyYaIH6di++U+HCZODPkD+rIbK93bwpoMotW/EVeZuErPvBC1qZ0wysUu0
+J9Ys8NHStOg1zOSvsjQYRvQqcEKTz1P0ii5hR01m3Gkyii3wrwP6zwEUlAV95MMeFKZDFcz2+cy
sau7PBXjpqcY8mPMUUBvJL25yyuAvwMoY1I90lhZm1THlMnOb0/aB3M2SwGgSUAQiZbcYv3XMHvU
rhjMU6ZX9k7pEho+KQjOsUynI7Iw0IDSNF4Z9IMVaeK3gayCyp0jWcrlh4p0XyrUwrBPqpobD0Nn
gKEzM3FIOUsprI/61p9o7s4p4JNX9u3KhvhgSdInswihkB6VVYBRF+uk0aVRbZKYdRKo8LlSpXnG
cvFFTvN8JTJcJl7z3rMA7Rt4+Uj8lOeD77clWYVxZOBNap/wys6erVbCZieEO1UbdU5ZA5332Kzg
XeCWuI1ntpPR9OPx9id+D58WpytShBqUITDXpLGL8GpI6xngkYsTmvKaUyG8/oAob7lHup3KqKlW
R2VKVPTUw/HgD429a4M8ONQSSla3n+SDw5aPruO3zlZEaGPx3cO4Q/crL8zTgAnoHoqVucHGk4LY
qL9SNluzKv9gbYOYo3FMZIkH+LKfEeEyBUlZtU4VWeymUDNvF1m59CDU0dhjSwuP1zZ+3X7FqwCF
10Ktj4gQ2BoyCYu11Sd9NWlIxZxw0sRRK8x+VNgMO7cHWQCd0fUzFSoTXCJoP4AZXO7axsTqIG76
8Dw7T2/yqexcBEZHgDyG8epBKj8A9ByOflpyn+GHtw9kRRyL0G4e07KlnCH6Ym2pX6Vj8xWqc0Nq
c55Kkni51BHkyholrwktgLG4Br6TD1HXT5h6zr51+gjraSaVIMQWOiV29se6l/s9ruejuzI7HzwJ
GEU2N6YSxG7LkDnPZdxaAVifzUwNOLKD5mDnRfdE2up9p8oDJWwwMzBKmn3QUR3APKOTN2UWNPvb
T3Id1igGyGQw1TQj+T2fg7/tfuAGkjJ4ZQhJOCpzEFex/KWUfVLhOglgGMwBX7OpUj84N5AF1JUL
Ubk+ZzUSUspyKPnPyfLicNew4fY7u+vOXlxOUMQU1e3ptG3B0ZRbotP+0AuvO5chxV0vnjB58Ozy
syVn1jnytAFZy67+jpBp8RRriv+5HaUO0k5SHWv8FR1MatLnsLZqqo6B2LQGnF/U2atDmSjTNk51
eR/ZLZZcsYTYWlJ1VJaQDbs9xddHijYrS1nE6tK8JRavKOdI+eUYKJ6BnUNmqhJlP1sVO/C1sWSH
9royp9f7m8SaQBVYAWpBgOsvPym4iKkuUHY562kHpQyXl70qgjUB8Ot0DDgvJQX0YcGfsJ0Ww2AM
myWTrebn0UD5EJH+Ix0LhRhhdpiORtUppwEhdSUTT6ne+/syrH/1KOr8FcVJCDM0TXaZVYcnRVe9
P749ydBBA8+VUe7QZZSVA6VDRz+Lz0oIjDLz89gB+Ky+QNYsVib7ev8g40ScTJzAaPALLicbRHAx
KLmSnacxy54hu2CoOEZIwwFb3Ae1Fb7IStPu6BmYayfs9RlCa5oUH/V1xHpAIVwO3QMHqCelTs6h
YdJ81DkgVBOIHg3EEQ3CPv8ZYWOBrAnO4Q3eiI4JdnPr17L8xwt8TtZoUpucJbOQy+WDlBgNaZ2m
Z2chCxosIAI3hpE7ZmYXm1oqspUpfw9+LoOFOROj1Ic2N7VGaZEh6rTfo0xJs3NIx/jc4J+yr1Op
uW9A9m5Ah3UvpQx5Ho8iyQ2UiNrKkJYbKSqVBwQepoPk6WQ2Adkxgi7iGBYDkQ0g7g0AcP9TbSnt
NjQMfa+nFvayqYcv7dgO96pRVCg99OHK+1zHAJziTB0weAxNIAVdTh9eJpInp3Vwrocein8Ee1jS
fAv+eGXvkXmonEmPrLWIa56kxSQaVN05IBD6mj/b5ahpblm02pPozGUZP3uJbB5zr5MQfP1uGT8r
KavcFBF/iNdp94ghZbmyaK5PKXrWFAmxP32v/S5WL0KUElz4NDlzP4LjG8F49QEO8bfP3us4mlF0
tiXVGKTVl7nzCG5zMkozPmtoVFCXG7r7OCrMvaIhu/B/GIrIFYoD/BRwdJcTWgWGOfRtkpyTHDf0
2sQeQo3Ut0g3zJWRPoit6JNgEk7rccbAWOrlUHZI9xFd3vTc+765k6kN7KCi1gezV3vMUoWxb+v2
Ky6FFvy9sXluY2CfctsHbgVq2rUzu19Joa+/JjA2CgY2oBmCK2ORRITxIMDmpTyRV9v7lBredrLF
WqJ+vVMMal7YU8E94fWVxRSbsofyh9yn584qwofO7AyIvUO2q/MgPdhaqzso7PQrC/VqCVmqSd/C
BuVlaRQ4F4NWLKpkQnX1LEz171avgl1Xx4o7+HXzensFXadiDIX4P0GzRbsaafTL7yph/ddIcT6d
2xQZEIgpHbbyCuVvv8yO/uTDp5yQMw7UoX1ATsCnMqOld7cf4upLWu8XGZvSoFJx9QzoIvm5BWv7
3JtKhGkezr0xkOSVfXn1JWlIADOajRho1dAeuXxTykBlJgm1OHdKFd6B8tAf8E5GUQl8zc6PLO/Q
lEW0sm8uAzEiTBpNzCsiinP9GI7C5aCxrIGvtOz6zdeNB7mNXuo+6jdpIJ/CLP3n9jS+Uwr/53z9
z2AWnWcQoXxQnvtysFEbm1Qu/PYtnYjINmajFxthVPHegCKFrbE97vE8prFqcT7Ylaw9+SkyubEp
9Dsume5+MgA+S5FnwDJqxq1MK3Qfpw2ukVh2u1U7dq8yVPEtuVO0x2XJ2pd6rW/Luh5W7grt8q7g
XVBHgr/F/UQVhp+L8yZky4nJm9rTiDzGEVsx4fqskU9eUqYbq8R12h77DsWAMnVznyqJipTGAWAz
OmX4C50aUwldMP24SVtRhygUd2icZvEJoaxs35Z99ciSto4AjCy3qfv4syCAda2yNJ1Jgy4ZmaG4
p4fxzxDZw77MPPWsRCboL0mL/rJsjMA2zVDmFLrM+KhpDSrkPnipKUBPL0ykYjcAP3YMeVUw73K3
/GdmIJrNS2uOgrXF4ZA0vTyWltme+joK3Mho8O7tGer2YlrE2vMwRHksWvJpvOZUdXFZK16Q2o3m
SaexQ5u+zEYko4ZMc9ou775OI1pheIbRCq+EjkSxNesW4LolBiQlFPKPhzqt0l3VGg2CdWax8nTX
c6BRJiaOYOHCBEXI/yKFtLAqG1Oj5+HsLN5o8iBvaXjZK5v3fcNcbCjmAOytiYcE1x59psthMvB+
MswW6WT1PiqZRKMO8mDVpk205AnMLu8qe4HlqmpToPDSld8lBVzRNMswJboEz11vofsXlpwgDBg/
0mZYY99eJrPzZ6J8NpcYwI1SxjYW+0QLMKkLsew7xZGuO2Rm1laEvcKcYEmvt9lw8Eo92LfC/2XV
bJPbq+TyovrP6ARTNMZofM+9p8sJQqYoEPhQKacEkNkRBAiC2D41yjTAjP32UFcnKfUqYlbwGtRG
ZdKey6G8ppiqIsnUE8lEutNa2XMIY8GkFor/KSUsX1lii8b++7vNeF8SW35SwFkMiPncMHDTq5To
Pe3bmGqotOOs8GTLdbrRqSI4EZIcc2NfvUOnTsOQPsWWs43jZ0RAh82fvz41BRA+AMIRl1uc7fi0
iZDJUU9o/qF2UwhQcSRAGzXGXg5S1pqK6gdflhVP+RvyOL/seQf+VqRRsgbjvtJUTxzw3j1xIWsI
zNsjqPA16PN7ufdym6EAPN/JHDioAqmLbYYZq5V2LWsYkqP5NFEYdrpevBg9NgGT1puPgVRIZ8mE
vKkmiXwo7UrZkqWOFGqqL0rOV4h+qvs6R9ZI6DLuGIO8diHNJ8rVM7LHwAoB9wB2cjkfBvpZxeRp
8qnH5fxVU7PhE0yxxB2L1t8hUZ/Bl8xNB4pO9Hz7y1+fdcwOLGP0vm2dPs7iSwgyJl/DBIGzTlHQ
SFP6XWVN1d0fj0IBQyIYRCOCwsK8Hn773ro5zTwroZ0waEfr0KKAWgdJvLKpPngXlu8M1qCPjKvG
Yk+ZQxDZAWqBp1rhmsS9/kulgUO8/SofLF2NeN2iDjMzvfXF5YDfRg6hZdRPKFMad74k/IMGfebe
iDLp5fZQH74PvEC2JQcTGu+Xswbbm5rYxFANPB+3yGhVZmrarkSuH6w9arZ8F1Yfzcplp4LUKzDa
atDQCsoEZDDTRFwu0l/6sY/vxxwSYS7RqYZLLa1Mpfx+rizWPZxVi6icgiJ4lMW6j3JUVzrV0E5y
O9iBCwEAl/MobfwfScKq3wRcKpDv5CK6DyErvlUAa1+pXOHSlwLgJiQuPxWJYZ+xbqyy7dTJ3g+R
1eLFV/XiqSlmMRmRmbtGk+ipRyXs8m2WRNPPFB60voXIH/+YEJuRXWMMU3CesUFdgG5t8WBPir9T
yy7iEugxWYbzaVU/oFdQghShbt1nnaW7CHRk0Ft10tERti3Y9BndihpMo//lhZ75E6JppWK7ouKc
6OvNqD7gP6ls1YxSppPobQEH0qyN8h6jMuR0Q6uSfmAYa/4SGqrA7jAN/SGElggHWs7LBJOOuP48
Ah3/rGotEF7ZxInKU+tPAWb1SA6pY4YGc6OZfyE8RwMmLOreJWDsw300+ZSMUbGLCyf28uje1mOw
8Z4ddjhqZ3LzECPok21KiuUVqpGZ+Q0Knqlu2kqxdkE2MwzDUSVW9pKuntw6GdTaKXM1eYTh3uzR
tCGEAXM5IeBq6tUZqSlqUCUd8GDXlz3XqT542Y8pBR3U0B4DxN8rzJ+njuqvbmgodhHWcfjWmfFY
0sILd0nRQqGH0AiRIreRaKOQlWOeqk+BFB4UqfU+d0w/PLw4605+h4G53SbiEOL0+TSnKHecqnJ6
h4Nz9Qv6KmKQKpq2iGKKTpEQaPbaNwWOYuaQlzRvRTnhzdHITfvVGiz9ECkDmoboCJi/4iCZHtSh
LukyF2ZDbJZD39xMTRYTtocQaEsZJA7aY3qZbAvNm+60bipoR2vZ+FylIPhHxMoOEC9jAqgWzZwN
om/j164UyORKqS8fE1/NBySedBw7lMiHVp0oXvlNYT2SI8uNjbyurIOjFhVUkxQkzD99PlBPk9E1
RsMXC6KzhaT2qxfMfIcKVslDg0xC7HRjZMaOZgwWuq+otSH3HXyVIU80G8SWjZ3fZBiPUL6u9bt8
mvKV5PEyO36PdmaZGGAfCrUxGgeXJ5mYOtFRxgRGx93yNuQj8DYb7jPSDSx+vHk8HyK2tsY5+iDE
hvrBpU+xQ6N/t8zKE7MuBuR4vZNh9fqnMvTKs50J+K+dXv1TVroHCqSNXJ9GnlP0LWQTxBYPfqpo
L9hfZa5iFYAQSnI/tqR1jHFAXbkZlzNDL5FT3KRziUcGD7m4TtoK/bk8i5tTrHfhY+zXiWvh1Yt6
We1v7ViTXwlH1grOHw2qcyFTPqCOSHXv8nPAIAKE1aYd0S6M/AjZ7G3uK5MroUJq71CZ/nX7IltG
1/NLUhWkRzl/BH0JNeoKpUVboURCdir3CLCBmozQDm5zuToABVq50BYIcmvuuc+J29yLpOxJYfHy
9SCeGKOKd/Gpn7p+B0upcRLQrE9BHnaHiJsB95E6dVUbwe8mjbxDQI639SpV2UZFVDoNreutGSS2
y4OjLEmrcSvyNEIaIqo/2cgwQ1IZx5Xb8IOPAmhhjl7em2pL2IKW1LUd4C52QqgeFeBUs56haqNc
D3PhoJSthxSauobt++DLYLXxztykjQwG+nKqqLz0SVNm/ckuK4yYLSEOHQi/DajT3omaLv3DRINP
M2MIiThJfmVTWix3SHRNrWKHdfJ94zWMlFm5zNe3cWEffQ1pjtvrbn7638MLRrPQJaMANWfxpHiL
t0Mcq6dCNZzqSiDQGeDvbNjVWobxwRzyPhSTiN4p/r0Xm34LbjsVWHY8lMNp5jBvO3Saj01vvHId
NPek6Gub98PhzFndDBN0YG2L1U24BksIRYrTFMFbA2cyuDog6Ducmn9ReMpXdtMHc0iRDDwNURqF
vyV6MYdm03tTNp566No7IMr5Ljd9+e32l/rgpbgdIB0zkfLcQL/8UpkhLC9Dj+8kNfoPBIKebaX7
G17d3+bQZe7tsRaAzPfzAWivynFEVxk28yIb8SHXDwWYkVNqYjKtxDi2d6aY3C6qtf1oFsGhJ+La
CKsL77ou9Dbw0gYHD3gfVy1YWoWkBzh5tl9vP9cys6DgBi2eBJXyPGt1SXyxMdauslFuT8Lvul1h
RarTYGR/kHKu/NtDXZUf5rHQwp+xUtBUwNJfzjctOT0MEVo5tYTgG6Da4gtmbNEDwoGFq9Y5UAV1
AAFqd6jT2PIIk68u9t5UJHcNkfj+//I4nAtU6mkD0QO9fBycEwAowo2hHiDKu0nh6gWg0T+mgTbA
iqH2VHe5CvQepN6sFuSk7QRfUM7qw6z+swKZuip1v88O1lnzip+Dh8XsFDhj+2YjKA+Dr0YiCYaF
PhDK2sAQHEOZQtTA02wvjYm1KdKwexxCz96XVkQsO/bStioqNAabdG/Twd1aIlae6imxXDQ+xWNb
Z8lxSpR0l+BbtAX4NzhtEMSbBoGEFYDQ/KCXByD2z9QVcIFGPgyyxOW8tnYKTR4Q6AmfCAiXua0+
QgDmJgkaaWMFtrdNaCHcI1R8uv1F1Y8WM7SM+Zx6VwVY7DGpUytu6Lw7cXQgGYO0+BdAqYTHgyl9
VrvIdupK03e9Xo4Ijw7xfkztb2HkKS/tVBTnXI9MVxASbjVfCvfUggWKMagzYVeApJYqBFwESLJC
19AuqgJtZyDqvc0NPd1MdpC/WUlrbVI2G12nEAXyoGrvZRCHG8wHJujnWr9tqjF5FopS78t6HFfi
uutjUwOQhRgkBR0g/kswSRw0wGXxNz3p1hjtJhW18CwJ9ZXvez3LKDSQH4OXB4tDCn35fccKdaQ0
NKaTr2MaIqoO/5jOzu7KphcrR8YHL6RQIzVni/o5hF9U7CUDfIGOhs+pBce5r6eu3CVW6jm3181H
LwTHUJnB2hzP+nxP/HaX+jRlycRj+QTgBe1pWE9YBtnPViq37u2Rrm8c8NGgb02DD0UHbbHHY9Ws
6H+UVN87+SDFcrk15PSlGPWjQfFvZfKu9yGtbdQk6Nmjw0A0cvlaNpVd9NBq9RQbCF8Lf8SaazSq
T5JMfc9rIukw5lJ+RqFmrcbywWsCxwNDDTySxvpyQidRteTwgXqye9/8UvvaDzmQpF8itFvHNs1+
5ST/4PsRlAA0ptNK4X4pnIHKsoXRzqiepFSSHakKzX1o4SqrCKN9u/0BWRHM2uXpphF2wbHTWBVU
yRafUDYGH/klzzwFFm66ZZFZblg1/kOTU6yCD6KZX4aoqaH4x8L6nDegRpxe7mJrO/VGdrQVD0x5
PhKEto1G0EsOpMMXTiEpb+0BSRzyein6RrnWf6tMCBpI98loDKga+es2souC2niK7FmJ9VKBGv8Q
qFs/zHuDKkXWR64mCCu4RDUVDTQ0HI9mH5uvwB+5u9Ce2NR0Gk8NJoLOiLkc1V5CVSDp4lDUZv5q
emmD6ngY6FBVyu616BMcV/2eid8o1KXQ0kXC4quRy+pwZw6j/DXQytdeh4MMcb+JkNZJRfIt0uKo
3aO6QFnG5ypNnLwewdAXIc/mD9gAwD1Xq02QNKFjFjib+K3UvOgRUHxqLmOnHDSusC8tgfov2tFw
gId0wgnELLy3cYxtm/xd6gKE4Dr5KJU54VQQdJhYAe9HKLGqwORXgPvtbUBNCxa2lsz0/dxG8XoI
dVwa5JiS6zY2+uFlLCUKc/oUFnMNx4/v26SRgTPm8Te5HcVPTgcKcNDACs7TxDigw8a5rxRGj9JY
HgfDBqnh9Dv4IGoxc91T3+bjJL5lQEC/VKWGTIGBDR42StycIIKqqX6jfNuDfAc69Rm6vX8PazfZ
V6PffK5RUPwum6Kv9jX6L+g14r5L0Q2fV2NvAfWMtgl4lME1amiZb9kUlt6T3uP0gJDWEDyKCAHb
laTmg7ME7gx4Chu0E/2CRawkU3suYNBMJ4QHocUbBe6vsbVrAlXs0Loy0E1McM+VopWtfX0BII9K
lwB5RmJGMvnLM6xETToZUG44lQN401GKDWLEVW7E9Xk1010pvM4dUaBtiz2Nnjgi6nkjToRnzVGz
jXqv9LnYWnoZuKmurUXC1wcW4xH/QvOcEzhtceH0OQr3WFeJU4GigePl4bBBEfOxhmS4Wzuvro4r
hqLdBeHJnq+CxVCyBzl0qExxCmszuA9seXJlKpqOZDa0dkpVOH5k+69REzZPjdZk/6BdkqIn3atO
hFT2w8rjXKIt5yxofhzTZnODi4EudPk96fS1hAmKOFU4PDlNUIbPdeWNRzgB5gZvqnLH1g82k+br
x8ooKHKyulGexxXn9pN8tLAAfnILk2XSt1kEMXIm4tBXfP/cC5zdWm2iUOm13sooH3xo7mCSHhBA
MCGWNDCq1FXYm41xUhDIdmw1Cdx6VJS9UTTD4Y9fCFkVTYIBBvPiivDn6ahN5F5ro37XaneKn8UY
lwA6vz3KAlz1/gGNuYxigJijuzmLeP0eK6U2ehd4QttwsQNvg0FffT+kab3jCB5dxaZxYWSB4uI8
ImPwhbCUEYxipX244Lm8PwRYGh0VCqJd+mKL0ygqZwFHvwrOWIqB5a/NzHsgyxnTXYpFjg94Yb4m
FQ9hxQ3KG28TRNriyC6w3hRbQBG5PSnzIXQZEsxEF2gnEPTxfV2G3WVcSr4X5JAazWpStvCr/HKn
TFjkOYHAQcgt0PaXjnXpI970p0PTpOMutyglkvksqfG+Yg1Dxrl5EphqOSE9qy1QdXtbx+m3uFb/
HnJNuLeHnKsil287i2XM8gAwKLgKFuldJFrJwP3D40ge1b8ToMAzs6EuTwEOkyAYvLJTaSHYyOIY
eqjE2NKDEluJba+3L/RlsIsgXwEwApi8XIZG3tooaCrQgyUN4c4mqo9I4djO7Vf9oGhzOcyiQjQZ
AE+ilGFKu6BTZZj4WnF03JulIj+bIk2e8Mir3tIEHKzSNRNSVLa5SeIweCwqA+JfO5ZPSGJZKynY
Ars67wBOUq5Gms5oxED6unz/FsOMqQ0lcRIKLob8teSTJtF9SYOgeEiMyXZjKElOiPjjNvNbnFTE
NHwXSjnARY4iR/Z7fyX5/GiyKHvP5xwoT4me+OUzVaXtTX43zBQXtd/HUFJcb45zka5G2GbsaLnM
0piN1f8Ngth+KrTecIgTOfMHDa07q0agx7b6Pz4Yyd/eu0DcuTaH1+Vj5Zi/GXSYaAN1ar+hXIoq
FFS8lV3xXt9fbAsyxzlYITEAZLK4UIIUdiNy2PAIRBp9EeUk/sG7shhdVKkTCYy8HG3R4+a+bdUp
20Re1u5VzCH9TRGoEZZJWm0/27R7cUSDquvUBSpRcjRIodt4g7lSbfrocREaYGLgt1Ct1hfnuBwg
CJrFVnRWx9h6nCbac3in+4+c7igpTABkVFPUWPJ54VEfCRiwBUuPmoSFFrqf9Q4boWIvGXCY9baK
tvYU4nszAFRY2egfrSpqzqh+0E2TDLCgl59vNCl1BcpgnYpxqlCUTg3qoUr5qEGp/+kPXvcrGCrt
W+4njVPLDbG7Xg8AQGE7zloZkHX1nDoO9aI/g6rPe5ADFyAVbSvKXeYV6WrCK0mLBvvUxFAp9azP
HF8T3rbI7WBlDS/IGv8ZiyDuvVKL/tIykAiFWgZ2O3mnQrLSu1ipfLq9uF7DozDcsm1SZPBTD5Hh
EXUzHxfaNvH8J3ADPYxlw9qrZjZbZGN2K3WwBHEuDY4p1YjXEi+4TUIE89aVVrPX7R7xK0/if/at
yLWxJdr6fpqcbh+s18c3rTIVcScJoDvd2cW5WnRBLiGfEp9jwBOH3gyso5znP24PMi/hyx05A72I
NU1w50BLF0tc0zx5QAIsPgcDhsgBYmWIhMetU8nWuBZmX1+KgH9oi7AMOAQA4V6uUhT6MoyWvPiM
GZyxKVuEuEWUVQ9VmjeuxN44CGKqh7zAV0uog3Q0vaGjpNjK2GLB1vOn1HiCaim7VmrUjulHvlur
trfXaY999qVplUM/B/6L2aHeDzzNBngLKH+xryjdJn6RTdGZsNEA8OyFydd0GEplY/ddj5QwtgFP
YCuKs95yFSP6Hid3XYX4+CbQRgTjkOXbFUMePPTe6H3Re9PDQxEx61fOkYEKqD7Fpy7w7Jc+LeJP
YuAc2kyzTzfyjUXwCq9CgroflwJ0bat6D3gelukWky40b/y6Dn9Q30wDwJchy6Sh6C4zx4Zjo828
xQStOFpxljak2136udKsMtnIzShXWwPpxoSquQJvis2LPTpHc/OUyUn7TSp9nKfCpOnWGGwfTSch
GOc/oNE5EL9cALWui4RrMTrrmRzs8OOpnIKq1M8+xmWTsf8UhT+D5wDFowZF5WWGlV+OJzyFfpgm
Iog/huGoZRE6FspIW02rbFdBG3IlEf8g8KelOTcAYVZwAi3R6/kgzKmQowbljlqhcDNa9jlozfFL
13dB6Zo0/D9B6If4myaJAPIjhWj3dFniiZWYd1YDXixdm+I2oia09ekw2IuNzf+o200pujOFleou
0yTtS2719q7oi6MBeehI/KE/QxuQNrnl/1Xia/CASHexk9qqusPoxnelka2GCmtPzJzju2pUkRv1
03eynnRFPejqGALgyPUAGoHcDDHYeeX8Vl22AJYPSdSggZASPYaUt+IJLep/I+I/Elv7/81HZ4bm
/e/iae5f7Y9fefW7ftr8D/5bTFr/r5mATxgMU4pu05wE/isnbSs47NDTw8MGmAv7gz/6V0YNBWoq
/DbeO8TExBSkcv+qSQv9v7iMgAX/tzj1H3joLOC/wNdpjPBUM8wFZh5r9PKbYyrXBrEyCXeK811r
xl/Upt9W6T+4Nx+SAU1p+BrJjyw7JeYDECVXNiqoF/ldKRDtKpU9VmsuTJ6736bv+T+H++/CYpdn
1PxUlF3m2JRqGvfvkrmDwKdn4W5tu61kAe4fMAPo68bGKVlt3dBAT/P2eO84ov+5YxhwFv7gAp5n
Aiq1srhjvEmLOqCzBt4YSS02pZHp6WNjYMi9wacM6SHE33Hq7TNh1ltDaiMkReNMfK7liJ6E7NXY
ag5+mTy200g/LfVRSabmgPksnvMALtHxbM5YNHiYP8cRLglkydRLSyBvX/FMQXoZfdvpjF6k/l0A
5ff3nj3SGQS910efURCdZDfFYRNqTE4RdTe/iQHEsK3ljS9mgDiEDGhHhV2F1lEt568JaRaiiD4p
zasHkkmm0ptMXIRyp+/DyfL3whgxU0kEjAqarUG7CzANMjZ5oRrHEng/ziKlXlKFbrPoTKimqsT+
gYxZe5RF0ybp+vYbUpLYkkd1CfjBizokpHG+rJ2gMGEEh7EGGDHTBzvaGLaHU43t+2WzCRAclrB3
yLNmpwXEkFvNG6e/kFYaMBb06tI+xn4BEClMCZiw1alhdGd+Pz7VqtUWrqGMTK+mRkinTli34Epi
mSnGypXde6j+Cz3YtkLQCJCkRH+jGV6N2yG3jBMwK5qmSGLIzQHFl+hRFko3raymy1P/fTHRqKdb
zy0LWWDJIBRtFGIaPqquFqr1nSEl9qORkIVscsFFuPWSobhrBHbamySh0YHBcdiMK88w54qXCxq2
iTzL8rGpCZsWLbVa8QsrITV388rE7BadRPiwE2yi6IhFUMxKET02K1gmlUAqTVhyu9tbapH4007H
GRR0AAHtjKKTl9qAqFjTXJtiCdPLXqU9UtbPUHp6B4WJ6qHt2uzOTnwsMuTQ3k6QmB5EP/QbujoA
lZPAd4KuMVdStMtgnkfidgNfZUOYIUAl/r087ExhFOEoRbITyF6C41bVPhGOV2+33/zDUcDpzF0+
QITLCNtHRzqK2lB2FHXI7iluJG7iYR1+e5RFmDO/DMJ4LLNZPgs69xK8UCJN7+UeLwNe13q2gVu/
tiCb/5Y1eKKTpT3ao/2Vo1lzCixvtk0ZByun9GKNXT3BIpK05FyaoiGWnX6Q/8GCo6B11nTbCOHi
3CjNbe97I6jyMVupKS3219W4izvLw1NGo140W0i2/XEqDHGMSu17GZTUKBo0y3Zo2Y+/xgwZtW0q
5eNKVXdxO72PD3wSHOgsgcpGv1xGIhNRQf4sOSxq+tNainF5oLfP5lAnR3NUjZ8rn3q+fX7bzO8D
kn3OFBQ0Pq56S2E+O+dMBo4hdhW7Au8HB50F5S1IsK5TzCG609GOeukK0T0SNA5/j0ZqfiZtghJ2
+1Gu1zaCaXQ4FDo0hDRL4bZc4nAeaSQ4XjR6G/aY8qqVY/xye5TLMvX70maHUu2hbCHLMAAvJ7i3
6NmijiM7kSZFX/A7n+6yeDC/6AGFQ7RVNK7LIPFWwt/rdyP+NuDyUxlE0dlejNoKe4yTguWsFw33
bNDG7tSFf6hQwLdE9mZuteAQws+lOjVaN/rI55QczayD3ZAO5T5HueJh9ov5dnsar9cpORdSCPNF
BPt6We2fLNSNgJRhgR10/SdEAPKTGLJ2ExdCczEJiFZ6ZvO+u1ymVNVAaivoHIGJfNf++S1/EMOg
Z9A+JFTn8nKvdyL5f9SdV2/k1rqm/8rGuafBHICZAYZkVSm3cocbQt0tMS7msMhfPw9l771VJR3V
8RnMxfjCsC23VpG10vd+b+BWOWXhIEVyZKgD6jqV1OphQecdFep6sT7k2+Av29Zqjkatb7px2cRa
aeN9TSPjpzGD60N10unzay5BZmuy1IQYYg3rmRFIzheCir7f9HEjr6e4j4ZNXhPzcSmJAiZLblI4
kz//Jg7eDJ+Wm7WNfwlcYt2jwtyf0EPcm05bZTriZCyBjH6uwrzP5FY1yEb+fKgDevf6ZhgLnGRt
QlMiHBKlQduXocxnfTPYg/pjWiS5AFNkdQ8tGQgt8HbpkhiFXsPYEUOB02Meu+YZTPdpDoCM1Za8
6xzSHfZw3hO6OprnZh65fSCkYd53BMDCEag64voWB2atj0dDoZ1+/hAfvC+uTcSH0rhZ6TIHO2ye
U/ASjGhstNlwL/TCcM8WvZ3PnTEfbj8f6mCvWV8Xuxl3+9V009XV9edvJm2JwX7e2hzPJtq73YKp
4Q3Blh0Xy6ztNlqpghg12XBkhzsg57x+S86qZeTgBtjiIrY/bDW4KlNRGBsBT+E2a5qoDPK2VbYQ
oYgI71sNygiWZvK0zyn+A/yN4GBlJJbjz2CgADrpl1ZzfCNa7LPUzpZqNxBJsSOsAwkcLuppeaZN
pICfE2uPsxhkgiYDeBkRi+da5h6TQh9snq+vEaSHBHv2T8hGBzMcXtPUTSpVCoBvf0kr0wsduSTh
51/WugW/2WH+HIXG5Wrfudr1Hdxqo1oA0UlX2xDEUFzY42D/ruzMjjdp7yZna/7eNremBbMM07sf
OJiOHBEfjL8yRV85hfTzDoWagkO3Q/zH7hmXF21rnNdEiyROc9XY6bMYzMEvXefRNOpfnz/3wU6+
PjcGfjhPgd+vaNrBeiB5CM7vpFobURvjJl/a7lStiymwx4ami+IcMyB4/5wumxWCGyy1XM07bBEJ
s7GJ1q10wkGG9oKwu+LOFEl5mlNGC99MEwOjY13ZmfhABCBFdnJkFztonK/rg9KftYEchqvWu5ZF
lKZmqjsNT5xM0R15nG4bzBMx2pS4eB1QZhIre9rY2kTUTm6TcqNW6eD5tjGWD01qW0dh6HdTb22d
rCpd1K2Q0NdX9mafaBNu4UprmBt+agVuU74Yi1scOSdeOzH/nuCv7m3YXAF/aDBu+Ovgi3Yspe/K
2qOzkRMN4+uxbf2q1wjDEAGAY24hdg/XaanB4yUbx9XDDm6YviM+JHmxZV18xwuywn1kkAv2I/DB
KedVp4NOs6Td1gD814FwKmTaZrIUX8mAXwTJdJhoI4fzpnK3dP38/PnkPWiMvT6UjXccTRTcWNAv
HOx1XhxVdZma+mYsxLaLde6xmT1hUCTsXwsSTtVftEL5kc7SoW+GM+6ObBXp+dqSyk234JBvpqVF
WqOSP3z+0fbPGT4ZLLZXq/71wwGGH+wnHlwEd85bJ3SddI1Scg2UhSA4N26sWY9/c6yVd4GDAHx5
MDeIyfsTaBimpoMR7YQOB3PYupCXhn5pAhjfx/wK3j3WWisgXqMGp1/CL90fCn+Ufl7mwUWiZBkX
uZycDcDNuLOcwjlSCx2U+bzCdSwATJBjAsLJhN8fqzBiV11qxiJB7GrhU7EfDSOaVA2NrQHe5RpA
SEjzB0BtTz9LcP5H3JirvjFk9bbJY/NIefj+6bm9c6ZzsK5F06FmUO/b0tA6h6dXzHlLp9UCz5vs
U8JIxyPb1LGhDjYFx2zxOywYikTidjMDaqDOLdgn+yU+sjXs31PW9ww+qbEtUOlDLzcOyAG6mwkP
rwY7XEp1vB7Vdn5EaKTcLnJ2b8Yu1sIcg44j5937pbuOyoHLzMX3g9Nn/9tt55IWP4JLLs6Tc5er
GToDUqtOvaXTT+IicgMipojkwvFyY6ddcsGWXl0naAp+j1pLyNvoWePtUjT63/+SqWpQx68oMYzL
g9W0lGOWowt1wsmV9FMaGC0SLve2TSN183cX7uqLwYuHd0mD9rDcnyrsyidhO8S0VuqJEXf2JbKp
/EqtnOLh86H2b1GvXzJDrXD/esyAHe2/7kWr4f3SnAtFZzuBVaiJryLzOjJr93Gbv0YBO1rvu6tT
1cEoeMm1tWlETphIp8i2OukB340uLuHHZRaR2ro3fLGrcjknD+qY3fzBwf7n4Prry4TiuSol9h+x
i/PFxC4IoyfbGM4A0gdC1xrziy2iOsTow9vFcEAeQTWIBnGaArlTmz7FztQccyTcv+T89UlgBhKR
AkEMfsT+J1HLOKo9WTrA1HNx2S1R/gunAXklpIuguVQJJq70+sGZ1OG+7oby/PPv+oMFjW6QNcWe
/3ri7w+fp4tKXK5Cn9hS5LkgW+BRonvfZkN/z8V/2Fr5kHz7fMwPHxkXQdgZHEDvTmIb5a/iSuGE
sirww/V0IDtq39M6cZWfHK/zOU7R4nHqZrnLhC3vPx9+faN7t5tVu0bTmTsl7UWm3/4jD7mW4+eF
yVfkas02gVRwLUUeXfa6Pvz+fKgDCd9f3+6bsQ62ZrWuptYtcGEd6XD7VODWWZV1xi7GOfF8tpOW
EF/HAIxfxhvLmaIrNZb599Ko7Mshn5P/xh4CLMLahpG4qr72n3w253hIJ+aaOqMc7hv2UTWuXrgM
yf/LkQ43RiUuyxxTj7AsvDmIwNlo6qca3Rq1CY+84/V3vf8+//1UB/eMQtWisSg6J9QQGHwhYSXe
yFnoXxKi2mtSLzduW3lB0ThRQfaeMV6207RFlnCsLPxwXq0FA9AksP4rJ+nN3XwApzQ5DpzQGOfV
PTUibmjqja0kxvLIM3801KpXW62gAFcOnbCSqJu1omP7MhJp7gqMTLZQFY2wAN05+fz17hd9f85g
5gvMDwg7kHUPZrBX1K5Cei9HXEl30Uzs8oenotODZCu2S+r0x2z/Pvg2OXvYEE34gYiZ9+doPA/U
BwM+SlqjOcFAUyqo9KNu1R9tQViGsgkA3WE6eTCKI0yhNxqjEMDZnTXTolwZCVCdgr8X5tU5tg59
alzi+FVeGROylc9f6ke77tvhD6asNDrHacd107eA7YsucbcFGWG7ZCIeJ+e+HIAT/T1tyF/fJNwx
2vwQYGGk779Za4zVSmEZ8E2aWViYZXE6c3vZff5oH05N1BNce7n4A/juj6KkhahNh0fLCtXFIVJa
OzUefMeJjoURfbi5sqbAB9bEI9pq+0OR0tDZOXVOmHsFM0RpgEHsFKVAAWutjNJ5I/Wx2i7mSZ8P
9bcGh6sneunqTASJrR25GX+4ThyTboH+mmW8vpc3q782W6dvO95uNlJjqlPbXJrC8C67zEBINvXD
6efv2eT3He56GGj8a7yDikdN5lLS6+fhE68Omj42fZ3xjkzUj0YBGYQ5hHUpAsz152+eitwzpTJU
9tauUMSt1mZxqEyEM//9Z3k7ysG768tJaOmCbBsfVkzm4srZdvWSbj4f5aM1z0V9tXNE3qO9u/NJ
wMtSYc2nRdOezfgzKH7eZNP3keRl4WMb0wDeUTP7Ttto2q7Qx2N61g8WB70WVBgQ3viHw6Kw8DIj
GkXphuTFDudDMixb8k9zPH20Y+LuD7YYjzsW6BmtHpp1B2e9rUatKpWKodC2fCe/VvoLkFHXVfUP
VN/qtqgidfv5G/5gtjCmtVquUaZR8+/Plk7OCuR1xozTZgkJ/0RqaOnHelcfjoJgB+NTrsvvTiRn
tBd4kYUbItIvQ1evXozGKI5M/A9fH4wB/oI/wRm7/yiEqQ2zTd5DmBrCiTgX3ByZjOV8X5xB/wK8
nN9MmWYcGfXDRwN5QwwAukehtz8qN3GDEDRGbcAmLoFbzfM8OdrIXU+Xg60DWSKWEmAzOpX1wdbR
4Y0wCEVj68Cxa5cPTvu1l2m1dROxXNREx91ni7Fg+Kq2gaJO+i6v9fm004vc8pWmOQZJffiqIWVC
PlPXPebgVY/Q/StrldeB7XrEPaWl3BqT3uyKeu7ZusV0OZsG/J7PJ+sH28EqzvzXsOtberO1kTHv
rPoOJ7Tmqdvo9Rg9LxgAbyCnN6GIm2z24cR7/uRac9BL91i020c1KLv3SgFZ+6Os1P0PkHYyxk0C
y33LmLiqVhIHwWAyaKf7S0eyuR/3qnZPyoP5pOAFPvq9WEgPRGwQqyBbDj2Yz9/IAVH09YaAtkEF
jYSzii7jcB+20adKWNsh11boIoOt5r7eF8oVRbJ7hfWJ9k0O5i7r+gJDqohUQ4usSRx+5/tlMs1n
pInfHadAGoGp2WnjxdkWZ9rsS2qnU+onbjQeQYY+Wi805uhGsGOtxIT9VzhbheIK9PwhHBcjsGMn
OVXJnDhytH80QckA8+j00tPU3IMvqknKhj5n5oZtgVSrTicFAbMTTVs053LnlbMOA7tSFuvIuO9P
C1ymEH5CnAI/5EK8/3RlGRPX6VE8uHBzcTeW8abF8Wqbod4PP//q34MxDIXSlMwvjJ6BLfeHmrJa
wYeEDo46leK6mwYtJ1cd+1tISq4hNjnSmwtEeY744eSjPMYTM9Y1vr8lMeVQOGDbQHDkuz0dmess
8P2LyEKPBjPI0yZ/zpWBq9Oqdb7K0MfFfjqo9gXJ0nLZkAZ2R5Q7DdLOQPnjm2VCbpyHX5obmu2C
wbquCEf6nV3PbRBZfRbv1GY0n9JFEvcglyjqtxyM+pU7x3nm606KxCl21PaWG7l+s+KRTx1WhUug
LUQrbAVhvlCRRSO/lKjnqs3n7//9RMaZHgwIutZqP/GuBUBvWS8zqqwcc7ENHrjZLaL3vw9XMsrK
xmCtrPFLB8hHPVipFXs5kBtS/9BF+Li1lvE514U8woz4aD6hNGVbo2e4Bi3vzycXcqHXDYwEU7U+
dTJDf1CHxdgadQu2p8ihedHnfkP6mnGsFfDhqySaHEuxVTv9Cia/2df1PjeFwJkmpJbTKn+Sdbfh
OE1Rj83Ot2iKm51j17Ufu063HVNOwJYO9TmbmoarKVQxJY9urDqabj7/ij8oV9aqluJg5WvxDwdv
v+8sjrZiBHcimNWg29TpdzYk0HvaP+aVtBCSw4jQil9zbCij3/YulMnFZREGUipxEwh7mP82/Mdn
QhO5yqBxpjlkUqWRnWD2NWNqbrnVFbT7yB+GcfmtmVUVymZZCr/B5OnI7PhoY7OhpNLKpO/FfWd/
drR6wiJEqxCmi5iCWLfKLeXTb01itXTkpa97897GYnGj0BEzsatg9HNoHdBGWud5AJxho7oIHWAp
+7Uh41u2m+EiddNs8JVk0n9geSe2Q2YNu6p0TSDgJrvVF1H/chsz+V1LXb22Fcz+/aIz0yOb77ub
yPoZmRiQoFgr2iEsF8WxQgYNgZaNVcjrwWqVX1EbRU9djiui35Vpou5qO5EvAx/t26wTrfX5W3q3
ZA4+wMENrJ1KN7HMUgmHoYBknngPy5gcAx/fbQnrINRd3KfXIIxXheWbdZn1jpX1nDNh5ioXdPDO
8sIosXg1LlprPO9N69bq2iP3gw+/fbivlFqrAPuwxzA1Zp2gSVZC1+Zy6U+xiNn2bDRlU7NLy1j5
9vmLPKDDcoNaHxJJE5drii+MrvdntqXAW3QUJ8LaY0DbPcTYwnSeLPw5M9sXOYrmZ1l5FpQ+MeJZ
CnvQFsdq9nera/0MXBhWlgampYeli2SeJVhNKWEKN9ZP2PBofKrW1VAP9d3nz/vhxHkz1MH9i9Zm
DE2GiVOW0jzLnOQW79vi5PNBPvoSsWhAy0pcJZfSg0FmxxxlrGRKqOsFFtvlUi8u+R+uuotEp36V
8NtfPh/x3YWPIpa3hPH/SpJExLD/LSo4jcG9ajxApKg719xivnQ6p7gpZJym/jJkhMgt1jGLymOj
ru/hzQJBfBuTMY4p0uh51daCVvSiN3G8bTpvDB3bqi+UuYuOHJfvv0FOF6iAqywIT69DTmCTL4st
Ez0KzSx1zk21JKNGi4sjAM/7tc8oMFK44pA5xjj7jzaxvbirB0JYYFPoe8kI2z4xadSmePQgYp9F
vBP5PE9+lRXpkfnznhxgraOT3kRUCOFfh3Y1OcpSWVRWFGKfn111+I07wYiw/d42ugu9ERouRU19
OneJc1eLQvzOHWwpbFr4Z63mJedW1xwr9D96IWsIEezRtW18KEdEq5622LdGYdZ6Lvy+Kj+RxGI/
Rq3WR4GpVxghl/YkwlJfjnkTwYfgdR8eimhD8JVxIbC+I4JOmpgRZozxJjF69zxeuWyYTFXLsMmc
WlUp+rn9VE5tfcliTXZ+i9c1AhFsaDEkbHTckmJC/dCLWw2BdeVQp6SiG2rxldM++Urf9bqKDI+4
e3o+5ibpktZCuWqQou5FVUM3uVLmlMDTyvyWDIOX7KRRIZT3qq69btTIMP1S0aYb0xrVL4PRkqqe
qaIdSO9R2NG8TiGVoOlcHBLolsGSHoQBFalW+fYxJx+N32gs5EsJ5x6H+LzD3MFps6+yt8rWL2nu
Aq/Lxbwz6rl6bGG+8Dz13DxauaNeRiMZNz7p06WHwY7F38tooYc1l05RBCU0919LL/HcseweOzLU
P3aKvKUy5ZmjjmPv91E7J+hyp1qCgadErIqisQJncQU1sE1YxIVi6TPkdbVtfuLBG8eh3SzqKQyV
4Sv2JHhd9zVhyKFdu1Vyo0x6R/pSlrv3JNm2+bhppgYffSAkdyTgxVVOkOl6UC/KodWWsF5E6+gP
Gi0iCiOH58PJzIUlgO+tJbADS2ODzkbqqtU9jvxEA+4Gpy8E/UCMaQkvSJoEJZSYio2W5J4RqJGT
26FlD1rrx0VCg0RpVOepl0n+ox3peQWZ6mGnbhSmXJDOuBa37iGfel9gyMl+qaU5Od1OKp9HErdv
avrQzwkma5ih20ItSLSP4y500S0sj50r4mlrl02Un3S22Yz+sqh97UtJPyisNQUn6nZwubY1czfe
aV0JgoNU2UE/3FlUrTqRJTrGYW2/bByUacsZd2e3pwFhFolfu7Ouh16CHfAmjTVIQP0ilZfV0MyX
WKMBr5hxew3S0oKV5k5EPiBXB2WbFVHPVDdG+8q1FqJeikElgiSpsLVva1o3VWHjx1EnyvybLoCT
hWQexbeNwd6DsWXkXI+QGDu/r2TZUAEY0K0US+Tf5jLmejC2evGF66V7089NfQcXoSY6qKlqUE69
1K7nusmgROuyndZZOY0XTVR19nZyFI3fD4eAsA616khCioSdbDxLqt91FtsDSM84bbCaM1BexXZ7
mraqOvqZVZltyP1I/qTPPD4ZXscvogmIslAR+WIgwBuXOyuK1Tv6nfoPCzgw8bMRLz5SFJb2viw6
S27ATkcTLnCEqlrHYSX2B4wnWOKZmz73BlZV2QjCTa5vmlwT8Cb7MwNL+7Ncqbty13Hqu35lYUkR
qgnZyz4Xs4zueAz1u6E5GF+4nSlvlVZxfixjbl1bndMnJ3aWIFssony1KHCxik+oUi6Rdy/SL0rH
+TUNXmww/6ZRJZkHN1gfSmAmQndGohQI2pgLcHhiVv6gGh3BTqVhPjd9vhTXo2LEaRAnmTKd2Oie
Xb+gpjN8R5dVepq0efm90evyuxbFxmOnJHPsq0075r7TWd4PN4sn8ov1qAa6qONCBkJMEdhdmpd9
AMAYc8b1Fney1kh2U2ZM97bM9ZPOShTEm56x4CZyNhBW+1POcMiw3Suyb4mFOtxP6rxlA7as9qcY
4/o+hiCvBb1r99+0vrC1EwxIZ1IKUCfaQT7kyYMa2/aDng15tzXdTHbhPKVCfgc1wyt5lKaVk8Sd
6DdY445yx6IgPtJLDXX4lbaEFeN/CY+aDAPM0M7TeFb6NanBNrZFCzLla52kx+11UU9k+xw5SlAr
8JI2c4yjzxZZFFkXao95g80tlfQHUHMFuDlXf9QkzQwns1kJzR9xEUWMr1Hl+Jk9qnPodOZchJLY
Dc3HBhDtRKlaBCS7de/8GGUXP5pWDN9rwW0F+5BxQFg2S1XpQkLlC/W0SswYvw8dJtVJLrDPdDM7
cwNEIPlwohW28agr4xDt6spuxWnnjEPtq7CcPB/yVcTfXwMuBzUS6bluS2WXJJ36orerjNCUaj5c
FJaYWt/NuFEHQ2dO0UPeK115bei0P3Y9Fk8j8yW2+SnK0syvR/p1YeHm07eBfO7Sn6009wLNaDrt
pKwRxT0YSF/F755E2AknBJmWPsYW9bk2eNMutlP7QW285ZvJDRR/LNzTFj81ovSrbbToeLMJQcRV
3iNY2hDJUmY/I8yWGl8jkOoFIgI+oqU6FGC1hoYbYL7Ugxc4TqI8jUrnCXAYoImwyLNWhouepD+g
+cmrRWRTfsvUnjDmimvtJNNS5VdrmsNwagxR9aTSIskD9MUY9PR2FLN3eL23GGfpUHAIVKWCLSS1
ymRuJ3g91gbuJSQCFAZ9vrFIcP6ail57VIwoqvHkzNknFO4hT27qxRdmmrc6ppKCo101e/M+tiPl
W9OZGOdgCUI9oHSjMQY9KGkfZG2efDVKR4uDKu/KBwF7SCf3ZNReyDTonydjmb+jkp5YeI2ZnTtR
63BlKGdn9L3FdFhdilqfLy1I8raMqjneFU5anFpWZ8++LEvzGiCl+KE7iX7VWqUusQOtqv7BIMDj
si8Xow098uavOv6vyKcnW9sbVU/yn4mhJUmQZjinB/NMOJRvE0f4rGsTh3WsRvZFVqv1j6FqB8WX
qpb3m3HukR27lbTO+9Lr+tM0XZp+Z9ZYpAZaUerQS/BobgNzTNg/vYWwxy1yG/PGTEp5F5Xu3O6c
OnXrq3ExJze0J2BQrnEDbltIjbiIIPxY/cMHyOw+VVBJHDxCsSiwlXF+wj6krLnaCKULRt7LpeJU
MKGdCqU4AvOiGoMmk2eR3k40LMSzMSYyDbCdVy4LMnTycKFbY002muaUKcRpA4Y07pK+ys8Lt27c
repN2feK9dgHxH4VaVi29bDg02kq39xOYxFafdI9tfMsrWCkgrc2tlK7Z2VlVNinKSqaSg3W3FMp
3Z1qFLimjnxeXwjcArOqVbufQjqxuklFoad4ZYmIvoX0Vh0qBYIViKaLUg5/ZzkzsqlSw2xRpnMS
CJIrKGOYAaq9Y94Wae4DMy6rNZvJU4s843psNriXhpNeF+gAx4rju4qWqof6qkwzYua6bDZGFctz
N3PVaJcpsCQ2zhRrg8/OL/OQHD9n04iq6QM7SZvfppDDi6s23IjK2BakVyTQheN2hHyPGZhNBk7v
KiKgbGqNoNWXlkwWiezajyKAOl9rrBiDmUrJ64CbL9uZR88eVbtlld1mzng1a5GlH0OtX9sC+4UE
8hcaMPx9BREPSamC5Me2mLFqRImSIAyijqn9iDjy8xkUyY/s2ThjMi8nSlOMJ67TT9fW4jYhEZHR
HSFBCiGsznLiDbFzKxbPAphOo/OyHS3fGkdjV2Esu8syUw+mUk25RAxw1pfJ9bO8Wyq/bh4+L/w/
wG9QlSJlRlVDxB7I4X6h2izjMkW9GoUebZkdHoHmqaktWlDXpnVpe/jyFVqUXXHBTsxAIti66gY7
OUKBeg/gIJmnoKc+W1/uIVDsSG9qR1l4oakXfTBhenbLXsN1vJybv1+Y7w21QpNvMAdF6Ru8gEE6
yPBKTpJc6+7w1dWAN0S7K2b0EUvd3Jtcj79+/qY/wB2Q9aCgek15Rau1P7AtzHai3e1RV7T6psjz
ZqNgsLH5fJQP3yQsZipsSI/uIbK6qFi2FRk+9ujCxFcMvIgac9Gt7UDdjmpzPh6MchoEEAfTwzah
x4lutin4DSZnVdhizMRi1G89TJb8zx/rff3OBAHM+OdIBy+vEm0C6ZxvjYaYPEmcqDpxZ7nAOXQg
7Mb1FGCnktx/Puh7GA5QbCUNoBxlsb+2N95MFWuYogRjTi/EV04LZ52oqlS9wj5Ri3Cy+nys94g4
YyE8oo2DWylPuj872jKu+s4RXhg1uvk8eZ1FSLPVm3c0ydWwGNPyPimN4ps+LNqOKC798fPxP5id
QKfEe2CjjC/74byZ7Ihrtw5ubOiT89gUiBkdIx3/VA/8LQuiy/RXW3XVS/8/1j/2q+IcTuOkfzXT
+fe/fRmf235on/9x+VR3/+Ao//2E4Xh5+Gf2fkX3v15/HD9X4VP/tPcvmxJ74vlmeG7n2+eOPfSf
3j3r//lf/eE/nl9/y/1cP//P//hVDcSB8ttwTi/fOhBxaViJDf+5a9FpVzz/o3rhyT76c3+ZF5l/
YN1Jr4jDxgFWp9z6l3mR+QfL2noNSoHSSHeB0f4yL7LMP4gNgAC4MtxdsE1QuL/ci/gRFokA5Gui
u71GHP/HP9/B9Z8HHK+PL4S399e/vzUK2p+uIKesi9Up81W/hYx3nU5vlkZbTZW+9DHOaQ5BVX30
JMmp9VcjOer91LrBng4jcrITqxo79Tdv64OxXx1M/n0Gvw4OhQT1AMInHuUwKEfVFU/okxH5cYyx
JHxzrTtVSNn0666OTrtGpaXTTnZ/JpJ4vFEGMw9SfEF2hTp1Z51r5ElQiRz7f4uwjgBGZXHeT/xH
TCa/jQCzIZFMjXrO29XDGoCVpZBH16km5C/iASsJjlWZPkh8hPON1X9FjEStilCoPxFzqv9OtXGS
QdVxSdymI948ppJyEwFUr/Uwb+cLtg/vRswi/dEjyqhwEspx1OniST7ScNnaSmE9KWqZFmCM/ZAG
hSFAcrzGXLgKOdXL3GvWpWtNnvnnq/1/sT7r5/Kub5+fexbo/wer8nWW/Odr8u5p+J3+43+3Tz/T
p7eL+fWP/bkkLesPOrg09yEmrCLdlUv0p52YwaqDBYgYD2oVbb71J38tSEP/A94yp+yr3IRFS6Px
rwWp2X+sM3h1F1lb5GiLD9bfZ+sRBQ8r7t+LgtNpTcLGsgkaHcZ/YOz7KzKG3Vl02Bz5BSxvZUeL
VTynpkcpVLaOdSYtLQ0p6PF/0hVdRQVq9PMjtEKhnY5kKngByGTx0gptvotjTxhbHc/kkwHjop2e
LMBsioqdd4piA1oK9tUnwIaY9mYzHWI9a+PfVhk3p26nEDdAtdG6ankO6t6rgYEa8WuaQdzVy1T5
HcHFunUAyknZkRnIv/bdmKIsWESf+Z47TMVJ0pQYOJEYGT9JvbC/Q1jBTzB1iltXm8vMjzBKOEXA
OLNkvQs+t9f5OPaYbdDWuvVCaqRX+EU7TmEzUMZakS0CQ+nMoI6M6QYiRZaAFsVOGhhRNe7WAttA
MZcQs9X1PfaVss+nUOuBA07rRizmedTRrDjL84I7uZu02R1Hmj7ujEliFuZ0Ud5fJrlMd5XR6ZeZ
UmPgl5aO9Y2aKpUPujW05ekSZcW5k3bdc5TYxc5McHQIExckEDPspniQBAGCV9F/Me5EFjfxdFKu
qPCvvKlyinaBCUMhHkucYGiPRROwZ7Nz3cWM7scFUo8VWnXdaMnGHMehGV+mRFKGwfTBy63DDtYS
Q6QpzwiVleFabyxL2B5fWKx7mzKNqMaVULStW6uXUlhuLoJ4ydL4KsWnrEoCXXeUCs9/vJJJ+yb4
WyOe+TJzXewyl3Fo01AdzCgOdGCX32yTaD4FM+iyyGhyn07N4NmE0GWVe+FC8wE7tMcx2oDl2l8j
C5YCxCVMQ8JmkTEI9OR6T8NgLRpQae6dO9RH/UVNsUwjVNJHGrYUjELdAjHHKVOehsEwgEVd9mZh
jre2KUamloBL/92yknmDtQREl2poR++r59FYcJu8urLrVQanJn1+49gEjt5qmVJap1NUt93jpOBb
BpCU/U5UsNIvICv1D4l+gNwnBz5cKVN8SBvpefjmVsK6dmsktsFQKyKlvSFAuLrJyefdOLi47074
6/6yWwuhRa4q6RxW6Fd/4d8Ww7qs9T45j3SJiau28oWC3gKlOiumfPnWQwm+bBKti88XfeKUVTwi
dX1Hpnq6aUtlGciUiacvbqKN8mSs69nHhcrytoYztze1GPQHyyKBI4zSZv5eoi+ZMd10kwq0f8i3
4yS8jZW7vXamuePsl4t0B/hjo3HfpDSFgxHS00OWLHq2wcE/OW2reVLDCVw3Cqx4aiRW/shJnlR3
glDWGkuc+YlDu+0MXKTpTjqRJjLoC/h01Pp9/cXVIiRRclHy5b5M6kT3q5m56E/0O8wvAjsB2iT0
En63sixszMHHOQ71qa3vhyKLEc25REsB5AgAxoTsZLERuT1uU03HKDYSHuhe31bJ5NeanTzVuTBP
Km1KvnDRGlHyk+vwPUJyM3d+6ZngPZOm86VE2tTRGCTgws9wVnhe7Nq4rnWpn61RF/jrwY99cVyp
DlsCb4oFeEGfuRmsib+Y+BdpdTZLrUawq7Z2KLnLnwgVQDecQQoeXWXWv9F4hvDUL271Vadn/F1q
8At9r7XTOKTSBairragbmCowDmFdph0xvVUcJxtD2kYSoOXPt3NjDvF5btRRuGDq92UZbO+rwsaK
24zHGtomvSlOaWV66dZt1t6qGCOsb8Xk4QbYZA3kPl+aYym2jehTMnugaJXBHCmxse3NsSJyuGqq
s7I1ym9mY9lftYICy9sZXRU7p3pDzzLB+5e0nKBTdJcAibGMmE47g3opskPcza1o249tsgRKJNRR
8dOJipDAYtdewM8UujH2BVA0lopsJ5jZCZ+E2emHoKm3SfXGoOM16Ng3umOIEU6doWduwOKj+tqZ
dCM3R7+xRDNauT81vGNabfW0mPZVZKpFSVNHhcdd3zctpiH0V0yFfGn6BgM5TGjfHRFKx8SVrzRj
KdfeEmERp5mlkJqjc0xqF6Vawn7apLga19OGO6Q6VdvZ7EqfbWhIQt0Szvx/mDuv5biRtE3f0OIP
eHOKciApUaJEOZ5kdEst2IT3V78POLO7KlRt4efsyfZ0dCiie5jMRJrPvCZBxD+U48k1sxldbbXu
hNPvwzAcu+7QRY4xPEgrElVN1Tql4fFRwUPGRTnd9GR1SBpN+WlF2KYTqYZj9c5M+MBKnmsv1lBM
6ecJf9Vmb7nd5O1Dt84/x5XnUJSLMEFCG5ZSMl1K2dZPiVuE3Ts6yM4QJJY3T4E1Ns3vjDrYszJ6
mAC1wITo2NSl/CeSUYZymmY37YLyBG1XGKP+UmZRND8rw4AGYJ3JmUpcXk45bGhTOB/01IjLh9DU
63SXjKpY+ufoWvhuLCT16yED2oSbYKO3p6rhl0/QsIWntG8kSvHfe2mVSuRPaP3gHzN3WkbzOqQ5
UiZUrI+Olkm8K4eKerIfJlzPtAVa+47itS3fRWoX3k0xF8u7QXbosJAW9NZ8WmJjMLJ2NeofKXlI
YzdmVAiO1Zjb9lMyhpqx1+NefwkbA0eGTJtLb0ffIGkeB9tLA3eYXMxs9Nr7Grpd4XLJmL31mGWi
N+8zBNDru7ROlT7yYX2p+Yc21ahzuijBfMB/HGftGUH1Fu91IrSfFG/DYufKbviRVUpY72Q3ho/I
cE2fAVWKoxOZXKM1bScz8k0KqbQINL3TX7S4pqnHJWQWL4XTxd8zrY1p41DCmYFPjbN9J0FBxk8e
Pi2faWPo1lclGR1s2hQsa/V7bhLPPGSoLFB5CTWv/m0WTOpr4crcO+B41Uf7xm0rC8m4zm0Ebu6O
qZ4SLLvmo9ukeJC1ohl6uYs5EahmZ5VZGVjeqsnPMuvx3AQyMaPBzV6cPvZyjMIXtDOyl8QeLWM3
Jza/aCJxiPe7LLfKQwHfO76bjL6xnsNcsUrq05bVyiOxouiQ2e7GY4nek3jXecKeP2nuHGrPuJSr
yYHer+fEvudV+ktOa6j5KCcr/9iWo/OSZKZaHUYsyo1T18ZslVzTcbO0BpM2MAX5NmXZ5mEsfHqt
cf/SJWTQ3A5NZh3Roe76IKqVzNj1qaNUSMOGE03OhHqKYG+r72Uka+uEmvoc3bVuOVnUwEueBnt2
EszCsr5ligbau7ZvNV7dH4zQ0lAeVyb6PJyC99o46N/ybEw+6Join93CnaadJWAMIpQ2GBNZZk9U
3mo8yWpBfNxEk8rPd/s6pK1rAvvGsqz+pnptWaIR01H2nQbLUQ7ZjDnfhxRtvPQD7G6h+12ae8Ec
T0pzP3lZspP6OMbHMVO7e9Go7l+CPnO/w+/dfalC0Q17yaaxPyt9IynyC8dM/SmduiPhbfbbBlkf
iE6h6Zl0ZvO7UK3xS9n12qkXqhMFGIKWn2aO6nQ0poYtGiO0sbOZwl2o99mhF7H6JOq5+1ArWvPL
ieJB9TU17vTdEkvulFlZJGMpV8BqzU32C2w6dr0bYluzb4oYn7bGG1Sdbkc+h47fzyK0j1A2zIc5
ovcofXpe0S+Zyso6IrcIPgFNFYuXF1Mh7w4rGfs7bYDkoWh7o/ERAB7aXToXbr8bUnX8y6oRTvQN
p4pofhA/RjRxM1sSZ9MPe+faRfRe0YRWkK/XFo5E1oLPyIvO+UjUjhCbRNE3GVu2BL39uKHR3XFe
jMQchz1Rb/8czYPTBXMbTR/tvuPimUIzCSjAdGz+SNjeAZokmAM18Yo72VtcfY2CW8PRQ0up8FVr
6Ip7FOk1mpKlQzWgGrnYN2om5/UaKnswtTA+hOKySEA47io7LGpe/Sovc3DVWTrQDrXCz0ku6IBm
UeZHEt3lXU/k+tGI2yKYediHjd/gvMD4+hvQ94T5Az7dhl25qhjxWCKOHHNRllIVj40izSOc7ub3
7drQimL0r4ku+qyvArDUbhcY2h+FqTlbkpOBzpGFEhM2CVUjaUnbsfdOHzFs8z2l6HpfzCOrQGzF
sdYq25h3CBuaz5TUoi0Jwst542hPQu6inIjY0ats4B+/UJvguZWZcbGbJ0o7mk1SnYspfLo972uj
4Oi6EAQ5NwjJn0871aKidyJieshOiHZCNyfQEFvSGesaA8p5i2ge9uU6xp04+JyPYo0uyVzigsSy
yaa5RlEQJ5eopi/JFIbF6a1zAqHEiNQ/HRTa15h5apnCbsWQExZ5HJrJMkeMR8p+i5pOufSscoKu
DyBbE6POhQ4Ahux8Vn1Jj97DpnMnBOo2x0KxiBrFVHeAI8ocIlAbi7vbU1t+5J/FGoakX2LAS6GI
Cj93dRiWJhgPnJQ7186b33VsGx8tzCkf1Kizn9V5kD+59MediiVTusEPOO+kcECWuxZmAHVLtAfZ
LuezTU1thBYxy11qwhKAd9S0v0drYIEpF3B7tXRDxn0DmGzLTvti97DIMMroNdPqINlajVzYKiT0
yaSukGYDN/VoKZSOGonTZh0m+svtJV41Nl8natlLyXtRGqPFuToSehnjga25xDa9wbPTeiMPQ5JN
0xerl4RZjO88CSuyvoKsFvnJqh3xGJdp/P32L3KxvUwdcXsUpBbdVBRnVt96atRENwC+7ZKW5g9S
9jMphFYTS+3UCgU938rszT195Svb3POgnJerEF3Y868cC0POqTtwDbaI+sgClIgGIsMDwp2hYxWe
vNCdEdNPcaKTG85RF98ZVU8VTBYocuKbixtPS+olJ47kDuaPeFCtOUKRXnGb32FkksK8aXVh71ka
fWubngv8Ayygzic6NXanjqYWUSNvigeYPKBqK9f+kTVpsq9dKoUbA65u2mVAHi+uWgrAzHA9YOkl
baR3RbwrWof6aGL1+2z7Pl9tGsrIOq14zBMpDyNJdXHTunEWlZ4S7SADl4faQ258Bj3u0O3QE0B6
49bDudow/xpwGY7NirTE+rJFQqYvelECNQ0NuEEkrN9AdaBZiM1vF1IXivqJg3r74612CoPSpSLj
0GDsE5usb4TGcmiJTzA9DWX4JSjJ7Lyi+5WBQNv4aFcGWmjzVL3gWKHUsboLoinWSh0ph93EsUD9
P0SZP2tBkenp9PahbBTESC8Y0EOo43xDDuowqTFJgD+KMtm/TiojPAVewfRuL9+KX8fp5rVaIAVL
35YW9bpBnQnbQlrJjnY4yE8UQZLcpQA6tP37pLLm5F7MTvhkFI0A2Eaq5WsWPbsdQlSzOPVmZmfv
S23MtozuLhcbQSDbpJGNSjQdk9Vi523vlkkDXElHaesA5jv1pQvE21v+dHsFrg1FC5B1ZvJ0S1eL
jWlINObYhO20qv/idMOXXnbABvsvbx+G4JW3S0OACF2Q82+axIlZ5hEl9FZLLFLPLDuYiWv6Xltn
h7cPBfkZRQnoqqzhekYdrjFYgYf4rshpF8WzAH1tjjvwcGLjnr488jRPaUlxUXuolK+HosCSgTcE
PkiUlQRUnznfY9/NdzLljqHfEb63lLz/eXuCq0yEPUv4z+NA75gNAnPsfC17RLIExiLhjhvOK3Yq
uebjYHU4QjQt+zSKhm9zXHd3mUt7B0Ko3IiUr2wZGuCLsKK7tNDX35JkeXArAM+8/32pf3TUTH/B
QZrYQAKR2XqeLkdjqjC5kK9FrRNa3vlspcxKEIgVzjb19EWRCoVwu/3y37gLLgei9Qe91EJ5k1fQ
Wu0bLRlcnGwmCp3z+HoSaKT9RycB6cdXw6RFsgNJkvP5tGUxovHb0few5x66nTl9rcaup43Fn25v
lCszIi4H0sdeYV7rjYLTtRsaWsnSNcn9cralGuPj/vazzUYA3UM8yptLgHY+o8yyiIDBcfounfgH
6q2/pGHmD0nU/ro9n4vAwQbnTBxI1E+eRh52PhBo9xjLecodiaklgQlQf789myuDLERIVNKom18O
0joAEIrEFdBB8vwz/kTNb06UeXzzVNwli4dWzxUFqON8KnIoKjpDo/DT3gifeF/yh6rttnLayw2A
yAVAj0WUk4vCXP79H5kz8S1i1BH8bB1TAWNvMrf+1JkJ4bOXNkTwtyd1dTjwoaBnCEWsV+TnH8NB
Uc+FM1Eq1Yth+pIN43xXTZQqMtt5m1bg8m4TYrlIa+gk0yj4rvYcNlETBBluhRoVxhGKYFw8qCmJ
e1HFruPfntfFlqD8gJkHIkwGKKKLXDOVCWLhi3VXgtLTUSH/O6gRm++NoxA1movygQ4aiBdptSWU
Oa173Ho9P162W0PFdV9O7psXjlFYNKp/y3PMm3W+Jboy6RW7TkH+kLQPQae6Wk+WLp1PxJJmtSEV
cBGEMxqgDi4hAn5Cx9WJHTujce2wEvQz0virYRRgGVSj+jRpEDREYocb3O2LL8V4iP6CL+GlIK5b
jacmiVvRYkeAZykpg6Ts96PnJsGbvxTjGEwHOohxETMJUhvwrwWIfcy4pwcV78vw5Iqxgtbz1pGQ
pafyRXxG3QgdvvOvBQq6Ls0YZzBdVl1Kc02HNpO40ttCh1oXocxiuEFkBlATtA3/PB8J5BQOcRFn
N1vu7t5Lx/exEPrfEnTCu7IxgGsOQ1l8KD2anwo6wBn+1hDUT1MNbcufI2g0Pg0SFbakoSoP6oRW
AniHhlp2K+OD5kzdY9f21otVIEe/w8WjeXRwU/saeRO1Awqf0xfbbIGBVwIk6tGpgPrSyDXjJ1rc
VBzbENF5KKF2Fd6lDZ2GgP7lt0oMRnIvhRX+aGCcRkd9ybK+jEMtHqmpN4ZP8wYUvqXmzZdhLt3w
sWkB9vu0AY2PVai7874B4PDOGzUcWV0zFMnBLAybujLyPv/M/WhLn7t80PdhDXJ2DhEre2zjRntJ
HIVwx3U6ij5v/u6UHUjJqd0tdZjVPl7oxmPSYSDXhcSwDaqoNJ429/Hl6QThzFtKdxElHwjP599c
sBwqjGXhm25BOcnIRvGYex0x5KCIR20q542i3fp4gqkm0VrAmAToHpD58wGLesgoEVkKMJK0+T16
Eh3SvA83oPBXRuEipb5KhWzRyVpdpEhFxLMF/MOvR4NQPCbMmi1Ffr79idaPHXPxwJxRe+QioCS3
GkVksd41kYrLYt4VKMGUYQnXQJABSHsz0bgyJTI0DiihP4HwOlxIk7KLiwKuTzcgRlJInoWQxuW/
bps3YRefC8nfazjiGcz4vwc/Pv1TPP4l/2nWP+r/Q7zxIvDyfwc2kiJm//yJaFz+839jjG0btDDW
QotSDBvk396omur91/L8cAsSYhF583/4N5oRhTyQjgBvqTgYhMv8p/8bzoir439xCMl2MEDkiOiY
B70F0Mhh+j8VciQ8SC/AgyzZBk0TII3nh81wMiMBHDY/aJHVQGJ3Czt7alGWFl/0nI7zlyhMir//
WJmP//rpf4KaV82jpW0Cepptai3PCL4vqxMej1YoRZi5947/IfQ/fXv3+Plpq2Rxnv9ejrGamDf1
ZmmDt7pP/e8vz6H/TvgbN8ha/eFiGqvDPdmlrGZAbvfN4en7++ePyf7jvPsBCXLjfV+V2C/nsnrg
KxMqlDUx0AOmIfvnaM9kEHDYCMxXXrkXw1ir90TokaYmBZ8lFTBFi5MDaiafo6OtY5esI3ZmyL3n
Bp7zWSvSnYrOjAKHTtCnht4MguM+RXEGLZiNZ27jS67FeM3pfy3zfPzwwdudHmvf+38cQj8/BeQf
Vi8yZi79l2j33PqP8EM3lvf8KbDZ8YScS7WZIAWqi7fc3n/kPcD45lF6TnsqHHM4IAUWYUFmGCCu
FOfj7QN2Hqb9ayhqowSdNJ8MylurofAkh+QFr1OxRPEcWrAbsUkLBsjv94M3oCSRVurGJl3O7B8X
ianrRAnEu9R/lxasuQoN08lMQFBYMoB43ByhwwLhAK66hzaZ30tU8E6352is13MZkKR1OYVkDTR/
zicplKTSa11nQNlFvl6b9sHMa3sHkNXZd+VQ7aF+iVObRN4haivnAXZ7GTTaAF8bXDWuDO3wV1mC
16LcCPdAlKijZnE8xn4XQ3lSRpF8UmzpLlgF770DXAJEVVwEYV26pxIn+0Pc9M4dRl7yQQGCeaAs
buyNrqqOlt64u8lRo4OdGhp/ktmhBKF1vL0G5w8+VzYK1XhukwkuLlIka+dLULQScAZ6BEejjNSj
l2XZsSiG/q2joKqDrBzu3UseQyn8fJRJsQxB0lwdQYpBl7REf4TNWm+McvE5PcrYZJsLZOFVrOx8
lLlWUt2aQCu0rVd/Ld1cuUfcZPjc2Y4W3F62K0OhSQfIYJFqpre0WjY9FdKJUmEep9DJIYpguzTJ
tjsA8d5y37s2FBkm3XWqEIa29rsq5OQWqB6Yx1kLrUNVW8nenPPoGOmRt3G/XGwGD/E/ntVFjYxq
x1oePdGRrxJxZB8XAuhhdkt8GDIQgbfXbn21EMdSJuLssRUIT9YCVsBmKeMNXhc4QtN/56U2R0AZ
zfh3Jjyutblxys9e03vZxg29bLI/rxdUWGknwdyj+0Cz+VXm84/bE767WrVmL04gPyEF2chOf8+s
dEiP0Hfjby0trh+USc0KEGKjb70P68uN241QDL9Gijs6NlerHQP3Gxk9sKyBlqKIg9pJoVnBiJgm
7nB1qn7Se1Ry3rjSQDIWyVQaXCgJL53t8wPhyrGWba7Yp74q4oBbN/xe2nSam9oxHmZ3Lg4w5tqN
o7HeRDQIl0Y2f3GxUDVbXaoolM4oHrlFIHPKFJFqFe+rIoo3CjDrU/E6CkweiHPklEzyfGpUGMKJ
A1gEFdqIsFdE4duZ1R7TZlTeeCoYSqeHTIBNix6w92oVw97SptFlQnbtzfvBoWHozHN/uH0qrkwI
xxnKPXA8FrzOapQE+QIA6nkZDLleECQ1cxYfQ8+MEIqgS/5GBzDeO950Wrk04qn3QCk/X7/OLQTK
LtgRDKqJRIBlRA9I6ca7HFLPRvPqckM4kJ1IQzh6kLLWt8rcKW0RWfYUoH5cP1oiq0/AS8aNUPra
KNSDF+MvWv6auoq/FPQrQ0c2UwCTSTm2Q1zD68//vv2RrgwCHobnAoY9KKS1KjaMo0Z6SjIEqL/M
B6QZJigIcdT9vj3MxV3BaqFXYHlLeEJut9oLhTuOlallQ6CwJz84XSXe6ehxvadMO+NOO04/b4+3
Co+XzUAXE9X1Rf2ONvX6MFlZGXZTMQY2QPsnO22Vg2bA40ok6lyVN6T7tmz1g5sI+641oE/cHv5y
61NAUSGM8y6QP65Join3JcIl/YDOUKwcQDZADsHHAbWkyt7qIV35gjhm83DTOYDLZ67zoEmVVIK0
IQjzOAWplnn6zgtVNOLePieaezgMY2RIv2+1HQH2GklieFOAu3yOZoniNIGbN1BbCwYr7m6Ptk6H
gWRgmsiHozv86r652jENRJzYMTIl6MPBgFiS2ZX7UVXC4is6osrjPOey+YFujvs8CNf9lNeF4R6q
CDEhSmQ4P2zczq8VvbO3lk6JQdME2BzUW/jR59dLONqJmQyqGoDqT3qIK2PvnRScV7KjDlYYcS9g
ug0MEoLePde7qh3xEujBUyd66ZxotbT5MQNUPfpSmZMMv4ZW+aqF8fRRR0092d9ev4sDwK8L7oys
A1YCR2C1fKPtJMj0QchI6ND8ygXGAjugQ+0uqnXrYdDRivek27zvnMUnUp2GDau+dUjEDlkqewso
Ck0BoL/ny+W0XWmZspqCyaCHocMz2GlDjyq0lPV3iA7xu5y5b2yai2PHoFRuMAekjwA8ajVpTLCR
CsyVKYjjpH9JvT7rwPs1tBt6LW/mjVf06mhUMqljUm+mzXA+xXJIR/T4rCnIMYxHdNtpYj9EjG6n
R7q6sf2uLadrkAYQHMCyXcc9HHsxdGjKBFkLbrEj5eKanuIu8AoEzAvE0g6j42BKc3sXvYY2613P
zYIJAQVbLu9VjBdpRjQ7GI0ECO7UfjVHWXfSwaID1XYHEyXCPMim/liWTvpNDYfygznahzA30p2x
KBdmYx+/10hb0ObIwvaNZlncEVTKiLyQNQHrQ5R2/gWU2FEy9FpUpM3wcIrgiTxnXagMPqYa9QMK
mVuZy7XPsJSs6aXjuUTd4nxA4SToOA5SDYBNZuhj5t77Cujfl9KswkNXG+apGGxloxN4dVAuQoqb
qIcTb5wPiqBAr1iRPgdVNmBWkSNtfLB6vfqsQ+H5FBlqhFBgWRhbvdsr+5viBXrhS4xPkXZV+Ror
IIJ2G6tBPHglJgERSqAHSEruL/iA9bfbO+3KJHFgIdBZ7KWIFFYPNmQxkaWOMyGKoyrsojbLfCu2
u8chavIDv0fni7Jr3hrILe8YESOMdYumkbd6O+3eKJCutOdApS5a+rVmVtVOHRInPNye3sUj/ToQ
t/GykLQLV9/QjSLDyKgoBzJRuz0JVRpko9ptHNdro6DfAqefXJQIeInC/swHK+GMWltoi0180e8t
8Ovqnr6SlBsDrau8y8kD1rxADU3EPLT1ycvtzFNEqmhBVasqJNx66qp96ZnhvDPCZfk06sDPDTZZ
7n6YEVfxy1oHd6VEWGrsWpRtHV8trTQOEIW3tlqy19aBCN1xuJopiK3tiYUn8jKWi4Ie8mfeHuEz
qznamF9vlReuHZE/B1p9VnJV4LcGA1n5mIf+nFeK6pdjleHdVaEteXsTXaT7XHELnwMuB2kb5a3z
z1sBcymGNOf2URQHyUxD+WYnrX7XjKP8LK3G+RDXaNWhn2BsgWWvhBOmBXIE/D5B5oVC0CQG7FId
7oJJevkz6tJIK9SVN37iXTBDbMk99R1yltM9iL9yN/VZuSWjfOWbkt4xdxshZYAeq73t6EVXeXaj
BrZM6KPnatMMCB82pbfhlnBlIHY2+Se5uAmYZPWs5xOkt8VkOFBDC2eCDF3hZmrlRk3hIiFa8sdF
u563dWlOrkZp4CtDChBOQE/XpnYvhxEl8iGWP7mIsCjDmdb8fnv7XNmsyJsBxOFkLCyo1ZB6WkRl
FWVOUCiDs69DpzkY06TekwKKjfznyuzAq7L9iZTJydfvJJGRq2WtZlKGbtsXmYZodXpC6fdeJUuY
zIUDyPL27Nb9oOVK8kgaaI1TL8Voan0Wi7qc0FI3A6nPFY5206wDHEcK4WOtRdXDPOTlJ3Qtut9m
awzSt+dYeyr6zC72G7/IK4FmFTSRTVNuJE5YkGqrsIQiPDw++KlB33ZesktHopFjq7XVk6KGMMU1
FXr7yYVVmZzizluUvaHF/GxDwGhHPW3thBOU92gwxm76NQmjqtg3vCDFXZzoCEu20I3dQ488z9c8
B64KPlfosNl7M0EBNp/F50LXsm+aEstHNRqb6rsBQsoIvFQbP+BpPSB22UCe2CN4KO0TWqOiPCow
Uo0dUg3m8BClVevuZrM2h53XT04Cs0tqv+q6b38TgFbFu0hHI2KXDXr6tVIiCbVNto5ziLOm+GR1
ven4SaOoiOs26L0eCr01f/YexOddrIpW+lWusSTDpHjfFx+kETGkMa1x4+kV9wgcFlULpU9G2MxI
HX+gP9QXn5KFk7V3jB72N7TOwjoaCRRb3yQJ1HxZubo4zLk5vmhtpLQfkrir3/eDZaQ+NIL6JSkJ
0HcZta6/GlGo7h0KSMO0rz1r+tr2JW7PqHAmvtHM2rMRJ8o/U62bPyOSvvqkZcr8ZOPNqvMxkxIz
GaF7016kZHaE4dCRnzLNrsN9jxLxUx2rCqr7Zmh/EqWVgOLBdPpnlLcjBNNElI8IHvZOwJz6LwU6
I+KD3YW8HpadwDPOilo+drmGsICknjXuamNQ6sNg5fJlgCNloIXgotcyoL59ENXQ/TJVNCqCjp8B
1l1rIg3ur2r9dENtYD5wy/KHSLYqLvXziBp8WKS0RGyz0xGs6PiFjo0M3eoY52SlT/C/CrjSeaXp
1JNHBCFcxDPEnSKTCfFXxHt0PzJ6FMZDGelBWpeFehp1rxD4xsoGiZZqwMZs7FPjZ2GFluenmjY4
uxQVFXnvKmX21whF/Sch5Hw3OamLLgeyuYVv6VVtHGt3FH+HaKX/bRqt1I6otGbqzhGqkh+KyVW+
K6FqIzzcZPVTSRhBFNGp/Brss/Dgqi38X0sxQOQoKvrf+yEbpXkIeSR//48+HYexSSqD57NZfvRE
9dMPp7jMNhLDK+80MGi4QQ6ZKPje5d//EYYlRulVimjMwByMOvJrNavSQzqO0fc6HIfOD606D2pg
4MS0PfD3jQvoygOGshNFZOptcPnW7RVpKCIf1FIPWq7Jx5qOxV7CtN0Y5UrATta7zI/0kDbOapLj
1LVGYUg90BulR6Sc+GAR0cUSbPZVXtBs1xmZ83fkTMjx3b5hr70uPM/0xdCbWl7R8/U1uyJcQgU9
mLKkkn4eW9OpMdT5k1W6zmls7B+3x7ucKowaOonUfcg24dGdjydKgT9CNFgBOj7wdqJeUeOdVw1l
94CMjGX7SmPN4zFChnerxnC5lXAspAbmUkOkX7Z+s2k6aXGljChBTWGCqkLrGH+j3Kwmu0qFSuBD
rstR/AC1igVbFHlbueeVMhyFW1p1S9JCbrZOXNopss3JTuQdmthRGPS2i/BsHudF5RshcfahJaXT
/FqJGyOgD1Aqx96sDcn9r7ZfMDjJtzhwl2EMrTxqWqAFFnjs+mukSlwZCNqmd1WNyAf2FLX3MDWa
dd/XsfvX7S9/udMYi7Ps0WaDwXXhGxIiw1+oWXqXY1uPfUecHhBC695H5oCXm9tHGzfH5U4jZwEy
wJJTuTbXUNK+j03Id7Mb4JSVnkAEuT5yyPI99C3tFDep5k+q0Wyc5CsLuhQIHWQVsdm7SL2xRgCb
AVUn4ObOHnnIkXqf7PkQdogv317Py6vJwXqL8JO2Cc4w68ZJHUa20yJiERRWqQMH79L7Npm2uuZX
vppDcwY2IYd1qYCen1dNzCQLZQcoR00UnhChfG4AnR9Qhxg4pVq0UUXQdX7gecBHJE8/jd4gR4Vq
/PmAiKWgxUbWRm1YR4TfiFyuP+oZRvUwDpXxhPrBYN8N7SL7OKDfikh1pEUfmqF2PsYKkFnUXUZa
i4molWcxOQ2STA2yi+8T3cwtH5mQuTs1pdU+JWrbi0cnn8wfrZgwDgsJhY63P9KV/QAQgGyP1h0s
2nU3O550QkurFQEKbovhgYZn8gFxQcfx0XlDT/s/GG6BOPBowctaZ0JK43olclwiKKvORecmz6Vy
oGpcP5uZRDTh9mhXduBi9QtJBTDtcq+ef6oKLSjFQQMmaGVDeBn29o/OlvUG1uj6KLChgBrRl1n3
ZLyaEbJsEkFhKxHBSGokUANHQOQbA115H14h+6CC6VFzIZ5PJ3XMvrLNUgSzEzvznnBZJ/pzUfxp
Omn5tbCHA/YGOD9NMzL0t9fy2kZZygGkr2x7NFnPB8dcykDXRReBiqXEMxFRq39PEyP/oiu1WT6/
fTBKgyR55LAAxlbFj7Bxw8EbeyVQ6lbx+ypBUKyoKvWu1xAbuz3WlQtkoY+TwWLAsuitn09sHmfE
/bVJCcLMg7Pet+1eDfXhiCTv3xPHY+NWvHLr06wA90kljYbv+la01LYF0K0pAa3x6IOOvcnenu3s
XZNmuZ+XvXJXa9Le2DmXFR1wKguNBWqEQXd+9fHaPmpH3m4l0EuJ4n0oUdjcpZXWWIfObkZweHJh
1BhxPvyl6MI96U0zmW8ubcNFWvhvzJra0rqMmOYwBCy7UwIKl1ILInystF0fWsNwNFDeU/ezh1fR
zkUQ4/PtT3zthEJWAxO+VJPAzpx/Yo5i1HeNVIKsmu0HiR3BLiSd3ZjftVFQX6Uzu4SrlEzPR2kU
3KNrt+DL4vrjIL8gFAPfKA9/l9vTubZj3dcAjdY3DYrVdOzeM1NLREzHoZqUIOS08+L+lxlSc61D
uQW+vXbyORbWEhXRe14P13pxkpXQw0HENObehOVN+6m10Q3DIuv2zK4cDnroS+8VWBpbZXUWXQsc
qt5lIujSFnjY4kX1pEbSBMkoOwki1SyZHpr63tsvAe5TCMrEvtDLLi6Bgq2PXKIXdKJtA8qyGdZa
s/0FaTLqIY3zRvF86lfLWvLe4rOEEvo6rrUyiupLMhlkmjX6utDwtIpcg+JjsyU6c2Vb0mThGoW5
shQ5V2d/0egytKzygjKx4sdMz6P7zu6T0+0vd2WTLCEYEwO6yN5fbf4QaMBQEMkHSK6MD26TtIew
0sJ/vNDK97eHWokRAPhk8QhYIBRwpS2iK+cHTc/KWhuyxAsSrynuTOorx3HS0RipVRupE2Fm+6wV
+S4LO1B6TY/Cpe253xbB0JPAn2mj/nnlWUZvhdYSsDhe5nXallHYkPW4vP9NmdIodIsSc426vw+p
o+1iPB8OcW0T8fGgVRtrcW3ZMS/nUC7n5aJVHAMfczrJ2PRa6uTdYI/AodzcBJWLpe7Yvz0IIDvi
EuBDEzWuv3KMhF2XGxbRouKVd5E9GliCm/bwcUDJbovUd+Wa86yFhMk/Ee9YhzsDiriD2/OZZwco
tTaOUM4N3fAF4AsoROqWt+uVojKRKZ3BRVyb/61jYex5BrQFWy/ALK+dfdnqhkQeNDLnwwRhTzna
hQiTB8r8TXqSYdMXB5wS4op66DhlGwfqNdle5Rn8KtQioDGRKK6viGQwm0X6QQRNMkhz51GEqe7r
QhbRhxoTHrQSM+jXBzEr/bjHtTF96GUy/mNPdvc9wt2w9asuQ44Tv6tE413QpDypbefcT5TVB78T
QyUOt0/mtS+2RBevpfmlM3l+MHMRh6M6RyLwkrr+p/SM+IeapsUP8HLZtM+T3tI39v/l2SMVo1MO
kRWJhQs8lMM5tyJNuoACZmyHzabXfghLVOqeMCBrD/jX1+keUI75eW4aT984D5d3q7vYji9Ph7rk
uav3qrOa1JtF6hJXGbW3G0M7cY7pCMBv4326PhB6Mtx3pDJr8G8E8rdrQ9cJMK11T0qU5Xdda44b
07m8TZgOrwSANYot7Lnz79dkMDfTomEUaKdHbe5NdLrBaoNLHDe299UJLcboqLstcfBqq0RT0UXg
lJ0gE4BocEmXQan33UY8cXVChBEUDrm3iMrOJwTIVp2byXbwcanzfeNp2HL1qnHnKG8UiFkeJdaO
VJpi5OLlss41dXQ647EcKPVzVezcXJ0OpYcc9TwV2n8yKyQX6DdhiwGD7nxWuSTARn3RCeZo/KYB
FgKIPTQnNy2Hjaft8kAvCCu0S4iZF/bran/HFihDPIwdgF0FTmlajruYTFEh93IdrhOao2+9QJjT
IkkDDBA42bq2IiJDz0EXuUGOhtt9oQoktrK5OSDS3+80e9i68q/Mj91ucKggj7vAR1crmeYRgUPL
9eEk6seOVvcTeVvVvBPIZ/5URZHoG5nYlR0JBwLwJoC9hRC1+nbh0NZpp5RuECnd5Me4m/h08J39
VCLvf3sxrw3FhyM4INREDWQ1OactWvBjhhvM+CTcR1bb7GkBjfvczN+myfC6+akacpCXEGgJAc/X
MfVQ0m55dAKjp0rb1k26H2tl2Nj3177WH6O8vt9/tFoMLWnLdmrcgKMB+BJVdHp+U/88uTgBj9K2
/4PdyKanIo4q5BL0nM9qIHyb6ObyrQpMGE3M5Z8me5zQEyzyo2kmODT8B1+MgikCPkQ9F6VFVMgd
anyFGzi9CA8O2hZHG0AeXa5xi02yfJHz6IIiMNzXpY1OFRhPkLO2VYecFwFBzlrWqr5rSxpTqcmO
TJEt282DoQbY+QIChKmwt5Ja/3V7pldieMYHnkAVBHAd/Zbz8dvif3J2XjtyI0safiIC9OaWZBm2
Wmq1vHRDyIzoMpPePv1+1C6w09WFLmguzhxghFEW00RGRvxmq3LLZW5nD8mrc2Fk1T9Bu412XBW+
J5Aadvv67dpWHRajnem1JEBW/166Zn/XmN7ebZ5znAJf/llX0gliAQhPeC5gqi5zLtWt5Qgb3qPu
5Kyoebs1xhNd6n0fRwTHI9rO+H/41jT+xhaQFvDLo9tX1oQuF0QXSmwwCS/2m9yh0W1Awut2+K0u
AnF6aMRa8vIo18ICm8sCNwY1kr/g6cznmWcvhUbbAXXx9U03qvJQTquPR3Tz8+WRriTUOzmbm+oP
Y4n3wtOhBo7URoHHPwN5mB5mBVgjMuhzuNHut/DVVn1Z7xYvc6LrPLYDjBFisOa3mkhX5hWKpL8r
ngBSeZ6l4fcNwWYNzirIqzdj1UzhtKq/hua7fCyXCd0qtFZ5ET792M61K6wjjOCcqrJI/1RHQGGv
/iBuRIl91i6O7g5Mh2JBl2EvNz0dKJfZjqvI0jMkgzqNRY/Ec9yJrvqEqrxb3M2laF9bxqDfKt5f
ib8mr3u+Dh7n884H/ujUEmrB/hSVcT8w23eLl+MNnXVDpFbfPf2H/bPjDYH2Mav0nZ9+qVeb5IiV
QZXEtqavlZ82r90+9+mR0DvI53Q5OAU5KnTX4IQKpzzOxk0VzmsfTfuA/YM8AGpuF7O92MO29QVd
rBFHla9LWffByfWQOsLg1rKtA/9iq25cPFeOKCk4cgk03LlXLy8eyh6zJQMuOn/wxgiR0yK06qA5
lt16y2b02lCMRelmD8NkyU+n2HLWUY1Ozh0HkOGjKAL7n57g7KDUvRtpv7ygV8IrWNX/H2w/qP+6
wHV9XpSz8opxx1y3I40s/Ou4iT5ZgI9hhoRE/1vAHghT1SCEl/PLo18LAzw39sY+Vk/6ZTQy6T3a
war5ZyTH6zc4nMz3MAXMGynztQnlDbUHGnMvyux//u9vrMgnmnElvK5Od7At1MOW1bUPedukN6bz
2gdRKaWFDFCU6+oikts5jgm6IOtKx7JNqnTD6ltZ9X8YBQjm/rreG7nPQAFDCcdOVe45FzI/bZWs
461om8PLi3OFcoPUN21B0mI0simfP503CthLs7nSPdetaODaGf271dJQ+Zpsanp25WKpteanxlyK
GPM9PdSgut0DHqNpaY9arGvz7ofddm9wtKrRXS+dGyt7sXt3BVTqmpQ3SM72jv3FbdY7Tl3ixCsT
z1vMT7Mlcj8eNbR1X1Nqc/oE573JTbIyL5vYAox2C4d9Eff38ek8o1NHtQ+po8vlZhXg2hVDk2xj
pcX9OK1IVzbjYa5tGVMdLw64B1g3eg0Xe+yP7CvvD+SPAHjSJbsIf3OJpxCFmzqZM906Wph3hchb
3wI7XxyaP6PQfkNB+08x4LLub9H2oo+bqiQ3hB1WRdOcGsskx9O0W0TVS5DL/40FURU11yu9sErs
XrbapBIcsbrlZHVp24fATORbMQPwPDZOXdxnbjdhXsVuq5Dzr33t0K1eO8OBCdStVPzaFLPzoWTS
XUXo8mKKF7wjxw23uSSfFvWzNWfc6QrQ+NHLJ+zqMPaOKt85fc+qBiOeJu2ayzrBKqt7zObKS6B3
aPHLo1w5JJRqd64/YR4i0UX4awthdkvQqsRBGw3zFKRK3diSY2kchyyf7+w1p46LuF55qk0eWDfC
yJWPJH3mpoYMAI7rsoAQgJ7MtH7rkgWvhQ/o6893RoBDyMsfeW0PUd1EeWPnVl95PW35jG+j7JJM
s/WPgdalD02neyetM/qoqWwtwntGi6ZpG45Ao4PIrJb2A+Ja1Q38+pWDg+Id2lo0AXYph4uYVIB7
xNAt6xJPKvUGgpr6nAZryxsluyWqf21quWyoPuq0Ap8lJWVTbIuBEVIybm5+QM3LjtlDt/CMz4Ic
nUbAXvsdTR3ZvGzE1Y2VaiAtqkTHxa4OBTuNr5mDiTO6bK1+pMXcv83MdP5L1o4L3ho9KXPHiaAk
z6o+vYCEAvVTtqJMijzI3lnDWIaO3Y83LpFns8gowDW5QKiyUsG7WLA06AblG1WZ9K6HtpDYphDn
8Vtn/fkG3YdBrx55GAwgnj3vpciKtsAxJ8mmljOOqshUhE4ng+bNVMkZaat82PS7eTZ76zjpUzFg
K+Uo7dBiMlb5oR2UpZncODXPYgM/CjwYSFWiD1zKi9iAvExvenlfJlh+WQv3lt404Woj3Rd6Cxvu
oMt0xYyz3rww98vgp2UvAidQI9PLV2leaPcNWocVBmOg3UOM6vqvxlrq3RGoZv6h75oKB4+sKm4x
jJ4dMn43jDGqJbsg6DORGXucVA5Kqkrs1l5ela4qkqUWYL+FDG5ct1eHIrmgBEQX+ln80gJPIbWz
VYllVxXuOLkZLlhyntEf//jyalwbaSd6sumpAD1712QSt7spG0oOGo6Ig9UNiUgXCyVFoR1eHuoS
MvfnaEHQgl+ImdJO0396tCbqgRnwvCpZ1Wr+qm3VDIdZWsFHbZmDFUKRkN9a1uBbWepVeee2MC9D
A0ji1zbPOxG13WgjE0XaM752msl5HMTgaAcPi6g6WnAG/IE2g22EU79YWJLBdAhNIacimjNrvfU1
VyeOsjhdn2uVM7NtUMMs5zLxZuB/ylzwOkTdIJrk3yb4/ztvHF8AwTtx6DL5Aj+eK8iRZWIX0Gu2
cS3ua6vLji8vz7WQxJUNXXFHAPK+f7o6bZ8PgfC8MnHLwI/LXX2+LlY3/vtRdow68J+AAH+Z38MM
2SZpjkXiYLYWA+a0jnR9/xLssM8YEZy3LEA5xrrEFxZGaeY1SPFkrszs7eJT8wZyJP8+iDMKShMo
1Pi7tOXTGVs1d1bWmDGKvnYHXC+rI10Y60aWcWWj0SLY7XP+pFOXzasO0dS1bPEftvA98g7eTm4P
U6RcVMgL0y9vbIMr0ZnhgH6TkZFDXT5cK5lPLsWOMjFntZ7HyVcyxDIRpwxIOJ8XI6fkrpfWd12U
t3Ca+w77V0Xrz6qBvSM33cPes4oWbiNuxXVVJnXQWXFnZQhW19LYrPMCO+S1kS/zJzVowW9qg96v
Vnd+vbw3r42/F0TReIF2T3fm6Xq6qVMp1QVVgldpvR7J+vzuDc6Ro5+4QVVlQHPb7rFHAmk8ELFo
JVqbX91yobqS+lD13/VeaWk/T50FD3ALbEOV5PokT9bSE4htK/Df4QWh3iMcXJh3rd3rNw7mlW1G
M4qLmV3GIlxuM9oNM7UlB9A//Kk1ShEydsICDI7EnM4Z//6C4xFJoAECyHCXLz2I672XO0ohQD7r
ZmjAO3vX+m32a7FW91ZKd2VGnwxmPl3Xyk7xnu5SXuxjhUKdX2YxXTA97MuPWql/qVOnvnGILqqF
+06m4bbjVskh+cCLm24shrmFP18lDvXYKaxEOX/oFbU8+F2FjpCehpPrDbmIy17Kn0F31gZme7RP
n/UN0I7WrAkeaSL9dnuki4JuVbFgzyomKFqumo8TpKR4KV0D0Doiz1h+dwfyx+5Hvyr3Rr3o2qRz
MVKOAqNoPNMyZ/cUS2/6JBYOgte9Po13aIs392OW41LDu+k4wk5db4x65RLbAyVptbNbK1z2xOnI
V8rV6iqBcbg9DnVnQZrR/B8vB4prywvKm6YJxWgaCRfZe2du8BUHEpkt97Wjgvd1HIKyfd95qntX
QUL8D2eTM8Kx5Lxw1C+2kzuQnvcoNiU4FNC02Jb64GQjABBX3mp9XQsD+7yBStxfDZf3M3j1hba0
rBIXzZjQaZcfjW1s0Qpx+sa9dnWpoJ7siDVqdJchAMMeTRMpnJ58LNW97mnzXUpt7fzyUl25zign
7Vk0QDUAnRdLhQVQP3ozDy0oo9v0oNI+W8IlKLYWu2VVdnCcMsuMA+TovTuV1/nvl8e/VFPZTyUy
jkQCSAHkVpdPc0y0PK/fSOUr5cPrAOyJnJC2gD7Rtq6av1hG4YnPqq0hTflDM827ySu9nXDAfvnj
WpSuHcNj7fpoc0pbHRQ4daQNmwAjgpd/6pUF4ZcGQAW4A/bo9TRMbmBf0fjg7PQIcz9WopCvKG7c
ODrXBmEfA59ALet5XXxK7c2Cn5klhe8sJx42Vehsa3OjHnLlgO5vy90NjubYMwabagc1DTTREwe6
zTsjXYuH3lmK72sDjbYlV7/VjLs2IKEA7M/utfGsXuEp6Cy5nLJEq+s2xjDYPA1Ltr72te2rtQJd
eXmp/qSWF6nSXoYHQU/rfK/IPl2rJqUZPtcT5sGyrR8tFzWq0JxXvNOyJsO6eU6n+rWf6i6+0vRl
z/O4TQ5GBPN650KSh0c9QsONFW8153tZSkueh7LE394d5GSF+lplaTSUarGjcYFYHmaoAmUHN8Bb
nKq2b1GHyQaYOkqWhhbVXVaV3CfCT49ClzXSm6XW3bWpbw1ht0Azx1cdgciP8Dlq79gZC07sL0/J
lcBFQZyEgvtvxxNczEht4vWbOWWW1Ku9HmYfeBIIHCtOh369MdS1xYZAAO6VY70XqJ5OvuCPZsqr
2tlfgjVJlak+DEMtvtlNoUdFpZn/ZXdRy6RsAmGEi/0iiKUtfB+ZQZmYjdGLs9p6kxk2701wjnfb
pt1CDF07ozBgqPUTvHbM19Pv22Slj8DjYGjoeh8XlpMhgr2pG5H52oKBUEO9i7lEfeMi3Oj0d7I2
cLWzYQ76d2dqjVe97Pp3M4zL9y/vjWsf9O+h9gX9VzNuJvDChgy0cw8YNLK1Sp68ulCn/zAKWF2K
AgCIAW48HcV1twXPQuw2MtEh70Bd/FRm5S2E/ZULDRgFinx4mtFYdi6mTRT5IuiSZknqWbTbK0M7
VN2GyOY4mXfS7fJT5gs9zgQx7+Xvu7bt0SYG4W6DTXqGyhv1wWzmlBM2LmuB+mpWndDSMMKg4nPx
dHeil8fbd/VFjKN0CRSb65PH6OWuR+Ws4R3q5Ym0V+3R7g3/iFZ4gVgx+M3eLcXZmddbLJerg+6t
VLpC/N9ljWpo+lSUjp8ns4G2RDVvUzR2uZP4g+nFU+0M54Ca6o2b98pRQGQQqDleRnSknwnn9W6b
alqfJexU401TuQOPXW/8pE2BdXx5Uq8OBVoLHSeueY74000KHNqdfMH9q4rCP45uKpAmlNkbv51+
/YeReOPtHWOAxJe4w1IF0pFNkyXQedoxMgphNzTYavlVAjq/5QF5CTLa8yx8UknwOHu7mu5FF3xd
shzH+jxP+mEc721fwxMHMik0W5zf3/ezXzQHR274ENvINHyDgNvet5u8LZO1kxIvty3mzjS/OCx7
q/jpDGdN67W1UDk42daKc6OtTsDqxuNsNhAFpkDjDdhOTIVR+5HvQEfr07E7vDz5V87qHh24o7AC
5xFmPv0RmOWq2VmsLOmrcQyX0sNkzuzDwK0cCivuX8rG/Zn83cmayi4oayp7T4cT9Wybab0TNff6
Xlzj7HjusyH/MWhae0uU9Eo0ZzfR56KKTMH6Equy1BsYirrRzoWc58gy+u5urXQ9eXkGrx0UslTa
hyDtn4vTrbJ1R0eY2nlpULePnalxzms1BuhKDoX19eXBri4X7yBQ8IBvnqWP+ay7dW3O2jmfptaJ
1FCzcqlBF6SsjV1MDaza34+ITNEuGrKXfC5ryo3tLdwtHbdvu/n2vW/LERhDmWE/p7nrEDtCen+p
BPBnl1AYoYXPvJLPXMSetkHe2EesMcHflGMo7SCqecr/h2uDtIy8gsrD8zp22mz4T7ik4p3SRoAY
LtScUwcn9OhP1vBqRyXD6rNy58b1f2XD7K1mJA52ha9nWWEwU1zKlc62dErjLs/rAif32QtTYAM3
Fu8SJbPPJATWnftGE5Sn2r6f/pXQaFm/rUE5FcmUQ+I9mTId2lgqkW7ROJud9imdndY9ItUii7Ny
Ha2NUtWjVGJuqdaFyGf673VUPXTMH6z6XI1y+ihkX7rH0sGv7UbicG1m/v1rLyJip62lQHK6SGqA
I7G9Tjmo3cEMAaz/JXP0fycGTCRe2WDdn1VmRF/Sv6NHTf1nmz7oy1ZHtaJ1bGl9+4BAhB2jfj3e
WPk937+I+H/0YDFY3L0bLpvVahq7tu7IGTwVlI/DbKyhi3hMNO7MfN8VWgxc1P7K8ujxhPbV418f
ZVA5AAX3WuN+DT7dDFOdu8OMYljimspS2K4JGqe+M0jzlC2mKNAP8cZbb6AraSjPA6BIJLq8Si4r
nFKuuqHGMU8CzSxeGWPdH2FwV+GmCYNNRInVAGD7NQUYekN549puIjkjS6LnQpH84nOXrCkrE1nq
RGtS96H29IaGHwJYZtl5Nxb2SljejTMRk4RkClLoIqfwVrdfNrn3QlDpIKVvLeMk3co8uQ2Vy0xv
txsn5dqsAh/mVbTLVCCD/XQpkW8uLZDSZZJnU/Z57qsGwFVbHjrHWL27oh+DOiRkBkde75q8Mfif
v/1iH8MFINHmzQek+LJU5YwGHpOqZWbHvBxjc9JgXKMzrud3Vu8tHaJaNaLH85TlsTXw5KULkutm
2Fm+ekDzYv6YdVqN+ldm9uph4WJ2oiYz0jvPGofqMU2L4THo/O61mfKfRU3jN9ux851a3TgRVzIE
jwSBAgniLM/L70uXt3bZUh1pm3J5AMJvZOGY9/7x5YN3bZjdopv3CQ2jZ1WmslyqQptEnqhJW+/9
EWkgZXv5jVGu7HeQ5KgqsgV10smL6OmiMzW6syuTxrGnLbayJpBhgKiaHdqUhb+9/E3mlS2IVTW+
F/jC0BC6bIJN3k5f3pslKZpz2THtMfgJQWiZ7wtpz2Pk5g26dWzTwTyt5ormZ0V+gd8kitHimzSd
cjvyHYWI13Idf1mpv22RvZidOHvYhIzRIlFqDsfAT/tTvWXL46xGfX6w9Tyb3w+um1WRrbypizAM
yLS7lsXkxppG8crORvUISBkHnpc/+soUQ1jChgPoHUWWy2DWomk2eqMlyZaV3KK0neaTldl5k4wl
/7yRoPyRjb84ZzAQAP/Q58Nk5HK4TeBYD3aWKS4mw4/GchBGNEq9Q9fMga2OaPsgvw1Ak5t73ZZK
PzUZdg2hm6HGGoEr7f1QmzpjpD5vGTiNbrL5S0b5fpGSW4D0pOFAL+vyHax0vEaXaRWJKn3WX2/G
o7asfegIYd+IstdmfzeV4fnLtDzrbgx2nedCdCJxEGA5jqIbfqYS3v5obur33y80BD/cGfbuKn2O
p/E127vbTTqJRB9q/7hWlhsPWuFHbqU+vDzStWPE/QRAjvIsbHLr6UhzWo3V1kuRUI35JmThHwJ3
9UN0xbZHO5inqC6dKp6NprzxlLgSlFBnpuxN7xEQ3GUykg5OpkuH2azroTkg9uq9XgF//X3/lmxn
bxLAd33OPRW9LVTf9WyPrBDnrdKaQ75s3mttNNwbKIs9vl2eFgpA5G0AA3bNsqczWaCcKbHj44P8
LL/L5ayizuVFVoyrwQWk5ZFo9Prjy8t3ZU8GICDYIcARnuOd0wGlBQcdgKRYux4wVJ++Ko35m197
xY3Pu7JRcBfaOV3kGOBI91/yr1R+KMygIxpXybxo05YEZt2Ju5xg2kRo3m3d662sl+XNBNTUfQ/r
20xvhSP3+QTv3RiCMhfMc9jDsHZSz1C8S0rdLn6mGjV7mFp5+cFwhWjD3nPlByffqNSieF2677S1
CXY9387HB86xiwdzgCF3mjCmeAXGC9pGM2eZHSIbL4fDy+tyZTPw6KExyY2IEM1lUanw7GksK7pp
DSnZSZqLG9Z6taEtZ22RkOT3KSYdNzLOq0sESJPXJPUlugxPl8hv6llPvalKRkxCvxpBLT6utZp5
l9v5qeyH6l4yv1xvunOjCHGtqkWGwSnmOubFfDk01aNVwZOoEtNbc0hysvGL0KiRbY0Egue4jvim
EPG41Y2KpqkyrGhpfMsIh6nV3r0899fOBBSAHTpOcvhM4nRQFm9nzxEJasUtIoU8Sr4Umd2aRyDS
wy3n9StxLHDwJuK/pZIGjebppPPKlnndcAEB/fOgOfTo/ZrpLRGZa99Evks1AkQib4mL4JKRr1A4
HBlFGN4jIFoss/VVHTLuxRtb99oxIxmloI2J2l4SffpBC8r3rTa4IrGdtDr1UnpFZC2593mp5tyi
XzCqj3+7YAY0FZr41HdoK19eBRuSSXMXoONpis6gEGrjFRcHVjM4Yb1BtHx5tCtFCTJhup8Ulnf/
l0tiirIpA2opccSfsJWPxrrsM/qDTvUJyh4vGVv2fhsNWdE1j0E951mYpgHw8bVztPXkchHDhG+z
KT2gnFjiGNnaszq0arfclo7V2n+9ICjqu3QMyTrg/l++7tA2g2gxg+B0QB/BI1+cO6dqIB35ZvUw
BMN2YzznWZwFWE53cpeLBNd+SfAAT9dQd6nLJO1KKyLt6KLS36CjWihD31iL5yWJvfS1F0gpRkHz
2P/8X7dKNrSuOxmDSAgqax/n4zSnZzefeCwvxKkPNc/2r6no2/q0eV0xRit0jSW0Oq/MQl21DYoL
g8zdV6DSlzuxZMEvQEzdGHbBosNjyOY5i3UwD3M8lTO38Y3fv9enn176FF0hgu1cML7icm28LbUa
rwVAVXhG9zal3PZjTsnrQns1NzfqUsf+h4cj6kObDIhAiCKW72VVyfXeVaJcwhw+TXEj6Xl+gmGA
sr8BxlB4Q5Ho6aQyn6MR9PtVbdTNB6PQ3NCag+Awycn42IzL55cn4cpwe+V+9xvlXn6e+GDfNIup
EEmb8h5BED57M5YbgKbApahjb+Ut1szzy5WjS1a86yxdwcqUNiFeqxywP8VQvJtzMNmLjoDJutn+
KZXreAa1Wd7If57HeTDNHu9neoocxsvnLWyAGg5bNSUNjpK4dWKi3CnTu3GRcsT22snFlqJlyqOW
LAf+3GX12ZVFqk+VCJI+6yy8nGGxZG/U6jmHANnHPJQz1MFozhfvqzHMqNvlztJ78dy30xpKX5t+
wVtX5k5Lc78M6PQ+NKnI5Run7RcE9ww5tfewSoY+mtWy1rSZuzwD0mNm/SldU2/G4HhYprf9DOk9
RN1V8RauUjG82kZddpFVe8F3dMO1L3bryLeSWxbVJsdMv/hZlm8YQ5JWxcAOtd/IenYIKW1T/caQ
2fB9XRch74NtWX46xjSVUCOcSUVWBa8j4lNyEZbGACcawFj/aT/CeQgFt3WO7eDka7QF3lq9VXYr
PuhKVl+80qy/4FyDDH5uiv4T2rY6ZnrFtm2h6OYZNf8xrap/hNbmdTJSG9JCPxD5HDZOI4b3c6oG
KUK4kZV9mmeX1kmAzknzPSssaoTr2jrvNL32f+Ay1DqHgjx8PplF66LRZFRDd19ptErvJXSpLB6d
RVSvRqmt+itA45b1YxJBoYXYXM7bTyJaNUROK0zg6sam0qgIVvEa3QiNG6/rGuOtUGmLVYqWZhNs
kSXQf6GJHyj4v+1svS6tmt5sOAHJMgnNnqZEl/h9BTD1l+nnoxuBw1IL+a7l/KKzoNxXPODXU7Vu
bY80IeW080LFaToLfxK/8tQcv9AwJlORwBk+jnpj6OcF94YpBGU5q7gcVnMJ1dB4GX4uQ9BElMPm
NgJAlP32VWPZEXzHcgtHJcW3es3mNnRlNtO0aDG9K5vUECDCZP65ddKmhWLWia9DV9giMv2enHzl
sgvAuAHcO+ABLdsQNI+BkNkmgOqITgVgrlZL/kqzLsgjwwDsARw/W7MYnBqGtZR7l0+wbI03pDHD
V0BEgzrkTV91h0lkcxd2pj+NWCykqYj8YKiRU3K2/jdn3Ikn4BWPax+oIizWwb3X1OgDtfNoPMoa
Fn/ES6SKsERwx2gK8uJR6zsPUlKPlXLo2e34qip9zF74X/cpayvxqnRwztCUbH6sliuDk1mtRhP3
uu6LKJhT77EYarcMNWVOS8T2r8qQ60G3wm5zvH+MyUq/bGaW3dXlUiwHWDWiwStXWCIedO6Z+7xt
TcglVWPf5dSra0yK5v7VWGB+EFZelj4am158CbhCRbTORfa+rtLyg+6027dcK7GYc4rcWKPSTLOf
djHnWliYkygwz5J1FmrrsOy2ER4iK40xLJ8ss7XeBo2wRnR/surTgpz8xyCzxzna2tV9M0qQpXFe
+PPP2tZWMxynmvplh3drDoNrxPOr7ZsyiwxPFnqc19M6hkG9TRr/fgwOpT92aTRtdflQbXpm8GWF
15bx2NdOG1trX6w/oe1xlPugcPK4pv8nztrQ2veofGkPW5oHsWw11YR1Pc5rCOzQ3qJhgv4b1zT3
ZChd5UdS9PM7DfGWPl6H2XywM0vwD0dhdd5svoyWbXbySAaj+lJUnfhdNRqs9ACrZFYXx+mBXajU
23Ztcy9yMLb7nGcC7dJ2yfATwM6AAzJ1WChGCFC1PyrHrOcwJZjJuG8pHx6H3HU/uXo5/+5dX3yy
1Fgth8Gd8IULejd/6zSam53Ak0MEWlU7ZnEuOgfrFCqWVkzCj4dIi4JGH86ZZp7svpI4iNc0kcIp
67vXWHFgazGmcv6YmibFL2WTN4e1V1o/C73I8sPatWt/rKrVp7RD9+Wrtakyj31KZZinIwzwsdfy
dIxk4Tqfqe91w6HUMpwv4GVuvzX6vDuNbfE3ZEa19XO9zKrDyFOT587mUR3NbWWUIb08rYpd9kwQ
Glqj3sJxK78AsAADNvXDtIToJw/fsixtV7xgav27S3n2swBr0YZ5b1bfhLO67SGzBeEB23srDb2C
saKywGmAD1KOgxB50fzGjMjt4g5bEnmYJuwFEbvRxQNawOoRTfBhiYYlz4eI/Nz6BJObGqRejH7z
MR10F6lBe1Lftx1gwnE0sDDZMlRQjqbXWLFtYEgSV605oIvm5cunBpYOqamzaM4hIxNH9AVvjTH2
um4zwq0z24X7z1jGk6u2zTv4WBiBwfE04AvgVFMztO1mTZAHc9JTXzc748+zCybFXKj4R05VmVqk
GtOQmNxq5ifKA1gYAGICoDfWtfULG9zgNewj6IbeCsclbGU9qrixxfpoLVNz71R574UImwBu4oqs
HlazWz/adbV9rEXLXs2Wwv3tp+RxhxoFi5bYUSGHUlajzk25W6zYS5taYdCMqFXqq66YmVLa4t5q
JzspsjH/jof2sIRzmWMBhZhu+7G3rbw6lhMkl4kyf31XNPnW0v6xkchoeuN7W2WYiU4Nf8OomX1B
mB/17KA6b/7dTAjThzXEHqrJsicM6n0dvIbkkGbxOq7eyTBV30ZW6rgqapx8+MdRqXDCrcFU8Fiu
gyc5ZVnwGxJ3t4aKaKKFW81tGUlggDmKC0UrQnrQ8vdYuNNGbpHjH+PUwl5DA1jBEBlZl4nQmFXw
kGd5fzfpq7NE2NTKLrSttvyCS2f+T92Y8xSnnvRXqtqa+5hZes35dzRb0XESDglGn04AlLhYq5Z1
Du1R9Q+bb449tkW+8S7VoMMde2J/MrpLGsSLTEmOG24ik1rhOvrAqQvPpzs4c+u6btp9Nu0aASK5
ZNWHbt0CcVA1ANhwKjT/oUFvYIq9JWVP1hhL9+cKtto/ltLU20pTeFw40pZzlPl+U0VzGSCktlZ7
1KKLsT4uWV2459Isi9cYmQxQTIpux3M43fS2MpW7nhA83IwjUUJ/649at5AUGOuhHmUTvOEJXz4G
KzjcQ2e3noxRSQHqtmo7XIL7BikqGiaiOeiFLoawyXSuncxyUZkWWOYU95qWNTW6a7VoohmyBfcj
chocUaL9P2obyrfIIPL6NxAdb6KRwpl53ga1/AqMMTv1rnICzsuwfKjdtX6Vr9bwQdcl16DeK/oP
qu3xda1NImzUgp2aQ2nrXP5aVeni7HvgDtxudr8Kv+SE6Vtn3aWl9Ae+gNJnmHYE5QhDaNzAbC2f
6jAza/c1b7liCT0E7JvYLq1RP2xVbZrRkrfExc5aHCcGpAOMSKDOYHJEAv8BEFCJzkeaIw2ozWuq
2H65dt8jSiHDpu0n/rCYgoda0LfjnvGwq0rnYJ5P00D1nP6ZIPEquyz9pzGdsYCZTxILnFKWTih6
k72SrmP1a+S3paEwc+O9lE32UXPG4IvX61zymSCmjyUqn6c5z9Pu2G2DHBELM42OCnWj1VHXL67G
hlcaLRRX1V+mQMcdWNAcONtrl2OkuhTWB4nhkcX7w8C/GctEMI3B2BnqqLeaDaDbAaMR09XAhkZH
TfzB9jePB65NpxgskpM3IS8s0YXNauZ4XdCqGcIa3NWe7Xr4TWquU/0YTbV1Z2Xn2jsp9aIMe4Dq
H40dIBI53TbxQnCBj4egI8wzbgwoza1dURUhd9L4PiiaVo+qwZ++9bqR3ecexy6qOku0Z97JRhlB
qeAm0XjsVKSH0saDCAGssPJz4w7PL2M+SWB3fSj8efyATIrDr9YdfJ6s1dW/VU1Z3s0ujoOR8poa
t8i2WT63gPaGMDd6dw4DqOJLlKOnPITg79MmSqu5yg/GSCIeBYqXTcxWNZB7Bn37M6/sCbXboPDK
kFtG018bGkCQVzwO0PQ2sVTjKTWZ8l1bFHUf1kqYP6GdO6QggZKHzGsbeZhLxSazi2GdQwQ/2rcZ
kMY6RHkg/WGNxvBpa2S3xAvJh2Ke9pdAJxfZxdNaDRTOffzNwpSmJeibti3e9+UWPNC54f7f3LWb
jz1pkr3rmGc/h9ZKv9P2NGTk+K0+RW5qNwxrFuubmj7Sr852yLBz3X0nNci5oUI16X84OpPtSHEs
DD8R5zAPWyAiPNvptNNObziZ6TKISQKEBDx9f+5Nb7q7KhwB0r3/+FArFwJ2H6PtT2+zkK/Jwwdd
hFItttyZvP5ShDq/0QVPR49lHnl3Do/UuiAjP73a1vT7kB52nXdML3+G3vDn+ctuQJfxATxU8DH2
7Du9+MeKtn31qqfZYkl6HtFwUHPHNmEmm7dNyCFcbREf2FqP0JaeHWNYgJiqQN+jaIjokh1V/y9I
5fwvrDNujT60NLlNzUJekW6d8D1c2c2KcEvsOwstBxkHFjrJlOP5rquHUBS7J0xDlj7KEr6fgUgR
ffT7R7TFE0Wu5mC3jPwj+MAoyuTjCKM3+uWyfsa/ZOS7qIT9jNYBKUc7sDrliFOcRyb2iPV1nfrq
YqbBIxN51Rs/cx9N4hQour/LAbhBcytu++9BdBXwejK7DmnKaXtTZaPktJm7/a9ja3ErfRrHfowe
UiDpDPEvChjr7qzsnmFGkCoLblN3EqpMqWC7pNWsO1Lta4WAxduNugyGeIZ8m/egZs6u5IjsxF/Z
nIfQ57UeNur+qvgbMCZ6eirEnMz/UT+edrndD8EOCPbX00tcOR+HQ6duHiMN6krO6OphmwLxFcc6
bMtocfpn47tipDs0krdyyBIG9yl2pwJfgX8XYNgAaFs06jnL9Pgz3eN1LhZrN7dAEkI8n3W69fM7
b8pwnh6S6hGia67GNpu8nNFqfq3TPd2KpCWBInfm2fnTc2n8rbZYfnRBfWS57bOVs59iPzbimKnL
CzePfqdVOVlB3cDyRgNpJPLZ2ebkzL2//2xdKf4gk5l+kL80fFDk69H/ZbxJFxkZcnW+xLvixhjG
VRbNMSQc/wNyYHK8p5DluGtCYhxn/RAI/r25GCvzualu6Nm6D1uRI0AnYk4w/x4V7rTZp57/7rkX
TuZcYpJAf1fDkD3T4dZmZeUgvOJNmGZu5hAAP/+/Reg7wWy7pmXvaKjAXgPkYOlB5rW1o3jtmH0v
2ZBmH/aIiW5usrGNOO80rXhKVdl/ZP5MFI41qOpP2UyK/ZlchLQtgrThQKWVdXhjavTu7Jgeax6q
yFtKlXjLcpbulP7Zqnb/CK2vbyKvRYwz1fH+yXHNs5LqiH9hNqwjpySKwTr3gAA+6bBPH9fkmOjx
jVvxl/koC3OK98YbTBn6u3V2RXEAHjBV1406wJGWyT3spc1sC2Tvttwe8TEnGQttMFxaNvPtalam
cTDFR453apZ+uUe3stMFqVOKgXlhgaBGp+bXb6d17vPFH3uus2C36a2jrPu6NvP6iOWbYegIh+aO
oZl1bW/6mn6UaDFDvhsfwE4cTsBciNKvzxslzXIaIr/+4Q66vxp9Xz7bY1mc0svGMcsrL91kaasm
UfmRGjsSEJGmomianbdjxVIBXGb8/ZSGTf/3MF724Tp6botmyjwI2enI1tyku1/nKgUkL9ZVBS+B
a+RHS7Vry+uYWgv4vCj3mr1xtUysdhZFrWfXKxqAZTofidj8WVNhwXNhpubBdbKeBuqeqKAzxkTY
DnyQ0XPbxN5Y9v56IF8E4Nrz0IsJPGmTTX7GFNQseU1QLHd9li6/unarnu0WVFUJyeD/t/DXPHSZ
j58w8fr0xyb0xmcc2m83sp98VEiyhrxrWcrypQLUzsM5q/9QM7rWxSAnxQ1TN+l0Umzt//mBTZtS
Kym5VrSh5ThSAbZQibD4oQoG7tQJgGY5e98Ouxt9TOaRctGhQQ+osycVzysHNOWgABvJHOjSAW0d
T0ckabbfYLy93B0O/0auMg75wFX8TpYLbra0N8MPJ/Sae7KmtxhEb5Nvyb4uYeHGYnuxrV/zfdV7
fOPM0klukB+nHsTSWm8Fl3wS31TBvH0pstm6UqGf+1LhDixT06CZQStlHJyz7tdPFdl1znfd+XdM
Zvt6IY/ZZ1AUYDzklKrtcWaM/RizmHjcBDL+NTvatWEh/04vZfpPP9SY9S9mmBhaqk3hgsNIwi7W
HdI8ZZmkmUKSZemdwoEKVixVifsTQtCZr8fvvq08q/z4oY+q4CbhxfXz1NTrx1ZHw18mOP8rGHa4
gEaEximsCgjyUVXSNUxshzdfqlG4t3hI1YywupJbmdpa/REBEYRQaFm9EOJAlfJJH/X8y4C1+Qzv
dadOzAJAi8l6iIWwx2b66t3JXeCAquGfoTDYy3swWxq9qbThzTu24YlOuuYLhQ47tj+t5uXwlu1x
Dxv7m+cjeI4Jiv7bgHJSCbqgDs09kvg/BvIi7uta1j7hgab+szMxpsXc7vCAWcIylh+dL99qa8bf
R+e574Y+1J8zWUHvzrDM8cWiH3zEr5/8EaKu1Ekte9eWEwjcWB6Ot13QpaEqZMj0/ztQgf9eCDF6
78dt2AqijlhcmVT9z2EH5y9JkqLB0F15SdY06AjOc73uJQ7p1D11foWoJOT+d/Os0UuW70OfzUXk
btt2yWYQFsYWqX9BXPs/2iSTP4nOlLfeJJLuSg+u25Qd2SBhYblMtlw39FTC73rHku82rF8qZ/qu
AUn89s1mjcOxuVk3OEk5R/+NTrIDp0L5vB9ipTik6YUKgbY7V53gfOyNiu1GMqab6F9e7TcTh1od
JBdKeUya81wieeavI2pgX907DiKON1HJCuZVeeYLKSGnikszkVdALknnzPf1zfbxmL/sKtnYFzRb
znWgqJvNdwmPmKuMcuec0cN8TLgGxhzbC+WTqEXjOe9hBcZ8UiJcy1VzwuQDAmwBZbLyYAW13/+3
ADCAZ3suYsx5CUjNRlvoFaFeA9bnZsaOi02Eo3FyelbiQ5GqkkcAhXspQU/pGqdZ7Wntporvww6x
5M6VWVbU7TTfWJ94Nz5ia9pySOrgvp+GLC76pnN/VdscfxEVO/4ca8OMoTuezxWl7wxOGMmQ42lx
sjLo+/HN15a2tE0k4tWsgQle7WzD5wkpmRrPqYL0foOzXv5bJ9/hjF/SNZAszdx10SUWrbrv/Gxl
n5mG+c4T6DmuCOAzw2k3svpYOTuumQy34dwqNBRFH2v5GYqqPU6y6tM5p7AD6LlzhozVWZr1laTp
BpSVM7u5mESv95nWeMFFUpuvZrLfGxsL4o9o79TTLrxkJOlgDizDfzvcW+X5T53ZXHGaMGiJPJXL
/tUOcXArm2R/iZTXvQ08pVF5JJN92rdg/iPbKf41QrSDoImYdXP8rrDrkVvLu2QZUxqJ296yVk4+
w7MZvBZIyJiIXYKDVEwPCnR19q56STZ2BwgT7RGt9JG7S6rjpyDxhxiwYKa2F1ZgTJhy2p3J3UUY
3J2a2avYubxA3KipB312xzoZcyfdPLecOV9fWzr1nlKQU8YNpDj/WUKA3tZucd5nPotHP3xW7fBC
i4c9kW39M9FBCL3CihwUKA7aGw2mpcpmUd84IKcMtcx+L3Fh+XY6tRUfB1Zji2+wRozh2W0wCH32
Hm5lGqfnVZM6VxkmmYyBkkQuNnoOB2RoxPPmRC5XD9EWulth9iH7Odppm6586t73C40sLZttN7jq
yrcscafIHzZz6oOxfhsddLLAFzOQTn/YJi5cmUVt2ezNoW/duG6r0xYcSVaOY5zqXCwqsaX8rq5l
LNHjM46NvYWY3yek2Inli+iy2f4EiJBL0Wa9m342bh/BCqbN7N4sq0eub8Lt2RSLChjPdEpvJS8T
Y/oFYui48peVxWGK1TSU0zBMO/gp1o1T4I0uC6CoXdK4sh2Bx1n23uY9BUlmkG5yx735e5UC/o/f
7eEnFQaDe4oppPllklVnpQ0SjYM5hsoiSd/a45GfbyJ5PoZxK7VJ1S2X9vBuZhtQH9NP/zpusObK
oMztzpSJD+05nqbscTDL0JW8LEAIrZ9MDWtG3NGW6+EWzcUaMSAKAHZ1/r4evevaCpnctywK/6o+
PL76yQS/paaApGx7bxzzjXQWWVBQw2GExNj7isaQySYHDtPxxUuUr5/2SKzHO6DHttwfQODxKWSM
afKqt/V/uPjq/eJB3Q23w5ECy9Btkgy/JBmk/tmbiMIoAQXD6RppcVufTTI38iHcVbXltT2S8doC
p89souGeFLwXDMGg0WK/GYJw8d45tthoMoULQeTCzmuc94I7+GFzexE9ORnBJ0HuZPumT5hH+xem
qiq+9oHx68d4Mix2XRrtfjm48viUAijwz/pt3rxoHjTNK+9C3DXC9U4BR157EhTNBIXRTV9x6o7U
Z09pvbKb8vxApXqWEDdRhUbzv5RVeEMaVaxvqQTx5av1m3T71/bOShMmzNVCV3S88n2Rob09kL26
crRJt50LdtYguE+2jchytt2hK7BHtADp1jYkh1bc+PE/GUcquwDlD3XRpwv8SBPVmTnBTWS/mj1z
0AJOh/8v2MNleyb+fFlP0nZdBqs66uXehobcgiYLJ/fSN4RT3xMw63gXpxWQes7M0XvmnJu+tsCZ
3TOVSMQ2aLjQc3949lPVLThIV+2bZXjJvC/DP9zcAcFN3TkAxNSv5IyNfd4tq7PdNVFrgoKyMYgu
KMc9KPijJ/NOPM96540ctZ9cJKktYJpG78mppjQomlRlzlPIwKYIZzhW85BVNoWS5H23Pzy5zvYe
bDoJ3z0CQJLTsi0hzIrcfXvT7qnV9zzzni7YKhW5nJoXoAwlrvjcmCVy/3nw2nOZCqD468D2vboG
xiVNAL09l4bGf7BwTnE5XM2RVk0ZxYIyGX9FPpTjVNn9lx44aMnpfSGzu3OBzotpl9t4PyYLZ3/P
3rqUdh4RpG9k1Qx5rw5OaoQR7q3rmRaQSQTzXvgqzDSrEIGoNxlA2+ehdjhltOiLPrGoVsG5niqS
/2rOB3M3ZhPPDZT2sZWaUUf+bL/NEtxNghicbd0IfZZxF3Z8zLWiLxsNQLwVldTmw+8OQ2UWRugj
5wHTMeWeSavPC202bA2Z29cnfzSjLuawXbty8aGCThWJcn7Z6HDa37p08F3IyXCNX6JFeclNBpfK
UkiOYRE4Ix+8bkf9Ok9bhaNFImYvDKbSrVi02o5S9MbEzOi71tvNUs1iL7cjFO0JF43PnxUf+Gca
ZyaJPLNj9Mw/nAtR8sf9WrRdvPLQa0acBTz+J5vT8kDoUb1fzbzsv2LRsd83vU3dO7fZ6DlWmWWS
iCzzJQydw1jXxPWgbtpacw92jXPEJYqPA7ZbJ4HaC2DTKbjJHB3+DFlnUdu1mkC7HHCyG1kTqvX4
JXeXwnWS49MKOmGE6ZXZWlVn17iheoV4WPhhTDvUtwAXsP6L0BpMGT4rPvVbg/AQndkCdV33nvkF
7N7U52OjLQuyLoqnUqUYhemlSfX2MK6Jcx8hp0ivgQ9ilTvKFd5tBNbxym1UmVKDK3C+gyH99PkW
QOLCLtzvdILQsOj3IAN39QcFIOcNVXPWSR3TSy5YHm/o5SQCeOyE9wwQy0bh75TLghcRQJ/zS7Qf
TejJo5T2EFUxxIdaKJmToSjbEbnObzUMDLoBbFSbJ0E/9lezFIv7mHVYJs8DlTfuvUu8HQe2ASGA
woQWYcjBCUBDEtmqLSmVkF39Kd1GTGTrvODkadoeTNdD6Os8BHSeLj8o/+7cN5ovmwbu10DOnlRb
seaGCK2jnyoWrilXQ57wZ6urdIIb4NjsGceBa8BiXZ7zyWXnuoQzCOXD4XutKB10rsFJRzbTV2Md
Lus5Qw7Y/KToZGZ6wAQ3njeH4HBFCau8snbRLwPx07cUCqZz6Qt9QCIi6yiDxovGuyRopbrmUhsQ
Fm4CREToBV5wFoHZzoR4DO/AW1VciCmtmjytovWLPBnkPmHnmulW1TMZTAbnx6dS3vJo4bresbLT
Pg1M4oL7a70HZ5Bhx78WIEDNS1pnFD7YJUym0letUxEdxAS8kXkMx4WYIDiPI0mBL0TVoFBPZDD+
167LdtyMnIH25FiRIvrgxLseKwVLY3nb/GfkFlK6xdCBdv8neyolLxhMu6GYoa2T0h+T2JynEFYe
F9nmrJPMk6PtRJy7rjHqviZF3JBODCJzh8RVmHPcyumDJ5WJjqxAAZCYuSNpGSR5VhyIdV0Xi3/g
x+/NMb+xPAzmcY6y5g4T8Vxfmnk3wVmCCQMKmA6adskOb0RVMwZVqfyui/PZ6hQxTzyDAS6TGyZ5
hAltyDcnsPcCij67CMtZUngLDGERDZu/X/nTzPK2OotYz2M3qYtGW1UXQR8czZ0PRzZQDYVB+Col
DwvR7T52e0lT6qoK6e/eUeo6kmsBpcAFza0uAmjscHWKPUrq+01NAbnpo00B8rKuedAoNhEONWvE
Hya84xQLTweXPRvn3+041w8GkzLSF8Hn9sj/Hc4Ha9Ovppnih53PPRZZla4s27WQb3br/T9kHnTP
YdSrj7ryBoQW5giPp2+hTXrvBQaMFanSQmYNGLcqwKLkkVsCYz+Czk+689x3yLRc9IWXY3PG/zzB
G33ut0qP53EWUXThLdTpyW8S059JiEAMpeW+q4vvxN12iVEOLMUi6iQ6Y/xZqhezshSXcxh+XwSj
dt/4h3nznWYw9f5YpbPoIqXj+aVs7NGcVRov2XlvvUM9r5URr2Eb8s4K+urpNckWkIotDD6gddBr
tcSD/dQ7wOBpq230MddYRfKJRQ5OmOGEd50T6dcCttYUVTNPXzYM3aEUcEAPIH8d8plYJ09EAMyI
GNLItGdY9I1XyG9oTnADKdAVydUdCQWsYxDwwR1fG7llr+0eqy/UwWF/H+6uQKQ84HDwjeyHIpEN
WFrkCoV3beKT/dTRJJsrJFqSu9+AUL+syTc5wUS9/ojttP/10NwMhEqm7KapI6dPiLhW3AWj5qKv
4ngJb4NdL8u7RReZnKvOX8LL3HCw3OyjnMQFY57YymkJDNoY3w5YTSsWmBboaLteRaJ/EsHLs+k4
sfoY8Kz9tSisfzgZic3FWBMmw6tI6dFVuxELUMaJVfY1qEeDjipYxX7V7I6RF8dM27PZLMwPoD7h
LxomPiv9dIcjqp1eA8s1gk4ApVhjEW3YfblCsLTakv+r+4SVCFRMYlkkP5S9ltJE1r7/pEk3SKg9
gXSeax69f9Rgz3Ue+Nvhg1aabbpG3MeXwACh8mUc9+EcNNqjkpvG7t/sEUgDAMv24dcqteXmXg2X
0ZpK2OscD4gkB1n5S3NaAVvb+0624ldju74rJ5l57qlL1lm+J1M1xvxoAWxJ0MGPXbmeDi0JQoP7
V1cWgQ6i++hAOmXN30U7B6kJk1j1FYogqhEo56moiLKGsyDxu+jRTZrZfvbTCpayBtBwhXUXnML9
6DQSJdcci3MTtmTIZmTrkcIXKPXL+iRan2c7z/aKw6gLTvxnDz/CqjZyH3s8z8s0aIvvVBzvXtNW
44UkXzLOkOeF+lTxoALvoqh/bfvaTe6nuKrRJNTaq09bo8HK3cyJb3ZnVYBCTTL1cDXz92RK+GVU
REmEMKTGYA6IWrsVyiOIlvF67DPS28yY1luJxq1pkJMo4Cqjan3klUpBAT2ZOL/2cWBj4uv67Trp
ArSlsIvB4EPzlptpoIPQVLqIHTianXyr+ZXLY+2T+UpAov+hSQiYLAEjNsxvdceEIZrpxRiRmeut
2bz/4qWJq9MMzv2jPRbERNyRDQ4KlcTfNOSwnrBfx1hHtiYs4Q2jlwnZTHzCulD9R+YgGpzvsJyn
I/aH9pJVg5vccG6armTMDnzuBjWx+UaHi1aIvb0514yL6SXih/9y+b4m5lqdiEuPILn/s8wk4ufM
GnDPuUhG/wr4v77BAe+s13jasu5b73KoIh429ngfqHF6ljGoee6PKWDe0qbedsu52doiylR6Sr89
YrmGOfCuIgJahwsLUYOrr6Zz9AaFcrchvowWDOgJiNqZJ3zs7j2EpANvIGjGCWN+dUNV23zfaH7+
8xGv7k9IMvNMnVL2MaO0AM8nEUi64NAuDw+CRPdLzJnT5RoCsykhfLzg3GUbJAZoe4/yawPwXicx
Pyc2dG1Z8WVj3VxHleYagZxFoLxY/wS63kHuecJHJw4WL247uktmbHGeriHswa/eE0p4nDsRMAGU
2QTdW4TU4NrCb3zn+IE2A4RNT1UWl7Z3o/serVfzvEs+cZvrY1jWAvWJuO/15o2PwWFnyLxlb7JL
4AjxnZi/eM8ufktC+Bzhbz+mTNaYhF2l/9skdT23G1ivfGQWocEPhrhiEB5d6V6gWJlDwlhP/hMI
lNQnh41Zcbqm7ZtcbBfmQeVH88sBzssc1dVgwBUjhPPmTZNj7vbeg4U7MJFED8BcvTnTGhCFr47s
j6BEvrUBEcciSL+3E4tHA3FSUy5MtCLvbKsdviaVPbUsZsDUEKDuFcLl7HeAyrs96zXkucmyfkOy
GAT7v9VkO3dgN0Ex1yhmvpvSdf3lqDkzzzXtQJyAFTWkT2GT7qhFAYXs0xGs5gPhbDcjXUWhl0+G
XqFLqBE9nWqdUa0XHPuyFHJLzNOxtr5hgq3kb80EVOMzkc7vXTlMiX3k417KgsHYlxS/h/4XA/4i
GQ+txgQjD7X9PCgIcZ80wBDSCH8Nw+lKWMMFVaN8++EnexiCd0TZ2+j17p8pm5NfVLPp9Xu/m34P
NTXmP/2qRSTuH5SK3VlX1f3TdgTfyFQq0uniI69FyxugGS6UD6n74xAgSHfzPE3ZnacSeIRQm+5n
hJ80fnD06rcXRp/KP/kdhAmNRJlxwLOcamajjWux3bURuNPJ0gP/L+OqNcXSKMVRvUh3PA/c23jh
PW8B4yfn7bFFezjksVArMouRDfhpByiSJZleY5UzaQz6HKqjNzny15kUzAh6H4Xkd2oBC5dhalGH
z2+vUyR6OjwqXSRUmQF5SX8NiprvnYiqdbKS6SJOVeFy4H7PrvgDS7nDcQPgo5W8qXgFs2IXYJVF
Nw2pZH5R01gQd8wnTDPlzl/H1gZ+862DXvfTTGm9X3jA379FZ3ub4/UM/NOaNEl4v8yS3zFcCGm+
J78CqbTKfLW89GCxx3mni+T7acwA33BgtH1xxMvYn0MkKTuSy++1hsQOtE/c11yCJo7ePQWgVDDi
esOlcxY131rTiRdvVsNSmKXdnXLdUOPCvAZok0Nw6seDpg3nnEbBEJxGVdfqxnpT29yGqTJMqoFB
i8lXw/w5Crs/jIQjEOU19ZIUVeroWrbNZVyYubP9Bt9H27/jbKZi7WjW5ylokAltk1J/bJT0X3CO
6QstNEDfq18hsz/8455Ww+6xx+H8ZEep59MGI4GSc939555BGG4bWvs5NFxCcJdEHTEbWRr/qt5H
5uyuiznbcQmyO+BILynXtFk+eBsmrlJWfyhwz9LeIJlCfw+pMZgi9hnZ204x5Fe9ZX59asXSbQUC
uEVdZc0UfA0OMtZT3COeYINMfUFE7tSqGN652/6uSP3ftoU74pu7jpdzeEyd++jtnPMFdIU/Xwdi
rY5LhzT9N2oozA7+PqQvXqLj+VEhxtNAVYlnwVfSSj6u6c4hvaSGuDqzpdGfRnRtcgHigBWT9SJu
gmTPMC+QVN9fcalrJKZJ7Z6SKJmHE9pVRHILXsvbQx0wES1Zkc3NQF3uD6kXSSOkRLjkTxV/1C5s
xSAj3fAmTQZO2WCWy28zOL57TpqW852FnUOWD8l21Ik+nv54XCivWxMvc9EQgxOc3KgJ0qtBMOCf
cD2FiilnjMiAqmqZ4G9RKMja2A7/tj5d3/bdmdYbJ3HtdadrEz4rL1J7mFfD6n/WSQKLFo4+kL8l
M+y3OXzQvomMZud8cHyVyMnbEQ+umrLzsUasXyC1WzOcPWfzBIYFuz41jjN+ku/BOry77vwhRd/K
M8Is1MmtMQD5clQyYkof3TeK0pbmBdeNfWVPwUG3pXtW7ge3JxqJwMVLM3Mb7wzsf/twttTby5Xj
jGJAxFhukCJ2HtgwH1oUlq9ECECuhVMz/UtQpuk87TJ1mwRShqe0WsFyKGgUtyAfPEXk225LkTZ+
9LF5dftrF6lI8gV6pMnnHVEHTmtxmDzsG4Hq6psqvEtpmtlOXrUwXSbaQxeOxRrhhg0cHwBl2cn6
0uRmvITHUMNSoIr4l6x4m68TYw9c0+4Rz+fERxZeVO4WTJeAYa36ZvEzURhoi9PkNMxg5NXLf4LX
sbnRIyY1oETf70vHBhyzqyND0Cr+oPZuGCAw0O1PKEnQDyKXH33WglO/pM5yUlm9PZCTZOO/B98k
qSrMje6tSsIBT1S7+ubciGwNTrEN9u6qT7Zw4vuKOCn6o9f4e0xDyR7LDWn1+cY4yePgwnwAySv5
QdIWFi9+ikCUMKHf8iLlZn9dhc4qRyfei4fDXfrp5MQpSi7mkjDky6XsFV36ZKr1PGONWa5SB4gd
4vZAIztrj2duQem6lPSHyAx9zY6gVzCEY9OrKQ07kd/tI2Rp9EPHDnefJHqpy6TRdXIXB7v3N9hI
KoZHNTa8gCtt+2URmVV/uiVZ/EIYFPE339owVVKCAQQCwpeaMnZqPF0MGGl6tXi2be+PyZP/WJH3
Z061TlzwzYh7Z4lXdbFbLaJbJOHZC2FU4t+o151IMzTNISLgcabsS46iYa0nsDsfEsMFjYZqFOwm
iEwLrAWYjyBrazAmybJ4Jh+N8r5JBFzQyO6i42Jbo8MnbFSeOFe+bu8IXT70aWHg7R4W9ozzuAak
bGXONHNmCmf+orInbG+QGZr3LKzEQ8i+wcpcd/q/OnaTdxVgsnpIMzvLq2N29Y+k34LutwsOcbwe
tbEDRaN7rXlG8YyUYzKZjEGhS5brtk64YTgCvdfNI+O26MOes46Rn8OXe3AlRZTdaSF71hvDi2PX
0ClxJozPwNfiSzrG+acQ7bHdrXCHCAXX4Y8zjMyJNAFOxxUMUSxOUdN3DFHt1px80X4TXOl3cebA
THs3gyuM5eQiysXJHnThqfMSJwKzP5K/49ZA1XkGXxAzzNQd5TbiKT31iUA9aAhdC65iB73IpV0P
/3eyop8qPWTY/cWNk+pvbPmo81qt5BvBvj3iEUFYtW6IYL6zb1Du6GHc9XUE8n3u4n2b0DfwLA3Y
38b5rWmN418hWiRvcA4iu10moM+JQ2FI/+AYDn4gpvD/crab+Fs51dVnsMap+ek17qpQ8nNT6x9N
ZyX8DZrS6tQO2265hCLRXXl+7TNtxzsrJqL2UZYO4Pi7nJpwvQQ7CxcMVi2H+8anMgUnXyXXJ7eJ
1FKaaTd3nelG1KVIIVmgAni/e2wW0kUEKw6o/iFQ9EiGWqzbleOBbucArN6Vr/rYRdW14eXBorG0
JfE/423UjlP4SMNEM59j5xuMWUwmnvhA4weqYr6f/IAVY2rbvQZgYfRr9TOoNiiP9TAaUS8B9nhg
rNyXmzaR2XDKXPRoHe46lPdEk6cXzjjXXDkNclWkENnC6QhW/oIcfWeKjia/vq/nddQPNjuOFddj
cqBVcDE/QFxoHC7LirH+MsxVlTzzoUbgW4w6VWErN3ilAjoShfIES2/SNFmF9G7kMM4aBIK7u2Iy
N4gF7irfiZLziMXhtut46H8kLjlJV2zryPHZtJDMxZPnVO99t63AoaO0/+PsvHYkx7E0/EIrQBIp
SroNH5GVpry5EcpS3vun30+1wKIqUshA10zPXExNt0LUIXnMb345wA7mM8VXPR4NhrriAjiedFPl
iTgAbE8JpDhK7rvCGsCigoh/B1cKrBdxWqRvSEH97wAcE1jCru6qLQQum7oVOdDwnapC/RVUkTsd
SoQ7HeoJnPjgZ0nXPlTZ7+ITXTzBvqPl/t0eynrYgJ6N7+kU1dEFX4es345Z0vwaMVSOj7SEQPlX
SAQSQFXO145I3+eD6XTlfCnYynqXyih6inQWw8dw2cofuJ1zkP/gAPR9CDbauwAjj8SuSyCfAo1k
aLsLpra6y1IRB1v6eN7HComp5AhTkHymy5K4PLu1lYQXy44KvDRJMaDjMGBCK1PTFdzogCn3tk5l
U34cioRdZtsxEpaIo2F64ORm2+5pdnvpI7BctPXVOMFFmexSP2IUV3Dr9um4ZwYgg30WD3S4S0N4
73MNmok3nYbgnk0GoGIp6d6aWlrdKZ09MpfA9TgilAMtSUHt9XaN1XD1+6Is1KtudCEZuDQDOHyt
wb0fEjV/ivCD5v9HT97fZiJg5uYn+HJDOOqnp4znsCrwEiI2cEk9Qh86x88dsICzF/hsDPtMwALc
55Y0TE5YunubrgZXtVXalskR8E3iHezIy+RxNBiVosCV10fTiwDTVs0kopNUQSQPfRSKBS3mxI9t
OwQFiLZElY9zVkf5a/Zvoc6BZQzjGdoETeNUdo+hC292W5RhDzyURSQjR6zKNkuru0cPaPQuflnn
D3qCvn72JzRGALskM5VENHlgXYL41wyvtT4z3KSIojHlR+ZTZjheuUFQLZFEWzynu6wNnWJXM0T9
1mQM7vduYxT1tnLpJJFizfp1Awtg/Fq1ApuLiIwt2QdAQdSx7Bl2ncq+dskcMUP4hYc7HajYxY1p
Zyo7zo99J/vhqbWKREHlS6cP7oBqP49QmQc9QdR3XjFq82i2oFw33ayZTiDwwMGea9iJdKMqbp4s
AfiyGRNl8UODmLEHLboUcLJpqB9+6Op6q+0xjLZePVXWPkPA+jz6HJ9bsJWImjpkyzX311g375te
z4oxFV5KBUmThJClu+l9kwTea82ExyJ1AMC/M2UbxFsLGBLo5iKE5Jwj1gyHI3WaYeMEbvWVSQhD
ez/3BZWsDAEWsjgRnQvywuQEdNxK9rZwZxo2qpMRQzAoxHvEcrR7sGpGAOcJ4AytqxywKSlYYja0
BAHT7Sp3iIxtnDTcbQE6j/I8zsDHT86YeT+YPEC9oikU670Yq1Hs5yKb3rOLmSZCvZw2njUV1lHk
KM8in9DLdxVow+JV4Q9Te9GV039ggy9+fH2n95lfFD9EK6ZfgHMj+GKVMYEA80ieVQe+k0vDg+1U
xlm0N/2iZd4Nhc4/GmMz19tRB8G8r4WgiiLcnwoQUb8Yofs7EH8L84j+dP1pnvo55scpcuGBcgMi
Sa+rR2ZUFenhCMLlTOY+eOTlde1timDm1BM+gg5biDZ5sceywwHtshQ8uzFEBB6v9Wb62PtO+1ZU
VvN5zNzphPd1EV0qutV3LrpoC2V1gGqTYpsCatdF7Z/OVhC/qkC8fbLD2stJLQurBHTNwU3Iu9W4
R8EqoK+JuYp78gbDS3aTCCEC+QM6G6EH1OFYAutDwMGoPPAIns6fsAWrPiNuG76JpsT4bHU5453M
5TZ5hRJWKva0K3tnC8zde+XGI7QR/HUksCcTCz+RuMAjssAeTssMlMkeEHu66+Dp7hs5lt9MzI6H
fTdKZAeQT4Ah7nqFVscRtw6fviAAozftpHwKPO6eDcWS/6EBeRfBkgk6hahQ4LxzwC7HR3oJ4zs3
m6uPSiaYTAmrCL+2nHrjPqUL/a0ywHdtgBTr8YgGvfmVkEAnlDLFpC5yh/EROQm56OPNjsQ1pE6S
feN3TfOEq0sNhFrM1ndVzTnVCNO4fFe4aGfv9OyWbyO0fsS+Kjv9FCEY9YPL3FU7o0snm3LaEuBo
8zT9ljOvGwGcVy51zTxIMHUiYbBV9wXgoVmQzM8lDFWQsF7inFyb4mwbgrKnhWSjuLxRNWoUW9sK
mWvIUfsoUkSIF7WMabpjoos+4Jof1CfPtAbYLCJzHrWrqYWs2Bef+sC1mf4X7vg6jlKd3ilgK7+U
20efGqNkL2fsrd+N0rnboW+XuVuEkMIPblHE/amKZtgZrnb9k+ELe3iADYarV++PHehJOxLTxVNg
TEkee3oiRYJj6SZpR/V5GkZQAmPnt8ExYSp9Z0HRiw4lXikmqVGzNI+hP8rjbMzTq65qh+5sQ7jz
dyqhaIVfOPjuHbPSJmMTVvwKoytoR8PKjBMmoShI7ByrjcuHXAcIWhC95vuE0yI/AtDC2ckQydS8
SVQXPyXNNH+34DacRwsO5TImnyAf9kWlD2DwnBkqkkfb2g+Ub29lSRZwzlUlTYAoBgpzMgoTfXRQ
YmAm78hC70ZJfnmkLx9aX8ZmHN4VsjeaAxRGdT+3OquPCgGIz1FHZUGTtczeAN/Mh83gsHCEAboE
W25MtDWGQM1virRzpg2NhAmsbm2guqYtBZalMyZKHqr9SZ80ncq9bY4M+OMosySJS1/9aG2PIqEF
WdBu2kGNkmpnDl5nXSaMg4Au8N1MU6HOcrDFz24unYzWijKfgjnJANgXXvdpMYxuQIfVJamCzH3n
MgOrxNgdjZDHHKUqCa1fE1qLBMpj5QPY309l78wHWOY5EFloNBsH6dGvA8x5uuie03z1VRYa545+
29sKYkK8gQsdPbTAh2OGQqV8suiNE3CTYDhgT0UU3EM8jCB4JrX/2FhpOh4hZOK+ay8jGrA01VvD
aulUmbnth3unTSt2klG33aM/6FHvpyHFQ6xB8r04cVKRfPmZhZMvkZniGTR6SUpouYiIRDkoklAz
LuNQaj1xLG3pgOT53SzKFkoobQ5urO0EsfvOKcae4MuAM5FDhYxmEG/pwARaDLG+JXXoP8bcdMjC
cKd8UfC66ksUBtreG6NLK4LexCD2LuIi0Q7OrfvGDmYLrLsowwyfitp9asOKA7/pyPeMrIIWixZO
yVGOQKLPmMBPtdjNSVDScLNL92AyqALslIfC2XYMY2hImmbxhnyNnG4oTAuOW8OJdZwdMT2mFsfp
pp+Yqw1OHC3ZdE0Deu5VTJOsiMJtNAIA3vQBLkp3ojTTZuGhkFV+o7xxXaRAHPuRdeZacRwTqzCI
9NNriRDXx6CoGlQXQgEAf444TA7IdbX1xaSYeaMHN4F/75QRYCGYVP2miMGh39OBoCemi0Z+CLwk
eGr1HNybjG6CO1mo2d0itmEMe98frGwzT5aaQO9IhNPG1sx+YTtYfjbCLvgwgRqdz4sU1y+mIRFO
ZjmYiI3Xzj1y4FVIm8wK/OwVutCcv0L24TeEjEL3iJocLonTlE6KSgg9hLPhltVjEFYWLXlFDbZ3
amZ/fIYwh8DkqECcXAP0PER8mGc7r65qhhKFZ+1kngF0xWXQOTEnY3YBTiYOdnJ2PVBsQJwx3UjS
Ln8D2aF7muKufy2youHEBsneAMMPx4+1XEoViCP9BREGAGRekrnDHcddYL4lGmFQqEnkPdg1x7H2
OqBvAgMUINuGGnVR3Dfb4S7wRkCTjuEgk8k0L9sqT1um3iR4K/2sGLkv4DUoxhu6+P3nzvKAflOy
1G/CtgSrjwzOXdGqyNkHEzM5BJs0RLRA6OiHrjpr3IEVR/NlEcuwNzMYkODg0IJpUQoQ/kcnsMMP
aLQXb5MxYuNEMm9PkypMk7lMKO9g5mh7ExM0aP6T+sR7JxHISUyR6R8LPxavGNO2OTbc9L0f8y4F
nUPn2nnX+l7fbMpO1GwEgEABnQXN5SnJJJuHOYgqf6NRqXK2jZUv9G1NirM3tBV/Uk1czYeKyUv3
xE8d39TcUyjyG5VPM1U5ot3P8AwAVnKNKZbLYeSZybn5gNYT46A09crvjd+79cbSyuPWSDsoG6A6
AJHIujXajV5cEbaxCLLoWJtjydigq/HsoDEkmgd79qN39P6V80AgpoiF2qoL9lblcL0xDWCWrjtg
1vQvnUrvzWRACoa/ta/26B4jWBC7Mxp4EBlR92dtIVvRSaIHi6aDG+/qfmjjQ4OWbUitFfYPtt2b
i3qAF97PszC8tzqQ07ts2Yx0KmIK3rLw1TsTSAi6Bk6Z3OnaSwXSOn7zqWcKOh4zyPUPGXcDPmo5
frCaOVTBLdENX1o0oX8ilSBfSSOTaBq5XuBttQQ9fYHCZiLdXBbjGVki51LXeC1uYLQAk5hJsohX
Sn7ni0Vv9KMFVJMMChASvU3wle5bZaei3Pd1r5C44W7eNrCLzihQ9NWRPwuTTTOMzAtSW5XmTkAp
yg6e7KYvqTvQ5J770Nc7m2I4+0J/1tvD7V26O6ImhabSM8QJaGF36UVPS8nwKocUxXX8r4zT7BT2
vRUu9wOy0BAl0kG8Q4LNfDs2dvrdIE4+N9lY3IdSTwtfJOAEdYIp/w5D31yoyRadMx/1up9hZuBi
x0BGjZuJ++vOJ9Knu1Rm6ZORxImznQEIxxvHBXvwCUkMDc0NA2Joaegy08KfKRq5Z5g+79qxHN6M
cTy3bwrmdxCm/Lr9kNGeBCSKAewnIBeDdwRPJipgQTknJW6QrrOpKmrQ02AWRvOFSbmZb+0hqspX
tDiKS0GqNR9rcDL2PjS1AZcBTBfqPNkYviYlsb9YOiARzWdwJIC3W9BwsxlXLTo6WD5sKgZNBR1m
UcbHefYnqGR5Sh5dKtMn5sJckjFzAI6HjGqOU6BorPLRz2XyAIumjl8NZeqADTIzUFiJFjmw4Vjq
vUNbuSSb7JfBaIX84mvkz+CsO1bk5WdgM0psAWoFX5He0vFT2Tl1fMADw873te0PwDM9u3rAubmq
NlZk8qth2Nj2xfbAgQPX9tJjamVpeKFXWpDC4UsEYj5vJvNT65XGDwrznNUdCvf1pDIJCHOKa7VB
L7KL3lZ6bg5Cj1O3T+2R4n+2+wYorAiKAzC7+MlC4giNqKIo54eoqgR+s3BscH4Dh6uzh/8BI6iM
NmqHs/L68IIuZ+ne93YU+JvZnUZr9z92IGoJPDY7z0GPRZaV5WWO1o7M0/2AHPB4AI5uFvyjZlAK
RVxOp7KecnefdtxYU8eHgzGRDDdkPVcURBUJDrqayLpSrix//oeqJ9PQiZlP2Z1RijaxNywEQBGQ
vDYl5y1V6DW5RBf/M0+hQcm/r8Qu40UmFCpPd+7QR9gFqB3tI2V7DxOqMFuaRe4XI5gpLXzyQIbc
gNEKEnMYgLG4Ibu5phDpCjzjmRC5+DFdmWIYhDSdM7M7N+7cHjqEMNHHjvrjy2qbK+KXykUVzrPF
Yucglj//c201Hd2JiuTcBfVbPqD+KELKRv4G40wrgXqqSmFiv/xQa3WVUb63QDbjGnRtZpLDfRwC
+o/noe+tJ3AN3lHalrGVzGYOZF1IFgG42WeNmnflkFQbXE39bTkUt9x410ILva7//yGLGOkfr4/M
Uu3WikXuswzZPXBXnmdFd/BE+xverKufE/wGTlCLovszaVc1qtSVdXdWjJKPwhPOg0Iv7oZY9epT
XOmyWkKAdLv6nD2Alc5qBBUstqw0qqRzKoba2b/8/VaD5o+nLMrhf6yaaLUCljV25xI29BlrCr33
GBR9RIIrv8Q1yEpyvv7Gflj5VHj9mLiXWqaLofDVq+Ec79NzlN3ZRQhxzwi/feiSIUC1Db7fy++3
soqAQ4HZKPBLyNRfKZ93qCwBEIm7Mw51NsTZVnkHsJPM0f/rc2yiwRTY3lho0F4fNmHOcQ6qheiL
G/FQzDbY0XnUN2LiuaAuTyGNFNKFHPlMahaVRhDiDpEXoLN48IrKfh/4ozFe5ii2z7QEA/uGJ/tz
5XiMqEyJhYDpohx/Hes2HicuQkTNmRSh+xA6lBlGnCb7MVcaLeVF5D9RBbJvgW3fULz9bRzwt94t
2s/W/7lCSQ8/nL9jE80gASMsms9tbyjrnID8RXNJGj4FcJnbxbl3ASKe64587MSAQFWUKZZz6Tp4
CofE9CvqqgAyMeN6BFuc1J2yLeSIwDnl8GjBE2QIgDJ09Xx9yVyHgXwJ3nuTwsXP9vhAAZnNEDsB
OpjO8p1bz6K8cXw+D09ekYtBAqGRmNZc2Q5aflpEUWRP59BL1DsUooA0zKH5+uXgfL7flqcs8cIJ
jSvS1X6rEyORjDcmplboC4TG0G6NPrTPQzk3x5cftfpCvvI9X6KdiB7T39/MhKM6e9rlURhl7xNJ
k3bBEt7Y1WsvhLsF1nFCSUXP/e+noBzl17UvcRcEXbSdGgfNg5miDhLDLZvBlQ1Ak9OkzUrV4zKg
+/tRgJ1zCIzeeNYUSMUmzQaEobph0TJCudAOX6GvGn4d/A4crp0aU3jjYFn++VebwOPxlnThqjIi
uDrAaKzGWSer8Uy7xKCbmDG6LQZwe3Qc7qrKjHdKFLfcx1fW16MZ6GBRxjGDZfPfL10GZRS7bT2d
YyPCy0MN6d6tu2Ev0Lv575+SRy0GCRLrDhwk/36UVjHq8QmxGcvxk7THDp4XY18lZHbjSasr+ceT
roKmrQy0Y7psOrckoW+AcamH3C8muDJ2f66QN2E866nDy/th9aE+g0WBg45JxvH368GMo4D2YHg0
4Di+sWP096ykePFyKLyZ1dlfJ4aw315+6Nrnk9x5kkWVnnktFA6BTTPfSYazhvRyqTLYVoaEAkG3
ur6xqGuP8pQtAef5lo0U4d/vh+g0JepQjudBogY+yAo2UtT/7MbBv3ETXa0kTj2ezbkC3IBVNEG3
/v2koMcqSEHcg1RvdygMgN2ydnszR4tgBAh142D+ffL+se+ePe7qIAvzEm1irRWz2976GrRS/EDv
vM8OXVEPapvVMjnFZVgAsk1lefGE28u9H0Dnu3EAXK3w7x/COEXgaOcTf9eZBapcMJlUrxh8xe0n
P0QawrEr/Zg4ebh/OW6uDu/fjyJ/puXqK4cc7GqJ8TMP0UWeXIp9QwASNeedRsTqRshcJTG/n+Jz
tGB8a3GrX39IFbcLi7H2TmhWueew8eydoH90YMKPljI91RsLuBI4ggBwuY1cbtprfyIStrItGcOc
cPbt7gI6O/t6zowHVmDcjojBHJqpKW4s5cpXQ0iam8kkJzTt64vdTvxAe3QsTqKlbYVy4CKeZjhs
QSe6UY6srKcgPhaLGSyQpH0dqSGopAQF6tMQlf5WWdB9+xJhlxAN+K2hi3b3cpSsvtofz1v+/I+S
IUWLlbl17J60iiKAe7b94BYQ//yxik//8CjuXEHOwlpex37JsKOLaHGeMkbrG4y6YNlWxvC+UMGN
l1pbRKo5dCQt11Liuk7whaBLyuztPBSIASKzWO3rxsPZYEC4LnYd+/jymy3Nh6vjhYYAtogeaRmP
vWpO9FFmiJnq60xH0U3PbdDDBMstq9gmhcCmC5X/dM9xC9aD+ad91yZ9fCO/XtntNAk8AgKNDM6W
Zd/88R1bCPdWbnv63KHITBWGkY3JzOrGbr/Kn5bdztFFXYQBiG1613cR3c8opYOlGbW05SsGVP29
Qv71nlpdvdJBW/g7VqjVIJL9W+WStfpwLMnIrO2lglm++p+v6M4aIViczAEK+dV2nGIh9lGd4Rfd
NUPJNLwqaETgbET73OmbMLhAMctQnDBQiqb/28HhHBFfOCich+ZNBeiqOwJ4APEARggc9GzR2tlC
tarkp5cjZO23U+nZrN3yn+t2Toc2rShpY540Vi4hkrEGrNIuDJ9SFPYu0LEdhjoN0H0IAf9weHEJ
SBoP0Eqe5byBuwg6tRRVZgaDzAdwinmKgxIpUro3gnBtH+DSyZbDHoyE8+rKcdl0ZpbP0TnvwoRJ
/GT3MGIW4vkXRmT2Fxyvrc+jIX1Ye6H0XiVWkfo3bGPXDjQ8hmz6hFgBPmthIfUKRzbCCRiGXwQN
oQ72k6u/w1Sbb5wyK1eRtFBWwmWDjo68NlBiIqZNOUW4zCOnrjZhhIToNuqMet6GsCyQ8FZ+O+yj
auhutUNXDjiJY+RvZ0WbmvrqwEFokmDrG+MkKGm7+6z3YMCDF0G0vuDP3jQy7KobN9PKwlIEKo5T
x/GsZ80D0GY2qmaJccIK4T2z9fy9mWbvs9brb3zBtXVlNUkAkdN/XqSBEe0Myy6CE9LJY7gxAaGH
cyr6SzXgw7rpZ0DOe/rBCC69vEnX3hAYwiKKCpHnWXuJ8WTbtYyZTwVDNG+HQUQOwENZsYAcW883
nIZWjgQJ1x0iKtcGx8JVsu12RspVMgWneoRAd/Rb0L8YUfRee8KMsy6OKDWpn1B79FuUSZvpvx/l
0pH0IqGfWmidXYUQjARERD0vOJFqGe8tHxm7nXabCRYYacb4qvMkGBnpxUV9ruahNz68vNgrZ4VE
Jx3rbBpg7KGr1/c9VVgMHcMzahNu/6NjEhNeCuKv3832MLjb0nPjfAtUDFXLTjuQmC2/AeLw8s9Y
++asvmSpGX+Z15u4qKoKyEnGJh4bfQcvKcbqBdkrlFqyGxvIWn2W5PwnYSayr+clBRDDZDZc41RX
EDzu/VJo84CgXwivamLaXbiQ+zDqMJC0PoTKzJqPPtydcWvaCAUdqj6r46PL4P3ijIbR3Q2GMSET
mxe3PE5Xf+hSnrkMdZ5XKU42lKZfa+PkwaJyoJMn+ovR97VE5byGWv/yJ1g7zAhCmzPFW2rrq1sj
gxOaBPCVT2GuKIwQb0BA1wtncdbIXSMaiszK4eVHrmRL3Ih0/W1qT8ahV9kSOU472tqMznKysgMK
dsVhHpS9f/kp9vLLr/JCEhVGC0s/hGC/inFQq4hCeQ4ZS92G2Q+4L8wwGsfCjaVG728E6Gdr/zK1
6AEdOxPS0ZlJOgoKAbPt+KxtkcYfK4hKiwSSqMFw5H33EA4RTMhW9KWznebYxRQjUt10sWOYZm+i
YI7VT7gCiyJAVuIFBkpbFzcOr+tJ0ZIJ/t40nlpE4p5t30FaYyJMKzobfir8swUuZ9wYdDDsTTVN
vr7vYhM8gh34YF+7uWGFM0c2izmnkT6g4IkDwsurvfZNkcJiL2OdSZm2BPUf6aECymYOQkVnyw3K
M+5dJfDz9pZb9srWIK+hV2naPj6d1/VuhW5eXysvOtNiji8m6fBT0s7l0Y1y6/M/vJDDYMVkMMW/
rvYFxOs6Ak0TnXGLGo9jjEeG5TXixrKt3LbLP5ttjrQuGeJVjCKvm5g5dey57SByGi7oH4AZjXsq
SoWSNyJP99oKy+O/vBuLyICFeve6FkznXoCfZQMiTKWheE/SiHdF5aU31nDlknWWprLDMNHGy3v5
8z+CAsk6mAbQ2c8JjDe54x1z+xK5toASkOQB+rmBF5UPBvY37xFOxxzo5fdcOdtouNq2g0Gs55vX
B40GETFCzV4OmpqyjN7itsoqIKm1GTC3aMPTPzyPe5UakFkjTY+/33cAh1kKCeAnc8D+zAXANIl+
7S6awumjOcbdjehZeT9QDssUnKa6o65PuJYujV/OlT7D4yn3aYhdyRBH+ZGe83gyYfHcOHdWtp9a
LlD6oRShrne1yV0x6NQLSn2eeniGc4t3GoZm9mHCtO6GzfL6o7gBJbjl58NGju54AMqsz1ABkWqv
lH1XwUU5l0NUn1/+aquPghFMqNIOfVZJoA1gpYVNddgPAHLmuEnvgkp7FyPrhhtvtbLdFcMj+rse
y/esTzAjSDr0XRKe5wmFsrseyj9WLRSEYldWMxrsUxjHwScna+fw48tv+XvIfXUdKjCpvr/UouS+
V8Fp4ThsO5Glz8xxk+oIg56p4wix9kcTtvZdMpJ4HroZg6rdIEyQzq0PzObgqihMQQJBvt0aIIM/
9o1wUA7sOvdVp/gf9grc6oM2HRl+ePknr30YRjXMnF0uPDqAf2+nZFTI7ky9fxoqB3ctof0TXaD0
QuVjbF9+1FqPmu6KgxczfUaHxu3fzzLkwhsDEnhKLcd+wKhJkggXw763dbEF9Rvuh6wZ92hRwoIG
T7et2qi7kQ2vHJfKQ2doqWq5Ea6PqwbgWR2btY82QNn/KgA2X5pxBJjozXI74Sb4xnOyn0Fc9Tdi
Y+XyJqGgP6GAgTOeu7qFZhhZUTRa/inpg/YU4Kz45DJ1uLXGNmt4HYGUHOwzEJres/4VA+5OjKbw
T6TbSb4pG0MGuwkcW3iwoSx+Rlg0/thCOv3ooF0CGywOc2rNsCiKgzGHiTq67eyH//2SoGlnWmKx
VWf9r/YFAOwG6jux1dR1co+i9vxL+Xo+MhmExz0F5aeXQ23lK7s00ZYBBP0gQEx/R1o4IEuuVOmd
hpq5i69+uVb0GNbqHnOOj1hzfy1yuA4vP3Pl3AEcwnnD5MPxn1W7DQqMeZ2M/mnWovjcBBnWgF6L
9M3o0qadyx+QHeSNs25l97J1KSzYuLzsdZKB5AGy/7rwT5kff6bT1CLDDam2rIFov/x2yxe6iitS
QY41CSqMUcFV+KraUUiiSv/U4YcQbY3WRrCggfcyArhkt6HZgAIuqntW9Q2hyQbp0qw2nl7+EWuv
S+/N8fmkjM+uDysUu40+qmgoWKVhZ+gkmeqhcZ3A2qJngQP6PzyNe8Qh95fPBz8OOpY9OoMBg4ou
XcB/+kPthMiyiL76lxf741HL4fFHEocTXq/HrA9OEQLFiAgZnwGYDofJSoZ/2Ik0dGwQMgL04DVM
KxsoMGI0J08d6lLnBeb3CoR1ePAmqPAeEsfHf1hEcm5iE1iTdX0jlkLQTEur4ASXEfYarEaz29tN
m/3EzsT2/2EPUhtRsTEYeT47i/LFSqNV/glKMWqB7YjsGwq+jpPsbFQlabDEkMg2jnaicv/fX5Q0
3PeATbO61y/qC8S/kDRk+3txvzdZkIe8yLAnKGT1D4+ig8dYGQY82/FqLxpwh5FoT4MTDuUwkJiz
bhupzZPVebc6wGs7DslqOiQLhIuD5u/AbBcDewz33FNSDOlThhUdew+19H4ucTN6eQXXjhgSJ8aC
y7j1WaY9uH6Ofy6DwVJ27hO0xRloqDRfS+RS0Zpoh+aeMqsBi9sMnwdGM7fq67VbAzlnx7IwtCOJ
u7o1tARVO2RoOBXgrMwz7Iu8O8y0TX6iWx38qsKyb3Z6SMVHsoVU3zhh15bap9UAMJV3f9au9Jnh
MXbwXaBhU/bYZmo8lB5EJJo7zo1cZPVRwCAckhHnuTO7i5JFhDupdyq6PjjUsZh3VR8lF7OxbwE2
V8onl9E50usO//2s9SXQMRe0AhF58b35VYlP7rb12hQjBUiIfVLfCtiVIGLxGEFJy1XPhyMauYwu
mhGVidsSw6ZAOPN7dBxgsES4h3yenITbCz1a5ztFRHGZ7Cb6+XIYryR6gBK4kjll6T9f7070XADe
Ac1G0MNxt3XTYhybubewDyufcBlULvuE25WE8u+NKbyxxSQTMapu9NzDUMlwC0ZnPELfVTf25e/U
9OruJ20HVYkgqu08z6YwlsHv1vdPPRIH/ckZEOTIYTk41rcK0pr/0SpTVErTrkvrn9ponVfzKKMH
eNmi/DDLkhGR7Et3eBjEADNiaKsp/WAgtF2ji4XKHOi+QmfAi8LsbVEyd0GJt54fVI+4/3Ya6mR+
1WPq/pYBMDJpUArn7jijkfDDj5FBwWynsQGzDVO1gwzQ5Fso8WF0xihDL6w/galNbbsyvKBDsan9
1P9kucM0vnbyEdMeW0TSOuVRk7615karTWP5Ub+zG5yrGgmTeQPKsmy3cZbbJoSuqP2KZJ0N+ld3
hJJXNeEblXjTiKhMgqRp2vZVz5xBlkid5n4NybWLW3NjmIzJ9lZWOvPGKz35ECPIm3xEwF6Y+5cj
cGXPeZyjv3cBAXg9w54wZoy7Zc/R1cK6akD/wxC4lGRIlZ17XHH/e6LE8xagE6gxCN9X52ZECho4
UOmJDNN9jfptdmlLlKx607+xt9ainjMQ9W5FK50q/++oB1gLvWQO9Tl04Lof3C5H2dtKtNeg2IFQ
zo3IX0npufnIr2nIAIa7TnqnCrADtbNx6gAGHbge9TtnGptNnIRqF0s02ugcDzceuvqO/FPBMtL9
eTZIR4CiaizTYQrZD82Zjxc82H6hHjscBPcvB8raYamWMSQdLv66LpMW3v80NDVzCQArPRMhW9O0
cGqU1msDFXp8mqZCbqMU0Ty779xxG4euqE4v/4q1FwZ3tIxcLcd6du8HoZFNaqRbWIaDfq/cLN/K
ufY+IM13C17/Owu7PsqIUnrnC1D72RUP+9UVLXqop5pEcHrbYSX6hXmoW27KNJLhIcUQaDoAwc/T
uzky4le6ZYC2watCfUpc4T1kaem3ZwHLNN+584jVBLJxc3/KC0PGryOtfPRQR8fFfxPv3Pf4KiXe
dmha09w4LWZT25zZyFewG/EHUtXcOEDctS54gaJUNHh5fodDcpT895ACz4J3EtqKWDxcx/FIT86w
lG2cfDN7nyTCP5aTwnMTUbwb33Ll8gN+D/KY2TKf8xlIp49tP8DY+dQlbbrIRnP2FpDqX46YtU4S
rWaJ7BjPotN3deIUZSn9OpN8xkiOaH+IeodkIER332KJ4xw/PJRs4v2okk9DH0Z73Vk/X/4NK4cs
P4Eukr/0+aik/j6KrI5GZu4bbFOIeidDJqhOFRDA9wCFrIOV5PoGaGBlm3Ds0eDnsgesfn32NbNC
SLWZjFMiRb/BRTXdSt+IEO/i7n353Va/Ijkwx97vPtnV8sIEEbHTCePkYAh2ilQ4nQa/dm4AHdee
QmG9ALpc+3lTKMorOyyHwDg1Wk7bpp6R1mkR1X35XVZjZQHJKcQ/mVJe4ykLD1n6caKBb6JuefYr
rU84AsnHXtH5dvwRayrKDrWRva8w4XXmEHmISr1++WesXCW+xXnOdwOKAFj973AZ/QF/VCOirY+C
+GlCVmHRWIsRzXJnujcjwnIILd34jmsPXbBKwA8k18n16L9iMoXn5MCUO9Rqr00juAirye/hE1en
XufVGxvVkRsdhpVLBZVqApSDwGFrXmWmdVNFahwLgGBhVH6wQkxQdIs3OuTFaDcadXY3xh7yLiM3
p5XjbfvyQq/tS6pwCaBc2c+7Nma0yJI5FfuSIec9fmT5zvLLn4FHp5Gyf7yxxM+DmL4G4A7UOF35
fPwVW4hC2LgYncLZtd+5SNngzJ5PN/b+s8qUqhR/CwY1dBb4a/kVf/SHJrvCr5ipxskvG+913dfl
Y+fbza5LO/cBKTp3O+N9oTfgl/5zocGjYQ1SldJfXPBKfz866/wgdmy3OyGz35mIqoXVlyaYZ/QX
cjQP/vNu5SigpQEXQDCuZSzx9+P05Ml5QqH2BBqDoMHnwEg3iNTN+rF3x0rtrJJG6HbOy2TaVBQe
Npx4RFc2pFJxfAPPsrLsFMjw+5bdQ6K0hPofyx7H7f+Sdl47ciNBun4iAvTmlsUybCO1pJa9IWRG
THpvn34/9l6cbhZRhPbMYAwwwGQl00RkxG/QSIrznrnnDo6iAPexqudrfI2rzv5my1Wnn8JGsxDD
EwaPidtbeWP4hW5IgCE9IpquruEOVZF+oMOP4HCtHQoMq8nREMN2sVTqHxBcxmA3Ta07tcu+/vvI
Ksn8QmOjor2+rRxsLiiy1AMBIKgPiV2m93IOqwcb0Hw4K2i64VJUYT86x4F/e2jl6kQhKwe2kYSb
FhHpymoHBDbUWJgiwyWerf4uqfGb8qY8UD2UoGak9BsEceJO++5MXU/XKGpOsawFmCdiC0EPs3ab
0hC/uyB3di62q9uUH7aEQ/4Gcgh/pre7AXMjTAZjtb90g2R+sXPTcfNyts5wEObn2hHa505Ph8+3
P8fVdUbxDZMdCgqMSAVutQcqDEMV0PjdZYg7q8c3wIn9SZ7i5xE3R+1Yq1mT75zBjQWwTR0JbTo2
SJdY610/JBzAsOwvKDQh6aNG01GmDH68PbHNUcAOyUs1n3ixpDuvzlaDonNU2A1nixf5r0UM9F2L
sMnOmm2NwhuNKAReYOmRvB2l0lMbKU6KFvVgG+emH4sTDci9TsHWKDTsLRmU7IZMQINtAUJeE6+A
spAOiPKYh8murZ3r4BqRxF4AlgOyjlhALr/6ZGVFpcIMsv6iDxairWoR1h7ee4hLa+glelY8UGeg
AGK8m9F0fKqyrrA9clINUSv0jgfv9gpebU3YG+BI8OEloaGjsFxfr1awsFpRWgpawkJCjNTFWgi3
iTaV8SQynQLfgZG868/tMa++9DIm5TUsPC0wL1f16LIQfQMA7CKRnj51etu8y8pg2NmbmzODewoT
hrhOQHo7MzQMDYi8+kwKE+K5rjvdJe6i6iPtW/WsRAIXm9vTurrp6Ydz1OirkaSRNa1OeYiuU86q
T5cZRemjA5ztAZnP+NOIj4A7KqF1VpWiuoRtFP5rB3EZmV4CfxJjqCW/nSpWaEEHCkS+SAiQnHT0
VT7oE70EE49CsTPL5f/15vG9jEU8Y/UWUOz6cWhrCMm3iINdgDbrxxrjhIe2NsWnocZBfWes67Sf
wRSDO5PQzZvXWNb41e4c6RDiOqDOlyGVqq8aDlz35KN2hM1G3Tt4iTQRclCN0f4e0K19Z6Pn9z6O
qQju5BDXO3Zp0C5dU9C3Ci2bt78DiaqyD5ExuqiVmj9B1sCzQ4pxorm9g7aGWciGjqryd5grb4fp
s7YwYostywYLYjespsY+OAos/51baG+gVXRIFDWTKvzrLihX6/dxjVQTvhb/jLqiufVqOi+401er
pzNJzYyn+YLEQ+OiQTZ/KPX4d6DOvVcp6rgzqavQvgynUQOD86PS8F0m/Wo4RGWoKlryfMGCA3/w
zGj8SNeR34tRIMmRD/OxKu+9/8OSvRp09SWxHFOMGa+Wi22Myhl34Awh10Hd2X/Xh05ZhCSWv7jP
aJq/nRp60KFuYjdyCdRxehLqVB1bmOGXEKrDzlDXW4OE3SEUcOaIDOtgixGzaJGt0i65lAhPFyB4
9K7Zo75dT2gZZTnSVJwNXvVvJ7RULMEcVtqlRYfzoE7pcBi0ES3Sjur77RW6jgMAVtgYMAiAjl49
ZWNdTYMkkrXLNM/yYnkkH6cZda02yyKEQhv56+3xrrchjGrg88rCmYDRpL6dGvlPn5qd0CkIpP15
yOTqBxKkSHOGZYgYZeqEFdqPnbxTiNn6okufwAKYA2poXQYuoAhbIgv1C0BOgd9W2h9ShWZ5IWny
zp7f+qLUYhY4BZ8VCNbbGaIIHldyHuuXKk0qX7Rd8jmszPlhjtXpP+S0yKlvf9LlEL2NOWDNSJqI
BkQe6PRvBzQQwIxKAfsTpdb6ZxolVnU3xwaEBK3MCpX0tpGMc1qj+apS6fdzXS1+3/4JG5936eeS
JZFOkOmuIhEiwE1aRrl1mdEDdzvHKg96EihHvBnH8+2hNk4g1W0Q/0x5o7E7TYIuVZiZl7nQxBlS
nOnNfJvj7VE2FhFqDIcCgCq19DVsGwqokfVco2QrlUVrzshOQ2l0HsRR9OzSUdpLj1bTohNLYLMt
kxwT5A8FkLeLaIECyOkwpT6VFfvBQGsQIUex977bGAUKNJEFBAkA4/VWSetOc6YmTeHrJPk7JYxq
by7sPZLn6owvc1FlXF2WhgtdrKu56FWSlEA/fV3BRDftEgWfhvSXhcNj6eoT7r4uUsN7b7rVMXgZ
FUAMjzpqyPRxVxlt17YKLIs69Qcjyp9jmlh3fYBXjTvkMZ7WRYIKnxvgKwBExgi1pwTvp/jfjuL/
/gZY0ezNhcOwhl5Kmj6NBNXUR1vQ/mhoJFxjgLpqFSKmZkZz/ShJuEmbU5x9w36o/Hx71259eOB5
tPN4TPPeXP77qxhfprR++6IufNrMyqGeBu17YKHBQ36GeYCk5o+Qw7j1/nlUDUo98gEv+hZrzgYm
gmPjTFXhz5DNPoStrJ4rc2y+NPJoP8Zl8l8EBuPb7TE3NjL7i469RZPrunqjoLndznWf+05Rae+r
QqpwPJfTy+1RNrYU8AMCsEqtBsT9qk7ThwtArpJyX7Ed+wc2YXFyHKohKS9kNnXoZWqYF24fh7Hp
4ptu1Mdy8WP/cPtXrC7XZVOBY6O0T6ZPG2vd2hpaGykbIy0wmA6ab4He/55yhK0lZKefb4+09VVf
QIdkiFzk6ygpFKw62igr/CoIWjSzQ+M0a2Oyc4Nvzoc77iVUUFpexSt09kSt42nkNzFPT1qQNQLs
AUZXjbQHd7o6EOiW8d400GinzGesKbbVpBd5r5iDHzd9+xTGqXaaurn4jA9F9WAHIY5rkbwTCzfH
JNXgFQ+ehOre20MYTWgeK4uXQ4+TYebV3Lf3KZgKLxrlvjiWupxiQIYBpr6zW1cxi92xpHIme5FC
EKXc1cAYd+VJEuP6i3e8eOcg1oulUp/+KSiS/KfFJa5H/7hdlgH1pUnJXQMNbzVgjTTQINSm8jH7
aVC1VAb4OFGzozJztSlfRoEIAwePLbmuVNDMKSRpbCs/K0Y6yM6o2B+c2FR3JnO1K5dhiFsvNN7r
ZVMQd9aBrdd+PYg5xGqomc8m1f/BE1rY/7395TYGA7qtgHuh9AlsbPXlkOKfrCoSre+IVrpvRdyd
xBhk7ya5jHbINld32HJ58FpmKy5Y2HXdxRkMA8nzoPHLsqnaP3kskFdQuyl9l5eL0WMf1UZ/hy9x
8JTScEWLU0GM7PZ0N5YQMAvHj1IaRcQ1ItesixnOadj4RiC6B7nt8ObBIvnL7VG2PupC0KJ2xgMN
8O/bg2dHc9Hi/9f5IlPFKZizn+A7siMwpX5nPhsnbTnb5GsWtUp1PZ9RRgpYGcF2mfEsn4GnhTEq
23q/GGT03bl1lNbaCbIbk+P1bpswUBUeF+vsBvWYdtRqo/XlWhqf0KvKT7x5nXu10vcKyuu60nKR
0Eoig+JIg9JZtzf1yhGY9hi4MGNXn93phRC1m0k4CrsYwep3DcT2//JkGn6WCej/RczkWQ1xgPvn
9WTDANvhJ6Ast04jsWEcKSgtJisYED4DGsFTwY7QS5gyHEFvj7Wxokx6aUFRree5sIpJlpXxKo2i
zo+worqXyPU/B1WX4VHemLZ6aIa82iOtXw9JiUfj6uQ1DPB4PT1shfI8jeLGT2ssH0bDPGIU0Xhy
icFtDv/Ouz3D6zPIcKZDZkwzl9TQfns65oHCkGjt2heK6PzWsDGmZ647o1xvU0ZBmG/RPoILc/XA
wARRD4ag9qPWmd+V6JOf09DBCVKBjn97QuuhWCnkY1ATJvKQnq1BqFKlB8LpJNw+KNDdNYXWYKsH
Q5kO+L9Kqr0MxWHXwACCqFpf10jEY3lVp7I/yiK/IKv2Da/zYTGS3kNIr1dpPdKyaV5l8MqkOUnS
FjK6r+VwGrrA9HRJn3c+3TomLKPQckMEa3l0kj+/HaWPJ/DhJJW+QjaSL94HX5bGko+qoHXsWyU+
Fjx+H8fcaI6jMu1pGW5M8qUWuYjMsCPXDb9EQatheSH6Kg4xd7lkd5docUa9vT/W54tJLrVowJro
ElD0XB3pXItNPeJm8fME1k6dycBo5XnwkLbBgjI3qp1AuzWr/81RYAqTRqhvP2o3S2RDgST7WBfI
tG3nJP5W15a9V53e2PfciuRBkBYI6+tI0GNNNEm5qQIs7iANBAEFXB/dqgGMnVIb+U6s25gWwAw+
4AvC/SoYGAUyFxMNNoQ9DXyTeQM9sLiWf3uxtOXrvCpi8eqgCQWhDeok3IirIpbamjE4VCzDOPGN
8yUqoGz6Qi+a56qUMKyyZUFJJEhDccr1ZvoC81xVCbfgE13M9noVXbVIEafW7qzoFDpyDcdCVppD
jehdgPKvQBQFHglJcIHjwIeizlvJC/B8eJoxFkJcNuX1fjKHJHK+j448NT9EqfaYRWJ+qiLbPwjp
bgzkpDu0xpwDgUkTGaNL7On2dC22FphKEPX6pZV0xZIYQ0Su5iRVfSHbsT9jke7GEs8/GPx7i7tx
Rqhk89khYoORfckEXl03cVzHiLdNsy+Pov9qRdiR4qA9eJ3elf+NU//j9iovMWa1yLyjqYqSikI2
Xz8Y7Hro8llmuBrFSPmAFNjfwOrtz2GpFwdFjOp7NUkyv8x0zbs98kvydzU0ACNSQ7wvr0ijWRrG
TVXhDQVuPDTuy1yPvuHY4nzsJdvwqYHZCHaILnw/d1L1Tc266oQJqflcBYX6dWj77H3fzePx9q/a
WGlKmcg20PDVuK5W93A2KpTgEn3mGdAYl7Bum7sJc8jP2H3t4eS2h0KrgRYdHJV1CHMQEED+x2Sl
W1l7TIsaPyHqZI8FZYSdi3dzKOYFqornmrN+sFE3rWITywhfiAqjZdGPrZdKQnx0pKTdYRVubOBF
SRLAL7LDoOaX3/JqA1dQgJ24saFRFcWcfAnJ7T6P2J08dqAist+qOkn/mClyUWmwb5D1B6nCP1Yj
guSOQqCvs68MpfUREI3hYdEle9gDoRSdhtXOzl2XE5bxAFwg7sGLHqjS6lXT9FJpVXBI/ESEqjeq
6Hv0JV5PGMhk2NqFv2UegP+Yeb+MyZ7kIibjuWLDOEJYWRYaXMC5VXwMOxsLevwK4TKn0f/nUEv4
ebWALZWfIuztyZ9VO46OeTsNH7Jk0S+RUlmddrbm5seE3oNQ1FIiXecE9OBNW2BU4zvNoNwPaZme
ATSlfxenz0s4l+UXmeRkZ49unQcaKwgpkxLLV0X3xTasHDr0lA0ckt+NrUjPbVlH5+VJt5ODbF2w
UCpsBgPBBRb37deMQRgXXGqjT8xCRj0EUIGnuoK3e6LyqCD76ZoiBFlt/asq/cuWeTXyKnFtTWOK
JeqSS+JqI49i4c+EIMxJHnPnoo9K96cXDa4ntVnkOwWitabkkjsgRbrUYMHUAZtZzboyyh6LkIRV
7eu6IJKj3Ynn2kQ7O2/0GHICgJbRy3kWDQcTP0R/0lE5cXMzcO7KWLIVV0YtcqGX6aFwFXXKWled
xsB2a6NqRndAzKx43w19kR7/PQJQBSL5oZesX2XimcgCZcoS2a9SOz0NjmR55ZymZI/ynn7y1lVJ
QkFpl2h/7Rsg97qZ6sMMPaquplNYiObiABbz5HCaH4QopvPtqW2dNZjWtH9I8oF3rvJvvAu1MNSw
jOqdwFFPeqehcTjgzPPUa4Vq+1kgKTXMpqb9eHvgF0X7dawHsYVXKqGeTHk1shkS5+Q2wTRbGtXS
o6St/6wdOYr91qrs+ow4qmWfckyzoyPUOzGfpgqvXpzgRuPb4JRy/t5ExEH1YjnCezko9MH2yinq
woM9J01yapQMOFFR9fHnbFFB8fo8KLuTXIo6vMMwdP6MuIaMi9JkmJjc4a+l/2jDxCkPsAvb33M7
z4UX2ZgYeVj9Vs/TAK7Fne1qxEK06638XpaFVu51yDZ2ANVaOn8O0YQsexVKxjhvTGm5HTgvRXcw
SiWV7iF6DT+0Uo7TU9OBADvdXoytMekML81hHVHydZWjlCsyy1aiAl/I5eBVZT6x7bgZjljyoWrQ
iJ6ix/9lTLD5C8yMku6qE1jTjlHHmjEn3QpYBAXLxZa74WRI4/gJyt7Ohlti1Gq/YQlDqJQ1cmiQ
1G9vXUDiWh8E2KKF2azzIqMDhiL4kNF5uz2xjSMFSBukC21+5KHWD2dHJBou2dno60ZTiQc5lem2
iyaTpeM04n7rhmKeH+Jmin/eHngjhME2QNkFPtLSFF9+2KsoPQ9xY8oG7gOq4NVzEGY0OUczgKWD
so2h7oA1tvYMe3SBgIKiu9Lb0rOxnCpcn/2qnbs7jCwbLBgjSR09hFs09Whq6d49vBE4aWEghgep
eSnyrLaMXYiw1UQ145lUO/ljmxRy7ZpoxWDKlv00JenRyi1tPOR2G+zE7GV3rHcPhg5L+g8Q/4ob
OE1WLjc8T33ulAq8AXPLWizEaluP/TTR9YuZqZkHVlKa3bKv6p2vvbW2i469ZZJBU7tb7V5KwBnJ
ucKt0OYf7HHI/CZRfqHKle0EhLV05hKnySWdl9oP3ZZ1dpIoRjnkwPb8ijRJfY/OGEVV6IrwDDs1
piPiOnNWPmpWN2BvKZT8R9VU+QUbKfsLksQaPmkwGX5xCirzLsJZp/VT3aaOdHuzbxxnwhXYPFCV
9FvXGC9cdFrLycbZ1wVG82rXdketUfcEM/Xltl2tO/QPJN4WIXUgjausRQLuSjyOKMIR9dNz0Gdd
ed9UGN9ARR/7Ay50UCLiSInvLb2YR5dm8/ydOm4xH9oxwXwXi8/8LFsRtqSWVSt/Ghlh9oPAjax1
mxls6EEP6F6f0xI8GfeEkWdHNHswpI0dJ7Z+mVJjB4eIur56z/swnS52Uw2hB7YpGdw6yqzADcp2
YpGipExdxF379KGfpvjXqIvygx6F4V+1NLPWCwYllHFAt+TugCLtoBwypEbv0Ea1aJNL5pRf6nJQ
7zQZ9Z7vt9drTadY9hVgW/Bri9LDtSBCasxZtLzqfXNMiuArVno1nq9JP3Ft6E45/NeBMf6qRqQ8
T7Le6NpjlQlnvGBRal6qbpwxQ2SlxIHK2vTXwtcy24lIG1uKEj9ni4IdWeq6vWArpW2mlaL7WiGD
Gg8N5bMI0/EfiWHLh+CBSPML6WzoAGuhRORe86EoDd2PJC4arwvaSr9DIB2qbtjieP+RnoP499cN
NRUKkijDMOT65gznSI2MUdfgGWYov5JDONFpULtw/DbBnt1rvW2EQCR2wNZQlNyARopmotM4K5qf
aYXpa6jEn2vgNG6uqtlX3CaHUyaXOwCMjeCw0CuoGgGbAiO5/PdX0Y93pNW3udBpcVvY5aHmDGt7
sLPhqa4cUmk0ff0ynJN7Z4aKeLm9uze2jm1AiiPakzEjf/l28CGbm0IPUxMTvRT72DDKzkk0Tv9+
5xHVUfWibbrgI5df8WqKQ6SaczLlpp90xuCGqpV6sVDinVC3EWoA1EH6p65JP39dIo9bwwl0sjN/
LHBJcpQqho3aSketoI14+7NdNTE5CzwIQUQqmJrw9VYzwjZ0SiMJT/S6tzRPNjPjQbfb6BhJxnyx
JgR3Qz1rv+ldr3lCsmNv1npt56tuJDIL/ISVo4q7ENPfflUTy9Sw12PLN3BJ/prGRvvRqpTgVNiD
8XVqnHCvS7w1awCLCw6f3i0hdvlFr9bRblKzrHFWWVLf/BnGBe6+M6IRtWOUHo0lCVQYJL5kGMUp
C6PhEFSz5d3+9JuzRh2GG29BT66PSwJ3axSpbPl65uinRFMZJTZHD7dg1NM0K957/y+fcRVJF3Vm
msWkjMSBFUwL65PUhONh+Vg0x7Y7tk5yrGo991ob0xALraVDlNjRR1AQqSfZcnNwLIr/kxEjRE/9
1xt61T5Hpl19uf0ltn4YRVBojfArUbFbpc1KMVDyliWDs2vrHy3yXdfo+nBn/htXIl/6/42yuiFA
kRP/5Mj05UQJj47ofthOq34dB/1nj17OXTO02s5BfoEArD85GG6gabRfkQRc7ezOksjfbUJuWWed
5JaW1NWnIh/LJ81KF1ky0HDYCqdFM73PG9FgrVwGSfeoxl2uPSRy239v22K6QL4P+u9RKunSk67m
OhrZqRY3bg9sq8baTUjhoR6G5GNgDubfJlF780CxFCnlXErHLzR0JOs8hmFj+KI0GguNXGU4iwTm
nadhi4NBehW3g1fUsRJ4kBuN4KMdjICUEFSgyBjiHBp6zWBifNzAEd7r524eSGCKJLsIxNGlVt8e
SGsMkaANG5O6WDE5pzgmkzvXlSWLi5IEWLA3NRIHLooZ1kUxu0k9BGrI5WRYIjB3EvCN63fp8ywS
0ejkK9bqnDhRpxStmEx/pu1wjM3QPlaxWh+I3Hsg+GXPrfcHdy98jEUklvbh22knRoIrMu5hfh9G
4k9iDKNrZ2VzzMJ6esSne7ygpDTd0d83dt7IW2dugThQS+NSoBO7GjlDqxFWjek3cz8fc0PtD/oY
7TXOtj4lDVGejGRZYF9X+99M5ymJYNehejmmv+ZQybjZYu1rIsTn23fI1kjcbDC0oS4s2ePb+bRT
m2K+kBGZnQBH8yQqfuIQqD1GLdiK20NtXSQUjl8MHchp5FXwkHLUI0pkU/xstLS70JCqZzPL1IeI
F/iDOg7GD8usd3Krzenx1KJYw+HgCnw7PYwRtCSO+JCWFnbWUSIJyw6R0ZdH1BTjnZfC9mA8EtC5
JmlVV4dRr50qM8Le8KNcW26GglRcUuKL0ZW6d/tbXg/FGxbwO3F4UUfXVttwiiKkRHsuZUdN5/uq
nmQEmo35UzmLvcLu9Y5fnssabG2qu6Qaq6EMvUi4VFXDN4ZCPgQIsx2ytLFPtyf0wnV9e6RhXYBW
hKEACu2qkuf0IhBqF8MTQ3vCOY+0MNQPRlcM4j4bszx1C9np7pd99SeXJPWCDHGPHjT10ucGF+hn
RwdkeKizuFL6RaSSHro2jZaEollcZV7QtErtxUFrfxktM8xdRaj53xkr1k99iZ3oKShMnXLlGAS/
zRTrdYwKRPgZY+sie7AhQNtIGFGIdJGmk5SD3Qfmb6gHhnaO6in5bRmjnbi2kIz/atFrv+t5zt/H
mW7/ap0OXVXesz06aL1ayq5TWc1ZOGVnPWONTb0rmeeq/9iMaZzfowM/fZhzY0hOQV/Of2wtqbNL
UETO5E0D+KCDPFXq82BOGoCkCsjvAZhXrpwo0DVQxlI47W4Igfp3mgSiPxZT3E4ed6n+iFeNiZpm
hqb+nRpI2U9Jwe7J7Swb3n9qat2eEPtGdKILTwiHMsADjoLH29MXtbI8tagl+WTBc8MKwr/6JVeC
aEjZLbKF2yaxmrjCdFL7bFDjjCmH231Esbp06p10aeMhz6Fc3pCQeyiHrd+SfdsPRQ5Ih3xJfLIr
vTnGtOsvqUZtvn7EBrE9dnWg43dMEws1KscT2Gp4aY2HmER32ZuoLz/f3vfK8g1W+34BsiHwykOC
VuzqAp6zoqpHlN19PZ26JHZNW8ofojwGsV7PTvjVmkGzXMY80mW36aMoPmSOPEt3+Ai36V1WZmN8
0iPcnXYCnbJcx+sftog/IwIPqo9a6dvFoxEG4hTxMn+Rtu59B43p+JhOQ+U8To7c/ZwlBwGRvkns
4hB0ndweKlpaKp68jZR9UbN2hBIdzarmYZGRlgc7adufNOqn92Wk9H9uf8aNSwrAP+BD8NWkHuun
kGFNVSOptUbbPJM/IR0lj4dJM6e9sppz/VEoxYMxBgTMaOYqhvWdZbS2gM0qD7nzPe1D2QPhUr7X
yFMzF13FODt06pBWx7FJrdCtYlzWdyAC13GU0AL+H3ojhURQg28XRrLVykzSiguZf/nEktpuJWdq
jzQw6vjHSprQhwcgufMO2PrERAH6O8Dk0SVbDRuVGfdWOxu+M/fqKTay+I5Xg7pzSDcCm4ooJzUs
KE50tFcfOED8QMI/V/fpB1SojhWN87tzyvADhEg5Pv3zruGVQR5JaRpK/fp+IqXvx7xONb8oM8Of
EO/8MLdxuFMB3/hwvBwtqr10YYE9rKZUIUoXJ9ag+eSU4V0gO70L6ajakSFY/i+r4wqGA9welBQT
4cpViyGfWyvQYA/5eRQEzl9nUM3Eg2Ggm+7UcAAfc7rXO2Nu7MRFRgPHNzKD6854PptIpxbV6CuV
1vwY5AWn0sCVsvoi8srYSh6mokp2Fk1bZrKaqU7mswg9bAliN2i9iGjUer9Phrp+zNQK1JxVC7oo
AJvqJz6PpPq2QJcrMaeQbrdp9QaqQ40oUbZjvSFbiqryoiyLFS8cmzp8P0KT/zxE88IvBbLxaKVV
jvJ8IkrlmVpqw7uf50DkKgkX7k9NFCL5XvK0+onIg1JcEi6MBkiXGiElmyYJbgyk1uHH1O4zbP+K
fSP5rW/PngKhSe0Hau6q22oJB6Js1bZ+HGvTp0BqUjcim6gAtrTqaaSSXXmjUg0fbx+ZjW22NOnA
7dOpQ3xmOb+vKkAir7QkxTvRV7BeeILCNR+MwsaJDWPRD1xW7U4YWm6V9WJToKQryeuWGuLyGV6N
R/2rI3sGUh6Nwvgw5ErzOy9scRiEMR6xzJp/A7mpULNq8p19tnFseVhyB6FGtZzeJRS8Gtko1aYM
arqhnd5Yrl6p7dkIjT2+8VaYZQRO0XI7IEmzSq8rxM6HqjTx0466pLhrjUBuLmasqL5ZDmbIhi2S
xYfUliT0gUsx3xsNe+JTpwR0D/tOC9o/dVgW2YmLrpefArVWQQAVmOaq8iT21Og3th23JVwR6LfY
oq2bbOkwaDGqe7TzMBeiUWyWT1OaBiQCrZZ0blQHqV+grOx4t/fd1rhc0SALAD+jKbO63spYi3p7
DiZfKqzyknYtKit1MR76PlHeEyYbjLzq6MvtQTc2+0thnLLflnpt348mq4PXuWbPpZfFcuJVdm8f
x674EhS9vVPP3dhxJo7ExArgjfSnV0e6zhNZ7+to8pum0xJuUQcbWL1M94AaaxkkGjkg4ynUkMo4
/LFm4MxGRWOwdAYfwRME74dQi37mlJcQYaOuHWBmUuu+IlVTD2gjiT7JktDVc69XxsNIq3L6efsz
b6wtBpJ0XWyiCIzG1Rkfg1zS7VRGMWQgwUN2OrI+lOzjc4tC030iRY16VFJR/HuVZckUORYLpZov
srrL5iSRI/oRcAv7ODgGQSDcNAmbS09acLw9xY280eICI25R1KHdstq+kzPxUI3KBlsjoRyM0FTc
qpadgxxH7WnUyuCsBHJ7ijhLJ2EX8/Pt4bdeYmwqWkncpRQo1tCOeAblHqll68/aMAceaoSZ7ebN
mD1FUonHAlKBRnyqLKLGUYtSnRJrrIRfZWGqeyT2jQwPw6wlg4U5CC5hda+OPLGTKYXDMybd5Jmg
dVAOlcau9hrI5Xvd9o0jzA0Ol4FzhZL8Okzy2AXE1TawvIYC7F4rugvPrM51ijzwmk7Od0rXW7PD
WQWTb4ZjfqszLJBbLDUnbv0W1npxqGrNrs5jPoXfe1s06r+pWi4HmY4sz7PF8wD5kdVotPbLpjPr
Fl5Z1x6wxHUOWEcWfhcr0skap/ZuBGz8oUopIN7eUcb1u5Vay5I2M82lQbtaRoAucVCkUIng+iUc
1Z5U3VOMLkPlEdYz/S9IJO/m1B4+ObFwIGHr9vQ1nW1p8EDzYauX4yyLpuqM14BXB6WsEeWCQfba
oW3wNJqrMXInZ6gVz54pBx2bIc3jQxMuFks2ztSyi8BYZGC5FSh/M0cDad4H4WS5eDtanxSMm1J3
brLxXdApxt8EbRJxMkZaBj4+Q8pzEQaZ7vZ13gH5aLpPzmDV8gnBJzM+BK0haSze1NrH3hqc/kBZ
IQHWqzSDZ8BP9E1VBMPfQphd4EPfa62DifFF7tV1GwYHxYwQqXWNrGvUQ1gJ09jZZtdpEUcZVCe1
MtRpr8Iwwk5Q/mRl8iPktPVPQezEzt95ajpxThITXInIalgnMfctwo4aGkY767/9A8iLKFvIyhXY
rwpFi9GIRDw29Tb+ODegbLCnaarHkGzuTMMofgfMo3k/wS39dnvvXZ/pRS2Pfgf5B5fay2X3KjOL
Ghptc6LNfkg95yBbSeTJ+mi5g4ED7jSQFt0e7/pMk3CQBPKpee4gF/k2E0wTS1So6sE40Jv8GGWJ
cTRq+b+274bD7ZGuI+HbkZZD92pmo6rmkVFCKmuLITm2o9Nhj9BXp5yYeFKFyNjAU3W+Peh12sGg
nGIb7fgNGYo2nmCmC6aHPyKJdaTZd/2Y7PkX0h/mx79N5RnHeSlYc2tdXfx5Ng0t9ZOlZR7nwxet
H+zoh1MVifYTc13wDbIu1OEM78xS3TaqswmP2yAuvDoNQuOIMaxTYfcLo8UfgbHFbmlO7exJOOIl
56LIZsPVlLas3FRgCXGYu7KM72MnpSIemknZuV0Gytbjoukqvyn1tH8it5jVA52q/k+pB3BkRVS1
KlyhYJZcI1WU3K2S0UIxTTTcrUqjtMZBSYM8OYfaPPXwaSate5KERRYKvFuMzwCCpM+IApaIJadh
F94bPaL0rhMM4d/AtBLL00urwS6mi2g76qZo3HnAXQ5LxzyKzxT9y3e0s6P0uFSX5pOaRuZ7nUYJ
mpBam/8uSBJPOo5dH2xg8E81P/5eHRxFeEgtyqYb1EPdeDPOULondXFcPUBtNqg6x1n0RWkVOzkI
NahHpteq74ZWmeNvKKOHkUtZvKXMHkyWQ3jM6vKHHXd2/atNC4qifZ864t4IkSZ5N8tS/KVFKynw
qqoZipMhdOeML4bW/na0PvqUdlmWnE2zGYeLHY5z8SQXHJnfOTWBmvlKZXhQhdmA6Wpn9dNYN/rA
/d7F6bEcy654iitIagd5NOzop9pQHr1r7JrQgnNTqh2UrFZD1zHy3rkUuhxEPod3rg/zqAr45GVr
n8ykVqa7vqJgeMgFZLz32IqYAwhp7AQ82wq74LtZxuZd26p66VEZp7avUe79Jhl101MPV5LxOZ1L
1fFseDDa+yCK9fII/yFLDtZURPaXIQRK+DBX4Am/mJpUFT/DJJEUV7Xq9qLVKlvRqWQ8j/VYDcIH
qQ3CwR3Hjuxqpl+t39dzpMeXMCtq3lMNmHIXJwVJ8UjCzcg1aAs0p2lUiHqpXdMAkGNDK78i32kN
XxtDalBurlT1Z1hporkv8O5iWzZCrw4j9y9WK5XUjYfRWtI5p9WK97gZcU2iYGbJJ2EVcnEqzK7/
MGbAfT0WIq+9llp81HC0FGQ02zrA5C9uZ9wsiyxDTaU01B99EqGPWM8xxRM9bacPiR7oqWuH8v9w
dp47chtp2z4iAszhL8nume4JkkbJ9h/CsmzmnHn071X6gA9qkmhidnexa6wNVVexwhPu4PxwljTQ
+EtzeinzdEb6DzJj76WgK34EQWNSG0rzpHoqbGf66bRWzBs1Vnx2ClWT9lRFliFdrA7SgpslcRSf
F2Q0hWmsha8MGUTWwo+U1MxrB7tTPC2ztR+NAQjiRNuH9j4SNo7s4enX5n6oNnLsF5MU50gt9niq
2IQshRuj2/etnMr+yTQijY64HWSfZKMzjZOdgFq/wvAZ5mvlKCgjW4sVXLiD0/EDmUT8kiC9VD5k
o9k1Xj4XHCwrmuksTtGch8+y0o3aY5bJ42f8rqJ/oMF3o6tnU6N6i4EwnT+OQ1i5yN0mhh+YTZ96
QVtlxoMjR8vL3Nj1E6vGotO+po9V03/CbtWWC+W0JE5T+yBRzP7bJHeN9RPiR2+e7LbXCTWmOWjI
KVTe3tkoUi9pwYNA6OLJ+olRp6n8M6ny8G2Ku+KjkqnKVwPCTPiAbWp8Gac2V3z862rtqe7rpnng
j9Aug03m5ZaNQb9mAPx5ELzu9GOEfA7Bo8ivEZxfvXZ2WhlxksX2JUCVtSaai2z0U1X9b72ezc8p
Ul5/VYaRvTSV1rzEcWif21A1R9fCRPCvcCim4DR2oW3RTNKVg5x0J8ZABBSpAej/mFOs+/ySGav2
1EuQ1oOg9tj21XlynOmpkJv5SR4K4/0vP/qSHDyq36ClVfF7fnv5u7Ar5K5iLRLywk+NNUWTyyuW
PQbs5Ui4tztf5jLov7377Qc4qpCQGtQSNz35pWwXCWQerg7IU/gkqcNzQNPufH+UbfYr/D0AobPl
AIisWwc9MOXOCRTrIuEDn7kkhcHkIVGvvRZ4rH5r6qh40o1qeK6hdL4tzVL/c/8H7ERwDoNQ8EA0
jqRltbqmKidq17C6i2p2PtbAo1uFkDUmaTySFRF/1CrKYSiBTaFnvkUcyJBT5alXmSvFMTeQrYiU
jEdBzloHSbz5yK5td2oULygeIkWwERFTk7YtCM+ti6JGf+uhiThj5phvWbDIj/cXcSdORFOTLgbm
v6IeK1KC37Yo/XE15ToBeBdGJEfZqLwawzi/3R9lGwL/UrVEsIR2C1SJ1aUQzKZaD8pkX4xWkp+S
JJTOOsqyLGJXPdIRKL1RZffcH3S7iBDHBVpeUCQESeN2auZi50icU9BT88hwi3qpT2TeBvD0QTn9
L0PRs2WH0MNbn4UuqepAHhvKXHMcnctw0txIN+aHPAmOPIO3H4ySEzgleqKc7Q3qVm+rOCKwsy91
BNReINFfiHrrg2t8u+EZhVYAQjUg9aiy3K7dkoGsSUbdunCTB/IJxGaYuVpoWE92KeX4LdSxkrvv
X0RhrUC1lGo0r8jtmHLSchqyxLngliRiKk6B4vEQS57Z1eNBrr22vKLKImS0RL1b7BAaXbej5ZZV
Iqhlm5extkPJc/rAeKVDaugeXQHnSx+ryX/Q8gwsNgFsV64gTjRe24wFXngFCEGXQr5VnYeklcoH
MxhGxR+qMEnPg93jM1zVRWP7oWNWzUdMbtSeUH4Oi8+hBI3iBeVcJFLg+JnNCRyH1j3OKNOMHsAA
+zIsDV6iVZJq/4Ah6dWDe3O7g6gwoHjFYUdufPMK1uWwzGhRWZeuLpLHqNHCpwX5XP/+19x5HpB2
FNQoxArwZlqtr4NbYOVIXGFlNZZv/dykf9aDU1aupnaK5ra9FV2LPEIiW23q8iG28/r7e38BsHRT
QRoVLAbF99X70LaYy2tjalz6KZ8Iu/QgjPBzzxKgzSNwdX+aNPvThCtP785IuQU+Td3pyCH6lyDD
7duBfj0niXY0tfAN5EJu46QJ0Pe7aKNVqD64E7P4PKZV0z/ZBSVSD1y1k3sZKdKXoYRv8oCUSE72
Ullx92ckO/Xod9JUFo9Q2/LgJGOYXj/VyWhpp1kazfas5HZ9RJDebhJ2Bo1n6pCiD7xevGyxpIqt
q1O0UJZTnCi5N4XKkU3QzhUtzhTyT9S9OPara2aUetNpYse4FHgwel1Kk8BFE5ikr87UIwUjseNW
H0JDrY9bk7Kx4BTcnvikCvUulGFFSOTEXu9M8x/DMlqJawNw/agTpNZej9z5c6x1hwIXO+uJprlF
Y0amWsKS3g6uyUOopSYg+9qibBfOZup1s3H0OOzQmAF2Ip4GcxbpB6Dtt8OgjtJaTd3bF4ea5QvM
PKY3V3n7qVUl1OnIS2aJwprcqTVZOkcT6ktKVpAWkjZC+ZdDxQVRtvwNnQtUG5XXkLNaJkrpIrXQ
5W5jL0VM77uRs5OdJs216sB1ezlgtpeaXjoo5LRv/jQHIo4QQp7dDwggq7V8gpbn/GMrHbpbhVVr
r05Olk/6p0qlh5JPpZ20pXBSd6pG5903HrIbdGOxtiJMhPV/uyr5kAf8n4l9sfs2O2E1pj1qwHDe
/36hL0sPhFuH6qm6CnJKRw7McCK7iGHoe1NnpdgSFc6HpJ6PXq+93QSdCXkx+ZfSx6p4OagZr6hK
EKCorexTAzf8iGD9cv8C3Tudv4+ymhAFvQR15JRlU+MF1E6Vn8MpGL4kGA8cDLUTIBKFIrAhMNhE
HqsvFIxxVqVhZF96WRlfQc0FucsL0gA/i7Nnp6ZZD2n+yDpmJ8qBvsRxFPh2oX58uy+CpVNlzKtM
WJtdcjYwuTzLoxZ5NBSmUxPVysf7C7r32WjrYHhBNgE+YDXLXG6mQR9H65Kylq9LO80e4DP7ILTZ
W0vRguNmJXRjH9/OyslADMUD0mxUIJ0/y64NHRfZM0+bFvVataN0iYGzHik672wW4YIseHYEpZsH
w6bEh1S4bl6yaZzOcSXh6TeHias60TuF1gndhLANjTiSXLhn62yC2x2cXiE76E5FBTlnaqj/SJo0
vdLlyV7gUuYH4LydTisgOcSAAe3zctD0vV3SKaxZRDTIL1R/wxeUtqyfACW179SnnC8T+Ee/EMae
KD04fqrm5qc6KYPpfH/3bCMqwD/YEKD5YQKaWL9fRDol2nBleC1NSut+jrHR04JmOYolqBV8iwjr
HI96Sxp5jlqEBOlYZB1pzu8cGaGDIww3ecSgMtyuBIYIkKpBYF86RcbszpFxqQUFKs3/FUvAlRqZ
UXlwe4v9unq3KdmoKIABKEAAbLWfdQMp0WhypIvtLPFlAr/xsRxDUCLx3DzGEfZrhRMt7kBG8XB/
xXfOKwx3gcqE+6JtPvsY5kblLBQvDauzPo5mMbhO4WQH5/XX5baeoEUIxIkVilTrRzuBRRouTi1d
AmOSlUdTQptqUHLZctMRjIELllv+V5as9GMCQ7pzqRrHH2Q9Wf5WlcVYvuRRmgSuSXAYkTUZy/Ra
Isid47vqIDJbKbWpeI40dKorh1KsnFG9twKvUTCI84o+dCh05pjdnwaYrM8txEqUS/pMGWE3ZVLH
J53t0RvmeEyfh4w+gzsAWjceqzBUvkBjcMZHBXQ1vY1w0N7asQ2+o9gTv3VNkal+Ghtle6KVEnUP
MyTYTwtKWGDEx1HhfSR3B6Y+1/rsjmnQKi7+UtNnM4XJ76WI8U3+NPfKB2eSTBvxsTx7G4ooN/2g
N4svA9EaHl52RaTRBZJJ+yMGVuo1U94Ax6w7q/Xzwalyr5P60nS7UAk74hMpfuOZGYD2I77Su1E/
1fRyyqn4ZJSYIfnKhJQbwj7ZpH7EtKwsgIxrhfC3tudrQTL6X2506n99CMC7mlnj0xj2+V/IU6aO
O1HObj2ZxvUPiMbalyaP8x+0NIM/+yZs/rGzWJ2vSZ8sXyFWKYVvM9UGEY7efoZHC4srsaTsjBUp
mWdAfUh3kQ6DSJ9BU9S/5pJlRgdv787NLaJvAFg0ngUH/PZIz73dakrfSxDN4+/zpOIVmDSKfdL1
Ij54APeGQlEauQzicKKkVURRl87IzyBQwSR4+oQQS/mxyLFfjUMrPL377ApIo0rxB3LA5q2lwZcE
qk1E0dExeUz7bn6dk0E7qDHtXIe2oEJguiMQR+uw3iyrvihHy77ogyL9wQessdNy5BiaimaTMpU4
Rvrvnxg4FJA/oKpkgpfV50raMKHBR5lgRoBDsobhJVMhrt4fZe9LEfuxbpQHRVXrdhQ7GpU6Bi9+
GVtl8dMhn3y9H/8BTpYebL+dS1bglyBK/iLkauLZ+60CqZtSZpoR87ESaFWaFGe+WQVH/fD9+fz/
UfTVfCRYoEVWAESj2Jl5KToYDzSOYq+DAPt4f+n2JsR7RdlfyN6gcXA7ob6o7XSIHOpYSm+cWspd
P1vJSn68exTeX94lQzDTNlWcvrTsTGoi5xK2Q37S+nI+K2VZvP8UQSCUeZTA1BFSrpYtQfshD9LQ
wR8gthUytDFwHvOkGbuDRdv5PmRMlLqEeKnQorhdtE5egjxvhRN11fdf0jEBKKBq6KjRRa9D9/7a
7Q2Gky4av3i+gD1dfSE1GCi/dCQ2kDECH4o9KFxMMN1AV5KDC2IneHGAAmsOrRgiyHWsGpoFkYtK
Lyaj/CF5rVLQHw9SO9HcuZSqDkDAYP8oomrmETWXT/cnunM9oZXMpyPFEd4Zq4lGGlpW+ULdfR6n
3JVmya4AWVc6FNtq/oKqSXjwGfemy2mGg0tLiH+vBsSnUVMSwBkX1CDSf8D9JgRs+CL7tPuyVykD
gwkjQ35thwalvPuT3fuq0CRokCI5RcV/PTY6ZXEvsivgvcu1MweDUMdorBfgH7p6cD/uHHLoXfjA
i4oe6lqrwVoukGCxSgtUHh7ijebkr3auZgejbKeEJAVdExoYolK7Xs5B6xdrbtsAhydExEE2tG7f
RuWHyTp0AtnhrAE8RIkMO3gLT/b1WABMFbrUUXApago9Pln6HPmibISr1KLZX0kpmtHDmN0c/bbL
28kr8wDavl7pRai6uk58eLKm1jyC2W73lPhhlKrhYsBZWyuAyGgNmW0Ri/hkCcMzdc/0B1Kj+rls
A6VCcK/tdE+dwyZ2s7I20tP9bbU7vABS0Zngsl2fockusd6QleAS972RexHtvgGhI9CfrhS25dMw
ytp3cJFZfOpGNM4OLhCxkW6TAzoVoDeQYESaYyMRXjbRWOC6ESARDutHlxzHL+RqOBWBo73lYXrU
qtvJdXlQyKsxmRYk9XW61TR1TWe1DC6yVsXeoHfQSZE6MB/mXiu8Xunkk6Ek+IFU9vgxidru3Otj
9XZ/0fc2PgkXCBIKprjiieP3W1CA58LQtk4jXaJp1LzZmWDOZl1xUgvLODhj25MsHlBKptwZgse+
enmstDXDciylizphVqEn5NOWmmv/wy6iR41imrBw3/TkraXrq6Kwxaom81lWsvoB4FdymlI0pHpM
VPwsHTU/tpBzvL+UexuI/i6lNbDExKqrpYx6iHnBogcXFIBNrzY1/SXs68KzZan4INGBOHpdd3Sz
8XWltcaNAQZx0+1N9VbHHq9zLgvwEJG35an6F1phYf1mDIuZn4u8L75bXad9bYdCzzzLTC3LKwI7
Lt0Inen/Bqh7n7SypbpzfzH2bjnwkICqhagFSG5x2n/bWEZqL5ncVEAyMiPNz8OYpp9lM1GRbUWn
7/s4y0p1hjte/CVLTqi7iOQXn7TYUht/7K1k8WqpUtKDLbit7ABBJRzh1BmizrT6UW0qpFAay7ok
sfw29/lziSD5Q+y0xnUOlexEePCzt9XFD7M6++P+imyrhawD/yKHQS1iI+duFmqkmTnVwlAxX/oi
9dOo8QAiZa9ZGQF7Q3fz8f6IO2cbdBCmsjybNt0Q7fYThOGQSlpdOxcniACAO/JwijJF/lkp8/vR
DVR2CSp5ztA35gW5HaqvZvhe9G8vsZWrniY1vQ/lqzv4fLsTgmki+p2Ibq0DjzTWCFIpwVyA6YUn
YP05GQZUw8/LqJFsvH/1DGju/DF0CgnLb6eEAJWqBxMpdGgCKgR7Wvjo4RiuqQZHOaDYdqunBzA2
FxbvHg3MdblaLmGt21LvXHLD6OPHboBC5gYTJhku9lNT6clmDBJdHezws9yk0tFh3bm5GJ8wi5yA
/1kDfKh92IRY3COyLS2+DTHgtGhd7ZfWkHmQ1o6UvsXSrefLV0SqkIYtdJZVTAf/VFVmkcz3rTG+
kAzp6OvHRz3PvVlRbIGkRUDOA7d6b+ZBog9AYnIJ8XWNr0aolJ/zWOMalisr6E8oDb0f684tbNPM
RZJgB1kxpp3dqiFZnDVq/6py2zxX+RK8UInLjqide2cBpVmZ0Zjb5izMUt47I3v0MlXyiNAryscN
NUlPRub4oDq7MxTdQfS7ARkIhdDV55IXEDDabGqXyAJFf1pGOh+UzAzpvypq0/x0/9ztvRyUZqFZ
iYsLaY3VcGmtLOOCbNEFZGf935hrKIGBO5ZTN8nIkR/mpSynN60ZF3T3wwZ1mMGBPe2nqdpQhW1h
s54muZKzg/d9Z9fiA0sey0HhmKzvONRP6jQPofBnutR8X+Tw+2QU0tv92e8M4oi0jvQNZapNp0yO
Ak2pArT+lEoNPYVK4UWaQfffH2V7NERBC6iGMJvlP+t3MKiVXhfAxd4uq0+S2Tsz7l2xCQRnSf6O
51A/uEy3NxwDCjVVCikG2hers5gic2m1CmJ78PiCT52p5+cpdqrPJbgRd5mj4Q+4RoXnJEZ7UPTf
nap48KnhAc1eX+OtEnRaIg8WIPdpfgA1VtFM0kxPhXBLJ1J7vyoCOu7YrSLzxEtIm/r22ZhTx6TD
XwPLDYbpoZwC5bEZRuvdTzuQKlGMUpEmJgZcv7cqKpvUiKwL5GV4XrIWPhfN8sNRh/L964dkKYUi
sevpuK+eQd3qh1QdQWSin62+qr0DLLprUaBtJOW8yLFxUKXchkl0GiHSIJpHxxjt3dv1a6whiUyY
V0AIkEFPzLg5TShNeIMUTFcp0WcP1Z7h4DxsbzjSMPJ+k9eIZ3jd8QOY4ahLW9FTbRzTj0uMQthQ
1UlowX+9f/S2BxzUIvAF0WFzyFNWVVjAPj3jT8HjZMbRp6Edm4tdKeORwdbOjBiGJxa5NRZxzQqe
tQ6BS7h9j6WtS5UnKUrpQ0mcel9W06MWwO5g1L2A0IoTvlZLRiwZV+k8Dx5n2cwe2r7Cmcmsg8dI
qY+Q3r/6njexA5qVtPWJSSiWGxv6moLtmZ2bTXSVZhtcZoQ8h3WS+xQhpGbWu3/mvBonv0SD3XTl
JkOLqDe64u9icZLiFFpGgZb/NNXfC6PM/x0Lik7nfunnkkpDVv6IGBeuWD3WgacbvZV5yVKDd540
W7I+aCHfTHXDEOdaN1sS3ULoKO4zryxK5HVzFWk0f+nTMPB5TOfvWh3U/45zmoBqBNjVIx8FoIOb
fUbUWDBaPQ01Lv7mUozFqeitbvCqMag/GNJCiStfQnzi20XLv/MPoJC1NMXw35KEzSO4IkPxo8JR
ejB2fQbhQ17St2mxocG8c8OKBRd2OnRmqTSucyYYiHkR4IV0DaY29Gn1FJdCBeBwf5TNFgJkywnk
DJJxgSRcXTNyJCFR0E3SpQUT9lWXK83PFqV/jQLe9PtDbU7gr6F+qUUw0gaubEfIQBgG6AyraeOT
NjTq01LkRyCC3VF4B6gnUdbfoBGXrO9N9D0opo2Z84CEpHQq4K8dzGXzuiHXgnyJEPmEaLGpeleL
0ySDbQQXmovqKbC6zFMkNf4jcPrkqjdTfORysPOdqHIjmiuAbzzoq4eHVlhrLrgVX4dU6NW2svUQ
gMVzo2g4yoo2LwEXCYkysSBcEm1TTxn0aswms8mv9KHDxDfUvvUHpcOb3o6hQfmGnsL46xbr8/39
sYlVGNeB846cs0YtcN1JkI1Sq6oM1taCmvsJIhpynJqcfdAGOgqFkrTnoe7lD0WWjwdg8M3i0mSk
9kgKyJW9rXVPeS7R5jKya9FxhxlhRF14WDJQA1F38OJtq4+MxcGmAURlHZTJ6kO2JiXoElkIuGlw
3lwrppxcqcp0TgrTDF2q5PW5N0vrqqIXiIDmVPfmU+1o/fd3rzbGQAIvShbjbHLBSjLiMFOl9OoE
ffMSSWnrmSmcdjMN/k3VuP0im9EMghjm4/2BNweUBUCWkfII5YRt5RNdGG2uTDtle2GniTOy/tJV
uFzdH2Xvk0KDonEIaRcZI7HJfyuDFRSSEhlnwquaTu0XRe7HsxrOwbNuTEeCHLsT+m2oVVBvSNVg
TYGWXrupMn1HgceO4n9wcOPsnA4hFCcY3WSEiNjcTgjdk6hquyK7puOY/004jcyj2dgPFTjiiy5Y
uMChDLiQtdkXX+8v5ua245P9Prb4+78tpqrNQwP7Kb3qaV6ctMJBN4BGCrG8rLgxa3uwRbZSL2JA
okKuO5TC2S+3A5Y1di2wDtKrPfeYT6lqmF0S+pnfcQtLSwqVmK+4bRc1vjwHYPA6MuNnIyyXF4gX
+REgYW8vsQ8hmgGhRM5n9WsSfeHrw2q4NnNfqa412fELt3RTubo29l/ev9aYUQleFN7gvDK3U89w
dNGcaUkhaVd/FVocnqMkGEHuN7GfKVN5vj/c7tzw2vglFkQyuNq8TmTVySLN6VUhLbxGut562C5J
fhSaxoHu2t4ORrYHxKYC1mxT7VKjOhgjbUivWqNVjhtSHf00SuXyKEc9wPvRCjGHamIzmHz0E9L3
72ERIiPRx7WwBS1Qa5wno4rTqxwv5pnq5b9IkoYnKJL9p8RKjooWO+sKK0PIjYl8cdMOUUbNnjO9
ya5DM3QfHaPX/6vDsf6zGqiEHxyX3bGQGeNCpfq1aaLaxpJGvVll145c+7kITOOiAPm79Mb8btNn
yIHCsg9PWuRIN13hIkBRhPIGlzduPK+LNC5nM8xBTEu1+nB/Z+5cq6KoLRQOufG2pYtiNGUo/Ok1
m4zk42TE9mM4gxO7P8rO2lF+ZeWowSKZtq6xKcD6TWQykmvb19Gfc9vVXpdhBjr0rXYwIXXnAID8
4LnFmQWA6/poS3ENXY586DpS9pXQNqis5lSOXCXnKc8GMFUIAWNB1iOP7tIINH8E5ElYzDSa/Fe3
9GPqI2o6pyeK2egHw/mJvagbTbyRpKF13CYL+evOwGDNzUeY4xhW2smJEHWmMqeCDvOcyIEeoc0R
Gz4sc+3fOmrG5AxKpEUGrbOD8uDZ2ltfUntsD4CoKaAXbq+zoYngoeRFckX4uUYmIZtPTrHYH6J2
/Hj/S+6tLiwsOD0onkAdXd1kkg28EusRCs4tTmMW2cGDPZnpQ5cbpQd/P/c0/FdcudWD0/2RxRxu
UmNorAKpRo4KNHtTpyV9bIJcLQn8hwRlANqj6G+k40MCP9rNC3k4mOnOyQByAyVR50XadtPCKJgj
qZSia2/SjinLYPljsSbnIBzf+3LE4/R0KQptkVE5JecF8dz4GiyDdEkGdXyTxqZ/0Kji/w9DmWyO
X+BzGoXrT6cbkhGGcnwdwdX6dRw25wSJINDBw1HJRMR9628l8gwCfny9NuxSae7pgKpBfM30RBof
zE7D2FiiB+k5ZRCfkcnMPw1Gg9LH/T2yt5pCRg0qOQHcpglfj4q1hInNuFGS+yiuTX/mwfTaB1b9
9j+MxKsjGo8o0m5iJ0BzcWMY8dWSAO7CNNU9uLu6NyvlUZC9t/HFFhSGFwD314e7G3sbKOAcX6N5
RjoeaZe/M7RwPcMJ52erRvnk/tRUbefrUX0lMIIkwHZZ3SZFh+RLkTnp1UJJ8w9tLtTvtZWmn+TK
yL8bVR7BVaiRo44RVh1w7AnU/0opWT7bS1TInoxDx+wR72SVbw11cZmcsqcA30bZdQy7HKBHYg1/
D1S6Kr9z6sl008lAhr1RSwMzsELvDnbFpi/OzQEzEHo6B1rXf7HdfguseStoOQZTci16e7hyDPKf
FXnvj9JKGiwaFt3Gd6jB4w/WrP1VG9E8P3iU9u4SdHtRCqU7IB732/u5NewJPp2VXJfFKL9rZqh4
ZRoeWfDunTrgNiAtf3mSrYvZapB2A8iE5Co1c+GqSQwHNM6/Ik1RPzrYUnqwadXH+5tl78SBjgaS
CPuJ6GgVSC+0JFrkWdLrYEk/EqdWXqo0iR7VrOsPNKb3jgGVemq+NHNFQ/l2DZeQAgUBV3qVkBj6
y5aQ9aAtjvNkUizl8wgb8GBq4j5cX2KglilXELCLGtTtgJEzQIgRUtZW1FQfOBKz58RS5yOXqNNk
HbtvWivNpyxj795f1O2HFL68lM8FWI8MZTVyq7UgiUpu6s4ZgW0o1eiWmj2d7DpovKnvhcuxER3U
KLfTZVDyeFEKRftz3QBcaiIYJBXYPUFXPKqS/gO1NN3LllD1pCgzPrRBafiqM5QHdaEt0OcX2FLA
xIlAhWrg7ULbs6E1MQJPQp4p/UMa9MxwkVteFjgjWnyikRI+hEmTxlBOHGnk3jGcb0Hblq91MY8q
/BK5VL0WUsnR1bvt1oqfhkAkCwOYbdNfC2taYCSF5DPIoX6z6qkIXaPN4oAOylD8q5hFabipJiUf
2rkrftBAJSDSO1X7M9UhyLtQoEBx3N8dYjlu9yW/yQZgRXWHaGh9EBTkiaSsJ5iW8x4tqSHRz2YT
vltGgZkTZQntnT3EsVUkvQSPPKFylRvXQUoRVq6wNVPdXncwqb4/p73NRwonmkcCorjGbSPAFNu9
xBWdRrH0lGdClEzOphPJpPyQy9p8hiajP+l2VB6EldsLjHmSTFH3xbZ8q7GMqW3f4gF6HUddfkQI
PfCbmmdMUoryf5gkdUASY3AhlJhXN1ittRCvchHrhVF+iZrSiEGrOZLug8EvJneeA/tbjebTU7Jo
EJDuL/H2/qTxSLgiSDMie1yNHoK9RKQsi6+1NrceDnXpJyu0Incpx+QB+Zbo4M37Jb+93qc6qgni
SO/IFqFKNMeoRETXdtCSl1jtxtIbyqro3LGAzuR3PE4NH7cpWm8p7apys8AK/7ZSp7VPlt1P5SVJ
27l5k8Oi154BDyPaGY3x+IpjSGd/H+JR6k7UzJL8ZbHUkluxD3IsJZrckB4bM52Chw79PIyuglkR
hh306M9T7bTaKR/Q1LpqegAfi1JFr7lLN9QvozkkEOMW1LdcXr3gKU+HMvJKezG/m/wswDUR2u+o
dpX6C77bEXpi+gIJNoy78i2z4sT0x0nSypNT1nl8apZscVwra6iZhbyLgzshLWg8oN6EtuAACl1i
0nFZelXVNpAP+xmnXyz7hh+GRMnOH43Jmh+kZsg45DE2JF6BKlPpqUYHN433pxj9BeRy6sbTkJoo
oxqDCgshMO2z2scg77JKzifOb6RXNJjzqT/33dLUj8Rx2te8qGSs0VM5qPx6GuSPcjPi2NkH5hD5
Szcq2kHYvLMJSQvAx4oyAFJW4uX7LRSbKqH8WvGmplXtuLnc5d5cj/prwu/+iRDK8OX+pt95SVF1
Ak7DrQIiZM0KypVy6aQ6TrBE6VXJ051nBP+jDO2lUPs54H78lg92dfCS7l0pmI9BghOtaYD3t5Ps
O9vhea6j65yE+D8iG4tFTNk/1OP7MYPc0gYwVIT+4TNvcwNoKXVsZtE1xL/4zC3deGFqBE9tKR+s
5M6XwxyBJAS0iXgZVo+0scwWXn9DfJWdytDcvjGTNzIt86Gb7O6HUcvSwX2198xRD6cJh8fUtoWD
/RGWPHUdX+ccm3NXCsI6O2FNhDv2/T2yNzOh5AFmDywIE7z9XLLZm/RK9PiK31LjjYFe+71Sdy5l
RzDcw3yER9zbHvTfgLZQ5Ca2WG2PKdDVaLLB7GnyUj3gGAwUMR3at745zMN3h0LCg9TREs3glcAD
FhXxIBdRcjXlfnjCAC++KpXWnubZfLfrGDuRLIAkB9AhjRPxU3472cWsYFmdTKxiUegnqU11FyHg
5hTp6VGwsDcrUemCxYCtMV2a26E605xwVU7FzphM25PGKXlE6zIISDJz7WB37NwgMBg0MjcorUIu
4HawWFfmLAfafU015FG1xbF7N0c8E+lLu3ro5j57pY5xRAjdpqz0DP8fNBddXAjTt6NWWZlTTiAe
yic9/kFbqj6lulIDLzemJT/RvUBmE24SspaiFv81BF97GPyKdVw94EAvYaNi7CMubO32R1hyw7vD
+3kF8W1Rkipq6VVyRgzSsEjJnq0OabS3EKxf484DgFGa83n1NZflnPgiLscjb4Kdg6oCjCE1EQVe
mti3v2dSMDIy4zK+2hMGzFQ/FrdJStU1oiY9mV2wnO9fDDsNMmG6hYcvm4zai7xaACSTgD5YhEyR
miA7DH8Ez+4Ftze0SP3UqNNH0yqrsx4u4QmjtoRicx9cF3s5ci/euQuB1lP8RI2REG79Q5TBkOPc
5tlMsqx/tAIj/uTkevC/zFdIB+CvxMULnPB2gRvana3hZOk1sbvhLNu5c9brSPcqezGeUFUtLha8
Sq8jD/Iao6b20yqq0CxuHu6v/M4Jh/Lxy+0POgGp8O0PyQK9LK3RSK7TPIW+BabUhZG1eIjVHFW7
dj+yCQIOORVoNZvbJG/jANluLb7iWK8Nrly2tuGPstr8JEasPgylnXwt8YJ4NKL5eQzUgVSvUAHp
t+3l/qx3rhouNItpc1fb/PftrKHME5wsFbNG3/CRECwbnuhu9R/NPu4fSMabb1QdpqObe2dYiIGG
qJGBB6EOfTts2KElXlJRvSjFZAZuiVUtKi9YIJ4buBCFhxZUgb9cZSNI8O4Jg7qmWyhqY1teRWXh
Tjt0qXPRjc46qzCbLs5oTQ+SHpdPSRto5wqJ4INBd84Ski8QwgQnYFsN1Ja4s6KCQWOlDM9gZLKT
OVDjuD+1nR1sI/IJ1pnwbFuJDtLGpk8IsTNRLETY6iT0G107t6McHESbO/NBmoAytOBI6ZtKNB4J
kZmD0LtUoC7cSWvUj12YHCHYdhA1kI+ZDTkJlb5Nht5CdOo6NUR5bO6m0Ru7WnpLMLYiYhrDWHKX
vjL1F7lKmvgMyLuuED9uy/C5prCTnN69uHw6biigyIIisCo6SrMZWFiiANojWTyXeWl+HVMkOSNr
GQ+qjjvzhjtLrMHtS4FzYylO1JsVBf5hF7OwlufCCZaZd05RfrRqvtReojh1d6qqJfgco9eZekXS
Dh+crtF+3p/z/g8hWhRSCjt9TXSmI5RKKqHbUwY+ihCx1zRAF1wKZQFyQa1yxsRs9lSUQfwcEoqr
IiH/7/1fsd3WrAbiq1R7CZc3pfS5Lo2qGioJga0KHhm/x524VrzagNN6f6jdCbPRuCF4gbf8P5CZ
ejRgBXxJqd9wI4U1bPe41AIU2EFPPEZGh+9WGSE4j63HgAoeDrvNtW5stfIPfss2FBJCn4Qy3M/0
/tchJ8M5aWcYIb2zFtQqwlvm5ySSstc8rIZ/EuCdj7Se9Lc5a+YLogr5ckoliPFonEfhcLAy2+Dw
9seotxd2pcgkz8scXtVCLt4igMSpOyrz/3F2Xj1SI2sY/kWWnMOt3XmGGZgBFrixhuScQ9n+9ecx
V7TbaoujvVktaKurXOELb7Aeq7gUHuLg9h6tndR17OB92eTjxoWz+mGohs4SiBq02mVcWDWl1vVj
GF5iUrQd9cOk9fJaaN8HfyT0S5PSeRr7wj8E8JFf8Lt3LqyF9M+iErOCFzBNeRay1W+is1hnMwZm
F1wSw2pPmWEi8TqluN1s3Da3YefM7EWMHNwirZXlty9aywklAUS40Qdcm60YXKZRdAdE2/FxoF75
4f5mWztjkJZ5kWl48yovYv8QQbZJdwZut6yUds1Q4to+9YiLJugq/ftQM3cE8MxsXbqMOHK7D3Jb
cKfEhhS5AU29XWBPxbcmlxFD+j/GApMJUlDjAtG1611rxUae5XkSXFrY3jhMAIo0GpSZ5NHYaret
rSAa2yRQZKQ0UeYn8+9cNAFAMISmdO5TOfwQYnLwKTNF/4RPgfPl/qxuX186pEiZ/cHroHG6CJkb
XwLeDq/9Uum92Oulj7dSkmYbkbm9NgzlMqpKWO7Oeo3XM9KywCh8MaLgEHVDdLAiXW7fjeGoBO9b
Q+n+i+okVbzMmug+92XVvkUBjYFjH2BH4oWFUxgeD8SIBoPjxB+zcWjiQ9BTK3ardpR/DjVPJy7h
OCB5hYWjtWcCttaPNZHFtEMRjsplg170bzwpAOTxFqF5E2rREHtFneKB0jYSEl+TZUShh9ye/Tuv
e5/UwDCG95jHDb5LhSgdniu/YDvL9pC3nkBejpwxri3rFNhypXt9GJo5TyounJ1OBrzHFsGsdyDn
B2dPzp/0rj3MEqGyOtmfYlw4ssexcdozjf+22o96bGS7JlH0U2rleGtWVhnGpykxtW9mqsMx9dEp
8/fJ0GfT0UqF1OyVtujK51IuU/uRcH88BcGQJ66kA7zSpAJM9Ii87Ofahpx3DrW6/kl664R7SS6T
d2rVVgINsqweEa6P227fyhKGD74fdagDZ0FVuI3cBK8kTBnyX0Gk1i5WNSJy81xBDVpuaupmkaQX
b9T+8W++vzlXzgFooLlpKkMRA/F9vWv8iHawGqJJEOsifeBdn1XSAiAfE9XmcON837ZwyIWBy1g8
1bhVO/OP+evQ+XVdaEFeRxcHXfE9/YTBxUJ9gucht3sTRHuepdFOscKtgW/zF5AzVCDmWhqUseXF
gg9gp9WWjbuLnCSf476W/hOKiG2PJKs9D1nCW9yWeITcX9yVVxh2hUGRBiEyWV86P9la6HdVolPl
DYvm2WZRTnjcPAvYxjgL6T9oa0pHlDopxBddtXFxr/RMKedRXp6hDVzey3vHMSZFz9ouupQGPBk3
L/ryOIaUgdwOVa9TU+tw5bTGx3O7UqfsGzij7n2nOSSTZo9k3qDU2NOHnTjdX5WVLUelYm40Qauh
4LjYBVYGkS6qZVBThRnueTrJH+MO/T2aYhu7e+27Q57m0iUL4FlZDBVNha5OMVwpBPrNSxxPnZc6
2S/YgoUbQ0Pb0zPe6syvTY8rGDkAYAjUHhcpehiPWSpsn7fZKdUDF4hy9mtNeowlpdu489eGQjqF
JHKW7SE/vj5PSQv8jACLba3QbjXo/ez6WukPQ5KPx/sfbSXCIR+mk8x45OHLlfSFYwNO0XnE4hGL
niJ1gkfRFX1L2z1uj1GeRfLG6VkZknbk3I9EFYyewuLdDBCVzDvTDi5hUob7mJb/R/pPwcEJq5rS
2iBtHJiVzTI3eWleGBABb0pbRawJKhhScIkclSe6G14xey6+gcs2vYlr0jUEnlUbk1wdFMIlCcyM
O1oGyilwcMucJUfNqOq8ulfNZ2nMSZ4xgPfGwG69oSzrDe7LSqhAmkKtGmEAlNeXuhhm7RDWmcR0
g1HE2JtRkrQ8nwNhbcxu7RPO0QgxKjkpMLjrDaqgWmS25swBa6bMpaERelpc2DtpqMdjEaXS/v4u
XZ2YA6VnRhLPBMnr8fzEz2JrJtHVCf5jlp1jgJcYWxtl5dgR5gNUp5tGVWx57KSonzAis6Vz2uTq
UYxd7hVTbnsNXkf/fuzoEMLPMdmUpPSLEz4Oo9OlDkPpalC8ExKEj0xzvuDLZu8LB6jx/fVb+15/
DbcUmYzBMJv0h8ndQwft9dBQjqOWtzsjTNU96LStcv3aSgJG43E0KP6jeXX9vVqMx0bLH5zzqE/C
VZWuuITBoHtdL7UbWN21oQAlGyhGg+MgO74eaiyhcSi17pybMZnnUpQnvRxYxS7s9/dX8U8j67or
Mh/lGYBGf/cWX97UnC1cHyH752p+MgfRdIAKYgGle9TeDbJPXCeS2kn2qWPEP2u9q4UrKD0DVOpG
TqSujfZ0anNtNjIjeTZf5ciZ2o9WM+jtXo8DsJ0q7Z9qlxWTbLxHnkI92nli/BfreD96BtichzDN
zVecEY3/2tgmdjcx9tSeKMpZ/oFnvvhZplrWe35vt+98cqHgO9od6CDA+yixORsAlnnolITRzgLD
LrtC8m3HLXUg8q4DrsL+3kw9Gl0hmOFvUVe3o5saQtbPdp3LwvMjuf+SYNPUHZFhNz5Tj+ORIkNJ
450WhmRCkhJgQW41GO1JoxX/ziid0zm6/zFWYk7KEPwz56+zvOT1d59MEwp9ieRxqCbmQ4r2725U
Bnk/N4hIPkiaJUAiv1B+KzbO7sqOo+gKcwhNIMQIltdEoxBAyZXCZeQbxUHwN3Zp2FDvGY3h5f4k
1+otM4yAEHcWKifTvJ5lW0otODNNOkuTZZ5GclsoYlIyEl+zA6V0lFweL+HVoak/67n21qEL9s9F
CdRvwafTntChpSybBJkWZZ2RA0nM2tLBSSdrPb+2po9am0wbT/XtPQ9qfA4NaIaQ6i6XNsv0HEc/
WtWCxtCJ6FY6pUnV/b6/qmujoAKIG/PcGb+pshgTGJ4SV87LUNrKYzEKHOuRd93CfCm3ty4OYnCy
AZ/giwi5f/HxBkxMO3BWoPXs7oMCxOUt6YfJ9Ix8SHsPiDUldKSB22ey2fZTGgYTOh7QYqNJMd8g
r0Y/YlE7gJXl8OPYDPJpFjL8dH8x/qA3ri81yqy0nFARIbi9qW9Srkmhvovw0k9Bcymo1Yyu3IXZ
716ygxNpBcICKtTAxxFFePLeDLnwKRH7MpasndHjGdlbnfnch+Z0vv/Tbg/a3K0xdehJc4/DWDyS
YTdFAzKnwYVeQ39M9aw+GVgwe7mp/LNMJoBKWANAflXyZaT6rz+VLdm0wdI2vKDzLe/ktEuOcV75
+1RLtvTv9ZXtBxwd4jzPCFjOZYM/JywAEUc8GkD6fuspoSK0TpkxOfpaJ95wn2xLD8ch8M2V4XfP
wF/63gXt076ZlDXaRzxoxuOgN70OJIxqz26YHPU73pGZ8RzakGXQIByn4YDxa0tpTyqqxK16rfkY
pFn0H4apInQ12rynUR3idBcHvjKXXorhm2MAxt3JRte9L2cs9k6DE0/9R1KqzMuyAWMAJTBKA/KU
rL219GAo/6Z4uGKxbTu/B1HgqttWZmDSkBjjylP7wfapRhfRaxXC6d94BFZ2yAypJMOmGk1LaP7z
vwoPEh2vBDXT8JLZUe+pw4S+I7DtD4NWbEF35s22OCZzEx49QjoOeGIsNmPnpIbmO6R/Ux5/Uzot
PE6S0Xp2ptU7FXn99w5siF0Gs8+N8nbc3T8Kt+kEfEAKDrT7sP2ggXk9UQXEgd2lFIZrLZF3We20
O2jIlRc4jv9OhRcCrLGKN27jtSnj4I5qDWk9t//iUATCyhJJT0kn5Nje1/Rfzq2JnquHjrf/kvv+
CCjFz/xjWBbUFaquBiJ8f9633lfoQBB0gfqYsav0qa8nXiijWoUyedQU+tUnRPi0djfrjj4qLRmy
iw5k3++itEsFrtATuBNqle0lN6rgJVbj4UXNB/l1MLQ2dP10oEZSFCqTQeMk/66g8r+lEn5zuOff
C62SCghl6BsLOmUy46EF23m24OR9kOsu+oYPtbzB9P0T3VztRoaZmwQGh3CGJqnXy0KAJaWV6eBB
a0sRfgVhIBzkizTU2MYaW+ETD409gX6NpIB00++lU4C/QXtSldZ+yyJHCz9oeSD1O5iNxheD8meN
J1PjaKckT6hp8olbay9kdGYe+oST7xmhUYcfFH9IDA9ZERMQUqG2xlGKIqnxMGhM3vJB70fQ+AbW
TmOb5ojBJAmQW8PqquoQaoZfwNwHde9iyTL9hptaYRPs++pWC37tK6DKRcsUXqR8g+uTjFgxgoqa
OVI24ZmW9HjR/Arv7fu78+b64SvMPnjUoAwekD/R21/XT9+owsi73D9XtLh+dIYWviuVdNBdMyIN
/z8G496ZVYhkopYlGk3p/VxCydg/p3Gf4NA8gX5S0+wR06GtROcmtmZe9PdgZRBfz1SD6901+Vbn
az5CzmNE0ibMothnSWrvR3nqHxs6PEcpTypgw+ZWk/nmymFkuC/w5TnDt9iJPsyGTLKFc64c3Jzc
ckyMU0RHG1ROWHmSTU6nmrQ7tMyY9ggYFOf7X3Rt42AsAaIWWC1XzuK6EcoEZrdrnLOR++FFENN4
SYLe7P1R1tYXswcAdrMKDJHX9fo2RkTdyZcAv1i1Fbh+MRDekIt/jTHLPEmSeAOL3XjQyf4ZP8n6
EvDOyj08ZchoXY8sFfjcxDb9DENM2rGE93wcMITBiK3M/zVNmlmtKKlTp4bfA/L7eqhG72WRz/vV
h0TzmKty/pBXnXWoS+KW++u58tXYqryONJWomS4ByuOsZqpFPFS2qJrPlQYjBm5Hv4EHWflqlDIo
XdI0pea/XDuzwH5z0K3govV28jtQe3HMe8zI92UtnG+Tkmnca0YeHrOk3MLnrc1w9jRFMx3xHqiM
14tpJZJttwiGX8qiM46y1mliJ+uY0+7ur+RNysJHm+UA0DKkYEqX4Xocp52SHIVlohyMkPf0205T
1u+dqB1OpPBb2IqVFZ1jC7i0c/Hm5p4ZtTECEB0AstTKCjad5RzKbjT3GW5+n7RKrc6qndVfWrw2
NzbnTTw1+3lCYef4cc3dVI2GpHDsUKZjlYJCoyMyEzPSNPmIubj2kE7176xW/a3q7MriUp41SDLo
gt8qAo2ZiSOTlaYXXBxLf48Mr2S7uV0EjWsJSC/7timy+NBGcaGd/EFp+ksGWwaHnz4M/kNvJ4Yo
RPrwo7Fr1XB7PcrLPdHx9JKqTme4aVM0rav1bFMX0EVwVKTB1NzaqQ2ba8yQnwcQBuml7s22vDRh
7bduYbW26kVypv60sxHbRcmJzn3Z1apbFk70hA1Z8MWcfPHFD2TxOwpkvwAtgC2OG7aO+gNrivRr
ngVRsDebTg6fDGNsvrWJob+gZT89WWzYAJySbAJPSqfq4/39uvodOfcQYsDU30jhVk6udCJVydvC
GInwbFJaxUX2SBhuAz7HpIob2ZE3xFWtbVziK08VJVwGBoAHPGRZFpkaKXLoCQGFsbq0PaZ9EmD5
1AS68VIkTf2ODS++S1jLPaMg1qmP1eAjAX5/+rckRfbxnz01S5dxOS3eq0jR0k5oEXj4OGmTD3OO
EmL9hLkBnptcS243WNPkSb4SfG8yZUDmg17LDuJMQypXWf3rBENri79xW7biZ6HMAkEFfAkqCovr
isqoHzQtV2WRN02/Z6Cm9PqqxAR0QK9dcZ1MiYyjovRl6zVjZaRQK00dATR69RuYpbXvRNZEtYeO
Cya6iydP7/CWKAWpk4pt8m5WhN/H5eg/pSl2NH5mGq4j5fkuGjDuTdDX/3H/E81TXUTq3DHUVcCv
o2CxTGB80FDUcLLgkut15drSaDz6BNUb52AlEp1lOZCdJj4k4l3c26ONWB6etIwSIMqHQ0zjToxy
ENW0dXWuD0U2ChadZV0GLzSfGst3APNMiers227QP2ixInYJIOr9/bVbH2ruts5GSLxI169RGXRE
MXEARikT7S6KZH0HKGVyu77bEtBf3bIIwczIXZrKN8e5FmlIJ72l+ZPP9eSgy/eSrxkfNSlvnoao
aM+RnKeU6yb50A4Kprian36+P9/V40yeTSYBdOlWYqXy+wziHoFMB6bvK4rwETFwBQW9kVPk+RCI
7rLjAPIA+7uE6+3dqIhi2hWBJr5SwJIcVzVzLd64ZdYuWXawBvjURrx5iUCSk2yyuEWCC29b/z0s
+wHXvzSQP1l+2zykoH/PQhViC2XxR8p1cXQo75OJzEg/nsxF/UHxlR4kqgRptq0g2le2034vsPB7
K4ZR/pqrXfXSj1aav6hxX8SuX8md7GKMHI9PU1qTlDpta70MBij+aSyq1AUkJb1ZGleQl0+d8hGV
LBq/UV7BZ5A1IemexCHrdjbKfFQVpLI+9CAN3pW6w8NaibKheYaExWscWalx0bBJbnBDqgGchFPY
fEPpOU8fMlNLfwLx78n8U6vc6wWmnrj6TTSCUycM+Xd6JS/xWFU/pRiyjFdgmYiXYOCHhqdkYazt
k7zwG27GsXhrbKVABM4ZK8u1Yi17T2ooFV+gKhQPeGk12mswDck+05upeaiaIf5RQdn/FQWh+Hl/
e64cx6vvMV91f6W7ZTDaABHZncJI3tQ+svZjbVVerifT6Z9HmvXLZr8pmgA3CVI3kjgJ4qDLqOMP
ZPSBOOWit3Z5NBgb/cP5Ry822R+FBy4Y0JCoFl1PKm8q2yqkNrr0QOUe2skfPLOoi90/TwisG7kQ
IiC6daNzAEY5MeH3wsar/O4/3U+iJ/Dk0SEXYksC/ZbVMgNUOKboetGdJ2G5nhFCtnZYGag50Fau
3qAdTN9Geo2fQaOpr13ZimdRl9mbUvVReYrkUFC9FVpX7sEv+d/uz3vl6uDdZWVJ6x1+zmJ1QwPS
UF8Rn2ATVD/ZyMu4ahLZB8TxrT0gBfWLY6TmxiddibPn2vpMmIKyQB/6egFqB0p9VSjhpQryfI9v
Iz6Yetg9BV3dehJWqZ/+j0nOmuUzlYjXajFJuTA6JEqgq8ZRRI1J2Hn8Gig5BHuBXMRXjBKGydWp
Qm0RFOf/8XLvQqAh8IOjMNOOryfKXehIJfL2yAMBhHK13J68bArtl/vzu0WcsaPIV0hcdDqfN06Y
Y+woraWO4aUO/UBz8VLqP8o00U5J6+uRa5VB+l6ibv2jyv3h3PRlGrpmAxplLzKB3lsrx8qhmvpq
40OvXEjsKjAULAHPwzJbDVRcJesONHqrKsmTkCxxFPQhHpMp2ZIdX1lq8AwUTjg9tCiXGzkNe/qw
JcRuNezlb1ataod2wjD6/kqvHBdYLXxKncuC7vLig8ZyBLrfmdFYKg/OoE27CJ3TUY5Hz09wp+2s
ItrdH3JlDXG+4Jml5EeJfRnOiSEXeNE6RI5Gmu50M5CPpoJ3galm4catvnIusSFDQHFW+pz79tfb
VUWuQZJhlV5KtEcf+tjunqYoRjEqJepvD7lUqJ17f3ZzhLg4ISSF9HgJp9i4yxNSYn6mBAonRNbS
+l1F5P3aWPb4gPCHfAkBQT4YZmNLiKHH0hZ5YG1l+ZBAReajA5X9erq9OpkW9GHKiKWWHXUr+tpX
UvFerapf9ye5tjfh6WLjOaNgb/j54F7kpp+PZ2Gq8TPOKm8yzgwbadTaIAT9NLNnTvDN1vQLW2gT
hYiL0sT5w9D4TbgPNb3ecsxeOwI8BrNXyMzzXW4SyVDyKAQAeena/rWiDH1E5t866G0a1eCt5dKL
amzoN/bJ2rciV4VVDsbi1rLOzENHmMY09391/31disyzlSE+mMW4BdL7k7Us9yTyF5TyUKvjYl1k
NZhbak0wq4nidz74aHU0VfxcI8/xu9aN6DUdxSBca2gDfadRb7Rcehjt+zLImlfZnMKvcdz7OrrW
fvnW4KryQw6C7jVP26ZHC9EoK1c4pbUVjN9+fjqXs/gjcuWESUvtcI6Q3ozZmF5KzW7covOVfWX7
W0I1a6PMfTNkeWbr5eXS2E5HsGsFVMhEHu1iRDz3Y5WU+/vn5fZjs41hd1JOxdiZOvz1wUS7ZQjb
tkov8mSmMBbl9FjXSnlOaowp7w+1NiFq/FQAiIG4hhbfGkJarDZCICQmYTtYpk25r2E3bMho3Z4Z
uuBUgDguCsX2ZTcwG9suC9oYWag2VMHbtdUERgdNlWe/RcTeVUsgS/sed44t14o/Odj1Zp674vDi
6BP9aYxfr6VJMhVaQZRdVKFCpMa1QrW9Xu3qYVcOM9MgVmA0IdyVB0VzpB5rmq4kD/IbstrdpzwF
XrATcYf7NK+pSbOpb7IfVdYquitVQVC5UE364NEpohCfMBz1flGGHJ4NmH+mh38kqCcnjF4qBVwS
cHenBo6K7CqCfq2Sou7etra5twJoAjsRBup4pLmGmluUTkP23gAjl3r10Oi1VytgrT27xuOGQmqm
R15RyvrnSStwlu8B3atuXIwkgHpa2w92bvCf7++VtW0JHBRMEjHrrcodDoJYT2kqz2PexsBdpnKv
oooGKydxNi7ztQ1DJYw60azIay4j5BJ9UyFpKHYMs5xFwhp915MaSzSrr1/rqlI8e2j+2baMR5B+
LHcsVTgkZBfPfw87QasSwmRMNpRTM+INKheO4taDKu1wvqo2zt5t4Q85OxI6RL5hKt6Q2+umbvPc
QBlXsQsj3UVJqP+Ia9NXZt/kJAGASb/BGp1c7JFrsX6oQeVs8TVv4w/q76DOef0hud9EV1UcwgX1
Z+mcMs59r/fH4CO16PShGUX2aLZyddbVGsgRauVbXbG1/US6SZuDZb8136vxrBlVwdh5mjrebBXl
Or7QXWNKtwq+a9ccCDLqQ9SgZ8zb9S2QSBUpTsZ+8uUJWyM7L08FSnEb9/Zt/IgmNsGUSqiDgvty
A6UjBP50MhElkTKvSLPsCOk0dOVqGD1gFxux+B++yuJqw9dgTlqZkqwuvcSCOE0kyJ7xJVA7Vaew
FJinGJTkRzvMG38/3wazl0WDRbvdU81x6yqRHvsMA5Y6ilIvl7qqOJlCEqbnh5HzEMtBtgHR+eNA
tPyRXPqEfij28XAuDtUQcONJQ8dbFqSTfZyAv4CEoSOg7IJW2NEjjLpA3ldd2T0HPihjD9pJX+yj
rkw/zji33w5+QdODKUfFGf5EO8DPrPVvYNRia2/iRhzv5D6y8WpO5bI4p9S/pIuDf2Lv2Qi7lp5v
T8mwz3yzQZ+T2GRLKWJlb6ETgaA9CkMURpd3lUklIxo7PoOSO+lHPdMdV4v1cusJncGYy4WkvYrg
FFBNzKUWCzlpUTlj9aSzY9fDeImKNFJc+PZW69qJlNcPtGURLe6iylA+GGWhS56W0L5wG2N2/VVx
MMrcUhqFj76/nL/66EEKt2kU0rahk1tKuo3e7YTd24WrFgg3HJwOHycvRnAX6a5htN+Rj+D2NJql
PHmdnEQ/klbvaEVO5vesm7QXA6yq5ioQISJXbsIo3ifqYJuQ8SWj2TUp7rd7patMxON62rtUWazh
c1FrGfxKMQanojAEgtmRIn+rysj/lZW++aSYY0Y4CSv5YyRS7TsEE9s8t7lTOg9+PmFFVVL49A9j
MvVf6ynMJJdLvOh3aSDFYg822HAerYDqoFsIIdU7pxidT0RYUnKYdCU8j0kq/7T93BJwK+v2e1b1
iBkX2FwFGMD0fYonixwp72B1D5+VGlbnwfajWYklHrWtdHelOkYWA0SLWVBkv9GSHc3Qnkq7ds51
g05CQa10F+t14AVo5T3PwIknp4kLOmZt/i6T2m7X0kPxLKtTN26zP5n1cseBdpoTqlmceHm/UI3T
skSM9jmLMk3fO0EfIsUXN1X9NKHby8lSwyh4SBwHlcasJTrwyFKT6NTEQ224CKIK5whMyx8Pmibi
L01mVegTBC2SaQalefuRtsnY/ZKVOmqhFZiUvTO2yye5Q8f01KDZLPZNgNCTN0i9XLyUaCSXh6JN
xPcstVKkFcjLi3e2PTnvzGnWDQNmXr+HMB5/sUvJILhLMSzhrw0Nv7zNxtGTGgvnEEnVmq8RFIbk
kFlyi7PeCFbfnUI9Ey+oiXFgRn+s80s/Qg0RTdRlHicOSnjqjMqzrE2N7VoO+2wDKbIS+JBczNAe
jjmBwfzE/FXC7oHtx9NQOGdVrpxjBdfCcVtyrJ1Q2AN49FS7kEh3Y9S1Tcew8CLh89FgWrbn/GL2
Nqsl+xxK6ujGJugNkWTFLio7ulldkYIjbXyvbQhHZbUUD5Yi6qPWjFtaLivxCM8z6Qi/ZaYULB5q
KxwzNJM7fgguvDtRJdMTfijtnl6U8dR2MqBhK7MOhrFVCF4JRlBQQK4B2tiMY13kXBa4AUcr580u
O/nBb2LZiytHP8h9sGUDsVKu5KGiZ0glhE99U6oYUKGr9VQAjkyG9oNOPQF4s41dndtoMLx2Jrzg
D3GE2LBrVTKdzEgbuuhjJ6Tpm6bWpVa5mo8xLNKevpz/M8IMi0SimNlMmkx6WUhE1ErQEA6dsy3V
6T6JMrRIB5FtjLK2z+fOGfcbkPYbnBd/kGUjolfnOI4lmlsAZz/i4FnPr0fnXIYusdAyM1Cw2Nrq
K1H3bAJJrx2csnyDoDMaW1htFUrnwE+bYa/VQUN0mzkIFI38ke7WYwuA3Df68TueI8Mv7qL2hX1D
czVPRsVy61Brnb2p+AZSpZqaqDvfKvv/RoBmNPOsWDrYQ03/PiYnfbmfgimrv37OZgm3oRYvgQuU
k4UCI086lxM3FThSetpGnDaABJRMfxy1QHvGJzs4gHiWHwY/gNVPXmx4WOfqTyJ2Uq+ReunZ0Qbp
MNmd/BqMjTiBRZG+aHozHEPELza+9UpYDGGBF43cGRjqMvvvnMlqnBDIMfcILk5TFh5FqWe/YrzF
PkaZpGws0spRRgcKvfe5enJbbgyTCvvNlvFwmk1/pJhxVl7Rd/X7gEd/y6RxdTAK4nC8kXu6EZlv
/ZA8ftbzGIcu3lGCCndIKaDsYEzG4f7HXwk0UVfiapwRWiBtF7WaIhFOIZXMi0by4CmT2u0K9Ml3
90dZ+1ozxpkdzXT4btcvEDMknApzcoQU6ElZQffRKREd4XikuM9s6hetLSCvHVVw7IRW6qm4dtZl
DAxzyMxuZxBZ7aVeRba4QT7x/tRWh0IbeQYuwHtegpF037eGNJinFo3tIybe8qtI7OTsYL2zsedX
hwKoS/mObBP44PUqKi3yjFaXwJ8t++hdJzkDQnJW8y1Twi2u89ZQiw82gEEJhyDmeKl5cMCtg9Ia
tuufAj9S9v++gDwLKPDPWFawDdezmoWvBbKc/jnWZT90IZXWHoaQ4jRYXCL3x1p5IWYZNUxaWD/6
Z/NN+FckJNWtGoMpcc4ZHLV9o0/xU5j18c4ypm9VF/7SG0Uc7w+5spJ/D2kvYgCRT0YCDAK1QZib
8CVNdXgtenJJgtNmC0KwNj/KBWBW/qCdlyFXNUNs5LHwz6Vt5k+S7acPSdXoD7mJ/o0hAsEjOFkb
dbW1GeKkhewQraZb4Dz/cWqbzrfPUoGFl4k1E6nepB4CQ2yxC1fuEah5wEgdmlu30o1j10ZK0xJS
FnCqd1OpBzuhtb6HzW/kkaqbG3tzbTwcvCjhgR+fbcOu9wtG6n7X55VzTro+PkStmH6Kxviqt616
icze2cjHV1aS7IxKz0zs5iWef85f2zNSolxK8dsCgx+mjzwOhZdFbX5EW6TYOAmrQwE+/vN+8qAt
tuVQYLqawTa4cPmKRy03xieqPub7zoZrdP8ErAC8DJtnmkayyRHnnryelmGmgTaZPm8MmMHDMGaS
Vw65vhvAZRwlxRpJRGDM13j5PtVa2X7ORJJ7qlJKD0FAxfv+z1mbOW3fWQKVvXTTbtEqxi8QxThP
lo0yNF7BJ2I6aR9Qqd0AP68cR9Qi2Dnzs8fztyivYNLnC6sfpHObFuNjiTzkSYkk+VBPQbqvG+P9
IBXxBvhkvpkXCfas2zfL9AA/0ZaatnKTpXh3jmggNXmwd8Y8+UAvot4owa0u4l+jLGZWymhQ9naH
4pgZR+TjKo0K3HAit4p6wEv3v9haJgk+H5twvhYx2HIDdX466TgbSGdoHtbbpJXGGal+fdf7MAQI
RR3tfYXa00OL+sJnBZEiy4smDShZ5ceH+79ldXkpXNCtIM24yaW1muQ91gjNylHGGtG00osTON3G
kVldXgvWI2ISaLcsM1ZJjq0gztA0aTRjuNgpIBobhuyT42T/R7OONYUSQJg06/cvDqcAURhXFSBa
ewiBYKpOfkr77PX+qq0eBHu+Q7lIAesuLrZWi53axuzignhQ4I7WWO8N9H13Ugyds0fD0OuS8O3+
mGtr+OfiBr7D87SEQANOUgbLqIOLPgYNtUGo7qiBDJfEx1/9/xiKkhY+I7M61jIZKbg+U+xGpDNy
PDAPxyTz0kbOzr4UNBv7b/4cy+MNqMOGqQa4+gbYTQetLuSKXA3Vq/SINZJ8tkSXHAReH7usE/FX
EjDjUxsM/0dJGnAieqzUENGOXga6YkBeWDhcLH5YOsdCz5KdFXXjRgNi7XyRYFEuIZyee2fXb0US
hIowbI46wGPzrNSSfE5UNdl4A5S1DUniKBMEYk8G6+96GAvDg6x1dP8s1cYUuDk2sqBo235UXLNK
RX3yrUn7RYOMRmo9KUO5qxvsio9ZOhlz3WroUQW0m9bZIfUMnHbeGyFCUlP2U86nutlT3lS3WkFr
O5oy2lzmmR22l1mUqk7hAEFWOue9PCK7Xqc/nFzV9qY1KP/HgbWA7tPFs0FJLStXyijXAo1AChpF
Zu9mGJUbmXJ3LNu8PyQJdmsZXkkbXLO1j4KIkzK7KVCltxdXEchGJ0RkJMSRS/ReAXPD1cO83yN6
9MG0R+gKULL+j6OLxC29lj/CPcvKlKPCo1FjxE4tJdBfk6KOPF3L6x/oIH+9f0msnFyUQCl6y3OE
frOzs3hSymYWHZNyNQhoJ+j1A0bMypMChhSJGiPIXs1WL6cj0NKtxGflWJGbcsFTiaTSs7yhrBjh
xgSN04sxAL510XIBsxln45bM2eo41MCohM04kyWwTi98M6wadIP7OsHFrTeEdUAkx//+72vJPuER
pvmHwOrilgizUh0nvaeImRoVYrt+t6crGrn0e/1LrcSt5wTQBKMUY+37I69NkNIi8Sym03M96Pri
UGl2mY1PmbXusv6FhlYF3aTeepTXIh7yYSRqEbO0OIOLCfp5XFljNUtwhrEJrSWqGnsHWWHIXKkc
Z0sGkZfWPoudzHehpoiB6m0oaJZMWmdh+Ztr5UYwuzbzmUgLhgG05k0xu7CHwIgL2PeZLo9PDdUH
GAHDVnS+OnMSvFnOjUuA+V8vsJGKUS4hq5xhRyingcr0xc6HYheYUDz+x9l5NUeqnGH4F1FFDrcw
MxJKK2nz3lAbydA0qeHX+2GvdkJp6ti+cdk+6ummwxfeYGFkDh60Tp9A36gwyMYp1vHU3I2z312p
tlz8JVvvHaEyIIZnNLvZwRCOQ+vHFU7mPK4o9VXwwp282zXugjKRTMX4Tdf0bgnReircvTAaRx4s
oAZ+WGruXFz7SdtnP3r9ebOI6qmSbHVaNsjx4kg5zEuQmEncjLANQzOo6hh98CT4s0xBa/wMUCAd
Q14xPx4g8eW3GrxItOrxV9D2srHN57ks/E/m2jh/bEry9U55Ew8XsfU1S4utlHL6U0HNcVIQDQWM
evJTA663KfUk28Vd/S4CtZTg+yZyxMEE77IbDnluepETrEreCjfN9I9G3tv+fz2vrBjHh67Ixrjl
KB2vWJPrvB6lpDxnBUs0w6N/tptBXHm5Ln0Xtgl3Ox0AIAnby/1P4j6Updfnbk7BVuT6vHO0IHtV
KVSyqF1aSSlkKMSHty+iC0OSH1CbQPFhMyzc1v+fIdMK8bGyH5LYKl1f7qQG77OvpyXYe1UevPdx
ffj49ohn4ccGnvIo54B9wzHlVNmpNxI8Cft0u/rG5w61tf1gISSpqrK+fXukv5DHk80DeJmEz0GT
cMPWHE/OKTvIIgu8tFm52qOdBRWAUK9c9SgXSv1gw61G2GNSgzWdaOolLgsj/zEj6tnstEbI71Zi
0dAarC74nbjm0oa25hqPTjk7z41F6ynsja4wotXQlQi1WtP7g5y0xrlbTIGcqtcjrfzb6PXWi8x0
VohDJSINboWj5Os452MemotK8EMqTfHRyYG2hjy+WU1/D43B/TR1EwiIZBx+oMM9W3tTafaHyVjB
MEgRNM9aoVkx3ZUBJTvQt8HrJrRx36BVZezsyXbbR3R96OMBcsJ+zx+Let0lRoUh4GR36wsI5E6L
/CaAYyXrRpO3edmIhv+mM7KdZkqbaLZJy5sAn/LqBU04nF7MdlmrnfQDAJG6JbwhykdTH6NmBibT
6QMowqb1UNXPKv3jiMnoe1AvGANqmTY95lUnoDTT0kI/VAF6auvAf29ZKO3h6Dd5TxYmQZ98o299
HFWUl+zy1utsOqumhQHiWqh1B4tRdWEtJ1reQdmmMhpYlylc0wWRbWgUmb/zM9fnPqqTatxZw1SM
O2wy9SpsjDXAeVS1FdQoM9X00EO94SsWmlmJ8tNcfHp7C57FogTadEOg1OC6da49MMnB8RGFd2Id
leH9oJn5l0rS2dfrKdn8m9Vhya1rglx/q27H+37DzbHrIQqQAZ2KD23wkcVxpBvDBUMwRtqdbew6
m44M9PNJ6tQ6ZPq7IonuV7INn09iZnKp7nGyLfsrS3B+3o9/zBYQ/HPDkM7zcUDwxkZZp7sGbMW+
dTtzr3Q/2f3n1aZ0TBxHXoP3wClCwXNrDtZs2jFszizC91G/G502q8OiXIPDykF5HKz5mh7phQnS
d0DwgUtmywW3K/afCWLZPIDBmKx44tq8SVy9261lhmnnnH55e34XRgLUT0uUfzHL0yJLPhA15MVk
xCOmfoBGnOJ10DP9vhud7MpQZ+8CvSEWEUg0wGs6e9tP+XdSM9JIk5kGsTC1V+od8s6Y+w9BnweE
kVZ67VG4NBwMAjbDxm058wMwGrslnS+CGEE1d79mgx0RTBhRUCRWZNfrNez12UoyPdRIqD+QJTLs
ybNHrJ054C1ppyRe/TGZhgTjHa01vohm1eSVMsFZDLMNhvwJFGleIxKa47W0R+xYKiR7YqfM8+S2
wWCGpndj1vvORPghWpdOpeFUB13KLZlV7/pxba6E3ZcWmHgPyBRy9Ty8J79hNUkZjdzzYh8/g8d0
sb3qZsKGrNubTtXcC67QK5HFOQaUaRM0UWGCi4rEwska29zeNY4vQZyVvtvfdkZfrTsLcXUA5oCP
kc/KMx+b7twhGA/GxtoZw5T86pvZjAdvxNU+88v0o8izGeML0Zd9WM7VcE0Mdbt/ji5LfibwW7DV
sOGQ8j45vpq/8vxogNo6/K0+mK2qfnuT9Z+LLtsoLprzdK0JSE4DyMDExhiAItC5plPfRL24mO8s
mD+kcyY+vn1NXJrR5h8M4A5dyrPD1FrBnKDFFMTDlKk9MfF4n4vcvHLZXjpCtLKQUOOe2GjAx7ua
6K6uUbFjVxdzGZXjWt8gvCvCJICV/faELh2grbaMKwkFD3KB46HcuV/9irJ+3BuNnoaeM1lfBO/2
yzjWyWd44lkWURaWhK5As/LQRU/7GsPg0gHCwYmCGS1mJP1OEhGjmu1qKABhLRhHpaAJ3c7DJbif
ChR+UReLzTa9Nu8LH5L+Mqd2wzhyFZ+MuVQNbcrEpICZk7c3Td3dQiHP4rdX92/J9eQEkGERp3A5
cSGe6q3b0vA18NV+nOK8K/pdu/az3BNfFO+pbuLTVaBwSPmu73oEBBs3E/vVmCv5TPFt04nLnbaL
+rHWnG8y6+3nMSlBEtA4S9NIN9ZheYIn4GZPiZe1X4bWGbT7dSyGMloCL/012XZNjK016yFds6CP
dAfJIjvRPINyflMWYdMj1RKLuU0+DY1X/PLHsnyvq8nyd4nuLP6taY+VE82ym77p3oL5iLLn+ec8
oB5wJQ+8sOlpICHsSJsDztvZpp8n3ytnMJCeL+WNoVOYbyZL24CfzeHtz3IWOgKjgWLCKw8Jamt6
HG/6ploy6WomOuDE2hEuIQHCRFmxwy10vXHMmpRJX5L924P+LVSe7AWHDjyYeDrHm1TX8aho+5bC
MQYu7WHWDuTlDekATfv3LfXWu5xQMo0axN4f1dQ579a+rB81lC7fDW5ZxLSyMRcdKJN+C+SwXuPA
XjgODqu+qV1tLMfTfcrD5ayFoBZgam77M9Gc9WVJVff/rPvWxEK5eQPOn1w2hdV7Q975ATgEc8WH
0DTaKKkyWz54OF2OcaH17c+uKI3+yt66cMv9ZVGi/oNKGkHX8dJLs5JCwk+McaxDAzygK7CqAAqz
W0AGL1r9blAVqjFGql6rJrtGt7k0PEUOgks2uH2239Y+XUqgOgHBpTPGYgjySCuq+raSo7irlFE9
IMUz7nu6tAdROeaVVvCl4XFqAj0Gz3lj4h7PfjHcojK6nAjQ9+UnuuDWO8dqdZbeQ8HD6JtdZ1R9
SAI5R8rTr9rmXbjfocLznEFiu2DEzHwXcPZgvezN1j30VN88F35VGLthXM1naLNaQ4You9/FOmds
vNL72jmZfY/Vx2zcaNZqqdsBhftvSWITpDR2nj4rhRbjlW1y6QqilA9x5S+P51RMd5ElSLGJ0LXJ
ZfdNmYUHba9YyMNnK71WQb5w5KCbGTpiRWiKnL28XqqUJlPSABO7s8jxBuePq/Tx69u3zoW1J3+C
6YV4JcWa02SjQbZH17SWB6hc3Vuq08bHbBmGg57Ymh4N3X/2BaZ5vJWG6RKh0nkW/ZfWIMVfHDEA
keSmN3rYIF49yvrm7XmdQ1YYCG0Jy0TTFm1O82RTryYYyKQgcGmMAe23ylhcVOtQQP6m+YPWvg+Q
uPrRmzZMLB6C4btZ5bZGPdZGlNhrcoE+msivyTFc2EBHP8o8Pml5mnumajsK0qNcDvQEkhcTAch9
pyfrlcDtvBKxLQCwWl4yHzPK00pzZzWehAvqx8pOxps5wxAnx7U99NpA3NbcNhEOnFbIkcmjIVMU
qcamuqZPdXHCHv17fauK8LAdT1gU3VpqArhex3P7iAIQ9BjZJnfVWvlXHo9LQ7n0AQFWQn47C/Ob
cZWLU4NQb+0h/dMPEx2lXg2fPLf98PbeunAy2bhgYWFHbzf2dp/+k6AbDpW0HFOluHd6GwpZ2r5C
YPOuQMkunEzGICUP0Fs9Lw+vPor2jiTqXbNm/aRnQ3E7B+n8nLPUaVQGo/vj7WldeAY2b1qI7PRs
Njjg8bSGokb6Tm+A5vX414Xe3OXfKuUV6ksGEN4LbVRYv6+yGl9VNfJETUFFTfLt33Bp126tI4QU
LMLiMy8go+i9vmtmL54za/6GaHtyI6Vw+tCfrAaxLFKADGlIq1lpSEh5j3nEerf42nyNhnrW7CXR
2EpLvMebfPlp4rOsienZo+7EYNRJFUHVhYYzl/vCyDCrFdXwsoyrFjl90l55js/bVgxNoLa1iTaE
22nRwhNr5c1p58a+J7x1b0P0PnQWUhahOcGCfGgTW8jQ0rocuqqVfMgGL/lQBN76tPRlcu0IXwiG
A1Jz0mcuEdBZJ7s9IcXKqipxYrOWfZglfJ9wxhFz5+ZucDCEFHvUTtfvb2+EC2cMWVw01AA00aj1
TyIyLnRlZV3txvXofuvWrrnHpDK7Upm5cGVsyD42PZWoc6cG0spKh8DkxEMux7taV0BImmVcfqxG
4v5nVcDtqwLUovsC6SE4vY+TIsWXuVioRxd1GzcooMGY79Zd0M/2le7LpcXbpBUg53EP8tWOT7LU
azepXOXEVHGw7ajFcFh05yoEZ3tCTxKWgKAVfhTP4ibmdDyM0mtrTpbCiVdbdeXe10FihtjNFa9J
t3Xwu9UoHsa8LcoI/nX2NAo8b8JGzRWcGb2GcPf2nrn0OWHMo6m0lU/PvA4Cr+37Cunt2ISoej9R
WGrDGUPmcqdPPiTWt0e7tMiooeC7gRPSeWmRWqWtVr93Y432XjTQS4om1KX++6tGgk+nF6g7ccjp
6bOV4U9NyyggRmFJWs4clXa3HLBluSY6dGn5wLjynm2GOaCGjj8nAoHCEQ1D+fiWhlUwqzgoVLBL
Umlc+VKX1o6tyQ0KJAig9PZT/nlBs1xqqwDaHOueVt9NjIcFlhJX1u7CYwIObSv+0R/YJKhPzkFA
qcQPkBuL9bwOfg1qsZMoWYdhDld3WWRk4Fn2ixjJ3QeQyavQzdqm3Fk24O0r0dj5Y84v2VyfAFDy
qJ/WIPuUjrmfG07s4a7zOJUl6LN5cNMpFI1XP5jLYF7LHy4NSVFpQ4ZzF9CKPV5jt188ZI9dTgMW
xrcY2hYY3+PFe0hbVd8pa7xWzT3fP5QH4GfzUdGNIY0/HpAi+lRbfu7FOEtOu6KW6YF6krNvJFZT
b5+9i0NRkLBAo1I8Pu0uWwpdrLl0XIAdENLbWq/QlNR5JSFoXuFGbMt0fMkxK3o+RNPoFEA+PZ4V
ERiN5ipxY0tIb68najosw/TdwGJgXwLyDb3MT6Iaa+87fSmuuzFtcKSz8cn/EIzbEPincYheWFqG
L4wXKyeQYCBS+R5hA+MenFR/Y3SwXVZLtqihJI25aell89PaNNewCpcWnLtuQ8fSmzpLEyc8lAvH
Tr1Y7436YOK6CchuqW4Nk37929/2Qh1sc53i626waSKwk8thbWffyxWlV9z4EH7oaf//rIpsIWnx
tQ/VJsijOXXwXkrlxko1CB6M6DI9rJU+30vf6m7GfCpe4VmpP2//NNszz78G29vjOG0dLPLm491g
Fz5TxwwsTso0mL4Tfgn7ZXYqA1kFzfK6g726kAm9hOb0A3avAxZ6i7YAL0K+CeZENkpPhPi86P1r
XmIT5b4IgVSveHBK2ymfifj7fA9sDBeJScLxCCev7P5gcuS3v5fGHdJDh2J//jDoTYE4d0B394OT
kxGEI8BA/85spxS40KK369esCvomcnsE90PNCZYCEworLb4D+unm3WQto3WjeVZt3A6+MVhRgK6C
HWVyHpM/HuzFGsSBytUU0clOi8d+mmUaFsnkKHD7rsNzZLfj98pFw/yAVSPmPhlyrkaUwrFfosYf
62FHfEtPovdktrzLChMxl0oL+irsZdHdjUs+J2GOWaUCnJo0fegqy3xGD4IOiuy7tbgDqWrUERpN
PbGn6DQfpJGafkinndwoN7Mx2+ndyD8p8yR79sy2G+/KvDMSjGM63dzDS8HQr0+Duf9UjlZtujuP
4jgchFka6aGxgd7thYXjH/ov+ZIWIeZqa/UZeIYvHlSRG839XDhLe5AVKcGPua2VHvXKdqeoUaaN
JEkzlnYI7HSWL3olNOSI1nX5JjsHggwWoNX7YQGH+8Ow6vYpbUtL342t1zhzjPKtgRLHiHih/Vgt
3ahHnW2ph800FzTFNDg/0G9wkmfD7al2143oPjtuN5U7s3UAjxnIZrlhLTRTD0snMdXOFI0+obSc
mJ9a4Wa/DWsMiLhMpR7qDnn5G1ewfRDkSOrvtDi8LqRaX2bhpGfGlyUxtf4dLr4KcSOjGawH+jzW
kzO56xxZq138Gh03FZ+ytKqWG+rN88Pgi7Z+XnkSsn2eOmYRYvKy9OHguOquxqMnOcxrO33yeO2D
3WJq8yv8aOde10vtU7Dw78hel4U3GKZ3NC5Z8rUlrXNCXSagP+dhWbUCDnPjIQmfe9ka4T/aYgSU
J2lk28J6lhQ5pnscCoY01BfmGFr1aC2RsDpQ4Rn3y0dvbobvQ++P5i6oCzoXOnid8b5MZG3dlFpu
jbf5NDa/IaaLedcMTfmjDsayC8vAgXkuSEcP6+Dm33NnGL7VnqE5oatXfslGn4OPeZ/pYM6pSo9h
Oo3qRRMasWBRiLwPAzRW6xBtk9w42Dh+BQeNfswu0EjDdypJ6LFmk2eQ4+V1Ew8FleDb0kLghB9p
54+FXJJfw+wb3c4whPo4IhOd7QJ6JM+wsepm2rlSWd6LMhLEUqw8GZ0D3XV8LKUtsoHsbDT0z1bf
5TyVUJ7bexngm6lF0h0gbVmTuwH7MgekVSM2PKK0PfLruc+CBHmW2SHyGy1Le/VsUXv31NuGj/VA
n+87ksoobSywBrNHQxaG+0kVS3lLsIocWd5mPRZuXaXm4V6V8K7feWaey8fCEV4bpfkQIGCJFdY+
1YLlUQS6+gFQkxqYb3vFhKlbZ7+IrBz059VD0IWrMEU/vV8q+yc6i1MZYWQeqDs0/ezphkZk/6Ao
BLhhpTcAalooc2WYT54+POeFAkmZTF23C9Dvwk7LMiaQZ7JoPs85gjCH2R7X+WZKqc09j6KvnrQ2
ASowJaKc9iMVpZRNVy/OPrNzxEbaxsCQbmHFOqSx3/dd2c6fjAyG0z7lenm3jgNaDXWr6d9c4Xfv
LK0Y7NDqe92Iu7kdsDunLLWETumvXugj9f3sKTu3MYKFGvxgiDVLX7B2Hr6sUuN8WKkvH6XL3j5k
vAeARWXpR7qLgWsUmFOHhpRVKXfXOBykz2iUlMsh3ZQa79vVyBHsSFGB/5xp/WDc2EYh32fj0ngH
vq0fPPHYL2PkZu70TiRtqjAomub5USweULTerL1hZ+VyLcOUw+GHVb70dWh3elZFXltN3aEqTRdV
AdC02xNnjNXeMov6hYDEaA9ObcoiytMJ9NdUms7P0VaDEeIqUW3Sv7YRUshj8y41EDRvqdpXBfLl
h6GN+W/Pk9ZzVfuGjs91U/zKezn/0kvPLXZiSnsvxCFj1XfzuNjvqZQXIFMxQcI9lf33mQe5r3fB
2C5fA6NL3k+u6u9b1Sx/0JFRdI2rZfw4kXdzTzRqGELkXLvPs7licqJV2ioPVW00Hz2rF19FYuTv
qSWjIJqXldh382DkrMrkf3NKasYhfzcvd01bt39cn74AYmLZ1MbG2LQZpKVMf9f6WtnFzTLnT2iY
IKtVYjWYhMMUuFmEUHL2saKi6JGUsKujQvdqEQ/AP4sdfW93eRha1/mcAQlKUMocPT3MpFB/UMkC
Yl3aKO36hTc8SqgLqKRJR4fjgvzUg101ogyxO83az9YyyF0y9dxnTokXQJgPQ88nAx74UtNvocsJ
4QjHjabIf64iWe09SUWeHuzB7r9NaWuIz0r59Sd6i7OGR22LClHjZNy064yjZjwuIov9NMMqDdXC
4Ns8LeKn7Yy2vecqqvWvy6Q655DIxJAHgjnd3g+daJ5Mr5ZfUWiteeRnc4ATL80v1BOGNXKsfgQU
P5G/hK3J37sR7ZK7O8Tigb2EAyKM/p1XrKOFaXA/yRApwDzn7QkqO8Q/t3mZ11Q5lL7raoySXsfT
CSrRF5dkr0QzcE4+IHlNM89ful4+E0KavC9VLjDUCIqg3S2atv5svEl3UA51xnQngSiQO3poot+p
wfShnfvZYuyVVin9xpwcedsjOe3sIIVO2UNleuurnNrOvjHxgsQxS1/VJ1mBp4zGwfTGKPODEg+R
siPhLiXQXKBITlncEC+IJ9WN63LrDB7Pb5kmK5SwjFkG4Gpf6zafDZy25qRAlt+qtSyCqrq6v5oB
IabPb4e956VQsCZbfQwmo0dZ9iToReGhNuysNOLaq+24hPI37wa9lHpoAav3QkRy0vve6ouHYvSM
7koCdiH12CjHcGgohntnfX8HKGHFi2agxxBsQVqaP6PAjmiZW1wzOLswFOBFar2eRdGM2tZxdM+F
XFfawF2c9EQCKXFU5CVJf4v0S7N/e03PKyCkUTaHG7lsqsunGWxr6WmbzZ0TNxBE94lBGpvOdfry
9igXagDUrtESQsMRFsppZ7cd6lEf29mJwRBra6g7o/ikuJPeW8ksD26ipz/fHvDSCm4SuFsnG6LS
abY62cjEzlUAIJO4cm9Mg/kwN97moVRaV0oqF3YlXGJAOmhz0+c6hUuoCQdpE74BV09rdPvVzf19
gkNOczskWn+DQZZfYck1N7yNwsiGK8OfL+3Wnth2JJUBiyLW8V6py37Thm0BhKJ4jL5GntybFdha
O8CoCGrVcqWmS/p7IfeEu0k10NiaTqf1uZowf50gFyIZkmnfhXKTJNQFvyJ0V2khCCsR34ug901T
5Na+voZl3/cPiFHr4LKwbKj3S4ofe6yCICv53YX/3UQQW8L7zqwitFN96nZS503lqbBaJPc6PfiO
mseaR6BPWmdXeSXEN2mbw2c7nTT1eW46qJ3Cbpwvk17aXFRaXgJsXoV737cJQZteo9FxsLUaq9VV
DsipdVOS5CQDItcQAgyG5I6/kqz3wt5ueiJ7Q+4yQWcGb5F+9t8l4E6W177z/E0Dphb+jeqq7FkK
fbG/ScNSeIVVpqPdElAaaYTGIY6f2HwNfbqrRKDVoY5zcXLjpnImOUqM/hUzoLZEvRBPp+qpqI1R
3QK1MBGayxtFm6WrNTfS9SEZd3ZuIRDsF7pm3FBGVuVu0lLHPeSBMpodQVAzfiomF8nMTnmE3Klp
FuJpco3cvYPN0BUfPYcUH/Z3V+b3GNp3Yu8JGxXZTAOthYQZ9I+PNin8u1WBsY8Kd7DGSIwFBlip
VQL6dXvwDdR8Fv1Z1f5UPQLndt6vToDgXxZgZ77HaM2o90aQtmKn3KkAVE5zwL4VU7t+V2o1PiVz
LXmKayHSBwQb+gbCEx2V0K7buofzX+fyBhxf9zwGG3QrX2EHECeZavs/KkvuTU9bMP+m2J0hgqet
Pl3AVGj7Ydpk+jx7mqlVjE7RR40I+hfN8mteBt6x4aANHWsQle1ifWiEW+GsVgcuko5DOVbdU53k
nfxTrLL5jJynS/rg2It/nxt++uDWboYyZSHKMQK5k9x1sBLzfdBovnXAXajtH+rZ7J3bRUNjHI6I
UX8KGjxmoXGYDucAEMDnaR7dOyGUGdz0i1HcV1y0y91QORJCeY6a8s1co/e8G1y/+jLm2EHj/DbZ
WVip0no/OiL4SppTvFdBZ96nNCK1aMycunoQPijZULaNFtxWpHqPlb0gijuXq1fcVmuANl5f0ig4
DFVB4FADRm53Bt6rIuSo6nM4dKb/VGYFB6dqmqwPe7w/ROROdfvdtleNf6argp92Wmcz5wa5lD3B
lk4/Mk2hpwxWZqzIbHSFs8MIfnoddVxtHvQKsixWR0vy2a7rtY4A6uVfiBG9KnIrZ/0QUBb/M62d
vu67tFIfylWJER0PpQ/7RLO2v1movDyUcnJf03XYGBu6N1AIQpj4SUxV19L4dKxfpACr9rjMwfh+
bsaNuNYEmr5H0bMrofEsnneT+GNOuafGuuDQgtX4rVWuWGC4ABQMJ6u2NiFGZ3l1F61roowaoxla
+TrWcSAaeZP3dRBEg5GtbaQvQapHhPA1Sv45QLVoDtB/DUm5cKRfg9Fqw0yzkn2Ok2UQ6prblQcy
Oovszgf+sGJ9fbDmbKS7gSHw/WhOYxHReICTaQ6ClrbXDvOHKZf+pkZv9h8K2XrmDlgB2oqGQ/ZF
56kaw1VV3ZcUzzzzBsdmtUuKSdhhRxcniwaE45BkR2B8X6OdOEblAropVmbq5SFuuMUzObeLx9KY
yStPxHlMgVYhPphUqoFy8UocP0mVMev6RIkvhliOkWCZ9DtzSoNr9dntzxxXpBkGwBaPHrV3OlPH
wxheQ1LSFXYMMnYswtnp+3dBUzT4HJRz85uuevNu6Rvnpsw0A888txDuZi5uQvO1iq9vBxznUQDg
WaSOdYQNCE1P54yIb1141EDigDbZQ5CQn2qmOd5R9/NeKPEV0VoFY+gjdnDz9siXAgAgc38RJxc6
c0PV9abX91bcS9N/UaMyyDGW+mCPfvM0G4l2pWd2caYm5G9gWlB4T0MrO/NnJNg6K95CvbANhnbn
d1Z+qJL2WxLU7hdSpJpapZwOb0/0PKZDvIuAbgOaQ7U57aJpxQQpERGGGBUgjHoKZ9wps/SpaunL
laHOQxyGonyFzC28DcQBj7cWpY2yKJzUioE7rLuq7tPHgcvsXYo2xqG0aHlOrneNsHzh2IAk3aJV
6vpA9reF/6cZOblL345roceD3XVxMCY/nUVPr8T7F3YLNBSWb7MiQcP0pBsnpqxFDrrSY2UMLoab
41z/QCFreBySNej2vZ87VxitFz4bu2VT4gBNCz3qZC1zd+ydANkmhIy5QXVEM++U0+SHUfOvyXmf
98hMC74ShCXiYIq9J0MVKGVMuEkZsRa0636VrvkDeFRyA6fNvpNoOEXkd3JfWejlmli8XrmRLqwt
RHvXJzQGso3Vx/EHzLMS2V/aNTG2xuNeTkB4S7dICEvXIhpn+/84EOBStjCcIenpbiv/z4apcYlN
60Ff4wlvoEisZXtDc3eKHWeqroDAzkVhAQ+wOTfoDQvMtX48lnSwFHFGV4/rpOVk65rXf+8nWKKh
gYPfz6BSzDYtrEaERRFoRUTKpwaYotJ4GoeuhOro6VMbShU0/zm55KeRVaL0srXYT5fB7obeHYm9
YuR/nFdpWcsPY1JFuZt9Yf8UBoWTKznX9iFPXh5uenBRDpf+hhQ+XoyuguXneiWkDNAW8aQjZL+s
CN76jhjv7NX2oxHa6n+8/QDjk6BDbQSbTHP75HaAvF2DKyyTuFzy6iDx1XiwCmUcNrufK3Cks4to
G2rzQiGbRXnjlENZr20yBXMOPdvTs70D+HavAay5MqGz08Io3sYBRwCIe+FUg0YtTUJDoNOoHeJ5
kkEKvp10o8S0QyY7sRY///v64VXD0oFEBSazTfqfwxIgf9dWrYeqsavsSKfxcCsamDvmVFZXbryz
7bHNDKbS9q0Ig04vchQFCcHSVIu1JQdbTEFKC21XioepXx0aOWtmWDTKsvXT21O8OG6AjgnQo42K
erJFYLkmA9QNxM1A8dxISph3vrek90nhG/RvLYqF/VVW21+82NFhYLY8yUh5wFJCIO1k1ExgSG9g
Q36X0EC297lofTvKs4CQbPEbBNTgBY53o5+SHxcWd8UImeWn73XY2mCenCDNQ8au7dxWUqwYMFcs
wxEkXxt1Ui7j3s+q+WVZAw23CFmqOTQAjxTQBUXx3XIshRY+uUV+gFXUf0kEPtKUIF35VR/winzu
g2mKKVwnxi28Ed+LJkRH0iv3wTbF0yWANUAFjT4BsejWrf9nb3laJvJOCKJrLWtpISuvfOgWERxI
vE0R1lnfxhkM+x/KEfnN2x/90mEFLusTFxGN8cwej1052L43NBdiZEfy/dhZw02dU9d4e5RLh3Xj
PAHPp6jGe3M8SlujiK/PiNVoXVHdOrrUcZaC/pQIZwyz1iqvFFvPIVPsqn8HPNlVUmTViFVgEvde
66KI29eR1a7pu1Rh6cN/CkJ70bId2SriJYnRoiCGtvH/MWmPk2xstViQN8eTFpknugUnWa4M0b1T
WiAP+ZqakdZZsOiD9pq2+VmkhCE0MD4wrpAp4VycvLEaqKEps5wk1puJduhkQ7XDR3APiPIaZvL8
qjgayjyZWltgCRIUqJYJ32t+rDWl/WAZ/Qi1beup7wIiJXy2rmzVs/CM+QEDA08HqphL+OSb0qGU
6JHzTVVhsp4Jia6ObcTez5NqCiu3b1/KFL3OAHrVjt7ReuV7Xlpfbn/L2NJFcIzbUfrnmJa946+K
fPfOsursXabW5sEfOwHDCzuq5MoOvjgYimdgJQmdzh6Bnraeqa1Ndkelsnqykn4AoJmo56odiivv
9aWhkAQAErVlwdz/x/NSNlzugp7TnXIDsaOcKqBRB+a+L+3qyk13aSibDozzV9ACb5/joXTZCD0d
8LLOl1y7Xwyt+tVb07DzFusaefz8ykGVxjFQ74Olg/vb9r//87UqyKQLzw6maDo1oZ7XwrHm9FAm
cwnywF/3bx/2vxn68SXOeEiCWigikiGdKoHJvljydHbzOxJf/8MkmyRUa4J/GCXj/fQ/0s5jSU6k
bdtHRATebKso03S3vEaa2RAazTuJ9yTm6L8L/RsVRRTR82+0kUJZkMmTj7lN36Pc0trGuU/E5Au6
yy9V1WP9kWrGjnDh/W1CDwGvQCompAnuOvp2Bla4kvyQEHj7B6+0GL7bqMkZtNyO5oiCR1zTTK4L
ae1k0todrIwv9PelV9urFGlmyX5Kg3pWVYRB+rbqrBOQ7fR1RnapPlT04OWBwRWW37nWGEEPY6wK
+ixUzy0Xc8fbq0G+7ezNHfiQ34WEF/RvixByp1U59shOS6BNgV5MESzo1r50yhyfEzki0JZn1bMh
28TvpHTZtCa6JOWwl/RvHX3uAsRUmPXc60m2ptbqCmckSDvLOYZFo/6p9X3HiCMxdvZh6+gzQIF4
whWo35lASFXQCEcGMkir+ZuXi0I9urpAkKitnM8F2n87AWTjtkUREXAuBB/OGx2122/NiExZkzhG
QZj02VmPNDQp4yk3Dj0EBL80QsbwDXGrBLny3qpRWZWR1+w0lraemkwGdCtCaRpki9sf0aaOW7QC
f1v6yO5fatPZ7+UEpxo2UPtsksHt0Sg3F+T9QijB0QMp/NsFHS1JwoxBOw53HC0L9O6nSUnyZ2dQ
oo8ZbLadY7x16VLo2Oj9UmDdeSeVNHyNyk3iIO9LpPCHYTzKYmQeVfTJhBidDP0mMY1Pjz+ezaeE
SM53zeCa83T7lJEg80+kiIPGk+OfI3CsQ6FEybvBojeti3hPV3brlmcgSujCpRiiwCqG6HUDCK5w
o8Cp7fmQIddx0XL552TDb/HCnKEcjZLjhL7dgdHAP48fdusk09zSHEQiCBV3/jCWLIEOe+VSjah5
d1jmUeNZA3/PHdLZ8zmXWh/oje6chUyHV7grxqdCzpHz9PiHLE+5uk3oCzDfYDLMtbK+vezaGqNs
7EWQMeA/ZK4dfa4GZQ8UvrkKVSYjddRl3HVRSwMfVQy0m4Ipro1/QC98rYvR/Pb4UX7lZetnoZtF
1PvVZl9LSBqDbQFtRZNOLZQZuKe3GFzHcwxKRq0qvKgWeq7qRs53vlyom+M0giApJH5QhwysK6jf
KJybw+RxGA9aUfWIZ9hjWfhpVFud3xcSu4axTFNl71I3NrbBAMVNENVJCtapUUae7cW5Rilum2Ca
lCGaX5Ixat0Lymumek3ow0LKtfXuu8hVaQGkGdVnLUyrH6LrwxcbaazcJxcox51MauOzRJUYOjXE
YCip63RjgHOXFZaCDYwihvNYd8Y5wv3uHz0r1Y9jMXc70XXrqJC5QPlYJveYOtyGAY6Ko8iYD0PH
ST5ghGkWhx7X6w+PD8svvMH6sHBH0gpA65fbZBVuXIWyDN1KEcC/ytzDoBvRjwg899d21mtOAnps
2hEzUfFDB6Qzviqghq5mXzTyOAMRaN8ZU5k6J52B4XDEkHn8M3IA/gKH1gFdO1bmNgdXkdP3xsid
vxuZdOpFG/nifdtN6vwQznn+uXRDIN0g2ya3uw4M071T2Zct5owYR7uHWcWO+zyMDOjB1LgIVkxm
WT7jx+OJwyC19HMxQQt6VaOkrxBO7UVz0fVq+AtJojb9t4twlD+0CKg5p7YiRTrpvV6LzztvcuPo
kv/qJhkpXbh1qu3o9HPnqcNTWwXmpdae/W5o2+L6eJWNOwniGAGTaEVzbB2npBeXuuuilFyhLvEM
J75+tou4hRid5u/wC/7qlaH2/fGaG5kUZRG1CjwSFV2x1VHsZAWks+ToT4lXHcfczJ9qVNsheM3x
TgDY+so464iU/CLirUMXl36SMRpGsqcuf1aeK9nTdPocm7P3PhRe0b/9q4YiTc9guQBRbFmVuFPo
CsiHOaL+oTFhedwg8n+uM8QFD0IxmvGIQbKafH38PjcekksNW+CFn0pvb/U+NYTE66lHNaSLFe00
D/rfINSBawCFvOSQeHciycb2IT6NFgSMSwLrWle3duIWS1EUhfsGisxhFEv05l8zBy9jI9nZwY24
hf0SnVvuyV+54W3cEqZRCbVeHBvKukPvZmEgEVR2qvWNV4hCAc5VIOHoTNwlwCa26ZWNIHqjInt8
rnW6E5/twYswLfOauTxVTSls//G+bbzIX54e1Jq0a4Fv3T7alEirVXSk0evBrH1Xzso5rcDMpBS7
O29xYyno7JDpGWdiQr9WYc/aKQFapWExUcvy7FC+vsrKQGW0znYDl76xZUuaS/GC4CXJ9eojQEcT
0aLZyAInjz0kTJEb9Y72rFrywGiqYQhPGfmz6Z34rxg8Bkhu5jUpxqqZ+T8Gr/UrEbdCJ65RzeJU
pXrGvovIPYPG0f5QexJr4EYLkcMre1w9laFrmfjo6j+GKwDcJ2UyfHYB5MY7B3/ruUiyUIgAbwdj
Y1UvmCM8ITEqaVDFXuPbfF9+6JbVTkTeWsVlzoNEHM0PisDbU2FyE1kjQjyBZc7ZtRpcwMDGtNcL
21oFGjgDbhJU0o/lXvituzIJTcSuITPYMVX3EuOkemzLbtw5dnurrE5CX7MMsKgsiC3E/43Rjs66
Xas7q2wd7iUcofmJszVw1ttnwVAP+VvsIAPw3QoSOPSLUMwuz6Y6dztxYvnBt9nNMmckymJgwWxs
vTn4PIxtOydpoIUibo5UE80pBOT4SYKcFT7Kos650NWr4aRvFgmg9c61ybSEmgo9uNXp88gLbXU0
02AuzCKwBEAiw5RTAHxv2iletp4SZAcDLOT26Patti2q67yg6s4CpA+6/BK1SdufGwfMM/AwLO9/
6o7UTDB7Rogg1YRl9uPAuLk+yvCwsskkYRHdbmjcpINm67zlrrKKZ3MexDv6pyowTCu65tGYvMN4
Vj3jAbsnwHV/lHjJHmBakiKGu+urtNMR/sLZjZVnZOuY3Kvu3xYezeLg6tXeub3/OqiQ+fzglrLk
XR6EWnLWtxnm40ipYEgcTtELXrr95fHLvM/wwLAgSUvcQrkcosrty2QkPzDnLbA4j/FwOg7RaOW+
CuO8PMiwJrbWURe+2jRe9oZGGy1VlkbKDOEY2nZs6O3SjSqKvjXSPCjNYvoKcGB8zbLEVk+50Iqf
UWfJj11bOP6YWvDgDEUgIllkJQR4d0j3CqCtraVtt8i5Ld0lexVXBR5oSRyFGb3N6ksd5c5TZEW6
j0949OXtbxwA3uLrtOSB646LUU9619tRHuAllz1JaGUfJ2XsDx5akV8aZE7PDr5FO0Pnjc4H0gKo
9CyDgEU/d7XPrazp3eYiDwpZVufJFopfatb4YaDT7PeO/g/ETu+SNl1/zLK2QGHX2VM43TrQ7DQn
jb7JUrfc7nesDGGczU4aNDTIL33tGkeUr7ydcL/5pKASMH9Cu+F+4qyYrtDU0EqD0WuyjwZIc0CW
+uhBqNKqhd08DdNLCUvl5NpxXkIptIevsx6CUH+80fdZI0kb+mG8cajid9Ei1IfO7LU0CyBLgzav
DGf4u0rhYh/qYRTo2qb/5WNmekZQBry1jLFu33DTgxTvyQsCTL9NBG+4XJ+HlqH/MR2Qijn06cJK
bHTZWDvPurW3v6+8/P1vCQPtb6222iQL3FKZ35lDbQdwwZudzvfmKlS7tCiY00G8v10FnHMlciT7
QSp4VhGAzINYFMai30OPbm4doBPkkFUVS7jV1xKpA9WGxxUXmnp9BkJsWvHfeu/pRxRxqp2qcCME
Ew2Ig/Rgl9JwFXr6Th2FkxqwyAdQ+V+Yk6Tf9Fja+vvUdsKLFWXlk6oC/n/z8Vzkq9DRAroFXnK1
ZZ05mUyprTjI2h5BCDlTHRzDhBZYrKfts1708sPjFe97vw7AJ7q+RH3S/zVyCCMmiS8HvWZoHnTX
D0M96PWLq3RKe8pdgOGzqkvjXBdxFiGNxu1zzgfRmV8e/4yNzUWsjL4FXdGFYLDaXNnmesrS0CWw
MHvFhLr0K72RGNuU4iVy+j0p8Y25Gc+NPLFGk9SGQ7cKfJKAyGhEsuAiZ5JFYeXLeDJfGnfuLo1j
1z7MuubYTHoLTRZ18b5In1NFaH+S1smdbd86bcu9C7pqAW+tb93YS3rTpLETlFFKRzPrIb2crdab
/qgbN/Zlb7Zg2jWxp9uzPOQqNwb2ROMPjWuAVuvehxjGIUzhSQRChLlvzsViEXGGD2LZsXyRnffB
SJxi59rbCBgkqegsLb0BiqbVGQcoBIJBeozK1NA52VXnvPPmcs+9dSN3WFSPUPSDxLYotN6GpcjT
c49CKQ4SS4mP2Ck251mbQn/KkWN7fHa3lgI7upyixU1s3dIvALSUzlwkgQeh1T7WXTPLQ9p5YQZv
w9xjGm59KWhmwVqjwb940N0+WK3gC95GSrKIjvUQ90G3dAAIrtj//A31Zq/q3FwOQATKvSQq3N63
y4kEKZK40ZNAb/P6iTE3ktaD0T5RIqJoF1rtTu679TJpwi3taCr2O0QcHGzUFhTWk0gJBBGa6Gjn
Fp5fIiV2evu+kV2DBiXO0x1YvclMGyclHrUkUHKSkmou9FM6ttq3zghr//FS92ceeSyQzpwO4hsS
dLdvsUVFxEuqMQ1CWLtPS+V50jsMjB+vspFmsQxiPwsoYqNnhGmezcHXWabxsiMU+vSylDOnyhPu
JcoM90PtyfrizHFygLNjwjZs3uybYCy/YVGso7LX7irRMenGXp3IKC2r58AQxa8jGikvkNP141Bh
QHMgnpeHWBHiNE6QgB+/hPuYxvoWuQjDcerQdXtc7YSNuIlLPqIj1XCw7eY5ddvmJJjvAfKFIySr
efrYOWl8frzy5ibzYdJCg2PJebzd5E5r+yZxc95+HnWnOYnLS1uYxptP7a/GONPSBWiCP+PtKkhA
F1CkWp4vUsLjYsCBhrrm+KJt3swbYSs1Ff0oWp0gG9anlmOMJUtXsVTYldfBcbpzZ+GZ5ODBgdPp
qJ5BUQ5nq2utPVfVe/T6sjZ1tk5Vhr7wuiJra7PTFNoYQS0LhB5KM/mZSwv07zKJkBdak7F1ySIl
fmXyVtVXr3PiExdB76PYEH9p5wisSdu8vaXDz1rY7IvJ4T3OQxhSFophkRcKu55AbiXhJ8hhY+sr
TQNo+O0nCh9A4ON4KDj2+kSNooI2mxIMsWwA2jFMwv1Su127pyK+9c0wAzYBxGKFc3clxyhzdzNq
i1T9PVSBpKzSr67UZ/nUY/33DBmc2h47cdh8WKKEOxXEL0Hl2zSEl8qnShLC8WVIcXukYYBmVYfA
ToBJQ51+0tGJ6RjWiVn4mg41+Vs+VtKK0GCOB95CMugI0IBkMw66NlFDxi6SNUcFxfUSfQmQgf5o
tW4Lj3Juv3ejXuF+01fy2k5TaJ+x8RjjK3w3I0Ttyoz22OX3NxhDayC3LuUQZ3fd27ScOMwRA0yC
RtXzIE/H0e9cK7t2s7F3PjYDPthxPhN4e7TAlo39rcTTQ0RKWimTIAJM9b6UppFBgSyz01TB0ESk
Znx1UYTB7TPO/+d2UEEtrXm7LSYPvEzsuEKxZFk/cIKRkrCsAUCB6Lp34yyVo5Pnzk7c24qu5KgG
hs5kPnfNkiSLoqJDQ403WkOYcRrlCn3Y3WsQbO0ea6D+zeYhI7t6o9DkZanZE9PVRrP9CFbxse3w
WPYy4eyo9d6nVjQgQMaZ0IGspfq53TyC9oCV5ECWM1fdq9bp2lNm0rIcpSb92XCn/5IegJVkakaf
iy7O6jtD1Q6xaSOmupwN9W9TMSds/JxCms8Z1EzNb2iG18h3Yi588Iq0dD7EfeG+V9MO09HHkW3r
NSN9urQ5SYjuKg96tkJxIeUGEbaevms2YRChQ3xO8rcrPnKToIQM4Wr5Tu4AJSYoEuybgfWWYAWl
j2p9q70O1eQeQ00y9338YFubSl1J65QNvQeJRHlEoqOklFSdVRxHIE3PIgF74MWh+RMQ5h68dzME
gA9ZxDqWPum6U6FXJRqmBm/SDgc9O1QCRzijQ+HsOrUAEo5DSfcgdCrxZSqipD5VYSOu6VgZe/2Z
jS0FQLY0/1ENMcm/bo9zy1sZjMSirhvm8ZhrM/6EwK2SqyyGeufK2FyL4Ep9wCiWMcvtWnrWs9Ui
jALgzfrV9pLm5Dk44KYaJJTHG7oRdxj10m9iFUbo6/crhsaMMP7m+JQz+kh5W51DVGt2Vtm6A39R
SV26MVyFv7b5t0huIJ2HogRId1u0vXlAI238qSVC+wtgk/sOBd8ScbUh1IvnvpQVl6HBxPsHygWJ
d8oio/qKFYban8xaKa8likxoCVRYPGkHdLoy96SZg2yPCZU3Ykexi2snZGPnZKIv6L390wYCQzFM
7Y1A7zpzM0vk1MySmatiG+nRql3tkOUivaYICOxEtI2PjaUInVw7YFDXfZNcxmg8DXGGIeVEBFX6
zj020JH+jDGOPBtmOGk7n/fWwYNTA2mIlJiwspyW37Yp6mZ9nnKyb9i602vfmu6lVkT3xEjP2ykn
NpIyjdE/zUeSTaqp1U1UTeUsofUxBVqEi5TCS57mJrXLCy/ffIUy5wTMNetz1cMz3NnDrUNPEbNY
L/BN3xVRo0iAbuSsHaPZdZoAY546K+52nnDrZUKHxeOBHaQjtHqZpSG1sFumaV6d1zZKXa4V6IOS
/GsjGbnTV9g6KgvkBvgeTbY7JICmJEmit10WJLmdnJD/rJ5HRXyqoB/7heMOO+zbreWAUSyp+yLf
vL5qh7iDcg+cLkDdzfRbbps/BDIxB8WU6SU3rL0B1tarpGVMDoZyEoP11WGx4tRpsOTKgjnvNBQ9
htDnSBZ+YShvHxm5hHfGn0uufo+BoV5BVguUVqBiPv2sVbI+JSLfGyhvPhDUYIYmgKSgEtx+aMCr
+950aXN1k3COI73Zd7gSmodZMZuvjyP8ffeVB4KKAxOcnvtdqzCVJeioKksDF4m6s0JcZAYWue+B
zuYXdJDSp6wO1Td3QVkUQQvyZeIkW3b7fAUIvroWKYGkJlW2hCa5y6p/Hj/Z1imElEJfkkyLsdfy
5L9FqzGvpkaHMhsYoHgxjW8Qf0ABXkyoNSnIFP7/rbY6g2ZdtFwLPa27MrZeqiz/kdRp+qHj0ztW
7ZSeHi+3dUIAs5Gr0+bBVWm1nKdP8CrwOQ4mCc+gB3JwVCLYp6LkC3i81OZ7BJQMVA8Bk7sU0nMB
5yUjh9FUFO8cG3p21VuB3FASq6cmQtj78XrL4V4VxMu5R4sQlPE97c7QZ88pXBovXqplZ1L5KgiV
NL4+XmXrBZI74Ti86OjfZTaV2aLU1JdpYLvSO1nQcE8Tncqr6PXmP+wVEwYqVMYtJImrvXJpGWcD
XmGBSPT4jEpqZPgKJtenARRkvrPY1m6hjcfLo5VAwF/VVaWYnQZBVQQ5IxWSohYNx9hpikCdmdct
Tg87l+VW/FhMLpGvQGzh7rIEdQLzpOAam7y8+NrkXYs/aBmf46pVv6oYX5/0GDWfx5u3sShJIjcM
lTC7t86yOId5ky59cl5AG5RZNOUHJD87jOc6cbSV3J6OfdN+/w+rEiO9Zapy3zJHwguOqYO4dltI
x4+poC8ZI6Jz1kTOs9NrxXmeS+3t5xRwD1RJINVLr361n5X0ZlklDYtiUvOuL+boE47vqZ8jBLUD
Ftv4JKj76UbBL6K2WDePdSdChC8USYAgm+aeQzur34sU5ORTaVPa7OzhxkElnizYD1iRXAarKgZh
pzozopB6HBmSv+qoDi+yr9uLFQ8KSth1NuxcOluHhiEEJdrC1b6DHfMSZzT+RoY5SqIc49iTR92M
xNWIdHlGTrJBrx2JtcdnZvm2V8FsKQeWse6vhGi1fXrt9tIOyzioC6364GjjO8pYVPAcpz46UR1f
JlGMiOu1/yEnWtakPECT874vpRUN8uoum9kookXeRDPR188HWEzStsP/sJcLaJ22P3H7rj016aQM
ZabGgWGXKEbWCTSDY2VUEc2wEkrVB4RX8j0zi417gguQe91mL2EDrsJq2NX5kvFCh1tmLTbyda+u
2EXYba2CeiQFFhkfMXy1gYmNGnePbXlQ51blp9PSbqzknqzpBvSM742RHy4JCwlr/TCJyIbKchYg
n0YScZTUfd+9ulI+NHyGyTFFtaI4tEWNXo0GE8gXAjVLf44BmqjIIe10GLZ/zgJOXYC9tKZXHyeD
EeQN0aoNJgOsh5BlfiwKmb9oc2F/q7Sy+o49YH9IcHa9oqId+ei+d69iLMVO+Nv+JXRWVcqWDcpY
5I0ZX65GQZ2lVnOc0Px+sRIl5kjbmRe0oejeNVpjnqfSmt4PVaS+Rs0Uuwdr7t7OcwWkoXocB+bP
i5DbbUbpRZE9FyW93iaNfmZozlC1Je2hqD39gppzvRM7to4eWReRn7B/jxMWWQsExbJJKbVk/mQ5
dfo+Aqqw8+1uRH0MlNHiMFBxuEd1Ir5hT2IyRAD4bDi1hvtzatHjJFWudu6XjVgI458gwWe08LaX
5/0tIcd5xR0d3LDx5C2rH8j6J+NT7qIcj8kOnqNthDA/nZ1oOPXuaCuXN0di6BL0fmFlE6rWA28x
u0ga0q4IFHqvDICB2yR1W561ZoyuaW3al8bOkfMhkO3s49Ybpg3JTJ9AzN26ClS9ENo0ZTmtbjWd
TomjuH7khOmFTlW5k/3dA5oW8ADwCKj4hMT1CUXJhSjcDiJI57YLUGJFWXvRCEcRbvziOFhhFaU5
XZxoMJCYtbW3swQpwJdLgBuHwLzOPsM2GUa5bPEk0xMMlfk8dzM8m65F+72Odl7sxo1OxORnQj2g
zbsuIx1nLkWk4a5cJB5qTIolX1wHC5VGbSY/ZW57igZVfHl8jjYYgwsD0oEwQg5I+34VBVoy71Jk
3Ah4xSTjaRYOU2F7tvP8NNdlXRwkaLEBp6i01OAND/anxOoiKPiWHUqMgCvtm6aJ+gTZcvhXHaKs
9vU0a+FaIZ+Ld0goMnjWeh3jJkJ77CLnUXyMtbHDOAm5zeewTBGiR5ZDJOeuacvviEdr04VaCl1a
hvDdD8ZFdXRm2NX8MRpzbLLp7hj5U+bF7rWw7Cn2c02UHwrogb3ft52X/aQ9TnGHlgNCdF1viiuG
W0L7puvd9CVnyL2HlNgIBlh3QU1hvMvLXE/y0zLXIDjGUWBlYX3Jx1CcZY93Ccq3yf+SioEMktQR
ZJxY3blSNk4NdITFFo7pvk5adhuGolCrm2JgyKVXURk0WgV7E4Ohj3Q90MeQojlmbbqHnd/4MMnf
4dEjQQ3aeZ1b15lqzL0HOzLvRXXy8Fzy07grvtW6kaHSk1WXURTy2Drgz+RY7tkVb1wldAs8WALA
mBbwxO0zl45MUmihJGho4T61sROf1WxudpRAtlah0wKIjzyGqdMqwFf5OLnelC4jNlliTeFOEqXn
YtxpL24vwzhiaUfAOF2nZO3M9RCBXrSGucgP+STyH0VUpjvRZaNAQduIgE1A+5Vh3r4zsejUcPLj
oIo86xVPEg9VXQNjKgQT/HKY9+bZm49FMot+DKQdDsntesYwdKFXkEQXnYKNsttln3HN3pu1bK/i
MQfFnZTzuNojO0YBS3DV0+/T7NgXk2odBYYc+tvTCoubHuA3KD3orKtNchC31EAiIV404Ct8kHgG
ymPptNCWBwWQ+05Q5t2syizkzBi/ASEltVhXyVGJoVpeg5nLilw5NBWI7KjZFRrcilmwbGABk5aB
Slk9k931fVWDQApMYSjv+JwcP0Hc7WV2UySondHxiSjFUdPGPdPMjRSCuTUXHaguC0DiKmbNigdX
LAU2qs0MMKdSzY7JrPQfYQ1+f/wmt1daUMFwMhhlrk7hELnG2OR5HAi7kn+WFoqZLQzaLyNA6Z1N
2/rAYF3SByZX8ZgZ3R74xJPYHnYzD+WWzCEaL+h0LE5tbJu7qPv2+Lk2F2PP6Acvx36dK0C4dxUj
NaNg6EX36llxdMDkwT1XU6qfRt7Fzqxs4ztbHguH3MW0FtbU7cPFs6lng1EiUZMn05lEYnqa4ZL6
j59qY7dYhXyW3A0m2PpcxF02jJM2RkGvx/P7EW1x32Ya+NK3wx6Kc+Pw22BsyCz5wu6TLRsnbRRv
mNEyaPHMIFExsvLtuW+u+PR4WL3Q4rw0HNI/vHq2d0L+1nMCHYW0wUyJunR1VAqj1CJHy6IAE9wm
9VHl1z6HyZBUvhrpe2rKWzUneAKQKUw5aWquvwElE2Fh13YRZGgYnrTJCP1UHbMDUvDKWTp6eI01
7wuFook/IB5ANW1W3+3TnU9x48hC3ORXLA0ORoWrTxF52DpsUJEOMr0UTwVKOMcRrDr+UB5Jmkz2
cpSNHV5IhEuAWzBG68fW1VIx69gpgsEY1QZpkTj6ro6K3vqOFk5kLrH9vk2jxYMCetbjg7zxuQDy
AzoCVoXx2vq6qN2Byzw086DNgfixwaH1QaCdv6ehtJH8AU4j7wP47yzy57efpZ7PnaXA0gyyQWLK
OEiosdzHp6IF5FdH6BK3TZtf/8PD0XEE84PQ6V3hK5IKPTSsAQMzVNvn3Gzyp2bAx/HxKluPRk0C
C5Y2HHifZXt/K6/BoZpVqkxFwGTI+tnKWb+GmpP+6VUlAv9SIOXk90O6h1nf2rllpExjxAJ8vKag
AlMBvhhGBV3xtD+ljRMjuqkPO3CxjQDApAeaARMhJBzW/bGQxjfUowyzWKMq1QMwHuPPJmlLiWme
oLP5+FVufAk0pPny6E1r9r1kREeGJpWQLyG0vf7qOkP7yrRFfm89LSp8xwA6eewTpdfAX05jaV0e
r78FAOYHQIRidEnBsK5RzFBLOTUuU5x5hJwy92aqHsCJNT+wGEywAa+tar5KwkZ0wFsm/wcv2/yP
OWrHv+sOgy16y53QDgpc63Dn3WzsBDc2n9Div7QBuWqBlyNAyk8TaKmqwp3OjpGZVyofdec1bARA
UhAm4L+i0h0hTAHCb9MDw/WuqSvfwhHzpetxJRDtXJ1IBfeC0OZrJ9IShIB+LKzF209IsTIBuxjk
R++F3bs2sa0P5P61e0YofXLP8agq87FVxlT1WySf7cDI7OYzaqu4tju9ghb+nKfGFQw+cpaPj8TW
a6faWdqB0NKMdW2lVNFQaiMnokys/KeC5eoxU5D4CAfL3JHX21pqUfQ3Ge0smcXqslV0NxvJN9An
MOJ/rdD0Xtyml2eD5sPXtz8Usy1oKLQgiciraDzCGApj3cqCdErxjVOxoWttBOZyfXJ26pFfJe6q
RGBSvoBNKcLvU+hEkdYUxXWOgU2Y/DUUzfyxG/CmPQyplz5pg2debDow9sFMcrR33NI6DR3tmzd/
Ph6BhRGbu8Ay77AqiYbpTVIaeVAb2mAeYRb2qQ/WbQG1TXqzJxN6v5cYmqhkEEu5t5D9bk90mfbS
VSPQ5c4SNst0yv6YbPsHQq/Gmy+5xTpl0YZhxs3IaXVqJLd6EeJrF+iYJxwsNZyf6jLbw9/cX3Ks
gg4TqpYeyco6MNImHwzpxgwm0N/9yjlRryRx6U8DvJ1zUCO7P0kVjfmdXbuPRMDB8GYj8IHru+sZ
pdzZWFKNiBLOdvYZJWAdRnPZvrMnsxYXacSafn78adxfq6xIMUtPHl7AHVzZKRsKNMuMgwGDYJ/e
QO4rlaPtRNit18mpgGWx4CDu0i7MymTWMq4P2joT1wZfttOU9+67uMcnilKg+7zIeb79U2Rsj1Du
r8KPP1aZShRTqGgz1WycFDoO7Hx6uBBFRxqF0+cGZdt/B6alT1rfZGdECMWhgjNe7Gzp1gsmygFE
WqY5JIW3X0blmgPvhGEOnfT8EuLc+0zystcGue/7MTSEF0mnCoeVu7ANvmPSvAhYUKUoU3+ZYtO7
KlzeX4SOlt9Z76Sqwn+Psk8AcOMeAymv+fD2kwTCkE6rzkki7tw+KLJ9osv1CO5AKMUTrsSaPyCW
u9P72/pC+DTBbNK/wk9g9fn3vOQezxm6qi5uN1M+9h/SRkcPXYi/kwywy+OH2opri4MhPSxsPu4Q
cgUqLhq0CzDQGsFNwUXjEFsRlsXIju0clK1vBN9AbUHILeXY6qDIXDc4fg7Q7iir/N6zgJijRQrD
xLGjRWW5E9e5mPo/Hj/hBkmbrgjk3YWjzLW/rnn7SakGtaTgFlY9YlYL0OY4jqH6IoC8/mvlbdMd
4cxrF0ukk3egVjTDUz3P7vsasTrGO4Vwfz7+TVvfzLK5CwOXrHhdkeYoILrNJKOgHWLj71S4xQdT
Rs7OC9/YW65p+l1ALIFQr2tBxVVgajSMBlwLk0NnQIbFw6Tp1W7UPcn8X7fSbVbAxiKBRwBkXMUs
6fbjoBZGcsojsCdpnDX4xeb1S50P+XSYjboFo5EKSxyFg6zXOeEK/aJi/Cf+bnAhhT2it9+kXfXv
1a7LG3zwamlcXIcjT4uum+3DHJWmdkDC0WAGM4KKPbudZ52KpK7ai9Kr1alqXTOjnVDH3zvDG6aj
0UrmANo4g97ytLh0jjN4XeMwakord6L/xnYukl30S1Gi0u/mZ4hOk+spICjG0vuCCbWNEV/S7JSl
W7vJTBLhCjrbDJiXH/FbWSqMTO/SDi9IyEWdbxk6MwF9rp8tOajnx8dzIwYBzgUTsmzlfdWkR2k1
1QvmxRxUDU35eXg/dHr06syz/qNQR7lzUDfXW2adnNMNIS/pFEjmO9zRSoZIYhzb39HhzK6S7uV7
FHzdnXtza7vQ5aAupJa6Z0kolYdbVByhU9eoPfM5bTzBUN8zaN3aL54HLWI6bfdN7lrMWlvCvAzG
KUuetd6u/FLRtSPUsGqnqF8i5+rjWyTDSQAW6XBuqNujUaLHiAsJAIeosaafKVqTx575/XXsMZ6u
FDd5cYww+tAlzeA/PikbD4lqIvXUMpWnna/frqx1GsNFA3EyjzaQdUbXM30X50nzZ5Yo3V+P19o4
JYCU6CPA+OKVrlWG7MaYkFZe6ATqFGNGP5fYWJvMjIu0VZpDU5j6TgG3cVB07mFeKx0ThjCrp0sN
Yy6whM+DOVLKoy0L47J4zpweP9fWO4ROQHti6TzfORTZigUncY7zoGlNOtwiioMYPY0joLQ9qY6t
pcihgHGTX9ArXx0UdK96/DGTPECHa/4h1UngUoZE8PcYjt4/jx9r47pHEAbQjcW0lAt/tZYkOJuJ
pVJo6wOWseMwNccwb/XPcajHxWHUtRK11DLbicXby9JEw6AXi+t1mOwXdnKF013QuGPRH3rCSnWQ
UWadotFUrGODalkwqYM3XB8/79a7XdT06U3SsL7DxUx8Jf+PRjSMve3HWAF/KQwDq9lR1T+9faml
6UpffWEjrjMpJbX0Mc0droKusFCcQWD+4FQmdtODAdzh8WJbwYX7BhQu2Jt71Ymh04wpt/HjUAfL
/tZmo4a+rdE62DE21lMyV8ZVgz30mhSJuUcK3nqntJihZ/FSTWdt9WmCnJ3MjqzCcqG9YGQ/n9Q6
rs9x7Iqdb30ruvy+1BILfrtes37ATnjUmBq7eXIuErc9D9we/85GjOdQHYVvH7WCgDYAUC3Nv4Vc
cbugobQ15tm4EPTa8G9syvAla+M9sBb3DP/N6m5YLjqOC60henGrGIYQSsyYAdBUWEWW+QUnWXcu
D7DlFXi5va6eszlunUMY6ml3REzH6o8RCv6UyxBLsF4pivzoaL0yXezatavjJCz1Iy43xjenzYVz
gFmTNPgJ5KPlq2bW2h+mOW3+TaEoJQfXbbwvIrWK4urZyE1cDLfWxKmNirI9KAh0B5mmKZ3v5Wmo
HqNiHP611cLFgaV01e+aXXi6L0BJfpRyCD+l0p7b05DrReXb+oiAu5cI+aKMXtuday8xvruFMkrf
THtR4z9szLmfMabx/NaqZX8o1VpRAgVX8HejblT2UzX0YN0HBcj90YPm+tNqKSw/hXTaiBmhnWoX
vWpa6I/TTJ9WIjl3nOIyzY5YvDvjYbI6RvIzsMXRplQr2ncQjjIsWjI3q8guyv/j7LyWG1Xatn1E
VJHDLkKSJY/Hk4N3qEmL0KQmw9F/F/NX/TUGlSm/a7aXW0D300+4w/gzR3AQhWt6SyBTimj8Mkaj
+EyUcubHxnOYS/lg/TPrN2KTI1IQjRZ/b1KZDJe8Mr1z3sMZuSj60ERHsnnsZA2h4isfqpmwj2oe
mbhImJFuENcSfKFLI03ezuAFsgCvp+YP0WO0MYbHrvgYKUoNLmpIi/5zOlHkBDO2tMW7uZTNxyqV
9gPyelHuz/Yw1u8mu4orP6vt+ZtrCe/XYM/TyRvxsPK7BKGfO0Wza+dcqDJH4XDo+7edKHTxMDRD
P/jwTyM3oK4cSO9zS0TBnPdwR4U3mPOdijde5Ecqt94RmX4nC7SpM+tDNdg4G1b0ppo7ofZajoF3
Jc2gbr3kvpiGpvNhg3rf0CAb3EM7FtZn6Vl4iTuAddwHXRmGq1VpA7biHF3toHLR4Fwel5NE9sHN
zQR7kybX/NaDOQXRpxraAJvqQl40EWOLWnFZSN/to/a3NJH588MME2fs6pg4Hxo55ep91c7Wl04J
YwBgVlocsq5AVNEWzKj9CZRb9K6nmGz83LWl8qUYa90+RNCrr0rVzB+NFJH7d4VaZbNPzpb2bEpv
6i8jFuSf+6mxWt+sWuNrJfVZOyG0apf/dUqv41uKmcZeA+nGXUldSP+PSR55x7oyrsQYwfiDiGF1
ufEOIG74yZOe+yunNv8oG+13PVbTznWyCekLAQMJKC5Ikp2NUnoj3MGRMAiw05mSQ7Ng7apESY+T
Yv18+eLatIzo8KPWTEmKNiZrrRKQkba+ag1OfrUbPfvujl7+PjJaG8yRl7bfKvQ5z51oSk7eNH4B
r5tWx5d/wOZRGTlRR9F+JF1llLiK8GM6NnM2SHSjpVe+H+NxwqExHCjbanH6X5ZCOwNoN1fKGiWR
9kUReSpEwHCAr5kX0Qw9obJOuhLu2VQtv3p9oZDNMTpEwWbLUUhwQm+wmGbeKwf5e3Hr+qV1TMpe
/0CLNi435KIZtO4qRgnaboD5qZ6MnmNbz2PqHVw3tX4s8rHzzqa8dUlS8GJ8CuRuARc/v4vNtjIm
r6CAEjD133iJMZx7BsTj2TZG0lbpJePF7AvtWKrauHcKb20TkyYuczamQZuOXyEB39Ei4hQ2WEfm
rVmrvs66l0Jp29er4QKiAReALi/QtQ2cprATtY1n+qi6Budf6IQotx3PDWYkO+/0L/L02UZZoItc
lbxRfGs3dY1uK3aJJCsD7TRLh2BpmN5Ptdf8nM3C/WPHJveVmrtC9zGqLx6EXcfuw2RWhhK0seJm
p3DMku9qWKiMbAcK25d32OabLz8PuzWYCMxGNzsMy87JxK40v8ZhXRwK3eAeaebBCLLK+9FHjnF0
3TE7hGGxR6DapJqsTKUAunyBkCLT+Xy3lVoSD5HscsqQcDwqRpEfs6rqz5Zw5jd6Yk17/ZXNDlsW
pOJb6LtUDetIiPSwDGXMgoWCvnw5qSPHqvoAJSXbaVL9DTTrjw6LlsKEQSQtweWt/5NG43ozgdB1
mETqc9j7+hCB2B71wYoC02hr7sVQuqVPxrKwKmUhkbSd0vpJF2n5XsXE6ZNuJeYUzBOM+Lu+Qyzb
LxKrie8MTzqf86axB4wgKvEEXCD7nukh2KVp5PGOvV5q83GQxvyrGBXEPqs+BNyA4KqWYZ1X1/oX
9nzX+mkzj/37OqZTd3QaSKVM2WDY+6Q9Nk01UHrfZRRZo0854CQHHEZTz+cq7Fs/KnF/eUvYEh9r
ZKBCX5vc4evLG3MTYPla8AbpWaOABz9Sf/4KiyK2x7hA1j7hWY/2HLafrUQRr8XVLavQBWOcCQNn
EwhUJ8X9Ss3yq5q1OnEuUR7qXO6pWm4hYCzDfIr4RRGynQ4laZrZGZjS6+yEyTnLwuFIvqMGY5J2
fH8tPMSZbj7GSZvgMmfNT3HtGI8Dc+vg5be6yXWWH8IYkMwPEiEsqOdv1R5ClU4Wc/9EmNMRMyKC
vdIwm1aNMRCuwp4kOO4ch1sxhuU4Cib+oxtqHSfNmxfgCT2QqPgTWXl/SZXIdXzqS+cUmqX5BD8s
fQgR5d4jFN869Oj5LMhu8AdkwM8fmK1Vcciq4mp303Bfq1kP3izEGq33+p3J2M2lEDmmpcpqGw54
qlSUewt0CTFqlwanEsFUQSxgFLO7k+jc+IyuyoAVVVaachtkCVVEZEzo9VynxivPkymqayUc+6gx
ajhUMi7vVScsdha98Xw0lFCHATfJBGmdjNSGtMnM5/yK1Hb7ZOBIeU7qru38RJ+dPWSdduN6oF+G
VBDt8BumlzTOqCB6Nk1N2ejXvaVd7LrO/bLJECdMJtUHrp8ea9G5/w2MCoMqAXMnbLW5SyHRnJVi
ti50wdpFrXL2Q6nuqRndyKwZ99INQqhJBWu4usAW5SBtHLlPEssBPoXAY06wRKTuhLVD+QkzoObb
DH74NAo0olDbyKa7l0/zzXe0jEk5ssvEaRUjpQvcpabUvs66sO/VznqHQQXKnEMOUwqHk51c5tZy
zHVoBjO23EobVrYsZiZO+bVyNeWzWzYID1g5yqNVnx1nZ2rHnQW3KBvakNBbMJsEo7QdWjZ9VXhZ
3oJZDe3qLTii6Ji3VYzukiXS73gTDadMtpVzMApv+hS2aX+B61Tu5Ei3Nj4tdyT5qKK2/qD6qGR1
bgKyye0muc9hP6Hb20u/VfJkJz7ffMU4Z1GnkYsBHnservJMnaUrhvzqZnZ7dKLEO6OXkt15VeTc
t3PtfH95B916NHr7JsA4ECk84/P19HishsHu4MNGcfPEStZ8QHnZ/Gz1fW3ufM5bD8f24dAxcUJv
dXVgOsymIyysBFpLuGsLTcxnTeryXCJMcuicMf4fHo4qG0dMWprs2uXh/8nCMq0QTjjjlFBxUs5z
WHzovXE8Jliifnn9a/x3peXJ/1kJVIkWzaRD15YhcwAsTND3ou+Gf+xew/TWF6OewBppIURa6zOv
N7jAeBol4dRUpV+C43vImhZXKdhvn/+Hp1owo3RD4betk4UJ3itmvKCjUrVor4nDYQ9Kl/g2YMOm
7JS6y05bpcwLZNtgavBX72z1CgWtMpUuUXrt4qg7DK4x3ceVO++kIrfe3iKsSWpu3Sj8hsZOzBY4
LDrVs/E5nWNxHFtrPlVzs9fiufVAFDiUG1RWy2zw+Z7oM49+kmRQ10QZqkS0k6+Ad/YQbDdyKzYC
ySvXANPu9RAEA247HSVuYxA20UVVm9g33am5WL0dH2OX9mwi++ZMQrgXqm69SjJ0KBzgALd88tzO
QBVwqSHLlSbwNdTpji6UOGSjKE8vb8Sbr5IbDpQIA9sNdaGxR0ymYju7kl7Ddp5aNDV7Zw/cePO2
IZuC8UVNzHxwdZ2irx2PjbOUHKHXHdMmnWmUqvHHyZjTE8lllvroI7VHQ8x06oauwbDYKXe4KVvU
MHfewkqBvsDFt8lYww49T4qfDC/xVo+OqR7aI7301Dz1KVIEgErcHFawAtHeLwuv7s5lmaNoLASO
rVTbee4DJegu5Nx7Ta9bm42Ywy+jZ7IFa9d9lBahzhCgAC59P9iSIYbtKO/ypPw5hKP6w0Os7aln
5LBzc9zaAIQGigfqtC29Vw9dWzG8KruOam8/OO2QfEWqZE+a6lZWzS0PeAe+GkYeq++PGYVeiCrP
r07iRL/yboy+eUo7+doIyR0I0eh7o9hzd791jHikRZNnAYSug2xrYqHjtsg5WbmlPuTalFd+6Dmt
6QPJ0n++fJBufcBFAQ5nEJd+9xqfZNeNO6s5i/FjoNQayVCd0YsIyY/r2DyjCRS/HaU6BHSnm51S
ewngqwC/YJWpLyG50/HRnsfDuMoiRDmJhwyUzA9SU36LMfP+w4orpgbu+npnlHljzzxbb/U16zjU
e28ZgbeZ1md+obfTT2/W0+DlV3pzGbjQ8EhIaTY5OOEfemNsCPj7pfKgSPjKDHF3MplboQkBBoSG
KC81E7Dy85fH11SZW2Jj1sd6398hNEQrCbt2O7CTzNYCxbYTzbeKztb9uG7rwsdlJ8mCHL+xV4+j
EaxCvhWAL+UnB2V1U6uOqAl+5IyyzJ8MS+Ai7Hb2AdRp+frbGmsTLBCIybiCrEcHamjWRtoiNNl1
efmlLV26VkUJOzCb7P8hM1g+IoKWy6BiA+DtGe4bXUYjzkVn4mPlCOsxTqswcMbeuXt5y9xqBy1N
QUINTQlO/io1wAakUOwGVTWrMTu4J5Pe/ZeLqvxZq7J6M6ZaeNKyRkLix0PtCIWyv+hG0Wk+XnbG
zv69EX/YUbj1gjxDhcLznu+sqakrV9FIknU7jr529aQdrKGsr1kWTceXn/vlpQBKPV+qxOa4nz1g
UvEUJoey62SAaFX+VjEonF9e6kYohzeAkiF9GG/B3zxfqjEwA26WhDwWGpglB37CGKfJxRtbcZYo
o99N8R52YhsJQC4BF2S/UsBxgz9fc9QT2aZFTSt9DHFgCyPrE3WjuqcJvI2jLMNmpAG05OXrks2I
I8eaPXqJfe9OxyRKjIdmUIogVAr7TdI0e0ICt9bTkTaEEsympSP7/LF0IUtj1mj7JHGl+U2lhQ/6
EIu3utHb4Jcwznn50916jTA+AWowlF16wM/XK+zRaxsJT7UJe+djp2jibatqcmeV7V7EJArjCUaS
BhnNuoxKTGp5G1GE60Dq/wvN3PAkunh8MFSxIxS3vXNZiQJ0YW9T3azrAGEyz5pi4HNQSqpfs4dr
0sFpVevshiNDAXRLL5bF7DVxMYzcOQa33iVrLtQPKh6MIZ6/S3AcsI0NQHUltkqXZhy1N8lY7SFJ
b+2Qf1bRV1/MDOM4n/SCHWm16rtIn8SpiqfpZGvddwXg8/nlDXJrOfwVF/MCMsINAjLtSMxhySN1
PFXtoRgUJ/UxsIjuE7trzg3/z45+2a0vyFyUjFcDbraZYNuNoYUDrMRrrcnRt2MHiA0aCkj9jeFH
Bew2Tck+/Y6xu7cXx/5a/j3Pmug5gYti/yxF/6a+A8/fUVDl1yGdWrAhDhmU3+IGrh165iOfKik0
oqgKEsUIu6sYO+UNqH2MrDCD/Eo+Z/9AYlXUvjvmaY5QVdjv7O8tswBSLsNUTiwp5WJB8HyTubqw
BoYNEPzAgnyIRClOQ92Hn9Aw6t/gGT3fAfHCxDrDUkTmruqj2Wwcor5xH7LSiXcO9t89vX5jAHr4
RRTFROPVz7FU0FBJ28O2hdBf+J2dh/UhFYZ5HfLBrf0utookwPwwn07KUFZl4I4ogPqJZmTuAViT
mftuWNvuATAvztOR1sbJuzStG+fQ9il+ZE4+g71KYpcO/9jWurrzCMupXD8BdzI5CCEB2OhyAP7p
JsXSjcvEs/OrR+13NGkinToUhuCEuvWDHqLu42UIxU3VUKDBWu9p2d44X6ifLPr8C0B2U5Fgwuvh
l64XV7evlcdB7duTZmXWuS4n70BPaE/u8UZyy2E2UF+kMKGTvo6QHC6liCIMXmTqqZcJn76DtIyv
5uiV8mBN84xNUlWCQICs3b+V0sq/wIMaX/vWQehyyhaRHhQwNvdqWdj4xDPNvOAk+03WZv4O+ru9
jF2tu7qq80djrkGBqXO24LGsy8tBbZOwMJ9aKMJQcheN+PVwhQezsQoZ7YunwAUpwY09MjvqHxg9
jKdcx+KU5uke+fpv9Hi20xDMXgC0XFAOVERrVZONrje7qZp6F89EdvCNoduQVJpBmOLetEbvC3LT
LiJPWZf4du3Kd31XqbaPa30aBwJZr0d6eapyF3oTk8M5FNHHgs37VrXRRZ3NZr4ne9D36o/N/uRH
I0qA2DKdXUS3VrUQjepxzErFvfQy/ppiMHc2nUicGqj+h7Yx5U7WemM58mIbwing9y2nB1PAJlwM
Uy+oNY4fQqdpDkyI8f+eIuWnK+tPr90IkFEBJ9BUW4Q71xvBdSK1N/F/vZRGYTDQEmH3xuj1b0oW
mu9yRCvvQIK2O1fqJhvCkQPfWTxf6dya9CyfRxzEzWVPbeRdABtNF9eU7sGcUBccBsQNX36+TUrC
UrTpYNkxTARotApufVeOUdiMbDkbHb/ARV0uujPBgPx+eZ3tZ4OqAE1oIYPwQteKcL3FaaJX5Vzk
kLlBambKxemA94RzkpzaSmo722QTtNGn4rMhqMRMmXbqale2+uDKXG/ci9VF9XtPlO2dBFBxF1lV
edVGr/cVpyzfuiNa55OR77XPt/EDmQ6KHbTo6GtvwC3SzDx1bjXnkhtq+Ii0Q/adsWXHqlZhPSFs
yKXsOTIKXn7L243DsshxcVmQIG2S9a5uUY2HY3GJHWU+C/DFB+RFvRNa4unOxrnxQSFokoTRPGL0
sd44UR6hOmj0Csde/QxAW78MieqcsOMugr4asy8vP9mN5RbzD+R6gItz8ldpBGqFebnool9Sux5y
H7pX831wRfJ2LHOE+Ifp1Xgo0BEw5/iIjPWXie7zMzg1EOjoBHgXdyjcj4qsVD9F8/EbsHOmO1r9
38vPd2PDLIKTS+lPWGPfPF+uw++PWlXzLuFS0Q1wbd9OotMeDcWRfu1p3WVWje708qKbTHp5RoQK
mPQsbO11qggNBXjKXHuXNje96BzhdFb5Xr7APmZQRuKCiKPyZGWF9qPM63bPqXgbe1geeMai6raE
odU3RYu1G2ybUF7z0KfJNcRdyEPudK1urcJfR56Ve5zDuOysf9I3NzWMLmxd7yJraX6VaIheyyR6
dd/RYrMw8LEAtcDtX7dT86gZI0+BPOskBW14pdGPXSX2sukb5/vZKqs35tamGdHnR1Rt8pqj9Cpw
w6Gh+nQd9q71G68NnDB7kjuBr7MO2FHJtjcjFHWddpaB1k36xejccCdg3VyFTwPUW6f/veZ+jXHl
DQoZPfPZfL5oowArH82v9i3k4zCtcpjjQKzgQni+BbRI03JZI/ZopMWXuQ2zc15ryUE69rCTtdL8
5W89z+HI0xdMBtp3xMU1ZEDP5aCPCZbJzeA6j04po289+hWP2qzGqd8ZAomhpEjM0R/KHJE1cCF6
9qXoLSj1Yd/ZICHjGFyvOSR3CHrguGDSlHyMlSz9T+gRHBCONHDfhUkmHhIb9bAgTjv1l1rGdudD
1dA/OK0DSLSgrYezZNqbD7GbZ5Ofm/SffUFKi4mzgr+HA+o2OXht0uunTGul/omkPFd9Cw2e/oj8
uEOimeVqGpQSl8ADxq/MuiantN/ZsyhUah7FyY7KYHKzeZ3m/jZdoVawFyLuG1GP5jt36qiNmmj2
Zj8e5Dy9Jcm17q2mRjGyH131Rzl66X9xbDjvofhGYTAo6M37Ns4nf8w6Kz5kGZJz54Lo/4hGUlgG
g+2Av1Q7RRiHHteXr6lSlE9N3+XeYbCs3A2yvgoHHDCd+JNwYdYELfS7oxG6Q3cXdqP9gCN80b+3
Z9f4WFneSCHehMa3tIWIQb/eWIA7sVCOQ2eMkW8jxqichJbIN/k4NMlhEIp4SlCtSu4KtL9G32m0
2jthjh0XB9dTJCDSBMUHSDAjmmOdbslHTM40GYRjq1cHM8uleZkblJ0QdUq/lojDS2wYY3guSjJ3
0rea1rV9W8S9EkArc7pDWvKf7ypW9YhysSICGcIYDmxyN5UvZSu0IVpu4bdTDRCKgdFk3Du5M9YP
ip5PzfsmMtQ/RTlrxkFIpBf8XspZvtNDIc6pXWKxEdG4UnwAL/Wvio/dH4ZZhOlBNgXEEdMdy/ez
Mw6Ob6WerO8UXZf/IUeQxZeaJfkeOowa30rc1Htnp5WuPva9TX+G6qR5Q8BFRwE4XAUky8mcHzik
xAKmVJ+nH0LIpeWOYMX2FC6j/oWJSFjeymKELsAoEyXlC7e79b2PwvYLV0sfvHx/blaBfAjyCoMl
8uctXKeKZ4VJOJZp2AOJtykqUk9OYnk7qezNVQhgpHPMeUD4P49eeS+U0FFsce2Jv8Bl6u4KpCe7
e+WzECPpLzBwBw3E6HOV79iJ1FQ4ecl1aqPhXjOa8GjZRb1TV9+6wFxuY0pF8tMNuWfi8hoxd0Ec
phuSAFLUzPi+S4M6HPachm4tRduAfs2i9MaU/Plrw9kQ+dEkQxJ+VjBRomADW5KIM8Vjs0N1v7EU
mSkccBpcN8Ybqt6Ug5VK5RKmrXFIZZ2fKmlHb4y29/YAR8vXXt0vkJWwDOBKxvB0fb+0lo2ZHEhw
jDHM7mhPqjhapZX9UPIoezNghljvJPqb7UfKRMuab8WKDKZWmWkGX1gv+yK8zE4zBjk2FYEkMO21
LW8us4yGFhn/rYJXC8Q6wzOWNI0ENMhk5x28Ggt3F4UQ3x5085fV1+LOnnIjyO2ovO/l9JPDmQXR
bBd3Q6V3h7Yu+51jcSMvp3mNTB0lB0iEdfbIYAkfmzlyL41d4V8QeTHwfqkeW8ctn8zJts6ksXsA
mxv7iUUBhi/euVt6bEgInzPQ2JeOVnMQIiBy6ucIbECnODuBcrud6GQv0xB66YuC+fJZ/smOp9lF
W9Cq9IsWRVnnx9EYJl9qFf70UMRN8qMcwj1hiO3TsZ0YzTMwYOZKg+/5klEBIXdseu2SjIMb1Ihn
HkMd0HtayL0ADap9fVxYhIqKf8tDbkAkFZrOkysZLKVm78ojttH2SVej0D60McoN/jRWzn+iwJH9
JLI2dX3VzB33ZJRhlR6Q9Hc+68z0ooAOYBIG4xBBLAUwNHLPlk7pC0NvZBB3eJljR1vqjwkc+xFz
5ZI0D41gU5yUZrDeeTWuw+esmNqnDNz2Hy0V+RfLmyL97NGi9y5qhKXAG4OQZR5yJtJcqN6o/7bb
2mpO2GgM3xwUAqe7Cmkg5xjSDvxe4ACUQF7OmvnUGll2mrWhZyRYl5ZzWajj1Unz0skN7B5FkHul
a0hVIhR3zMAys8Q7qMrQoVaBFUx4jMsRvLBGiviUwxwuscrIZerrMAisIHGVVvdr06s/Ng2sZ1IN
F0wDCn+OdijDjg4D2vCGgwR4X8e+MrZl6CuePem+mUVC+z7mpV2ChG8y2CrCSH9aSZ2EB7IA8Sti
JGaeisTzvimVC5HFi4rsvtG8sD7XZDrlITPtJj51kO5/ilwLs1Nnje0HTVRdivlBUo5+ATMt80uj
M94M8zzM90blxdGDJxS3P4SAur5ZQ2KTzMYOGtS5J+b7WJ2GLHDRdGkPvVpjYG52Yfm7xZQWT78S
ncBAS0KhQNY2qjeul4n+gMrMZPrpGBl/5izPn0TbGvcYrJTDUc+isfEdJ43kXSoa9Q7nTbX1Oy8H
CDIUym/dRv/Q1WrraRo85U70evazqxv5rS6waIAA8QEBnbILE/MuCw3v4ySMKT02UdklxyUaQl+2
87Tw4znt//DR5UNqdLP2DqV/2z66et9l77HAwsm0hwJZB1JXpk99MkI5yrO+PyvplBhHM8xbxBmq
xHtE60mRkNCHhEGKPbfH3NXT+FJ0RlgeSHmqpyyDGe2bSW21p8abVXHn2KH5pxwrTwaUjgrQtpjM
J8i6GRrrKKzwJNWoKg56a3ZJUDRdxBZQlbGe/EEbmw8hXP7FALw05Bs1onrw26KxnGBQQ0P4eA7C
PB9npb2z+2z27phPoN444gL7KJXY5DTYw4e5DL2HpjTVj1PMgPOuitos8fPezj4ziMsmvqYZ1UfZ
um50bhyjeYLbArurgtPY/4j0edCC3JMa5YeYLHmOE9gBedLUwp9bWcaHWHOrIXCrPr8bE62qA4Kw
/qHVYmt+6ylj870ube+ngymBco8lvNrex3FEjaFESXk/xHbsHqM2HcD8jEam+TAi2sdaGBmERrjk
ynlSkNWCZBx6n3FeG4ePaErxKvWUHc75JMg/lqQQ7UcUQZPm/awXTXToMgrcK19FB1c/t19D5Mqs
s1nM1aeqrOUcvJwNbq49MtsFUsS8DgzOJht0c+S6oZkx9ZfJYYTziCJrZx6zpIagPzf2sS9fTaJZ
liSaADdetLrWDDOnZEAIkAGsfT4MpzbBK6Nq6jigSVFfnNlJgt5Mp516fZN1LIsCMVxUO5nurZPE
oir/KlPDDByb8EunC/M9xd2eENnmxvu7yuLRC16DHt/qxus1I8HfOII3Mcr8wERUO8DDlx86s9xT
/Vqy2mfp4d+l6LIuwl/IPK3uc8odmuFoKV+5VvrEH7oKx5NagF9EaSH0W8yBADiV2UkYSfTtf9g0
f+dWDMdpgazWLhN6eU0HjgoHLefQVK1Dk90cj5nToqwwJkI5cBGoTy+veuPlAmBkTMnMhKbLGr2V
5zGiG8MihVEl7psMp2xfOkr6hArqXlf/1lIMSviAeBLxMVftN/i/bTEuL3eeTXHoJ+S2NSMvgg5f
itd2LekFI4WKCAI553buZLhhY44ZThd6oT0mZL73NeoLO0n3JvkjOQLTsxw6D73Pbc0HMLlY1NsQ
XYOtFalpf3QtBjKJLEzfo5TfqSW2L5Aus7roHzBOpyW7qiUGNcZuvoWmH6XsiFZRjXvUV+dDBN15
5wXeeLalVublkdpuJZWdPlSgxWJyl0cyv5OiEMc6a9uzLNXqgELJ7vDW2Jw8no3ARQVNsQlm+Xla
C8TCsttkEFezTbIpkAg8KthVG9n7XEnn+o+uCXKj2NAHZrMint4VI9ZPfTxpmj9NKfo3FpvrrnMW
q+aXj8g2yhHCYWxxNhd15HVQCM0472MTP2ElcxvcrLTwfRN23Yf/ZRVg8nxgpm9rUR/PqGmHCJfO
Z6dXgYLY9lsylv73y6tstxAHYwFvLXphzJ9WQcZqYbtxe6D00MQh1olh5CPsHX9qu7Hewf7fWgqT
RAIpfX20u1ZLhQLTAgF/4hq2evowjZn1PsznYfRbMQ7JztHYfqPFK5UeD2NmUKhrlAlUWMOLBuRO
dVuoh8GIk5Oh1Xv8lBuPxP2zSJ9xEyE+vGqKTLaYS1r5Kba6ypNoijwYlVy/IEQ67OyG7UrYky6w
SGawyC2sO/t9J62uKpCNM61yfhPK6XfmTLi2J8ar3bKXHQfNd7m/mWGtR/RmOswNOqUCvXaYxH1B
hxZCm+LrcbWHjdlMlZeleBiaccCSN6CUFmCXiiY0t2uJSGPU1c53D9rpKUNq82tZ2vZnHrm/VEkE
A1cBi7ZTrW/ZKMsPALVIr46pNj6+z4NM3ztWWVbcQFPryPGcF4nt+YZUveroVGER+gbDOud9jeXi
H7etNBG0HiMH/D1DdAoy4SJs08a240eaYr2a3M2PY8ACaIcAsHXCQPHKMxqLRqUZpdq1mm3zTFde
OZe4fO5EtFv5Ke0RncksSmxs6OfvAXmnibSOD4H9LgTfXMve2oUt/GEAB+LHIaOAspn3cBm3Pj+o
UeAny9B0QzFusQxAcx3tfMzSrSNaC0TyQdpng3r83DKa+4zw9XwQQ3zW4j3vpu2FRkqHzQgtMrDG
myDuGAPGfxV5jlSs8jPGaYofoWfph7khhI+FjrrT1bz1joE0Q/ACg0L/b3kb/7SGMC9UQ6WF5DBa
VviljyPlgG1O6It2yB+6Kp2Xvke1k5BvwwZP+f8XJaF7vigMfUJkmpBioVd+thAJvx/kQieXu/Lo
NyIuuAcwkkvghUi82kMAgWXnQu+99qNOM4Te7qMair1LZPkr64R8MdRYFDsXMc3ls/7zFo24gywd
8kBMyfQPuN3mp6a3igMCWqbml2Nun9N4+KZozd7c4MZuRawIsA23JDjZTUElgVPKaYquUuj9zwj5
q5n1ao3hvg5o10c4zJPvq8JxfhlTodb36Jime+jgGy9Zh55Cb3xxoN0oXGi9IeFPFxFG4PYEeDOO
TqZS7pEfb6wCH2VBFxGAtE1e2c7lSKZLrz9FpuDeG8bYOjhp5e7tzpvr0EZEPMhbDANWWwZYxtja
CNxBmU40PHWz6DGDFrhzBm5sGVCPOBPR47eXmczzLaO5wtaHXFEuepcXBwa1Ht7e2kzPSOpv3SrV
DzHC8u8i4GOvz3ioDu2/tBvwGOtLW7ditU9QOL4mUYhenaWER+TZ3aCL5ngnutx4lbRkOewokGDv
usaeREY/6ARvfHNRL3hXD472A4ZcurPKjRhGF4OfyFJ/GdrPX+WcyKRTujC6li6mkkdNRvofS9ge
kj9jVrsnWCvVeCkjap2d2upGIPt/lCzmXOCk1gC0rOjr0tWBarQD3TIvFnWQTHMVjIUSX16dEpMH
uwQXxGUBEa1CzKA1SQaYDS35KsHzlPqhAKgYJSdMjvT/4bG4EJahGtivTT9d9AK989CJkDSMOuxV
sti+myCiMlZOimHPqunWS2ToQjkFEBnm+7KJ/gmeQ215tZI0yVVILncHkaZgkKEVuImyN+i5tR+X
ohTAnkPGuu7RuLrWupk+UwsXYfRAe3E6K8bw38tfaoutxgYeNDMZC8gahkerByq92hpssrYr1VF1
TA1Rv0c2Cv/1ejCOY9rKgFkvVqSpYh/DZLCQ55xejYbhNyzqCIi6ocFDdH7+UuPE6VI1JDMf1Fxe
MkNqZ2NAUl1GzbSzW269VE73IsincQFsdqaSeGpaoKgqsri9c8d0Oo/CTXaopTffKmRkIGTMspBw
WT0RDUUmoNAIrmql6UFc6s6pnPPZd+DCHzq1y4IBVbFDiRKNX09d/l6G5qsZTMtbhRIC4h7ttg0e
MpmmPovUKoFPW5anhAYIqMty8EG+ZDtv9dapoI4ndkKKB329Ou8xVthV19SYuo8RnmHd5Pj1ONZP
U7OLcLi5FFRvcHPUVpvsRTpGbFoQza8w79OjjjRaYIwJZOjEeDV2FYkVkJYcDpoHEFRW/ZNFYczw
Mi2HaN/VHwHOOF9QJ0ExwbNje6c4Xd7QKilb4BQsxwwdMY3VDatwuh2zQNdFydr+pKpq588LD1uv
U+WsFpX78+Vzf+M1sh7L/QWibY69qnRppKsI53TVnMcoEOvtG4Ny7B2YrfC1u2OhLNDMQ5YeZCUj
3efHu/SKUbMQG7hYYdketaHQwY3rnu+V9qv72iBraMMwpGZvsPGXltg/4XmZ5idh1hgXrbBC7pyh
ywAdd/Z0FB2T+Z20aBNMltW4dBbY/5JQrh4sSik9U8XVsVolh0Uv036YAXa9NmNglSUxQXDT0ehk
LRnFP8+U0lSXmYzUS6yryUNtxQ2CWrn9Bk7gHJB2ITbNVOfHy/vj1qOBhGX8QbZAsrJaFMRWiCS8
ql7AFeb3kCaA3nrdnvXKJhni0QhQi/KaR/dg/bnctBW6OTvahWaX+6gXtfEml23zjlzB/CSlp4b+
FJOX+i8/3K1loYsDJWaHcNpWrJY2yv+PsjNrjhvHtvVfqah39OE8nDjdDyQzk6lMzYMlvzAkS+YE
ggAxcPj1d9HV955SWiHdfqkoh2yRBAlgY++1v6XqpdbW3na5dU3qxtoa6tdbE3SWl9otMiYJ6LdG
fHHd37cFPOwqg187S9dgZZ2Vf3uV+JAczyAdtkf0ELYJbE/tDsWQaPkG+KcaE4H4osikBfUjr6cl
V7bquqxlsETefD4Ev83/9U7AdQItHu1Mrnfyfoki/gIJqrdHCNhuCyA1944FyYMt5FeZkQ8uBZEm
eqZwpRUwfHIpFipVgynt7T3BL4o6UhetrSzQd8lXpoW/f7RoNUCRAkUXHDPxab0fXlsqmKRBfLcH
2CFYAxe/WFK/7+wvZuRH10EWFpwqPBYWm5NVxpkqWndLtOz9qemPs1Ism41jZZ+/ot8OXYj6UHRc
6chIXaH35v3TIPXKIK70rD1o3yFq1BPMebfT3DTONoKjj0l9pZsX1Pr7eWfghvrV5HR/U6rgBkDC
x0uDhgz4kZMbmJzG02Uw23vl2UYlkqE9Jp1aNvRJYCvKwQOdR0BnA+LcoH0vDhIHfU8/iF/Gj3HA
3R8WstKPxXpSTIaCdBcaZqHoaK5QDk/gkmB/b93RMc+OreVNPFDgxy2NdNPe7XGMdWPWPLdV5D9x
p65ERsuAyDSUof4++A0EFbDQJahoTxPJ+ByY/7idBE+P3jdsWGv7G76a98PvN+DXtUgg7N1SV2BC
TlNmEWScBurPKTAwOv/8dZ9OEwgp1/Y+fLuwYYXr1frzv60NsnMdFgUQ3mhTDfcIc5bUI5SnpKv4
V8ez02uBOoulHcl2lC1A+XTWD/xv16qhFYlmd5iwDjWINGRhywsKVL9zsbSAmEDnNqmD18/Q3EJD
UD1hy0X/nm9i7xK6qOg4LaHbJQ1Zpb7KNYGTNkBC9I+NV8zhhaBWlw4QQj4DOBvXr4NP46M1KmlN
SSSqIABxZfRF1oHZ2Ga+AzPKS1lNsKQcB677FMqZzkpLGhRlzhBTPC1zDHcr3tdUbSdqRSp1uBim
jEi0ZKZkBuIKKhTaSoiFB1HmerKmbz6BejsNuwAPqDpILyBKHzm7GsdRbiHXMfMFtCewBEFTZxXn
3gie9ZVwUAdM6tK0YYq2ZY/vUYesy12vlQxyCgM2GAyAxhPdf/7y16n09/APLwT7AmShWLhgGxqe
RBKIKinBvND7OuLR3iaWrpDDLTQ9mGaKTD503HmM+2oq5/90T8KlgTLCXojwAqeE0z6RoMBOQUhg
9i6kTm0aVbxehfF9+R0kvtCkVe3M5CxQttftbUXsB8xWqGc6uoRfmfp9MAoI3DDV0P4HWUJ4cozA
KXBUjWJmL4F2yKCvb5LGboIfsdeYNOAdhOpQpnyxmP8GW8EAgG4I5Q6qssiknVIAcfRuHXR56/0o
CwxDQIP40oZCSWQWsPRd2nhTgww+cuvAL00lihSiFCrISMNltantsvlKUfv79ARGA/sL1LsIivDf
99OzYtAdjW0x7z3AbC5LTRqoxoHcXoT8Kp9xupWB9ITRXj8A8O5+T6lTLBSobI7LXqMtIvcUtBI8
AALl88/7o6ug3wWqFnTWgHd3crrp2ngpiGPgV0x1l1VwPtnZA/W+CMd/C6/Wh8HyhOtA/I7j/cks
8kNaowMPS3YNUkPaoQflDFpMuQmFtjOn7aq7yUVkV4sDWiKCC5uxr9yNfv+CVxE0Er5rzjKGB/v7
N9fDpRX6s9naQ+xY5LWUdS5CBflCWIT71h3mtA+gzPp8dH+rwa3PvXqL4oSB0z5Oke+v6hoJyS+c
R/YQAdhV4hQhRGOweBHQKLLJ2hveCu8IiA+CWwdAn8R4ljgADFCpBBqh+qwKSxKCCjeSr/Lgv1LD
71c23BsqDahXY6/5bVujZdzAq0ste2pT59A3SDYl+PjFS4jC1JyY1nTTruIwLoDyz5ujRPjxwvaW
GbwqtaYCdrDERcfXL5oB/Jphp+Pkg0K0kUICWkGJTXiAzn+Fc0paVGPwzXUlgHgDsM52ph0hrwIZ
6Cm12qp/qrtB8nRCNzMcp7yuex4x+y+nroI5T7GGM8mgBDqKrNIaf5qirtH/okLgC31VgtRMjVtd
eV3ZPVla8Wbz+Xs8DfjW17g2kqIrEOZtQES/f41ewIsaaJtlP/h2cWH5LDx2TTk1qbe08StzO/1T
6EIPWzAdgrvPr/3BKgiBFCpryFeB2vVb7AwVkyMxf5Y9eiTqfhPOjv8TZpTGTTx4aE2Jj76lS9Fo
uMEDTGXQMoYg4htVoIZAEKcG/4t9aZ2rJ98NoGVQScdrQISz2vvB8P2StINQ1h4L9kg2opzhAiPA
YNjAaCuEbqxqZZHasxd22exBOpaMFnGfPx+VDxZi8AQRgGPxQu/t6dYAJzRWFvMw7qFobPaFtOaN
RdriFoEg/2KJ/GDlALQA8djK+Fu1au+f15NFgWB/mdBVO8eXQrUdrJEFT8eSW2cMK3/WtQ39a5D/
68f03+Vbf/XXeMp//Q/+/KPn81Bjpp388V+X5m1Qenj74/yZyz+wILw+q7pn/7P+kv/3j97/in+d
1z+GXvY/1enfevePcKV/30n2rJ7f/WHDVK3ma/02zDdvUlP16wK45/Vv/v/+8I+3X7/lbuZv//zz
Rw9h2PrboGllf/77R/vXf/65rsH/9fdf/++fXTx3+GfJMyvp8+ubrE7/zduzVP/8M3b+gf7Ztd0E
ARKqQivcZnxbfxJF/1h93pCPwa72a87++QfrB1XhksE/kMVGDXcVOKHJ18bLlggR1x9Z/0ASChoe
FBAg/4ck6f/e2ru39b9v7w+mu6u+Zkr+88/3SUPkstaCHFaLtTqGG/kF3vlbGN+VzhxUJK7zpem9
rcTZcFeibTEFiILuSrf1tn8bmn9f/+/Xe/+N4uQOS8T11IsuNuS0kWJ7/40y125hF8tgN1tEU+rZ
sriDcLjbz4uBGilCvd+BdcEXC8H7OfjXRVebdxSrUbT2fm1+f3tIEBNGbXqvzJXwyVFSaGFtFrho
kKRf2QO9X3N+XQrLL7SHkBesmoqTMAUFMtTD4OGXIyPfHOPFI+ibiL2kgGXQdsD2mdQqlLtf/1ch
Irv/fHhPLg9hEtKJaDoGPB2CMrzR98Prt94yUj8a8lZpjUJW525Vv5Arp5JkTkQ/ADerKu+iqbF9
MjeSXyxBJywp5Gih5ljDYIzEWnL1TqoW7Wj8Qge2QEvq+pLbybnXktTfodtF1DbXC+gYwIAeuCOy
Ei0AO2yVvkrLCa0EqVHSvoVWfNpFth4fRyQlv0rIn3zvv+4P0giUFFFkWCGh7weo7n2sKtQSORgy
QIJ2zCBmmII8ombaqJKRq89fyMmm+GtAIONF7BJiwqLZ6uSDJ4OKlFFa5mTBZWGXph30TsxuEG2s
ovduql40N83QZq1VFWu7goIYRYfzcerb9iul3K+c6/9uiSg5Ih2xQiEhoEB7J/hV7x8fdtj9gNJx
mxtHekvChxK9fCZ05JlARDol7lA1R/h19Y+15q8B1pSdRFS4kXT20OhdRNWNuxTWd693hjpxp6Ec
UubW3kOpNEfTbAUTgpKH6EOYlI3+hDHChOuxvhw7hlbCropGmjoldbaF6Yvz0O6+Uk7/qoudPuLq
H4G3vM7D0xnIFRom0Ive5T4fIztZmICHgFJ8uofFXotuHj49oMG6QaO3tuMLi/J2K2hXHgftyV1b
+Grfd4V8MbZPrhY10Vvqa+v7FM9rUbiht01r86eo94t9KHXz6tpUpf2inGcNYBsk4UyNVioc4z54
UloDkl6LPB9hyocIJKa3n39f749Ff71QHPjRdgbVGCQBJ+sNgVsjLFUqmi968ZJAQ8ItZ/8rjfjp
rMFnY1uYLPBtQZYdm8b7zwa2hKGeEHvl4LKWj6TCl1MouTfD4r/htPQVke5kvV6/Upy+0CSIhWw1
6zqJYsNJigpSKZq7XV+et30NDy13SmMXlpOfD9/JdvTXlbBMIrW41q6dk5CpmxxWulLSHBy28pyi
zHQPmi29XYiQZ9qt6W1nV/XN5xc9XaTXx0OUjjgd4uqV7/J+NEGOj2EFxLpceap8QVdNFG3CFs51
SeP3tpuEKBo+zPHEn1pFMYkGn3z1Qj8aYRxvEZf4UF5ip3h/CwS4gcZYLc/R8IdufB95mlSi939O
Hb/7qnj3wdeDNwmIOzo/HeSCTy5m3KZSqi2HfAUr3Hr1iJW2HkNIKGck3aBf//H5+J4gx35NCnSv
AwK91tUwwCeToofkpkbHbZ9b4AEgBwqBqdpUIVhQiad606ULaZcrOyxZVpGmKLOij+rj7AwM0PMK
3f77Hs0F56yo5YsOBv0COJrxkNEq3C1a7six8BR/+vymP3wjaB+FmB0fP4Qh798IqnEQSFURz0Ez
9EGyQGRShJQd4tITd59f6qOPHnCjNXTEmR9mCO8vxaJaSHCkOMKhoTi3HWmfazmNZ8QR0ZnntuxQ
ISGbf37RD54Poi8PHicoSaAWsd7U32KwZUT9z2GE5ZPLvG3osuIcNqMBvD0L8kU67oP5hZIjHJlw
MYiavdPXX82CLjPv80KNFdt2QdMcO3eJNsYT8lorewbqGH6yqa97/zhGXfkfVav/+v5w9dXzC+Q7
NIm+f1ZtLUiDhIrlnVfqpIOF7dGeeXyp6z7+Qjy9PsvJbgfK0Sq/gU5j3dXfXwoBOnB61dLlHvas
s4m58kwGC/ZmQATdhxIH8iaL+kWeAeDx1Sv9YJyRbl5zv7g4vtyT7wgqU7pA+cPzWlhm53pFfVOJ
2RUpaBjFebPMWLtqgGPQkDzgUJnQEtHW51/VR58yWP3+Wtvy1wac94+/yKgAotjnoJVbQV6id2Y/
qsLa9Ogx7EqkqxLq0K9iug8+ZayYf0lsgZkLT4Io1INdC2lUnpeNF18UMI21k9AR6PCvg6LZfv6E
6yCevGCIJlGiQPi4iqtOFk+OExLMeqI+F4jVLpB8ukeh7qsn+uAiEDStlEY0+qBedxIVd2hz8aHh
wIqAVnmQbjmJm4SUX6aKPxg56BlQDMQXi6c6HTk0dRvCycjzKRDeQ4vkpkw4tyZ0rbrAnX4+ch9M
DZSoEHlD5YNj9OlRZOjH1kxgp+aAYjq7roprJ4vhMrNbgqg7VESQq0L3BugbEnyR9PloPJHrga8g
HhZV5JMdnjQIAWCaPOQQCJNsMN4LabDrff58H3z7LmAKa+8TSsi/7eExsUQ4WSH6wIiPz3BB0ADv
I3lWwrpiK1uBbp46Lr8KXj7YzDHXoUPBk2GrOj1ALV41VTMtuhwqeu+BtTO5ipZJ3EVu3+QNcLxf
vMVf+e6TCQDw85qYxu6xioffT/ESiU4UioI+B/OsC/JpNoVImppUPzEZwvsVOEnQkh6P9wuPiquY
oV8zAXzHmKQEv+Qn92x6OzYOTgEDm2HaxpUbZfNYvfjwoG63ra9GN0VYUCUqErG7cSth8l448g6B
C//2+Uv7YAas7EswN9f2K6Ro3z8N+i+l8pjV5w4nxCScBm4WioJ8U41t/iPh869taF0YVwEf3hXO
nu+vBXsnHs1Oi+A2IGWmUKLZLgORu9W++ItV6oPHAnIDOxCyvrjk6TY0W0Kx2ZlhIrZmPKQVIlle
RCQDt7vJPx/BNfN1siKuhnhIM6yCKXDpToawq0syIquPyTWVOFGrAB7CUEvytR5kfWfKWfzMG9Cg
dako+tsSPUfBq1W19FaSkcE8CN/Z1RyZ5ahC3t0jYWqbDV5JnaL5vX/5/G6ddTN4//nCSWONtFfU
CmRKJy9BwKHcn4HJyruRlQc+uvyZolJ75HKCCmus6/JFW9Vwp3wBcmhrF7CWH5zluoRtwWWzeCVa
9y11PfSqTWFwX98AMGiyKlDyLKhNdD1GbNpZ9aiBGwq6wxjUOvn8EU5qYut3tIJbV1Utsgc4nJzE
GDZfyNqlwHLfES1sVPqYo6IpC/QoWjjYY/m5IECLZa2qxtQq7ZeZNsv+i5vAoL0bSSQtEM/B3BQ1
QCg38epPFtWI9TN60Ow+D9UQ0bRBmb66HJk32OkAR3HIi/VliNUJxIPxIWza0E/8obYyf6rqn07b
P0xD34gU6Th1qydSYzI0KgOoZMqjeWhS36qCg6fopWFDRpaag/Dm78jov4xVnRSVOSB5kw3S3Iiq
fGZzdR+ASAf63bQvO8ibY4AsBIGGJigYS932YDGaLlABWLHO6pjnKKZtvIpdcns4lkEDcsJ8b01d
auLvzmRlhMqctc31PJrDGMbLvl9otlTj08BFZuLlckYSo8nQEraPmjBMWksjlTLvoVd4iECDAoch
5VBWSKdOy3jYq9pK3cbZKCW2YO7ujezedEE2VjfsPNnsmV9t/NA8uUqmUY1oGMkL+Ksgf9OmqiEQ
KVh1QluSox3sMPldbo2y3ABXl8gYxRtrxUJJz/+u7R75gCW+86wCQrMrtyRJi+PSgi5TmMfJi1rZ
UGEs5Dj71Y03xHXCKHtiKEVMusH6W7y4obieZy9FvvsRKY2MO9Y29I+tKl5rYGyXtrwTs9lXnnPB
w2Vri0uwvA8mGp5gGp6gNofUFEXhbWyBBIlR9ahTm0Sboiw2epkPA5nabIEWb1Q+CPJ8V4ubkR+k
5T+a4NVbPNgnh/5lxOrtML96PZEJgAMSegHnLODWW6R/Lo57puHfhgUVntnljqJatUT+Pmz8TcDk
oY4B1Zvd6IEDy5jESPEuI0DqgM/jcLk6uNs3VKsc5TEBzER554hgi684AQEkcS1WJZaA2BSGzikQ
BxjX2VxSHdyX+Jxp2NzrQaaq40DjtftuWbYysH+okm59YqLMnoqLEOgaICzueStfnQp0qSYUKSWl
twshinGDZjN18onAqAf2hBYE49Z3v+svXLQ5ZEVBdh6/kMMBJCCciAGpAtSeNGSPtE9auf5xke5u
YdhmWXAoVXDuTjEgNeOUBjD3FQN1EheBr4nvYTqRFo13G03ETwhl5zFqQBm8SVXauU0SwmrGdYcn
r+1/oBZxbnh1YFxmiq50RKc7AM9x7vfekJbduJnsDtXaqYKHnri1xu7ajuWPxRa7BTFXqoq3AZOL
D/bGVpjbP2p7JYq3GTfNQ2M9srhNW0yTupl2c20eYslyAk90MEvKpIZUvhPVTxnJfdHbiUv618oE
R6cYsm7AIEx1hvrxhhjjpbSKDtA2HCtt8jIo9n0LhBdqBwOUNdWWuuoc/Sv3MQuzqYcfy1rwNMzH
w2IFiQV+h7NrKMU1zA3Drph0GpgAPu57K8rQEwWiYrRHk14Oxc7NggGE38KBYh3RUR0n0OmNmTGG
P7lzpbod7Su3S+WEtCOiZq7FFqDZc1r5Tw4LEvjHbQBoTGbGb2qvFTNAj1EmwBHqSncjAw6FqOxp
UkSIPVCnSOK4Re9jENxSgFFSMfcX3cBfjDXSh0iKDU70oN/EzyEzRzD6boQEMVGeB6EiaQecZ96o
kuP2wh1oRQmQU0c2L11aKixBRJeXrMW5P2m9147Yd/GiL/wKN8zLfPFzLcCU1KztM1AjE8TLSc2r
a6t9tdHgAFLNowRSSOrpGurILe/CxwbLagFnpmLuf/QLAoC+XIrMDpchddzK/+avMuDZ8Qq+i/oD
HwZ6SSefbWOhwrTtpIDAuvOLjUWlvCvNICosOKVz2ZQ4QKezDMWSDgvStzsxqv7Fr2hDgKIN6kyF
8YipD82hXprwrIjb8B4Va9g0aDze4vXxhogpLxxbbiZYbasUoAZ6C1AfeY144SJKaah5C+VyA8To
T8vunUzOcBcE5iOp5zbWKQ9KB1lVvTxb00D2fmN5aMnvwwvqkGXTz4bf+cvwGheYIS6PrRy5Zdkl
a5/rPaYoDdAlXQV7J5bmXERk0TtqL9G+wDJ7WVaC5kAncQpqU0HuRD/Xj7MjHD/prTrIK38iP31H
8k0UKyyGVlvP6ujXNL6rhVtcMiopQhdIiTZONKABkSvuA3Au/WVDlsbLGs0hcyhCo857ioMWEtGF
eY6F20IWbfwKconxu+wn/2VecPFE+d38NExevZeNIHqDhFS704Vb0SQaAn/DRtncIIFCFfLz5glh
dPfDBssLGqbAPdKO8oe4NDqZfa3APY3BS2idluMdjdVz5xW3MsSE72g3YnLBDmoLzUsfQG1oT5dy
7ELgrmg8AKa6gPHqrS3eGa1BvKssS0I7WLeZs4D0H/VWf0UEk3C0YcO3OmjnzBoKuK+pot8Tl1lb
1nnR+Rx3QIuwXkVPgUcGUFDXtYcE2E9H8xhytHkFHfiQjeu/NoPxt4Wa3LwLXORm/OjWm/pnKJw7
KBU5uVWmHe78JnRzuSAfqZ1+cpN+6MxFp4GIANDErTbSDrCdgZ7yguyVvIY3nIBvJAASqOo4+1IE
zb1NbLJZkNQ8oi9qA2jF3VKYJtP1qM5QuhtYGhDAwljjLNDiLuOmj6NgU0s4pMOhZBIYpCCuq+2g
m3lb2AKQ3aiJyqSsUNlMSmW03igLOhjsdhTJtGi2VJFGsaQpzjM76Pyil0nULbJeaBsKGMSo7VTA
Y4JVNowmIojSF1oe9SKsLAzBXgQuF2YEoFuarIQMfL8sNpqAZmFFB4hOSAq+sE5s40ffzdggbmeR
zhjXWqb4xu19hyCQQGDqkodors7VUizfhmnmuwnAq7daVOwn7LLKe4IOppdFXBckdHDkQxC9s2Nd
bgvuNZfTAjJgyOrKwoKhABFD8qtP/UDgzyHgnj5or7sIloYX6FO1XjhAuTkDX/BsRIx8IwGGQzgE
UbqhI9vPfFrOPAMwATrkcCIauY3YURnnLdBQpyJeXYX6k9r6zPkmLRcFU8IE6tKQzi4xMtHWfGhD
b6ySueQYLkASNGISEd7DzUR/A+4Fh30W+Gbjzz4DnpNbJgeMd/4RAaYs02XCwbYdLUE3IQdKLIGc
rYTycHYvZ6gGu8TvvOmaFfHyTdeOnQPV4mQT3H/4Ve0ywHe1mMiLDcbajlpOtWlq0z3wCrvhZLUs
hX/J4mSeWWBV7RZDm1rj6MrUsFbtVv3hpkCQnXs41575cSHviF/5A7RZIPfgI3b4lc9c0Izmytg6
abvC25aWarGbyyVkiT8KU29xNI6PUxd3W0sviKJL7t75PEaohPfc7vHyHLHtNTe7su261wB5q1uD
zvEXyX5OY4tq8+LRN5Sp3A0MNw/teFRYIDMIyvxr6WLxBfkoTIG8BZCPWuGtsLv4oJSOkrAMGNC/
o8FiXrmieA6MjC+h2ILpT2/EmeIe0FMQEurHYOymc7tTQeqb6uAPJc27qbFSZrvt1h2wUc9xOKY2
WO07TFu9DYmjN8At4Vl9R2cTNWRrd4G3F7NadxAcJ78DIg+jW7S7B7e11HH7SGGUsm1DR+XgoQIj
pjXvEqHmN59wfU4m6u1nOvMnwNxRP690c+1wf9jJKOS31PHHTReS6nUGXe2Bjw3dCMF2ynHotQ69
BzDJEH2SccyWcY0PK2easXr1UHWnum3wpAUyrU8e9bxzHfnlWefCjnEpW0CrJ2eu9v7sWmPCUc5r
UvhxqQP3hvqOdcxuk0GS9rhGC5diDob+TCtIpTb4B37mlJPBS6hoeb14TZ26gw42Hemxs0Hs3uCW
/PrOGUNrW5TudDfAkmVXVNEvolOXhQ6/AHcOzT0hL1H0ZLWKbpewR1M+6lsFSWjAo7sqnLrrXhVc
pNwhVb0blY1EBSh6b5U1oHWfutLK2Czq68AGZpp2lbATXsG8tJhjvvd9hCgYfXr04EMzo/L8AvOY
eD91BkJv6vlmFxRjPGSVGejRzIt8rQpRVenCgX3PKHpWUA4fkanLyrB2NhPioBRgW/YTXC/7ggeV
f29i5juJsk15NLR2KUIhh2Ix7Y3OpA54sIF3kL42JXfyJer7vdOVSzL1tXOYYUSdlFDxXPAZrZJx
o5fD0OExieyRKZt4AHxmYEOc6LnPEimhNEJgns6gg2O3hRcd2OMUZxfhdzdoHXM2nl9xSHO4WA5Y
sN4qdFFsYF0dHiQDB7JvDHs2U4kPPiwz3hOzVyqOEy8S5lgi5sSZ06VQn4XlBiXBOQVku8m45740
Zhy+WYOPs8mi7cdaRiRXRfhgc3tJo1Y4CQoKwEtWUAADowqfsxk2GKC8xE0eLHAsKs2osoL5JK/H
Oc5sm7nHAiGCM4I6jwUBes4Sq19ifOz7BEX8dMayfwtFRbdryqFCZ13TlvixYVsRGveybSv3xgUR
6YLwGamLMVaoCYXxzcALeTtAmqHS1pmg9+0sqGmsOYI8tuy/Ve5AMjUOxcPUCHkNJEUzpDXQqVtA
IUQuw3ZGrqTRWVgHQx4OYwkg9CN2P6zizCntOw++9MgAzTi4ohaIJIJdsvq8lMHexiCfWXJ5jipn
SFypoq0jWyu3WQ/oJ6ghIJEO1nCDAOdnQLr+u1kYziHV8E0X0/AUDvEL0gomnUOsgTbW37H1axxp
7O+F5fdXIHfggFB2yw3YaA9kLIpt45D6utILeJO8KecdyGIAnDtsSW0djJkeIEjRDnKsQ6y6cysA
0sMLlNgUohsOUVz6WyiH421ZjGknm2Hv4ZB3jnwUkJCh0yaFO9vbTizltwFeZvu5QwrA7e4o7Aoz
IxU/w7lyTievYMcY8tR1Dihw4L0XXbdrbDcFm9jBfxBsbljH66eaofsDJ1wvs4egyJto6TOxgE9J
Gkm20zAirRAAlcPqSW6cjq2B5nA+N3pI2KAeYsvgoOL6+gyiUT4nll1EqW3XTZvYATq7t2FRZLVH
gvtmhgdbwoloqiS0uYfpZsepbMt4wzQJztFuV6X2AtqhAddit9QuxwbQhedNNHWXU+PzH5yxYBey
6Vb3hb+1m8XaVrruvumxNLtxAkbQ6cc7ASgu6v3cf6B13Z4PZTluZDu25yWJ48yq89pj8xm1uLUH
fde6GLQyIDT3Ogf6IVo7U+qVzCbPFhzyfoy1a21V0Mi0FLBZiXU03XsebNUw/jwNuQdfCkfqDavc
7zUOqxmAnssGrYP4wm3gaWMkp4euWdLGr7Er2hQpCEVqdhGPim/awdcbZxTeZdS74d6u6A+QGtSD
KoSXY0U3Z8WgUEFq7Hbjab98GWe/SQLBKkhi3PYBuRr9PJCgv47Brn2EoD/xhM92uovcgxoLmUE0
OCRQgZszYmwW5zVDWrn3Jr6ZuSvx7ujSJl1l2E9YpNaZO3OJBWVXaVQcayu3nKG6QHe1SL0Sm65F
kPEilRZnw4xoujKF2YZ2j95BQmhacTIgBFd2Eo/RzsWYIkVkR1DrQdwtpAKnpPU3PpTdTRs5CD6n
OSMzHbbd2DapK2N+M7W0zDnMvLOxa4cNh1AqjUOsPQHOMFlDu/48aKdp06LniKRx3bKtrYTYEmjN
tmQAKDjxENiDatm05nymor4KAxMckK4ftnPgLvhOg7MhnCOWxe7YX9q1b18yRIA5QVS3j1qt01m5
xVYCoH5DcWZKcIExAyp2SKDgAp8vmqKcEtiuTWAJYFERFtwHlyPt6xdrtoILKjxz3S3NhWEI8A1Z
Xj3YzKLxqT2PahYnzug4P/sKgFct2AzLBJ9uHWRLH916Jgfa94sD5rT268QK9H1hHHYEc3bO4IJ4
oYz5jvIwTzxpfWNtay6J7mmmK6CeHPSJpNIqx5zaEmgWR7XX3PTYt1EPTSxlP3uUu8jrFZ4+s41T
42Auip2FZj7M9qndVF4RP4y202xoU/9ogT09ConS1UpFCNMQPObEM2re+UvVvRrEVlsFgdvednhz
NcJ9InMcrLmhhWAlQbpAqRQurd53z7RWMnaUbArb6e4JeokOEaxct20RzGk5w2nCU4VOHPRSXUI9
+BKVfM408DlVMlThSyt4n+LcZOdx5Xl32seRl3UBz2zkzpFu6Ro3qQMKFkDTLN9Djbdlc/QnwIq5
vO/j+Gi3GknpcOx3o5z+D3Nnthu3kqXrV+kXYIEMzrdJJjNTk2XLkocbwtve5kwG5+G+n6xfrD+q
Ds6RqGwlvM9NAwVXAS44kmQMK/71D91d7izlY1GiEbWTKvQHSRT4CC0KQAerfN6W9dkawsOMdoSU
vdg6VO7Q/Oj6qNurzXRX5fXkESeC/K535UcrKsyfal4/CWMsb4YSu6tknhpvcabkyi1Igkzt1vYz
KxFjMFltf9OEVYt3czd6fcH90RvzCehSYn56rYdz5kVR/HtRabb3hRLttdxSvWUmXVcNabGBhckp
6PRYBGqB3Dwt0mOllcNeOrQ0hKK7u6hvQdnSPjsK01h+T1SkN1iGaHu8Cm+VRO8edGJDAtgGMCRx
5/NR6Fa/9DCqPL1WWqoDVp6LzrPY2fTK71OYYpA72R2/2PixHxDhXfVZXN+RAgFsnE/f3az5O05S
or0aGgqj2cyBurjqwR3xT5iGyjJ2ubSGv2l8aKhHomp4TEnY/ZI7afPLrH+njc1d06zUowjpFgC9
FZ4tluJbVNWJL3Srv2qG0cDiZRruF0HW5W60ym4vQrc9hqnmAHd2kXVQC83wpvUuL+OoAsqzwk/R
yOYVRkt+TLoyfeB0nRArlqGfRlnkhTKbqh3a8CrIq46VlCnLnAEftxSMVSa/I5adwNY6kiGINNh3
fRLzWrX5SrfdvxpcIa+a0Q0PWV7TNoD0+WEuJ6JJ41S9MXFrvBmrHJN4Q63coEnqTOWG3sRjEHPD
0HaU0QrnKHlzE+GETTbsrbqCb4Hsxsg9LWrUiB9UYzXdihm8LYeN0fo42e4ariCfgYzLACd3cPMs
u4+Rl+6riBI8JnPFIw2Qrk621IFaLdkJ+qjKweHIp6Wo5mlHMTtFHhc8EnIwJif6t2syRCVar82A
1bG275PkE5gVzeEMiAlBr4fvWiYpoyfL13EI9SJaMgHDjHeh04YHLU36uynMVYLlF4ygC9vTIOXi
Y5zd2n3yYyiXfmcYSXek95QEmouIZLHqnRaqwBO121+PuhseccS/bxCvgtI0lJ+xkI/qYFRerU6C
xMo+UfYkDkxf6JMnXmFyk65Uq/49wnn4UXE8fkyVYQZzTyOvAgI9aFak3yJVEF9LJP5sC1TaOpkz
Iv1bRpF2sEPjuytlsR/dUux6NAQnTc3yk61o11FlfilbpzzZRUt+bN0/Vhq4eG7ow9Et2tY3a2PZ
F67TfRus3nIOczh2e2kY7L9tiePfaIfmA7ApBuh6Xx90mfe3E/zkK5RFcxALI/4O1h/hStjEIMvt
IOlyhAjk3JYum5Mkd8pQOwduWgT5UPFd9czSayqD6lhJ2z225G95TWcZV0WxqNSwnf4IpADE7FTi
uomt9tYcJvvedSN696PLLKzIOvB6IO3AalmyXKdEEOVT93EJE+t+mnFZX2IQHTNq+rUWM6/baTAo
2jK9/5HRzat2nTsZzm7iHT6oeAMTCTRH1q8E/UWyo35p7ktBULbd0GTC8hCEt4/aWw5rmndOaF+j
1ZR0rTQFK1tEgKdSwbMT6ybwndpsw6+LHVen1Ead6BDq94T41gqyJRtcKom4Z2sdFq7IkB6/NyFk
8zSR5N2ShbBP7K6o0CGMxq4q7fSL6ujNg9YY9R0+nNTcOT6gBACzk1U7d1Eaa4cFNr2SKC2TH1E1
82831lBE/uxE060FIcInSnX62cWpwuKJsS6Z14ZUWC3jBxKfmo9VmInrPCzl51SLMqqJcuYuSCdh
j6x6uM6sUU29KO36zEdeR/9kyTTt15jkzU2Kn8BfaoHA3IutKb0f5hhEXl1kYt0UXUkR4NRVetM6
HcQvLFOc2LenRHwxkqH+3fZZQyqlNpTXInU4mKfUdpSdUorwvhwTMhtqbtw3Ku5w9W1j4+zgaaNp
HetatX/NCWKKhX3xdzRXkXNNHWYdNR15+W5SNCxze1cbVM/MmvJaWqUJUtQq9Wclio0nNy+6n9jf
SNDCMCIMo+qgy4xsVd/7VsUUoRj4uX2qJDdRD/U3M2z9KXez+rdhGOp3PrK9o6XqNvtRKMauj1Mp
fcgqkeO5Vke8SKsrMELhmTtBy5UO/D4TxxBP5AeZN+3dHKsI3fsimctdJCpyy9oC2sKodi31kgFI
juXkqhBxo+mxXBy483VVINkg24PfpYeD6bWSBN2AArP+1s6T6e6SbOBP2bHjjcgzAR1t94MO0/DW
7OMGeMSNw+M82dNjFYpcPYzF7F6lzbLUO2H1WX0blbaq76B9Ju1DSuf4GIVqFB3sAsZMMpCA8DCk
MtMC0tWMoCCMLPaHSs8f6FVG2Sl3sNryOhqwuq/SDVvNaUt9N4cuQR+RYNWTn6E3ftvSbeVAiOHP
E6esY78dFtf22OYPNc4tB9kXk7nv7J4X0s7EkXgazNOI8l9qRsAsTbUA7gSVRdHC4sloXfU7GYFu
EICx5A9AGtFXYHhu0K4ijaDXRvV7hcDzCvw8DVzsj57UKR1I5TKNiX5o1R1C8kp+tmPf3WnzNF9Z
Zton16hJ3TsAWf75rIWzuazkFeK2mKfc6MPbCWvcwkOqBSfb7eU3q6QycdM0urWRaQRhPaRHJ7Rg
9JT2HP2lKVGKuU7atrtBOAC0jQXw5KUxF6R9Bmg5eBIaQkWPca4ebBLEUi9ps7nwu6Tnq0fYbv9S
W4f/2ehhctMDjT+BCCSJ1ySyYbMgbeZH5Zr1ZzIZup/pEAobiE5XfigChr5Z6fVnUE2Fy91cWWSd
ZLq9Q+wyPjaq3nypXQCLTCudJ+4M1p2tR9NCq9+9RRVKfVDnLaHUZqnQUGzZr2DQUI+HYiXQ5Vjk
BWmcQhxuTYG8VqGu7NhI71gHXeFNgLOZl/Y5dHZdm6PWFzKkedCjEo4OvT2qX2WeJY6Xd5DBQbCY
Wc2QGk/YOnBBC2udD1GnJk0J7KP5mFkqr4cEpYY+N234CbId5y5gcPEhQejg14MT37q5m9+7XUmM
ihaCq5LWwqJf+N4AoMU87SGzzfEVXGHzSa8LJgGtUDKPOuuXpcfpTSwjAQw5j2tWTgcBvlMMu9jl
3Mxpq88JEQ1lSorcLq9WymIqF6P3cWdzP8exwpS3XWagIms+QtnTOQpao4d4O6SmvuxKTDueosHV
iiMY1fioOEl6xLWFBUvD4CFK4HHkIxOXYyG8jW0rf5jJzvucuU7cXiVma//isjMWfjV0rI2kQ41C
QbAo6BWUisqsg1mNr58bpUFlhKLyFnDEr/m8COqsSor2JPAC+cRRVFu+0xCAd7JWqX5DEDRMFNZH
4Y20OL7HOVM7o3t1Bw+lO8wYAweVzNl1szn6SneK14kVwlx+GFtnpuggImSv0jFKg2cOUw8X+bdU
o0rsq3Bgu8fBhSmM5Jf13UkuOnfOqvghfC8LVl6jySW7xMtLy0b2ewbhH3Xn8Qu24cDCoyuah06f
yedLCSEL0nVnLjkAAneZphvVDCPPLSv5qUzKic6R1k17inpOoMzir0Gc1YNIy/nWUp2Gd4AE5L61
w8r8nuVNnnCFjC1AVHD1FaHiI01F3h2qMuYy1BSF5XiYilv5h7ibhkNNjMpJVWR1citFveqWmG/B
ISctjw8MyG03rY4pCH+u7gTs7aOahB9y02KPTBadfQ7vMjYRtVb0J66U6iFPIfYgUo4/NczvD/WU
EZKLUnHfxeZwVCKNZtlETe0V1cJLmkVSdNf2ULWzb5clSGupOKFyheUtOZhVxYQTA2ZcZDikw0EI
eq5+mdUU2yoo6SGmXQMDp1+cHRaN7CSE+cDyRZCF0qXr68+T1FiLZWO5HwY5DD7vwTrivqJ4mV40
tT82FXEyZmvisy5MOvYODFOhSfOzwew+ZC1pbdRllfkj50ChStaWmiCb8TZFMT/c0ArlyOos9Cal
ARGc4iE9ulOqH/t0MmEomUyVgQ6tJx06HxC7OC/UeB4fDbWzqBsbDinT0aG663P+QKGlYPfrREze
LiUSKoilI2JvtHMOTKpDcc01vv8w1/gOjTKGFBG3LYqudNLuwag+9GSw7JxS1XYWjAlPUSbUMHJS
rvp+bK+AJngaM9bD1gMaV45TXlMCFvbAHj+w/X/suRwNQNRTq16nLt/ubgk1BDTKCMa2nyYtUW5h
HmDRqLiSTntaL+a/yf9/pL3+H3XUr7TXh7+rVazcPqup/ydJ9ueq4D/b/8v/Qj02xmdIeVFAoyA2
UfmhfnjBJlz1368E2v/1n/mP8td/nNr1v9qXIu2z/9C/VdtC+5e2xqLAukeyRBALQ4zPqm3N/Rdq
fkyWBNbwziqf+r+qbUv9l7kmT2PoZWga0clwU9t/q7ZN91/41Gmw3lXdtAxsNf8/ZNtkZhLYso6P
AdPaaV45si/UNEaT1VoyJIsPO4BFxZQ9tp11VafNQJ/Hmi7Qezek7+fh4LLzpm3sfTgmXw/XwdbH
kzEGvHG1eC/xAN4NHUBjoxbhvk059l58n/t/02NfqsRXKucL0uzzeIS4oN7BinH1TXg9XtbCra9h
l/q2wh/jqHW35pz35IIBwM7o9dYbzdydXBqHgSsW7QLHeMPffx7fpRHNgQJ/HFHEZnxQLvKyCtW3
YmmdarZszn8zP7z/lBvS9DoKnGBtFR6qaCrfjNJEUhODxkeUY+nDUK+wVrCkV6jJvH9/qDMvFOEF
xGYLTGV1+X/9QI1sU0eX8+JnhtMdOxdKUWHWsMtITTpqCYwMEw3FvhuVxddDcMf3h3+2sdx8UIFG
Ew46XThsCzYvFPYN9yPgWTo1BJZ5nKraJ5hpuo7WmcW2i01IqTWQKS3fWqa3hREv9Jy54Na7UqGJ
N1mj3ntZZmSPy1jFXFGHQaWx1SsR+Jox/yK62P6pyiK5NBe3kvbnzyTwLsE/k7eHXd/rd5e6C4yX
Rl2RS+nurbhovLrvor2bOsp9MangCqpyS06F5scxrQJ85MwTk7s8tpWSf2DdJEfh4NerQLQ8vf9i
V6779r3qq92VpSIdMLeu6hNWiKUMw8XnFgybvLblATCV8L9w4EJhk5iHbZAPT2j6oySiNbTXWf3f
4CewEaID2azQykhKfNr0xQ8p6wK7m5dTPYyzXw7TL3VoH95/zDcrhWdDty7wsUJ+bFqb6RPiXjM3
OS2/SQ1FUIrGvQenLnayln/mhs+DrUOtPH3TtByiODZyEy2khoWBQpxkm8IKU1K6O64aPb7/QOuc
efXdGEXosEPQj7HNOesDv9i/YRkZVhOHPFBHe3WmYbNPDdh9ENZp0TWLtyx2f2EPeLOJr2MamE2w
E6Bae9ZVvBhTwXQtHZqUpMQqHO/HkrTFAX2GDxYekRmptZ/ff8at9cHzqwRZFpAhbEG23iqNeDFg
QRPDgIlG1GYBIJtL7oVNEZGQbNCw7ObsWztE03Vv1d1Dwao6FmWr7xWzzC7s5ud/yIplo8wje1bf
CBhMCDrz5Ch800VZKDdb8I8c7BmDLUo6TWKZ3CtdELWw3xdzqk9NNpb7fuBUff+VvP3sxKxZnN2I
7Lhybt+IJaWM6yIzfVkXkuacGh4qo9s78Gp2bqJKekMiurT3vtkj0IcibUfvK3QsaMzNjLZKvZ4z
2zV8oYCy4cHkTTnAmVqK2bPyNN7rMDsPkbL+BidCHgDfMEM2HuAfCQc+TMvjMELSi239Tq/r5toF
n/bRhHYXJsyZt8NSWG1ocE5ZbXVfz5e+NkpLAXPz+z7/ZFk5Ihg9LD7RiPlWdWsvr86d+MKYbw5G
CysQdrPnl4N73WZq4PUchQ4acr/K6vp6aNe0eBPGb8W2+lmNp5+VwkQBHgqDyKgK7/35sFWqs0QY
ft1qmBNkPW21TJagTQpcz8tVW5vX7NSPZrFSDQrD8FsQ+CDJFW0PfuP63OzBh1KjOswqEjcEuVwp
p1YEEMEsnwZEfsxgCO4tV3Q7VwIYvP9jz74qhIZoqfCbwEr69eeZ50rCzVxUP8VNYVeMSnO3VJ3w
NcjpkBOTE2QEKCD539SK2QU3/DNzGDU104IDB0Xb1vXYTtxEG1s+U9e1/V2GhQxXvLm5kq0CIxUg
O4g4CT9PptQvPPXbo4cv9GLkzeqBTNOLrraYlGOT7R2d+qwvh3SvlPMF0ei56c8pt4orqTuhkL1+
v3VlFlq99CqHHB7ndSOpJyab3FVNiw+okZOrUBCk/Ocf9cWg28LMHS1gM/BXIEK9OGiGtI9lWP5c
VOPekrYBJWuu/Ska7Oslln9aQzD5KVkwwCCkG+Wg8fqB+95u0yxkvVdS1/2areUGQ5DylJXGEJRq
Yl6YROc+pWmwGa5e0rgRb9b6jJNNDkSn+kZR0uzJwuwQZtZfRElecgc/c+LwaOv1EPoWYjVjU28r
irFUDce/XxZF5ydZBJxSYgc6t0ZxcKGde7VV2Qd8WUvC6hBipTijI0KMxYV3/By+8brS4JcAbYFx
ceQjFX79koklKEC0cJZunBZC2SBNb0hsB1pdBi24kg58jEEiLiIJd0GesnPnuoQQ0MYf9KxSA0gZ
0xU9RPX0/sR7dhbb/jBsa2yB4eRa2m2+Rjz3RkKjXvMHM0KwG4sTyoKPAtQSvseyIIsoRvzqE9O3
zRAqX1PT4yfX3YdWO14ojc4tPcs2CSHT1mp6u/S6JVVroyFDWeSptotKafiSjt8xhcP2kZNKvRvd
oruw9N7WY2i2/9+g26Wn501DLw1b0YgGqgdenAThEnF/MEGsNAmF//03vn7pNy+ciWDgOE126Nbr
xsIU2rYHjaDoFLdLKD/O0SrmW6UDqTdV8NDShDvXN72ChftF/9ZnnfZ2eIwRyO2y16vo9nGdZOEO
RB/Bj6CynsDE5Y2mKlZgYMCxU8IcMSIeXF65XgphbjVXcJqmO/5vi5cXLppAXcpgQDB9slpDeiXX
xH/wQVZbOqK91sv/1hRH2JaFIZzOotUy8+/BhReAVJfG5ADKPjeoI97/IG8PNXTMyNeNtRgHZ9hs
EiPXgjmzbM2fYlqYeUcMg9qU0yls6AmLWrt1rdLLWy16en/cdV99/SUYdy0PyOTEGnOLO9AisGoC
xzXfBFL+FEH48wac8w7vj/J2ujEK8Q/G6gjKBrSp5gSMRNMITQxU2fzvHWnhCa73mRfnRncKs9nC
ji4ujtIMf8FPcy7s9W8X1zo6BT/V3bNy+fW21w9pMVYq79ZVYpfS1SRCJ3Oix7ykQohquuPvP+25
b4kiHZAEOAcTn/XvX9x18k5pMDltaZB1acFZFrs7cynxic2fzU375RSakbVDQrtcmLXnviYg5Hqt
ANextq6feihga8aMrJbGeBtRv/ltlvcXRnl7drJoiQ4hFgFHDa4ur5+vN/XIwb2f5+OygGyhsvdz
PfenFG6a//6rPD8U7gSrl/nqfvl6KD0dk1BAZ/Jjmc6+ViDumBa18/vqz3FNjmgAW4KjDApLSKWv
h2rRkMVGjqR3UBHVjnn2FwTRCBuXDiwMaew/eYlkPRC7S7TMm2p/scKlIyZR+HXapl5bcxkVLqwf
kfHH+y/xTAXyHEOHA6UDaoXp5etHE3QjObJWneGo9v6w8v4jTs9A6cbFq7PJRfud2n5qlOEXZRS6
L4up8rSmMf/RL1knDgbxNpD4BrwRS501ujkgLSr7LBjDatjHjkKZqznzbkY74y/Y2d9ndPL8CFnf
zpKz8LpYUYsLi/TtMQ9gjr0WMUJsDEBXr99JpVg6NpSZBlUXQ/yqdL0OvUGeqrSo7OxYELV7YYs/
tzjpHmChQFWPfcFm2cARs6E/stW2JNgdbR2SitrXl9w3zj0XtlrY/pug5urWY8LBZlNLQkbp5yQ5
6Zhj7HkWRCZ9+dHMIGJNahJfeJfnNjyKaJLIcVZek9dev8vEWjNuQmM9RNZAg0qRV0LEw6HSjeYj
7YlhR6tAPUDgcy6MfG5rp3BaT5Znm9PNVlvHem+YBEb6qSTitOqbeU8+CIH1MRqRISovLaVz+9Hq
3YkDIj5bbPKvn3TsptQYFd4uvcB0j0bBDBKzjAM4qOLC1vcMcWyOZm4MVAMGrxW4ZjNf9FAVI5lv
rNpWmW5lV586VcFos0lcH716s1M0GeRzeSJUzL2dIZHcNMJ5VB2pBC0ufjsuOQ4MX/hkMcffLtYs
7BNMGei4ox9HCs2DmkMIGfTkUUVSdVRJen5EYRxfw0nLAjzKxa5UnfEQViQWtASBHknEgWA5z+Mp
SWP7VIiluTZHZ0Fj0jm7SNf64MLedWY+k4SOtJLOC+lC26tBlhSqjGLB1QBOyU3hzj2UhmwBR7Tq
05ROje8uLZpwXTGCMNTNYGjxQkhTOJBge7gD1Try50423tDAN6vnuN/H9WBd+J1nJsarn7n5WMNQ
imyZWAIxzCwfs4j2I3BMxVDQIt5/JWfmPEPhYIzFDgietf79i/IizEWTScllaWSeXjn58rnJmuyp
o33GZrosyZ+vMZqf+IkShsAJvI1TtDHzz8a1eHP7IfxYqGN3bJHeIwbGUdioxz+LO19Rd4wwHVzj
8QgkgtrenPmIIVCeW8q6T2rRbTqvoTWgyvsButuFNfacCLZdY+xbbCEUwRhwbj6bYqSjggINCUhT
dE9LHOZr9IuufJrMYYSCm8XJfTbZUFA79dOY4TlqZlly1EMF/zVYAF+lBpegFn+nPc6JzYTiGXoa
dp/ISfKCGdnFrX4l5eR6ClmwQGOy27uZiqnM5MKhH20NdvpSTPRpwlCOJgRwNBOIbMoFVW0t7Se1
mwSndByaVyHGAtCSlcJZdmJpx/vJTZorNy+JgrQGvX+obeCSHZCpfRdRjxtBueTxhxzfOxXHPWH9
MHN9gilh6trgjyZigIMGfQTZli2QA9PcQe1qzlEBtwNR2Dc3zLPf2lD1NCd6POprI3G/GAJ8DdaJ
NX8tRIG1FrtXE0gMFAVywk58Kbjo5IELk75nn5St7iVK2n0f07p+UGdTC0YccYcdLD7jjnRm+c2d
E+1T11PZ7WD578GBFnVfatNcep2FGQQ8wrj9FZl9gmlBHoaqBx2TjaDlvnGQkW6oF6b8uU2HiY4n
K7djTpfNFFyoGCAooQQFYsU/u7S+1nmPXUlfa75jZSiOaUtfGPPcDkJZwCqz13N7i3ibaam0DsIY
anduCHrj2qhz4nnf0Sa4MO3PDqWDcOD9zOzfdgHMug4dMXSAbT07SCnVFpF2X31dFj7O+5vV1qHr
eTVTEtgaYBte29sUChHzOL0c0GlglOHrbmdeq0UsIAO5N21l9x+IpCthQDp14M6Rtm905GkGgN/V
7CilF1k6fDvBFUrBMSEYFxPCnujdw/s/89wHN6nDV44BkMSW1LA47STUGeOlMCoqf84aBLeaZXlV
16H3CtGKD6l9qRheZ9Fm81lJIxjArX7goHKvN/KxNyCaD62GZD6j2T31ZR800NVG0pBSq9pJPc0e
TYe8MGRhU/Q4ICZ8mucifED7aYILtXP+ZNFhvVRVCXHml+HeBrivQqvh1vD6lxUCnyiJsgFbhqSP
vHaYOqRFs4ZHBEr46Qtk+gyqo0BxQzBMnt7BSa1xtXFE8rWMZfPbtMoCBbAloae3hnpH2lyGr5Ld
fiNu1f0olxhDnJDa5C80O/bjJBPjVw+p07rwjs+clTRyXHXNwzpjGGg6bD9lMYFzKTYCn2T+3soe
lQ12VoELZ/XPp5HA0pYIZHqcIA6bfYOPr4UoRfmirYqGxJ5qz47UiMZZbJFCacORK1nS78/dM6t5
NcDjOsV+ZVEovf5YzeIMdWl3Go3EBAW7qHB7IOrh1OFHc2GoM0At1yVQDShQVN3GFkG27boaloQH
hAeT+xFeFPvQ4bSwx241ThKhb1dtuHdHjCCWAnOIUS0DpZ7T7zaWLxc+7hlU6fnuxvWNmKI39pNp
i9A+NHNqrpIEchyC4t1QxMuVRMewS9WxxBUMkzcrxqxDmuklzPYtGQQHa8I6cDCmAQauv3nxo52a
oosBUfXGsn8VWp88LMaC4iTEe8wtTP1j1jnA2RlGrQ7azAe5SNpU3aq7jC0cEroSzVJicXEhCubC
xntu5q9RwyvHBg7Ddiouk5uHKdbVvlKQfy3V9NZopoNQnPgqj9I/jH17Ltr4AKQI0OYgeXtLQnOL
BohjBj2Z2lD69MjELpNLfUjUooWnro/o4lCtp0b31CjhgcSB4UJ3Yy3VNrspxBz6KxA1VAKq12Xy
oixGJlBEBh0DP1oXdzJiRJaMgzi+v9jOzDlSEwSH2Zp3DI/p9SgWjFLkqaOA8W1pHyt8Ln0ZzQgM
h24K4MmUZDcMzalEvXlCy5lfOLnPDU96EE1IUFSOjM3wNIbifCAGGwc7oLdwQUOJWyXQTVhkgUHq
rA/IYHtpXn+WsX3JGvjcjNd5eO5hOs066pTXTx/jRKYmPXBcgsUslPjcuu7VwUVxpBUBEpD5uILy
YI6Ts3fyCU86m4CnPuQimY4WWjfo/r6emJ8cOV6y+D1zhHNhIEJnxbFh0my+f+IOeG9FuvBnpNDQ
roV231CVnPSWLlKm5/BzF/RT70+Hc4PSxIDwyMynrN8MOvUC6pMVM+nmfd802Z3elwvxbHpyzPvF
vp67C7P8+b67neZUt7a+3sZWzuvrT4DLdDxMkhHdUXdh6pVpINSpAsZq6pvYjvW1m4gcWY+Lw4KY
azdASEY/0PzI3RQrDFM2F+bkmZ1Gx4KTKoFKwX4DB5ObYvVVLYVPcHrzoNhWf1AG+djKxjqIIm/+
vE7m8uty0nELplre4LRZBLyl5yVEes0s9qk0uREhFPMs3A3+wdclw4b7CxwpauW1THqxpci0M3P0
+bo/jTDs1XlBft6jIMwq5UNGWAgkFOxc3p9R2lr1bT8wnGCAH5dhqSVeD2qyxkm5y/XViqW7TpDX
ekOMAn+ctJRcYPI2kHabWJ4qwODF0p1kbJUXDo9z05pjw3Gw+aI9uKUSpuSkjMh22GbkWAfdYi7+
VOBCqGqF38aKCIrF/fb+c58dcg32g/oi6LxtkLxUS6ppMjCdQp/f3ZWUmlRNDeSVyKmQ2OGbu+tw
c74wd8/uaOxmKxkVtdCbRmjVGEmD0S6TN9PDU52jfcym3rquw3k5OHWiYV9aOXvdMnBbCUlqxSk2
DrE8Q+ltzaW7V1PD2o86DpuKzQd6/6WcW1oUF3wBCg0K2M1i7/KFG2ER674x46GBeuRngtbBd81E
uTbSyb20uaxzazv3oMUh9gAKoTu82d8JUMAzLhPPH4Hc2AzgwcK9IwidSh5CXf6N7d10lUVF9EFm
FXaZBXuQHJzytpzMcbd671GLjqf338L6lG9+1ep3TxOPQ2db4JLd05dcvw1/gRa5hAKCGhlEGDHq
5YX3fW4SPjcDViYm6Rvr379Y8BG65SSBDYiFSmTf2EaeASIv9qEzJhp5ZEJeR3pyiVV0blC4QuTO
rOwvRPevB8XQdEkiozN8xSjH/TxFhwU1e7DmaEPUqD5Dgvr85y8UZp1NO9SGbr7ltU7akKdlg1ej
jOzcw8BF83ocQ5A7ktX7/lBnWG1wg2kXkj5LqwV6xOunS/Q4MrWGtFkzU/XvVjQkR0ydr/s06pG5
9+xrhZvsY+62h8bOhTeBTt+U5awGDoaOzPJ8gQauyJOkjN6Xi4ZNIRZHiG3iCzvvudqK8pXmO6Ek
BNRsFlsatVGWtZ3uOwpeg6LG17nXGuyFGiwYhiy76s1l2GkV7gLQ78SF0c/0UOhiYKuN3yLH+7ZH
V1YGeehVZFC+zkOQoxVCkasOn6a+lQfgS/VWxbbRcqb5H6wuLPyRXNIOJm5mfS0v5nw8AquZYc7A
sQn8ojrRtT0peMZIrfsnQ+GWTBQLIn/Q6ddDGZUe4YbGTG8xyvAcdUBWGYt57yDD3L8/756Pye2m
AV7JzANTo7Orvx4rdnIEFRPAZaWn7Z0m+x7+e7vsXUX7K3bQlU+xi1/xVP+kYycomohhNxd3OuSL
gLnY71WkfQe3bfElKXVuLuG00/IGGwrAAxhI+XgdcVocIqtQcbbG8UpRauPCU5zbGlwogKiF6FC+
gd7nRsmXKB2MtZ8/BTFWbnu9NOqr2q4bD1uCgaqg0S4t2TMVCDRYOP3UcrAmtrnZujL3WYkNgV/V
yKEzdq5dEUJImewq8ZtOnX09N576wiLIvOrIFK8q7cJqOLPlszmtREBYwPRpt5OSdlqY2cwUEkJa
KEiF/CAd+1syFcmFgKBzzfGXQ20bwaYBt1sNecdoNbITDBvdQxfq7AZzREjVusu9ZWTKzaKZHZSw
bDyWhRtekTygXyi6zlV+BnQjtmR6frBlNqcvaDYSyFBgZhYN8Iw7aAjSnH5n5YhnaoZcneC13lMR
z+NgQgzYRFbMhRV6DuABkGS60aaGjrRtLlXFHONzpRl+XI3S0zsS2xMNF6ZRdCaeCbrEVXVYAp1a
bT8C7J5yPLw9iRAbgayqXvg456YBRJO174QQgNPq9SKuk0ltBsjofk7PYecIbD7T2OXIanDTfH/D
OFP6PMv01tYaDsBbRnM55jMdGmZcWuGpoUJd2It2/AfI+8tRtjk0bWTP5Sgaw2/UkG3DjNlsTQyx
plq5+CnXHW6zA4L7ECu3EltgIW1OXhuzkhZZruHPuBz8sICAPFg92a6FAH9qh4wdC9vEkxrp5cHR
cdVxFfDlpIdb2XZ5fHAw+7y0taw7/JvfxMSy6aADfb/ZlZFE15jssNjoEUGNgrcX6xLEQDR1IPAs
+ZmEM2bXS7ncjhUC67hp40M6duLCzrqupTc/xEKIQucQtGjL0YrSxtWaWjX8srJav0lwk8yIVztl
i1ve4z58qY99fjwGBCmgremu0+/FKWvOEHOaal1XOGzQ8KvTW33Vi8cc7RwfmXmplF/vpm8eEJSA
dN1nFHDz9aVuhiaeNOyg6r2hE4iAo+/3iASLQz+nDo2NYskx4M2cfRKl9S0OPm6AS2L2FDdjfCF8
5uzDo/uB97P2O7ZfXZK0mi9Vy9pa+sRzQ2s5tFhO4RiETaYZ2/3/CaJGxnw+yfjcvgEUSCN5VW1R
dr5+28o8VLKtBgxJ9Ah/2rwcfTSkDS5wuLm+v288F7DbFy3gVRmoj4EjthdX21iiUdEQ9kdgv3sV
fRG93xb3gdxs8DvD9MKqQKbdrHP9aqZuzPtCw9sqVIKG2CYfGDvai0yzr8xOylNZ1sWNY6B1dHJj
DrK6VHy67/luMER5HGNz3okIL2c8tqoDPq2xV066gyWXXX/IUU0GcVIKSCn2JXztTIFq0NRAaL32
Rbl9vH6ni+GUaW8sul9UBbZmAMy+iPGXq8GWfJn/N3tnsiQ3kmXZX2nJPaIBKEaRrl4ABpvN53kD
cdKdmCfFjK/vY4yoDronhezoXYnUIhcRZKSZAQrF0/fuvaejuZzF8072S/ebU9nPlg81Ma5Th9ED
6qmPn4xByXWkERuoR2Fp9HXVXkWWQh6OnoacElT1N8v1Z78UHC6hN8wDBbS1j58nanUxY4TFGH/6
yesGKQKpxEdUMN2uNcbsopci9iptlr8B+P30h/79wd8LhB82iWywyAQ2GjaJ1oa+mUyWp1cR6lFU
Y16ViH8I7TvPZhGoair/sxk4fz7uxmbKcExFaYEIOPvmmKWzT2cqS2chaYEBbXYiXQcDQGNH6zF1
fzdm/NnZkLvJkRdyGcLnz/uCIqVSZFTwqyXtXY+0teQ5pBwmU8KddnHpjH7X6h0B2ka4Ho1O3zb4
Jl5DwyQhqHCjNQk6PU3+1vYrYG6BbenRNuJNth2I1tz++jn/iWZdN87eWo4vtP75xh9XRaqlLP+5
0elC6IQQD+WbmBrOLrbZbgiaBIRgOwCt57RAhzbpa6djAoGlWgXCY0lvnO30NDa1uFAjqw0Gat/b
33zDn71cKZW5kuz7fNHzrvjD8tGIudJsPnUFXjkpvWnJjaAq9DcSR+b1KOtlheDDecyjzFoLIHSe
Rb7MJUQA+ZuX68+2X2YjWIFtKg90PB+/SBGToRidEXvT1Br3pBQW2Eno6xEMrd7/+kefn8XPu++P
H/X5vZp1JL2YOM+MMyCgQ4noF0pm7JwljPZWb1mbfjCeIamoa4ItmVT++uN/JtI7n9gZB2EWMdj/
P/7UZEiJ3IsrxFhZpK9GfS6CfoR9JA2z2hFsiqbe0dujXi8l5U5KpDKAn13tLJk/laF5Q1n/Rpjf
LevX2KPPNLFETMaBoH95ZAY0vyq5hTo+tUK/METr6WPWAZ9ZtOd+NpzVog6dn1Y2r3eSyTeTOyDS
0aPyGDIZXZOO4KybshBHkzH03uwJyO9z8uZ1zRp/c2L7mWaA2+fQwOWJJajh0+rjMhil1iON5JXV
X8cx5l6Mejaa4yj0iSMQsMR7e68Xc3NKh6VeO3E9HpaEqPxEGMslmTXkYdnoFkVj26u+7peHZrT0
y6ivyw3UohI8Sjq/L7BxA3OwfzdZ+dmixe+hnasU3uefRax0hgiPLRxt1YV8dbKp5QZVdbZh5iF/
84L5ybGeIz3b7rkJYqAl/bhoCEIdnH5gjDYXBIZpqF1Qt/TFRV2nlWejA1nN+HP/GYj2+2bvsDlA
QuYHohb4+KFkE5Av2jOmMe28X4vBLB7G0X7VUIf9f5zakFyc7ynoXUItPn4SYfAcbhQ+Scqx26nE
O4buoF9ltvhdZfCze3aubhmFMqRBQ/PxkzBfNPhy2ZPHLq/JwQdKswxaGOgwd3+zvn/6UZY4p83Q
N+WQ+PGjlobmGbo57pkB4syymnxttxRCSew0v6ndf7I8qF0ZsuJ5MCl8PtUfBWg0KUNmErKNul0X
kZVmahXRT+6M1zpjojorv511/eT3mXhpabrw8J/VDB9/n2uQuFfWrr6yRscN6ogIVyp5kl3Bcf3m
Un53l33atDljsmeyDL/zij9+VkuqiBvOjDUGV5ab2UJDmaAbCdRYtc4ZvzKY8H+T8TsXF3lPGlga
l40XEzS4IgctW+FKaTdKXtGXJRl0oxEQsuKtba6XRnGOqASda4mqGTm0qN5rvYsOC/mBGyY50SZp
65dfvwN+VhkgiGFYxhCUocFntZRW68mfUgtcRtU2wdRAUnwbHWUuo/0Q1hTKPTxAu83TdZPN88aC
mXI0iAMnwReHkDqm3UoWozi1A9wuxbWqh19/xZ/cXCSFZ2Yjgi5iez69kJ0hSUe1YvH2VazsY2BW
voHdf5vFyu98FecX3qd7++GjPr0Q6aVpZyPvmWmF8tmwJ7kn6jD8zRbzk9c+M2DGzuf4ivOy/biC
8rFIzI42FsIH0sciOxs2LflriIBsN0gsPbymtE1v3FLUOzS4xW+e0J9dT/qxjCvp2PPO+3Q91X5m
Pj2TfDCRd8lFTdL9YnRflVG2m39+55BDE9ggmEBzlP34Q7VOoCQ5y3gIRK1uidkfN7KP6WULMXrf
P+ofJYhd1u/lbSff37vTa/1fIP2LkdkP1/Pf0r5wqGZJ+fo/1q9t9WPW1/f/7K9srz/od5LAw9Tn
e7KXysb+Z7aXYv5BIUM5QFXAxIKWFRe/rGQX/8e/NPMPlMEudxnQrcO8iD/6K9zL/YM3ukFTiXXB
2fM8rvzf/+tD56L99M8/pl9hOP5U1jObJmiBu896pxeO+OfjEsizGGlZo/tEwBOr3Q3NciGgdL93
io3gLW8RYC9AI0GfWZtiyPTnkvDHZoghHFqkWReTq3vNrAUxjiYXFM5qhIFAvIcCcKR2MfOH8ewx
ywikPhtra3aTbZ0vhVfNEZ24UKKCbtPKL417fEv7mTOMn+txEmDgbbZ961qHqiWaXFmgWLTEP0Da
vGSYL/3OtdaqbD05h9GpVvQmcLR6vHQGo+fApigeTJIcqpnsbmR1BsjMIeTP+TEkETBVbL9r7HXB
ZGVtaWH06CZh6aNWP85abK2KjPCJcbH0J7Tz8aZeitrXkaevllZMfmjhOQrV9h4sj3lJ91DQp8ZC
ZlvFtyJniwibsb1SrXT5ZirJi+7MOR0NRottlaU7PRFtUPChlzjxjQPn0Ozawse3YxIv/RJo1H1i
F9UIaHTS9iRPqgsuSNO8MSIApU1kXtfJuJpr68Udcu1tSnO789p0Kshg1Gr1ep5KSJucGcOjQzIj
RofKWE5Nt4gTDTRqmDFKrXVUhM63JtbM4NyOzAKzsx1JlkcRPVdOq5O5OOk0QjLdfsybUDhenyzz
VdXkxYXgqYA+UIA0MSMAOq3pjM1Vu0zlKZH2N7fLEzKGuYRDoHfjvJsZSmxQ21szjM2OjKqNFdnn
JlNaOhajYV4fvihBygo4BhgHQNw+6anhTF/aNgpXStuol3VBgqnfDbmu3TVqpF4M0r4+Z7gE6GET
VJh5nnWUueiaAcuDDw2b7FgliwyqVJTEx+UTaft6bl0OLncjzpI6AB25XIayvkBZXsReI8oJ/gGe
cKUp5v0S2Q/2iO9mT9Ok3NBc3dL2SzyOfvM6KvWXIo9XlaWqfjctySNG0mi1VCAsUhF5tWpuCGEU
JKnYO8cNIepKK96jHwwi/oqIrmvVmMFzlhfhaBwNsu+hCHtDMnhpNz/Z9G+jpQgiJznghHVWvHSD
KI6CvsiYmESTBzRtGzOpod/rMbryl1ie+4FmcyKH/lJAycyLAdRRiLKmvbMxfdJfzDcTXgokJ9PF
FBGqbO06cTNUt/QuNzW58JH+NRNLMM3ntB71SaWBc9MTbBkOoUe+0obtCAk5zSmisQ452cDqHJ7o
768mwAFeDR8Xr1zQlcUQuIuzTZKUxHqVxOZzpCeEmYOT1OWOW7UGjHDIQT9hIdA3Q2aiEJhmjWhY
sUsTomgHw1yuTByywAJI3ifu0w4aO69veWyOWno1I/lz1Jckc+5xAPhiMTezkxCW5u4EbhV3AYnX
pZe6U/k1yeqzXA5UwivozAa7ij1p8a4VyXTPpMfy4KnBq2s2RmUbDOdkEMb2vU1gk5+1hXkmuUI0
0rVjnEI7mrLkW5XnVySqth6ETscncfapbsY3JXTDoOFp3OlGf5iQdPRTfoHW6RXWzkZTpmXbCYjV
KNyjU76ESLCSFnZRSpbwdZWdicYKYWeeulT+6DYbW50TwVSqvuhg2lZpheazLRcp1mkdKiuipuMD
6p1ZOev5ZXQfudBgbQU+UgNVmTpWUedgbon9zeL3RFG/oHpgi4udDADL6C9DFtThsAQlIEkYvr1y
Y8xh+yYWeaMqangjizDRyRFXLtKYQO4gzN2h8QbVHU4mKI6VDtFmO9aVTXRzn++iqNYeOP+2IKza
6kmpysHXQTgTX7O4N2WaklObactrJlv3ZIgEjJPe+TYM9YDMQM2DmgnMxzROzJtu4xBopJk4oOic
3sMCMO1Gl25cPqhHmaTJnrGOuycYvfdpl9XHUJ8diNIugj3Hb+viTsvHq7xBqNmBmJZLlx+BHqeX
Ydmx98f39syTUandY1NUayN7TSrhMy27RcJP2H4FhxlWKQDefdlW53bfRiMt26+ENR2ioakDJWu+
IqA5Ibv+WhBs7octFIasyq6lpn1tFAwec9Tz8tES+ouaghNLD4BzEisyEyg5ZZoHlA8Iqp1OsKPt
xFdiuJ7uXDpeLiB8iF4f/Tgk6bxY6q8hgzVEG+V+Ut30bRhzZ2NW5RsZJcBZJCCpiL6Uafh1MfQ+
0S4Bgt0L0NSXRNrHXipnG1ZiTPtj9sOmXtWkyZbGgzY9LMtza6LpzBIv5mrLcvTOi47ByaM7jEcE
CYXXGWmAe2prKs+JQqsksyPP0pdH28k2qfJsyRYGyHiyjemOAdAZfdWA7HYHb6G9DYFj06vltcyH
tVFNuyWyeBx0yzfs4Srq6ksR9fhBB0JY0vILcE54dE570hd117dyRzQv88WcdFsafU38FBrKfhj6
fcYirmLSy7v0UKJw70uy7EWkvhDXdGEV9Q6pNlnZJ6LtHgEH7WG/3Cn0EjxbKvA0y/dluGU8hLN2
COFLAHv3htn4ZoVmIFITC9CrAZXASRXNI6veDyfzlsPP09x+K+x8CwXhZAHR4XjJTqymYG+0bR2C
TIBKcUUf19P7+IoMaLiucX62vKk85gSZ2lhJHULEY3EYQVtgnf7aqMkuqk2mwTUuYxKfZm3hko9r
d3pJHMcX3HYvnqBKzjoxHSHx0PCkdo7aEo2fkWaSeilUEhXEedw+xlN0EPPjPDJfJVR4mggJ1rX8
bFeo96o+VV4SDTdD425haV4PoK18JpJBH7pvPLQMBsQmzEEkq3Y478xGqH4yKm+Eye1i8BhcMJ+l
4c95vGOUz6vQ2ZR4otNBWanWnanIV4kRW8AyXtg2IjVpeADlRQjSTi27G12CrhE5YdLNbh7O1CfX
D41mpTUi8StV8/UUDFQLknPJi+esfXdy6wK86JOuzeu+mbdGZq5NGs1LjH4zLwm1zzdjl+4iGzZ5
vqiFb8TS3chccHtVi7xBstPhLOq1gdxOP5JmBntSi657G1rJKJRVMT4vRb8qrLzaiqGwD1OrpPxQ
d953xRu3cpfpXBOygKa+OPFoeROsrSEz9lYbmp47ZBfMeSuvHO1r6BjMAPsR53Zvnmq7ARaS2EEb
6zdRHZL7rLc3DYXG0A1X54z+BeOQGY87ucSq56rE14/tRptMeiQA0kR7OwndXFXdWPJMQGRvy6Zf
GcY0bJfWeHLdobwbyLcOhNm6B/dM7LAGlbE/KU93s0ietAoO9nTR1eK2qqYVuQhrsgev6SgdOAke
bQDdY6tTcRruypDtvpsJqI6aa0PqN04C31VPXkbVuep6shzcoz4q6N7JOU+g9HHtc6M9FqNzR5tu
WJOa8Xbe0NeFUfA+gFRHZH3hy+6+KfWdCkftXJuuM7gsMJ+de6ARgXQMb7Rgaw7d2p4fjTP8TjXy
dZmY/aZ19nlVgvlItiRnxIFqJ1owm8wn1dpZmWkRAEb5GskvOJ7gbC5WzFIyRFDo/UMpimdtdl70
fApJ4s9hVOhsARr7hZ4+irIMEhf+oU2xWGa8M9gXYBu6PsEdvDngsHnCDl87c/D7Ib8QEB+pTnxY
vb4o2iAU45rYd4LzToUIL4zoIkxeyoqCxLjMs3YzlDC1W/AZGG2L3ABGh8O4Vl8ExvFMTTnzQGii
eZGpVWCiBKJ3r3iNKtdV4dAdBmTIHvMKnHeTTgyAEm6IqdzZ47IrE8ZAVrLh/LmdRE+ak8viQUhT
1PqmLDG+JBVvjdQIMPBZAUjvEG0pOnIjvLGbl7RwMDs6pb1ejBvhFCIwaWh5Y+asQ1ucab3kdZna
LlWdwbftIwe89bn/kWRk6Th59kC++SqZ7S3EzAtzbhxfyb+4YFsN7bW1javZsL9o0ddctaYNVDyN
ucK+1x5Fpb+asIX6Utyhho5Rd9u8te0QSDagksloG4g0jXiJQy18dqKGF2mJs+qsCpo3i+QgmeiQ
HxopbyUQ3QdYsen530XzqZ3OdPCkpoawugpP2ple1ELTBc0uViIySXQqLaDO2RfFFE8j+7MXRYw7
I+W8JK0haKPkSp/Fl2Kyk9WUNLfaZK8rMFJ7d2wf9Sa+GU1DPqbA4tPzuzTMjgpdLV2jU7Ik1+bc
oeSpk4uwV9+IWdnLpBC+RZ/NxI+ahvKtMUYfuqjnTs4JLc0FXNuA7CcAffhTPVWtMMca6ICVY8Sr
FKAYxz1dU7ITw8j0onalu53PVkKjyiVSVrS1EGi8lKT7C066ynooXbHrYW/e5p3erl2njJ86YE4v
IVELXo5F208MZkRWTlnf1cryokRd44/DoASElDmnYVHcLXkfFZksej20HgYza404XDnSGc/HlVDo
unmKneBd1YrF+DbUcQ2QPi3HiywV/WVkSiVD3niGiJRVY8GRavuoIS1RxmSw9qQ8B22i19qxos4d
m02ZQeZzt2k19c4q7LLIfCig/TAaNodIbkCkknJsRcmGlVYQkoYwdgKhFlFwz8NVPQ5Z4aF0Aqfc
h8mFi/+Lw7dCM1v2QOBoc5awG2PSC3SJJ6fLodJ7csmSzqsrQhS4WNrgKYMdVcFA+4MWB4XFY88+
mnDfdI6iRq5Y20U4A5n88EYBuiwkCELOKWFUajjBQA7mhrUeM4qNUWPzpkjtthZgDePCbmqGs1Nq
JfDZldjxWqyM21naBJpCKyEZnzdBi8iupCSrljOoIWJFZ4VBH7ecKvsi7FrFx7qHsiPnD7c91a83
QE4+9dHCj++drL6mhZTPTjC2ypheOppiWvh722W5YwIEVx56j8IJ0kVvNrtasisajmsrUNLzQ1NW
sVhbBs+SJC+XsjOaPStV6/YQLfSLAxtWdQPywrUV7avDa1nddXYFjMSrbFNmYpsumdoIz4SYU5+U
AaC4Rq4jF2oXlm6ZH9NxUieqXY0IbjWFEsL52p5seZHPECN3+WJb023aY6+EjFzG9jvwR7afsWVO
GZuhNT0VyTIeu85YtqpmFT012DT6k3RIuF4qS7tpjF6GPjuBdgiJ2mNnShiYb8ouJXmE7i0hrqOR
06ho2E3Yz+rSOaV4jAjD7fSeaOJpYkZd8a8oCVw8Bx5WC+6FtaTtyWoHQMUuwDuCPbLM/FKR4B75
Zed2/T6cANYA8ZvDnTQFeWoC9J65KaKQWm/uTHL9cL7bl/XkmPXKcjXlhrQ38c78o/+iY4C9nrWp
fa86KhToT+aqk6DYJlAle7Dq1XONbg5oVWbqy26EmqnDnAox9xbER5GcV5fdpiTq6AYASb0f0jC6
TsOQ4YUDMS5BQBzJtZVM+g6aaeubTZw8JXnaHoYpn68RfcvAUEcbeBzbAAlIS8j5AdvTe2eF7s4c
Mve27kznpsELctK73rxmxghvE50ovB78zTKwCtN97MbUvMaNoZ+P3Slyv9xsMdRYTTvT2JjTeW8V
BGpx90fiXerEdK84P5FAAQTlrIOFKB7bleGZKHGN9YS063Ey4+6bKh3W+hjCc0bdX96WOFguy0Qq
5+GGfiiMiPOCdkzUmK6XnVFDFMQq76xlZqebpCpSzySM4hbwivuE5Kfep1oV3YadpB4xxhadST/Q
bcOM0l0Uie4+tT26Ka9gyoLVMJwQ5pfoE4eCs3HattrXzM6NHKGOVjyk2WzSZowU4aVguy8Wocl3
iMqXrCMM6jDbvympo7FQx2WoNnrX8orhOltry0ku1FylSVqyv1C0R3V/kzaFNpLDEBnPAmOzhCKO
Y+rY1Y71qE011Uxktx4w2gHkYKFxfEMd0tUsL2w2yOumhZ5fF4/39FxHlFujOmw1V2K1qLCzxMbl
GWaJrvycY6GKkMgHwjvW/dS24EITsTOnyLySGrx1bxHVTiwvsbwZZZT6AJ5QlsSb2banWwDWyb7h
KdyDNhT4D7sKAGdUUT4rWvJOXg4lzoQ3fa8zk7qKIse4HQUuacdY0BSUSXs3gVfhHShEu456czrl
fWRwbK1vlsyYLzSzCXm4hHNg8p5vud7dtWCHoeyQZTBOdyKjQ6DTYtjmbqODRK0UH0MB0cSSliT3
Qp0OmWA02zgSe4NIQ78RBat7LFV/MEM6qt1FP8YnNed1aqYbHqt8pcrsqZnNW6lSCVcbMlMOUxG9
lUaOgNAgAKn1martGIxuwaZRVABiTUgQUcOlP45gHVFNpZpfG5XO4ixrz7FpODNLHU4GGMa9IWeT
w08m3qyiUx7TCNckxMnReshAYI9CC5hb41hInqANHmankV+mpYhPRIiLb/hmRrJUDHU44H7MntCp
ze/AFfNnDTfPPpyhhk1oa2RJfgRP0WzL7RA7Nc58ALwpNWFWThvWZxHvBsJpnnK7TN9EZ8bAyBfx
1VisJmVTVpLAzoz8nswQ7RngXn0hWnSN/pi2ymskGxu2uIJeKs76O23RSjg+ijtcznq0XI82MObA
UTvrS0oo4V5PKGP5S5veHOEjT4b1Vmu5fYypkECs6tnwKjuD9sTYNZeizIut05jqJlkUmzOXvWxK
RfUUUV5PE/2hPjzMswEtrIt1TIpT/DTLQtuMcaH7rtqXwIouI16BgAESC4NmFHloK1wYRGIN4m3f
qEvEgJlqDZYIj+SUdOA/iaIfMY1jQiRRaogOtLVSH2CYFRi5pvlw7xM6F671QMhAMJViC18yfuts
2NJG1R46ULRB2PfdtgotgwQLk/AaBTeXS8c+Mt3bQmk5zHbtsG1n3kFaFPNiHwI0+TpMr/Ae0Vy6
QYaYHisNb8dUd1ZgVfNyRYTBMxbX93SY4D+0nFWalENWWe7Re7W+PmDDzTRGvl3xoAAMFgDMXm0y
o4MaBOPa6ikLmn7DnD1EAQQdgpb6vWax8OUQ2pc9+spDohRyTU8rmPuOks5RGp8Gr7y0avOWRKIa
uutSV+yr4RfdKQ8MI8jx6ZYNbpXnpqaDiYuStBCWsVsP0leYDnW9sANneEvNkcOFS/RK2RZgoofr
MLIazyi5LgO806B3hscpyiTPsXlB0yZ9oPzMNhWK/4DtfROCpfOmCEdM6cw3jkhXzIWgPMXVehjc
KjC0at5WKEt2KsFOO5dm73Yu5fA863lBaS1pVohIucrNJ/hOm7aX+4jWbjCfDzfCmq+1zO3WQ5Qe
+llE227BC0boNPm/quxsH/UWQNmcRIXW0C/JXKBNjD9Ty3iWKkfyeitXCCh9Z/zqLKNJw0M9w8Hq
HVQCzN/0DUc7027yuAs61S4CPRqmQNGagGnMy+xUM122moqp7x6NjNZ54zbrcNSZpRnmeKU4kuVB
HeZ3ioUZOLR5ArVpB5N5mxv0HtM4kdcgg1UqW7JqXV4kjWOl67zo82NBZNetG6on1221Xa8Ud602
H/Voepsme9/UzcFZ7GNapw/u91bf2N1SwaseWtv8utbs6S2icaensbxoB0cBD5fZlxagV3oUst+y
7/ZE5ub5wSnKlOKDHzP21XJt6dmXrgf9TpowAgpVrNBXQvyGXM9cJ7ooZHxv0MRX06qgfw86ru53
CGP9pc2uGRFuC8feQjLJ/cGZeDshbragbmUtHgGlvyxNeLFT+tQNi309N70v5Fwyem/M12oanBvT
1bHvhex0VEtqfnC7iLJi0o27iZOAn+dDC9fZ8KRVlWsh6GMWTFk2Z57QcbTFXqeJ5w/qeNGGbf/g
ull8GSrtmtiN5EYrF1punTP5fT0Z8NjnxYtd57VpGCuCzZx1AGoaXZ12CHdqZdAQQ9uVqy8zWp5t
qUWek7g6jcBxM4pIW1e9uEMeBSYxQrPQl0X3ZUrRFFpdhumlL29EEvlquRwJBrpRWu2Lji4nZ0vE
Fe9zR/eiGzzdvSUtCs1OMmJX1ndzqBwi5Ih6SX3uVi/1PPpJORxGpSD4tpTdyqirLGgX2ol1ndNa
Z2N38ymjR65+FSSC1zm/Jk2bNyI+bmqZHSqRXOaxXM1pMkFNV6wNp6V5a8VqvB70/GGm+TjEurjv
C3ff08grs3OUc/G9LciDMMV6+zDBo3ycCiXIGqYusAVrX46zvtZi8kts2TynUXwwKjhElN428WPd
BNllakBCzMyLVHV8ggv+2BbVLcfZ/J6fU2AsGRusQLuxzr3MoGM8RfUKo+dRmPsxrg8pDaSrEb79
up/NyzR50/MxTbyU2KvLBtMjSWT+xIHwORn06YuUk3k5YMx4S6KxtwIQLBOC0v7cSU8aNyRQzWZA
XSk0SUkrM9zrogw7ymBnch8ijiDKgQm5cilmp3yuItN8Vc89t5xvafGXzs+TU6tSgWOuyTbQXb0h
91TJC5JK5o4SpszbnmmKRt7+SNc5bIdLnePJyqlj9YRzihBCaTOQMnJ1+Qr0V6cHZxXvFKMRc8R0
8DuEdmxguRZF+IYZXtIMfgc2TPJZGCRdNaKYx2wYd1b6LPpxHk8wTGeam20qFQaIk+aD9Z7/VF/9
I5nH/xso7r+aGAT00a/EIBdJ//6jCOT7X/9TBKIgefsDUbeD8YscC2yHeAL+UoGc/4gGK6nQGBER
yp+9iH+pQBTN+eOcGYCABJ8J8i/1bxmIAhqOoT+TafJi0EGi5vsnOpDvLvC/dVUkhJ0VZgQjEPjI
ohKf44kXM7cjGJ/1PcpKZMxDrMo4mITYkxHQkKW12CDtkUhwTtJnEur6gTNMKXVtg9GQ4Io5mchC
SooFqrs8J+vqQzG+zRCOLUa4NVPaZgR16dTtqW7V+MuyFNmfCtT/Xnn/Ojsn/ud/qnr+XYX0GsvX
pPy49vin17b7j3+Z6h+ODo6IxAtIgRhsWMN/rjz+BPSNjYTedTl3k0Pyfxeebv1x1h0hWXLIusHe
jADtL/mRjmrJPmfgaEQ48F8SEfSfX+zqz/X0S/nRJ6WbIOQLEyF52HSSNKSNn8RHJk3Z1M7hflix
A+s3Lb5VRZq80oG2j4VCNyNnnr4RZ09o6YbFmxEXyzpLJ2MTxu7yoscSm8bM8RW9mrH74Sr+9WV/
1EZ9j6P4+5nAmsyXQ6qNwpgng7L8bOT5wfBAo2UE1ckMS6mXvvcTGq97V/agX/OqH7xoSsJXxUAK
haoFNOgCvtaD3AkwQA3TUwoe+8WchXHFA/TFSlzOKcYobkn+gMmR1SMD2GJWfSUylGdSdxmPk4it
2b7kNMa5wCWcU4/QMrWAQDmHdwm+8ESRCEwsS8GMEIXuKjGEfTsvJv3VMB391sqQ3khU0wZSjOpk
Kl1s+LxGhvfcqTvKGNWQKVzucf6GJiwymX+cGUxoYqyXWXawdhQ1/V3c5Xc/3OcLCQ+K5IFzrrvz
OYnQ6ZacoTvJQBwmA63QA33U/ZkIMW9kuNkp4Wko3rRa2wz5EIj2pSycjR3fNMC0SzVaV/ZtKNcE
7CUojlykAKRlen1veoxc10nL8D1LEO22zDmcrVEpv1G2n9fgv317zBDE7SOW1j+n1ZAp3lVR2vLt
syFZRR06JA1Z4G+UmJ9cYd8XG4p9OiC8CxB+fhKAa/aSACbL5QoLrwGajFtahtd9cczt4mVh+kMe
VlL9+bL+IAf8cYl/2vZZ4iwFVH8qLwCgm6gNPy7xSMg2ra1OrgS+wKA2CvUIwKxjRpmo06upp+Kd
p4T0SFeLqmujYCPxJHOQr3VVFEczmasjzSX9qof9wnECRPVRTZmxpY2W3cczET+NJK1usmY0pqlD
QfXrZ1T/pNT9/gPY27Dxw3XBVv7pB7CtLATKZpJuPMdmKcbON7Mh9peFNhlI5Wote2EhdgnttaXS
/EpmhtqKWmPq0pyJQV08+qYS58FkVZCj9bql7a9kDIZNZzPncm9a7TWw5sEvmipdET5rn3Csj5cj
os6NVas33QKlmlh9YsHpX/7mB34S65+5fbS3z2mIDsGtbJMfb5A5KMAYe4zixDTIrS7ljr7sgFLL
+IY5deXYHF9/fUnPC+3DcucTCaBzqEhRrWK5+fiJTKYAahd8Yi3l3dykTFp6AukyZY+uRwS//rDP
8Qjffx+zPtyByFnxBnx6AUC0R8JpoA+DX+jnnUnUtprYPgF3KJwKnKfNDKGkulK3lpMZq2T69usv
8H0T//RzeZGR/UNW6rnO+iT17kNFzr0RNauIBtImrwpjj4M23HH0YrrQmuEqnpGW9qW0aa80hCmK
hp0GA6xPh2HwCW22d4TU4b61u7UrujuEVXPAWYRM5owQXD02aByQYO+JoqAp48Qj/28WR+W2af0o
V827Yro2nJRWyqiB+QSk7cXE6gbj4EY3bao4d0Pcl5scp1tgp7LwFpc91JzOHdWuc6p7LYEfM7F3
kLYy+hIV5G7q8uohiZt+r1XM6hKbWzcRIf4n++S/a65/kSbxw0r6t6Lrpipey+T1x6Lr+3/xl+qb
cp+nh2Rn0mFBmNgU7n9WXbr6B0NenBwO2n6MlMbfVZfh8EcGRwAX/7OOD4hi6a+qyxB/kJ7Ds2if
gYX/h73zaHJbybLwX5mYPTrgzZa2DMlykqqkDUKu4G1mwv36+aDuiSmyOMVQz3Z6o4jWey8JIJHI
vPec76AI/6tdF9EJx++4CXwL9w/ZeiY2ZBJITya9XzEzJ4/GUh1GU3PLt0dVq7pmq3YF+cOd7juD
vqCDp2SKikdtcoII1qrIWCHrGAB5u55UlRm/yPFoKchqFA2vpdEZAYURoyjWQZSEEslnGocrNGSo
dNEUO8H3YcyJLXfzyGjuvMmKDRQ5w6RdybSgfUpLoY3iTxl5Etq+IiUsQIVc5FW1czKbbPoy8Yyr
Lq0xuC5mKIx33fSmfPJV791mtuvfWwoEz3WiMvsZnb1Wo32tnWgzRn1x54Wi8VcqosowLprSqIof
FDYNNHoS7XG4C72s7QlHtIxB/8xRPg8Pja+P9TYugtJdj8SUoXOnzdYvsYlT9A30uPzKfjR0N2be
dcNViYuMgOwUMup6dGUtl5OyZLaahqad0DoQSoUIpqS651N4jTaFiyZ2E0UkowH0xce4z2UQoCkZ
iqc6S6Zu08LJ2+l5T3cqS1gDFlxC8k3KST6O7kwgHRPBKV7rSovQKDqZpFMQDrSxUwTaKyv3Z2GY
FXU0xV0dKtceem//Uqdu7S4spNqI7KOWGqejNLyfkVL272SU45cs9lfsLscCcoWwGTZyH/KhrXaT
W3jsL6WL5xJ4Ha2Sws7SrRZqjwUL2ThrgsT3MA/zZVBFxRIutb2L6eE+j76+8Bp4xVhFie8oQrOl
dxvL2xR5t7XSzDb/HFtZd13Xfr6HV4JEIcRreGOUUv2IrGnE7jlQJyys/KfuzPW1pgC9TE5zGtx5
NPQHzNG4V1eGoWCAp0P6LRctswaFJVW6Ghkll9MP/muUKFNf6Fo0NAsTBBKJh5qnxMqaTPFUdFWs
r9vZ6ApqgwZMk1kl94Z5up+0oUM5glorWnjB7Cl3Ukc3NgoWer5wzKxPllC+xvXUQNBc6LakvE7A
l7xqHUWkdG4W8nGgdYUzgubqs5INJ+csyabPdp/zLekTI3GW0u6Qhw6eWx6qRJt/6uCrCT9r134q
myT5BQbbIV3VSrvnPmaNh6VljZ+UgB67iNvQNRZ900jtakykQ9ksbKNfiADizzTjPbRw4WBW23CI
VQp4cqxfGxIt/FURtulDqfEBW0REXdLZdVJvzUmLrqEvkINze7v8K7KRTLAJr3gAplYZt4VMRbwo
Iy35FVamHHcoj3uTiFnLfcCqFX3G/2LTRHfTcEvDWmVoNkPrxeSFoi7sR1q31rUmJUWAuvfCkYXz
WsRaRPyI4u+IBfGovtYeYtSIusUnOtnVY6s8JRe2J0wCHAPYWE5ni2cNRrzceY0aEerbaJqNMgz2
SZE7FdFmTTqs9EK1+tpmH58tkanpd75Wh8EmlRmCWHPsa3VjNvYAb1pp4lfda/3vymqn/LqU0Fvu
nZpA3cVkcOAEn8Qa9mMKHeYx6pzyW8RvmFAUKWvaaVOhEX07aq0Bf6bIfvpRAWCrNWqQLCrRvM9y
QGu4NE3yMBdpV7VUxzt2zESoINEgILF4HgKaviiXU/9nW47lvd/nRrrInSaiSOrYVrUpFPpgIDuN
xuChTZ84yOtPnuxiBPqEd+QbLTTjV9MbymaNTKV6cSNOLzfSp4NEe3QIdyVucH9TO8Y0ISwLRbwW
Y6j7G0nbmD6IsNB4+WnPk3Lhkn22TJIy8PKMBUVyoyvgsmddsIlRFl6FQ2raKH6G9J5YCWtkgcnD
h5DuW7u0OV3cN7KJXlxTAtYDmBNEVwxKCN+o22F4LWKLiGCHxyYJjCGwYd1groxXdhPm38kEsTgW
96xtq4YXGZ1z7KcYZPs+xPmhQ7FC6tWIB3cykBp0YeW2BN2BDFzaKfanhUGV+4YuLYYDXmaqqWHk
f65MJX9PZF3sc8+k8SCCKPsm2GbTs6vcKlxyw/ntLjn1EfbJKHsS1EvUqjVtTrJTYHQ0LLJ6fOpV
RkO5d7SMRvToQe5MdWLSllqLmo6SfRkWG6vyCWfL4qD8wlOjc+ZEFWF02IcGnulE/FdrsaCiUrGr
z1VTtrcq8UexKAZMquwL/RQTksj0x2gq/WGNdg99fJ3a6nrsPbNauebYPVpeDNwfBY2YFggQjadc
V9GdN7aIZceioE5RJJXwl/B8pztb9IG+ou9JWQ4c6vQrj6L+JvFSrV6oURjDkoAMqZbjVMgH9gR0
+Pmuei8NPJivhotteOnIQCAj6X1qEv4U2M8KQP2jppcDa4NImK5eR8grgUlEDNSpYzUrHeCIC02G
dNRlH2g2tf7S0r+TmABnDvhJqRZ+Wbj3JboDmzZsg8Z0jHL6ZlZpj/daxs9ZIlgw1aqKaDQoOzYf
Jv4PjYOd1JMFNXjjM5+nKruB3mHybWuRcSSIHTTUSFlYL0roe/qscCfjsYraMV7h2lf8g+BBX4Dd
K87BOCIOQRHgUiO+i1lTNDWB817h+q9dlNPQjJtqooY+KSLVHU2on/w3wnxNsdb8GtmkutT0Iax1
3tcm71c8GTfFkMXNkuK+F65C30megkkiHXIq0fprm41Ci0WsFLdhOLqkUgrKP0sO0LxvCvH/D7LC
00MzmBiz7KqxJV8JnuKqTkv5YJR2Nd4QNtZt01z4DaUVt6F14Y8uH93QxPXvp2Y7LOMozF4Msi6T
lWY4zS5XIx+x0JtkskSgwLI9W7WenUohuMsSYX2ussCYtmRaTJSKpDapjQAJmOO5E7G9tqcE1clQ
M9Iyi9NKLkCYlDSJy9qjk8dLI1ZsmJxPbjJVCExj7v9y4GSEytFK6InXYFd3g+lGAxFxLuQIhIQk
tfUu+2Jqzp35Q2lDabCPCP3vNBWjbzSKjOYmQ7zj8U3PaQtlvtAec0QX2Sr2YxcZlxwTtTEyHGRg
NrsZFqHhlJ7QzRMpZSu32xFqML9Ko4EXgk9CujNGdNVY3DpHn5u9eGrE2BmP/Thaj25gZd96r8Bl
R/hBunWUKtJNXfioqxLqIO597jkZmwu9FOWmSJD8pxS2IunsK1/59gbXSObupqQrx7tRJsxHvJbW
+EpaXo8TwcDi8jTBM5lQ5w+G7u0i0IvxF/bEab4N9bDsd2TVWsGNPWlV9Siwy/SbROm9wQbYD8Um
Tg0j/On8U1wrpK0/sZ/wzJ1jQTt7tMbQIuTO0CfzAmjipDJGPYySC8/F4ZhjGDAFjksFYWpqbo31
aFXw13sbW+AqqLzi55uD1Zk67B8u0Zsj+jyMT+FTh1E5m1VPcVtBi6KA/WC2qm1chGwt8uEJEg1L
J7vK1FrkyFZ3bl2l6XK02A3qLdULBHPtpz8/5P8Pu/8J1efNM3l32L3/Xqvv/3H43f/HViXl76NT
759/9Z+nXqKu/wGgAI/XHwgrZ9z/PvXCGPkHJU3KdBBgCSic/+a/m1z8jQePArMzh16SarzZIv2v
cy+EwH9AqvBA11I41kGU/tXB93i+0s+gyoqbXuePOVv0NGqstwYdjVfg7YRvegjxLam9lpCqr97c
nDMT9rgm+WcYmObYvzjH664zH/7f9g2KkOZwLmp/p8k6/4w/aFrZrawOzOPyOWKb+lxJeIwW8p/n
JnbdC/SA91dJJgfCRhBN6LODdwFnVdAKp3Qi3CqT3BqZX6yKoX/8+BrPDUJPknq48QeielKXjHVI
UJwB4j2MEXrlM9aL4LhLMcnH7aH5TlL5nF9+iijzn/OveNOB0Sa012wGke0NPe3tsoT05E/FSvML
ffX3F0R1RddJeqGgPFd/3g6VqYZpDfuARLhU/QwqdhQ6qSOX0IHn7luA5tql6EhqsHlSr5ax74yB
4oo4AMg1aX4kpzkwlz6+mJOy6p8bR/mG58/T8WcQ0PHVJJ2oNKPT430UVPVeWDBlKosTQRWav3sx
5KtWUC1ADepv+jGuEENP1ZqM8EvI9zOX65F4S7EJmAa9qJNiMjpbO9T62fEmPHUT+4WzIrciv4BI
OS5n/fNqrZl7ScY5WT2n8Bzk60WIVyreN5n+q6fEsAjc+sGpMXuM5uD+/UzxLId5wlJlAcA8mSls
Kg0yMt14nyhbbVVK6aQQQ3OhH3Rm6tOU5yREcZoa3WnXKWyTzjWLFo7nNIRbemXwLIvxN/CvS2it
d88IQgXZBC47iwDE1mkIcpG1Rs5nvNjLMqOTysDiKkRHdmHFePeQqB4CPEQEAVSFDf3JqhhKgpx8
r2bFmOAauYQA/nKjGsG4KvyHCkHL3z4mxiP6bH5A0OHp5B6/AqNhCXgpcbIPJ8wQf3anGqan9cdv
2vubR7Kjj/ubdin3cf52vV026ET2jZ/axX4wcU5NKSjvqs7+sk3CDKdiS7MeRwevNCKNkzlXOVxh
64XFnqNJuWgHW1+lZjP8SsqK8zdJqnfj1D1YfiNe0WVWd6GJs7OaqkuxT+8v10FUBxFPx5jP6nWy
fCVOPlZGXMZ7eJnjOlbar1BLLsVmnhmEdRjaqYn4iws+eXI5waaqSXjBEDmqNTI2eGmee4mVfGmU
k0upQEtgyhjjvTSzYBmb7P8jjrKrj+fHu9eYT8r8crHvIJeapI3j+RGMg5/rFJv3hQZ5O6Lx/i2P
NYVm2vLv/52hyCaaOYEejO3jofTK7/3K04v9WBjuk2XN9ASz6eWXDPLPpcbrvHD/z558npB8xVgB
2dhDjqF1dzzY1FLnrLy62tOzvh8c371uBgTOIXoyQ++WOdprTvJ9d2Fr9f6hMazDfQSAwyrizO3S
NxsCKxuHDr5HtZ89GDQHsKKKMcv++qExisdGkI0s7/bpBs6Py7TmgFztGyo+9bIzNVXcNpMII3TN
EgzDxw/uzL1E3MUrTNmOFqh1ci+91JpEN2X1niad4QOPmfIveeyqcEN1yj9E3uT/Asnm7odaS8Ti
48HfL8tsRthzQ/6h/cln+viORq1HbsLgNXuyKEm2zgaEYLgG2/QrHC88mbmOw+HjIef/5NHcYedj
cwjgswaHntSy4yHnJGPiQAqxjwYcHLmeR/dTwOHNCQ3nr06oTFOGYgPC+QMXMt/Tk6vTdFyDnAzl
nrOl+WpTYD8QR0pl6q+viP0NS5ZL0ArJaSdfgX5UI86IvNtPyuhu7SIrqM6K6DrSwvDl46HePS92
HpxO2NLxjqPROrl5VZC1tkb07b71C7HKeUg3Pe2S5UQ27hUFcP/CaeLMw0Lvxelr7pLPaVXHDyuq
ZO3EgVB73OvwR2qMdiWYiOVQD96Fl/vdezBf2qxlZHPAIVE/GYqp10KuUwo6iG9873UwclrUFbvB
8foD4JMqWVRB5669InL+SuPzZ55wL1lVAE/PnC5Ucm/XlWkCLi2FofZ9VuqbBkzjt9KKpwsA5mMx
x/tRTp6d2yRNpAJT7a1C/6rsclibJB5fFSguPqVpDpMFEdff7iPnm0pLmeOG71jEsBxfmQWibjKJ
tN33PoZkZBUvDTL/NS7QaPPxzDw7U3w0OBzxyTY6lZCCBIk6S3pqD0RqQiYxc0QczNCZC73h3xiK
9Rm9FJk/9C6PL6rskf+Pvqv2U99V10alAysK9emGbmV54Zn9wYmerFZ8jNHl0qwEwnmqUIGujDEm
Mbs9ZpkwWdSunx4melU3RI1Fex1vTnk11N7skEyCkF5VVJi/vaYt7xqivx7a2CF26OPLf/cV5Fny
/qNJQyrG7vbkRcHshpV36Lr92MPtnCBI3dhdEl74LJ0bxWIPNi8z6ERPnyc5rBqdZkaZujyEiaWG
DW3WSxk0Z9YzzvUUSSjv8CE6jZFI4kGq0XT6vdnzqZ11Klu9TZtrz8ibF4VW/a/XM3B7Dod8d5ZU
cx45njr9GMQUE3XyH4hXXaY8KDx+9Gknioirjx/T+0tj0iDt5nDA2YA/jocaAZlUQLL1faq3LFuF
EPQjaNXSm9ea3guXYI2K7MLceL+IkuMCGpfXEMkqmsXjQSOvCBvTiEAsqSEY9yks02SryTJvr7Gz
h/VadLLs7nOK2tU+p/ByKXf6/SLHKc+cq0/safj0znflzRYNKLXeGDQ5967f+je9Vxt3I564bSHo
GOLG0AaCGkSY2Bcu/P10pWvIEXZWNBNx455sDR1c43yaq3A/McvWJZipRVuF8YVv1PtR5q8DFQ2y
kKmxna4GuhnSXKn8cB+ioNmMthmvvaS6VIyiXMhdOlp1CP1Ek60TmOUShHp6BnJqzcbrGZh3TccN
exjIzAIb4SNKfIiCsh02c7EUxkAzGdMuCmhK3hRtWVU6XthgKDYpjVIki0Yh+vUUTrpL86LN/Upf
FiGxaAehLAojlt3r2rXnEv23ctoUoFJhRUO6clQXftHcEl64QsGcX2V1OAOXO63iQRpRWy7gSDVi
pbDIDSv85MDXgqBKnW9tOhUjuqJies5LM8nuM5XwjplJLdzbMhQJoKJoyOrqyUhUgN+w7gheb7tC
pd+TrOsl7GjgHfexknGArNIRr/jKjQ7zVU5KQln59ex3CpR8UHlUN6vJieC32Q0ShStLFnq2oi0q
XiIoI96qQFMV7Xwfk+diGKwiXbgCEy6oMNfvdomR1ztdH/IvUnrEMKRUqpJPaFUTvinsmL8P1pib
hzgTdXIXixwcS1JO/jeglPWzZlLI2k4Eb8Qb4fawf6esD9VznjXkOQ0IULzrwQ8jDbPlGIbGQ9rT
cwOOhujybrI7rd/oLFXfLXs0/FVclH52XWHNpHUBFWO6arwa0W+TJyQyJmlnQgesAlted3aaFFgv
esIiQ1MbnrRuAC1Z60360sqCSHQiPgsE4TafKjhill2soiBMvuMrwiLaIJ6Jl9Lyg2tNRlm6MoTQ
xaLGrZUuiiwUPzAluo+yHygQsp3skp0u7SpeIw8LfmOd8ycCHPIuWSaSEwM6fCLJV5Or1fZeK0m1
2mSolQ1+hWCfuI4pWHh3haW5ctloufJ+8D2004WWeSrCQYKgwV/XaMHwzGpB9cOdfPEDU3dtLjWZ
QRKnTx1lD1mbmOgy4kI3vw2U5eLfkxf05pWWzFbPPNRzsR66uPagGrix2kzDjIrCs5vr1yFaO9hV
TtYbSz/IPCdeULTLJs7gcTPcmI4p3OtMWg6mfif3oXcR9itnYz38q5XMdA1w59Q341JkMpO3LoRP
iaW1bdW3cTQamCt9D88uyVDxry3Tqvsb0sIbgSLDcoby1scSxo3XHKZ72okiuW1FmWd7x9Wk8asP
xVTW65QWf72HGIiCkyZ9F/G9aELzWiKMTbZOGtbadwBTIJFqL8i7VWXqVb7tRBIA0YtyxDaFTv9z
mVD4JUUuhBN67QaxGW3AJlbtdlKhrK/xdaK6J6EnyddTCy5nWcs+1m/4UtouEWV5AyyEU1O4xkhX
37sRHuKF19PkuBNtKzMoCLXpv0TQNnHX035oyy/APdzw12TIMnoZUdrifBvyaEDUpoPVVNc1SH2L
6r0/WOI7HglHPma87eNOqznlbDOvoP6NhEnSS0/jIZzVFXFf/aJfKhEIlGmls2Zt9LIUIDSBao5X
Vta/RqH2Y4ipt2UG4JuFVPVNW5rgRAznq2y9uyiI85WLr3nsB+YbIKOlaB0dI7YoXoUayo0skREE
1OMXZWcdCi1CLpdYLewpKQ6TaT6XiN82pGcmSC3MO5loaEmcKUs/j2xRIKkF1Y1S9bZwY7EOQqrN
ukIyYIVRfQgbA8/lhA8jbcZqk1bI6KCYFQtjiBt4HaTr1tME7C9p7kDGyCUiRu3KVxVA0ISynTY6
r4A8MPYn7p4WqyLm2kFl1+A0zc0A83xYrrt+iK4mw/oxxl2/yjyAPY4Ua78sa3KPTHsrlRGtrJHW
02gN5SLXwu7FteSV56cEJMgES2pf7YIunaGfTXidTGkK9gtyY2mY95MdpyslS2M7dtmt7oTosg0T
Qo2Y2q2Pw/4uL+FZ1W4Ur223rPe2UXyzCmCeJMA/NJ4eIU10xAafTHNLkSN6Cfs0W5XD+CIMk3Kb
CXdh4mB+48Z5uW2bdDP5xW9isDd5H4ZXNkSSERl13QyGoDuBdeLKUFbjLFu3GDkN0sDrK2glUaNh
BJWquu+LNACzmWOhebDd1kGDjaxm5v8NgbpBeEo+aBsVloM6Ifaru2oM+/LnQB7YcD+2pYetW2sr
TL+pnpT977Edq+41AwrZPQZZFclDmtoTVXiqJNa2JrbH/F2YROZJvmMO5B3UDyA1Z3Gh6G4aQ/fb
n3k16O29XhVlstJ5o9O1qIEA3RSjgqSKLD3H7msl3jbvCVLZGiQ1FFdGanBk6ygZgbcSeVS9Fk0R
KuRkfGtT1HojVTLYl/1g7cBH2j+R9iXB95BFOlq7Qm/U2i3TKAOsBY0kXdCal0B7wECPq4w3ygEk
FjsmwJTQ62Zs4eC+dLmm+h1fL8hcfpzOAFEzyg6VGIIW3TkGhZUnuuAL7n+fD64mKmSFZQ33DGHI
cBsUgtD2oXILqDpD7ztQ9rXCvoqNLtAX0pnqYBnEBRwbaerxzJPR7dcSAPSEyMaBFqbYkebrPk+T
b3zSLWDEgdOgctJUfBO3ZFkvMjiBZEONfl5smj7X7wclSQj2GwWco1KVZn+yZRz/bIo+m5Z6x1dl
1xhByWcQfRI8x14q/SCdMs+XfpmUJLNl8+Zt9AcCdjwR1b9kL8gYQXw8kZoXjfTHBi22ESQNxdRe
BcmYGCUIGzxBmzCPg3HbhlMQ79oh1vtogRraGnap9BCBxighAEmbrQGtcaDyu9Rb8CfLsnNbVISy
yfFjFfkAYoHilwHTVzUpHzDgOnB12gFkb4Q8+bHGl97yZdaz8S4u2LaRm+kI+1GVftTetw3s19WU
mC60MauHsMyyLqpDUFs9q3XbBxz6ncZtrhIDu/q296revPHauNMeCqse8gVYqPobuwL3PiYRIVqA
pxF4zKJBIQ9mk/+NXb5e3DS8khzoTSuVvxRuzp09RB3O/yTOzWnLx8JJl1IhpISImSVKLkPEkeWW
9AwSWKouDm0CEtiCLruu0k0gyRmxbHyZoaZYg2CfroGsiDcEjPRQkbwuxzAhGunqt7TIUBkhFjPh
W7FyvY6dmSbX/OPJU2QL+QVBzNCCxxrmvUTcDhBf/TpDgYlEisTvLHGYNUDcCu2xtLBwrL1x5LvQ
RGEHsEkYKNNxzpGqdjuUef3LmTea111XwqEERpzScMFp7vQrk9e036Jwt8a9oQ9RtQHdZ03bkC6u
2prAwHktyhRxZZFSAkRt7NbZdSC1+AtAb3DJVoWVrZz0xF80VdNUZCAC3kwSw0wXojV7Hh7aWNRV
9RR9p2zSlAAuKtgFeZqZAmq0hOrx8Rn13WmNghv2hIBFFfAUpa/j05qIh8Q30JYfSqRTh5RMRNYW
o7zjQxauC/S848JWvXVh1Heloj+jYpBg80fz8bSFyqY+a6tRxQePzxgQrTJZgxvwVk2lXbrAd4fw
eSgf9yElZ1zSp7USiueGUcspPgS8NAsi8bL9SHIkNC2ivpetWSX/tMT8r566dydEBqRogiTKdKkv
nGbLehGxt05lxoehsLyXyHeMr1lgV+uPn9vZUejY4gm3SFPxT067ejOApUDweTAmsxFXmoN89y4Y
JygNfz/QXP4lrY5zIG2R4wnSuXYHXEQmhwb95rWZk3EMRKDdfjzKuQnBsdpHUYIPETvw8Si1FLE2
VgKWH42lqwA5AhyztNx7OXaJj4c6NyGYDlgF53Y0PYjjofJ2ZLPe98nB0dtHmUN6sMuM2FJbfaXN
+/LxYGevi3nn/nm3qL8eD5ZWsdf6zpgcSoBSd3rUNz8nQXaBNZqXCvXnZgRVH8q9xvy4TlsdZV7m
lSVzipOGFfGRBfojvmiBF3efPr6mswNRfKX7x7JBqf74mqDRJKXFzvwQQtPmqKF57hdL74NLGdvn
xpk1AyiZKCeTLXUyDl8FuwQWdyiqTD17ozvIVYXJ+lL03vtxkEtRzeE14g+kaMfjTE0ZmpNiQnix
A1M1NszN6Pnx09/eNbqsnse7j/6Bp3QyipCIeXW7yQ5+Oww70OT6rnCz/ILw5/18I4WHahGkW+yb
WNePrwUPbD2A3vb2imRAcipckgGsBF9rmV+KuH1/246HOmlm6CLv/Hocvb3XK2Pf6KV/R3OqvPCl
eD8KeW/sMGZPHFXi0xfIj+qCrKY+2NdEdlw3qoPxxZH3Qqn7/W1DZkD/kznAbEPTenzbugAoK+nr
0aHu8HdBazU58tuNhji/gVP1tzPBsub8rQBtCrLG0wKp13lmBjwnOmh5pLd3JVrBYk971958PM78
o49KiKxwb8c5uagJmGVAAFN8kGZH3niprQ3xW/NQVnuhM22EH8m/X8Uhh5h0zQEMzIvD8W3MBukn
8wb84BMfq5YYosAWofRIrnpnjH9+fHlnZsYfMkMAEtHCFHmyDI1mn2pZpMeHpPCMg2dI8jOKbKhf
Px7m/dSgXIy0zMKYiQfzNMSU4qcetOxWD7ik0q+IuJuNoyrO+rkG2vT/NtZcFH5TOk/9HGegO2WH
DjH4A9pSMmKF3q+ptkQXHtX7uzeXlRFve/ieMUadDKWo9oURRLyDhGH9hcKAsaG/6v1tswXYzdyl
o03FavSuGVG4tWUDRE4PHW4Cb224faDIlWihFwXZ5FsXXuOzF8WjQuLroEs5XSz00Ig8nHbsIvAK
UZseBLJ35V5Ykua9yPF7heCLTyxfpln5pZ+8V+Zc73cUH9qwSwYOg0hIAKAlTnfV6n61U36f7sBd
aAebwAOqH0bhhxd+wplJCS0Icduf/GD0N8cTxREpdSC8+QdPUDLnyDYRVqKICHk2IgAcq4+n5fxf
e3fBcxQVXQ82aDOF6O20tCO77rFQpAdsKmLDKYgmp4u91cb7eeOmSt5GpTCvoFNfOieceaC+zlYD
CR8dSP53PHLSJUmQF3F6SMc8J2PbSNawCMYLs/TcKIZOFJeLloksrJOVxPGBxxWNTA8J2sdnV0/j
YsX/CY/t4/s4f+JP7yNZa+58G2l5nk6ckFJH6AzcR83qpydX2vUTTOtw6YacuiA2Uur6eMBz04QN
FO8eYAMkkPMPerOeFN7Yz+nhyaEWCG9HXwONKrTgRqIXePp4qPlJvLs2FmF3/orOkWbHQ5XllDap
DYw7i4Ta8E5EaEj3dWfqX6rUI3Br6i41/M5e3fzA2FWRjHi64cWOTtCUlqQHpzPsDXS28gZQqbZo
Le9STN65N4Bupo6TnlUXC8rx1bWJRLcxsI6pROZPsO3zWwy2xQ34Gn3VGdiAFy1BjDci87r1xzf2
7FV6DMyFUg6ZGWRvn+FAWdx2gjA9DIYrvsG5TnEOiJluMlqhvNQdPztFwQvoDtMTpPXJwhLHRTP6
jHHAuGQQH2nVRD5kGQxLo7x19cn++vHVnZ02b8Y7mTZF3VLYou51KPrRphuf/46URgDCkKY3NK6K
nZEROPbxmOfuKAQGVIQgGjhqntxRsLMx1sO5sonX7hYTOrnaM2Djaxhj37uwdp6Ylzgi8ZF4O9rJ
1KHsRHcLJM4BCmANKpYMjwXNv5CYmHTYlimxPByn6LpIX3nYEq3yGfvIpZ2FYZ15P2kns0+acy3f
JVoGYTwFPe7OQ9cTI7oqgQH/avDstQvpWVRsyS7tCGZxaRrSwqr6h9Yxw3uV1NFVUVvp9dASSxC7
0McvfMrOzQATAyHKKxYqOzhZo3xf9G6YkqEzGoqEoirtxQbPPAVidAwq2/al94OPfX2hSnN2Etjs
oPh3Z2XUycRDmhAC8aURrhx6PVVpfZnSUCc3w9W2H0+3c18XzmPssv4AZk4dH42vtaEvWTss2M6Y
k8t05Y6dvvl4lHMrFMUt2rZ/tianegFZiawUaiSKCOHMQY9d8ZTHHcngdl88Tp4Mbq3QlldGE0YX
JJZn7yRMOJ4dSBN8XMcLFK4/vRalkR4yUPbrQEzNOjI76wbNSXNhrsz/qdOPDIISE8rUbD06FVPz
AQPwQZTkASrt7yJgqkrRTL8BSJhfqf2N2zj2R+ILq+I3PU9xQSN49h2y2P5gIUPQ7UBcPFqKcz1q
+JuQxB/OBFtSQMgCiKeUAGNzqNunrE7ks1c4IGmbnlzGwvk6lp29qX1lgRjX6P7GTj99/fsHjxvF
QSOCTosE6eMfRd5vS+mYLZJeWRRPW8OYNmE9ye9mPwJTG/PyG10F8aiBi7pwQ87NOSw9Ot9eF7XK
6e6sn83/lY4czqvCOYsjJWaQQAX6ZPjl9b5caZZD4xf7skdaUBEE6sKrdW7tsOCyoeSyEI2ebjo0
K4w5DIj0YE6ZcdcgrfiMzyjdG4MWraBMOtsg7qx/EU7/1wLvuW8kWn48LByw53f6+I4HkCSovtXp
IS/tOloALajm5lWs3XVUyq+t0tAuvNznXjEyFviYcLffG2CjMR4yOlrpobUMUjn6gvCUVU7MU7jw
kjy/tNs5d1ttyEAYjzjKs/M4vsCORAjMzQGfrLglVmvomx94r9HtkBkQb/q+D15jTlpfPp7IZ28r
rklKpfQFXPOkE4FrRrkJZsmD6gAPLKYIsjWGa4oUs1GSSHlliM8fD3nuvnIyBavEochASnp8oYNM
K2LZ+CiqwSrvvDgaxlXdRuDj0JJlD//GYA4OtbnlQbfyZNokkT/JEZDIoXPa/IujUAduqiHJf7Sk
b8Trjwd7r1pl28FgJAeTy40e7+RuDkEpmgB39EEQG7nU5nwODR3rmo7stHSNaNnltvGQ6KJceakZ
r8bJo/0TgUVYaKQK/BsLN6I8vhCopig2nMyouUyliA/K6L2q7GtYSHnIqpjiJPsd/2BlQ3OnVBZC
JaLvunN8mgAXfsF7R+R8Q1irMOTypWINP37WpD+2jaPxE4jIsZeBIfRhN3Ugi9KGFNjaD+BgIzu5
l4a0d1riGQs9NhSmhL6/dA48t26ikKYPxJGMQu38Jrw5lkGgjxsrarNDasf+hsIVSBR7ippbVfvk
3Kk4+GkPRb6vq8q9NC/m5376CZ3dwWglTAuR9sm8EK0CpwGp5FAWqFMXrFr2i/RT9aKRWwPtZBQC
3Kois4hcMUkUc9kMDuJfHNUXFrVzqwynKaoYfyi0p6tM2hc5ORQqOxhqRN6XEKXTLO2EXPfFNFLx
3xALFb5qGvjrC3u/cyN7NOhMjjmsqKeNBchcdamxns0aH8MDdzQnZpKMZz/mCmnCokV9tFSOJG3n
47fy3HqDs3hueTqsODP77e2Dt4egGu1e48vhVPnOGJp+aetl81+cnVeP3EawhX8RAebwOnlXWq6y
LL8QtiUzh2Ymf/39ei9wr4YcDDGGH2RDgGu6Wd1d4dQ5n3o9djbyjltrZJYTFyMwY6n6tSk43KIY
KAftBsDtp2Bsiz1FLfsJ3K8iVWO/JUWvbuzr7eX9v02Zg/zm143lAgusitRXqYy9G6bwE1iC4l1Q
Is9zfyNvvRVULelZO/TwGMK9tlQC8RMqaAM/KIUzohMHL8xZFF3n7R29CFFP7JR6I9q5aZOhRI8C
DoDu5QUSeAbjSVOV+kNBOx4JmrlTdpxwJqdSwzuWvbP17N+6JwgoZXAFXaC1rNGOStzBPqan/hiD
W0PmADScXgTiouup/W5wYqmAxCt5ULx6q/l203+IqCiryGjbkH//27eMetBbvY7/QMX1XKqBbycj
Qx1291GJg+YwoWhy/5PeTJThjfg/i4sLuvCcDELWJPWR3Fbem4Reh6YSwRFAef3swLB8mJ3iR66P
3llHEOIcR52+cSXdStUgeqYFKOl+uZuvF03NFjBshVvpeWGdY09F0ccO+o1y483PajPR+4ZKoOp4
bSWbIwMumib1o8JJTxa1/R1ykjDuITXwvgeyfurbCZkyZQJ7e3+Tb57Q30wvvqok2Y7BN9HMoDus
MCWfRV+hFARrpToSRHzf2s3tlOwD8tAAIFh80TBu+tpsssyflFmyyPU9kVUlhnGrunFrWQDlJFIe
lIKz7NHAKUY/IJaJmVsh8pnY1oiiqKXlFBRqFUz8/XXdNEc0Lof9bIrT8u9/OxuVXs1xErp4qk3H
YRcXmfgOCLb5V7EDGIbvG7u1ieR2sjUtOzXGImzMoEtCQFvhqusyJGDB6+/ncow2fPLmkmA5lzBf
2ifLYXkmA5oyhFjHb+lpqKjogo09G0XUfh4ax2026tK3rlJCQSbimWGC4GMRhKBuQkmzqzO/K430
c2u204/a8KI/oGcxke+mhPAfqkwkbHBEaAz+kKsuAtAA3k0YLubMtxzFIcbPq3PvtWARM6Dp+zKa
zA8iaKbL/W93Y1c9ZlxJZijAuzwc147SWggCGgXBljkbwYA6mJHRPASfhoRWo2/kF7ciXAZc35Jx
yLAZrb22xo0d2DViz5QnCuY2ert5js0sexJTMZ3tsNZPrR7k7xOQZyjO1Cq89mbj/JFpTbHhTTe+
r0fbBk9CGEUnD7n+JSgjo3NSWJkPmx4CSeg0gigMchWsaB3Pxpe2qJs/72/1jfcK3iFZnmeqC7da
nMm6YGChnwdiOuqsfyP4x8xKHavHXO2NV0a+ghMAeKffuAluHE7KlnJelbOpMsB2vdAmqryyG1U+
cDGjx1ZHTgtGctDd9Hh/ebdqT9xwzDJT5GHu3lvEVgwhOkpZ1Lk/1pOZHrXaowFn62X2dW5L0mUg
/ckl6cU+6a3kSNiQHyIRMl0N+8oLkt7iYhej8uH+r7r1nWXXzOIUE2MuR67m2gsQQkpyH2ChdmxF
H2eI5pXizCCN+sQwavXjvsFbQQKy6bL4Z5JIr4Yx9WBAaWHmniICCvYtepzILugTkw7qIKcq1H1K
A7hjBAZUrMqOfVGVtNhY9i1f46ok9KQfwyOweNfoLwEP8jjWlFXnL7GY/3KVbLooZu98rsDrn3C3
Lb4F6UmLvA3yLNmtd1iLbi5e7jHNTGWg6+xD/Th96kLVnt8h+1bXe4+aAsT32feUltQE0qcL4eRD
82P+dn/zb31twkFK2cwV0tRf3KHQoZJPjZzqUZtqe1cNhWkdLNLDX05d9O07b+5gWr1v89ZWm1T2
yNMANa24rOraiGyonTO/UbL+q57MylOuJuaLM/WVVNtSLhHjgKf/YJRyPaVmGs/wKF2f6nG0JqNu
w9x39L48MsClnNUpZs4YKd4LgwvtjyFV2g2nepscXH5hkI8UMymHMDIq75rfogola4OsVazcN5K4
/E6xF27M2hm+1TNKTir8pns3no5A9+edYgYhurJlBWOwgwAdTJJHty7NMwynyeH+Zty8eRAhorBP
yE0JZ3HzBKUSc2eruV+4jBD0SotYfKFAdeyCCYB+lrkvFNFtFCOm8GDqDU1QlD+ZAA32pZhqyr9R
svGu3vJE0hIyaUIICGkWPwlt2WrQI5H7tJmdYTf2jKKyO50cQoxVhPTqfiq0jY24dQJl20Fm0/y5
rFdoENcGyGjmvjJV2smqhf7kAZl5YoRfnFCuzQ8I2tkQVI8B9NDwhW45yK2zgOATVWCCQah3FldA
Fg9RAQdn7tsmZBOHoaNPt+sNgzEC8Ozz2Zsi6wXn2gsmPOGyofBtM3y541JBeUlJxTMiJtO/0Qho
ajfWbvkzaKXYpaoP2c/7TiN99dqXOXUyw5HdRp2G47UvQxBUm0kARLSr1KFD+LDVvhpZbc4bJ3Ud
YDHpK/uZ3IwUOZcdCISA4FORvbVWULWb+E+LR7DqymdURxlXfHhVTAoCEpRuh7GF24m5Q1y9sgHz
ovwdHkRUivlshrEYHg4r2DcIpVRuAYLHJW7DqKBVL2K64m4KdtMISkTjqIdvWJHP1OIj6Sqyfng0
I6fA9q4/kqIbDaulvEADvIyBf7mVewBGEkNTj/Lyt1wpciboGsAqO6F6aLfe3871geI1s6neSPAt
6mcLJ0HD0wIaFqc+SCvng8fk0ow2cq+Gf1RKXVGLZPT4nwbZeZ6Wtm2QclTK6eFpdRhUqEFKfCky
K9YyaBYRHYlYGVLfiafsmKV2C4MyCK+UE6NNIJ6Ey2ERmb4RyayvMB40wAcSRM0ZWYZOThiHJaEK
aV096gG8z9EcHsfGzaezBUszhGW9WT2OCMUoSFeTnIvPvkQ+FNBCVvrIF6/NbP5JOXDeO73Vn83M
EO9JzOM/hNd7G5/5xkoBv9Ogo9EiybAWYYOihHbVdRQ9bVOK2MeE73CCZAVjl8boxYxCZaq7ETbc
uBdkPEqkqPGkwkly7dpJlEV5OlNimVXGsQ9d3jvpJROGMHZurnRf7jvyrRXS1JBoSi4801CvrQmq
AWXg5iSX9mAwKlww3zS7o/LVbdrBp9reKhtH98b66EDCdWhaXK+Au64tlkAp7MoLMl/TW9V+mltV
DMeW9kv1Db6H+uHnFmZ9KQwIUQfl1mWHfzaTzpp0o/CNbC4PUHgHfp/XjKdRyjojMFp+fXg/Kcqr
5BNA5ahPLx46KNPSwnUzJmERVb/MrWHsck+ffhV204z7llnWratw/bTCDSXJQCS6Sye+vt5PNCC0
JJ67wmewAonWagxeA4g7drk9ZRd4xL13HtrQW/C8G68k5QEuYCoS4ISWvRhqFRHg2bnwuYD0rwoD
c38LEU1P93fzphVosKR+DB9xOe+i1WjIJcDz/XIsy2NkND36I8NWmHjjDLB3jO6wfxKOt/BI2FsL
YYqxBJpBPnwyY/BGuyG2Ev00626knxp90tKNY7A2Cv6ViUBYvkhMmEW5/mxGhHpJ13iFH7Wx9cmJ
ZvOzAenArzkKrM9o9NnW4dG9ZEKJjA+QqIS5L8eUkkLy0apG6Xe2rRy7ivHwoG+VjT7KrWV5BFCg
2g2ijSXasAhN1KNsFyu5w2QiMrY7Ky8Dpm9rSsWzbpz+w6okjAMIiAw4Ft8uQSC7Rbm+8m1lMF6i
lmFMo5w2noH1EeP/b8rXh7wK6PnikmwVhS5bnQp/yIrkuQjm7BiEiIns61wHbtvE4x+oMgTahous
b0ppltIJjM9Mxix7rVUAVnM0ELWHQKV/tcJEe6Y1DiGAbXup8rh7ADOCJ8oADQMwZLGRcUcOp4eR
8Gu7/6er8u48hY/z3MAkiefJk+ZBy7D0DsFo+OT1Q+0nnSiMHaVv8cfUUPk73veKG15IaI38JxxQ
eMXy3piCwkR7HfV4NAfiHUIO4TO6C//qWVX4o4Iiw6PmpKYofF7AbAGTLS+QqTQh3UjnwY/K8Mco
XGevqCh6WL27b7NpawhwHfu+3fdvMRh14SXfW94KhCWLYfSR8rPBqwVqtQ9UhGDQyi6890WfRx5M
XiIXx6Hwhq02/PowcFkyPkVvj4eVis71xeUWQPuReZs44RBAF279vdXmbyF4qr2whteiUsXGGV99
TR41oI4S50KBgcTs2mJnGYxbCE95iWqHsfcRiUkdWouocHnfZu3RiOHNGnqFZDAa+7t4TzW1YQat
0pSXONPVCwlaywha3M4XHnwbNWHuhw2Lq3NOwZmA7y0RREVtWYmNx04tM0HGCZXbbB/GUlEQMgp0
52etRqO1cTZWbyrWeLdl0sTiiKWvd5MmrAGKQk7P9FO5M8dO+WgimrLRcb61JsmVD/k5B8JcdpzH
oQ4NboHYH8YZeg930g5u7irPSlYMjwYJLEiOvnHeJTH+8lLJIisp4EpGYqQcq2eQPNlx0gZ9Y0HS
ra8yTqxAtCnzOQKf1Ygqt33QW3Ax+R3llS9oi6RwuMYJxcQ2D4Pi76GIUzXbNTCxhO86dErKHaps
urfFbHdrY4ljaXaxfdD0ydvht1JbpKhBmI5g6ik5BuWx00XZHKB5sPqXxLO7/+AswDOJZ7lHKSvK
X/ObNa/prc6xerL5AqA1GhdlfGjLom03Xp9bq+JFkAA6IjFaEtd2hnrKJwBhAGoyJ4F9FwWhn7Gr
z3stgLnmPxkDO0IBjtRuiZ8O2kBjogNjgEB7qgZeEh5hC6g/zXmObtH9t2F93LhEPJ3bkrFCIJeL
69JTwzGPQgru/VSZxxgyDxQNZu/RrtXb3vF0AweUb8IiQhng82lRe6IHmguPiS6rbmMoKIzkH0bT
41fdzpOHTx1fi+eOPhkVEG0ZeOUVlCnUx3KfboWcAxqcQjm1eQkH2P0NXN/+IFYokTFEwtXKsMy1
a/RJEURWTe2yRshWwFWj5cij9XaJqFFfxWjpCVnnuG909cixn5wxvheJKstcnDLEuEwtFnnohyVy
SrGqqCcFji2YX+r8MlfNDx3Vr40o88ZC6TXp8hqjUr1qkyW0SJIY5K9vJmN8bOvK/FF6YvjEy5Ec
lADmx41Frg8dHik1RWi4goBeSg9UbumN40CDIh2pfUj5m+YfRQ2nL7UywQ5zf0fXq6MXQgfGBboH
/N1ZnANRqmZkg5vz81FRyr2u12p1GKpJEXDwOBGUVFYutjQ41p8R+gIQMRLmTZ61JNBIPDOz7bzN
fG+2gme4m6EIyyaz/aQTPiJ3OYaQoXWxtvFWrM+8CW8t551GHxHSEvwEi1kHxRhtB29AF0nxEuCZ
o1OfHt5REKHgIAkB6dot2XHtAjje7NDBTJ35V2tE8b9ZUXTfXLMQgFFpoX++b2/hLvSISelgdZQo
YCbOlyd+Bg3ZKHo5vnCnBntN9u9cmJUOUetssWwvNlCawiPRd2WwnStmSRStAp5SK9eeXgrY2T/X
cWlTUZ3jjbjrlhUaMWjp8Ispty0OeTvDE1W00/iimg31Et6fY2Ia2Ybjm/Lu/S1ykIuRB5oqMdgU
hkEXb6gVoDpWRtb0Iud50r2hJUI/Fl4NlWMsOCsHr2+cce8IZ/o3bPUKxTNSp/chyaHhD/Ay/kC/
3PlUqq0Yj02RG/rObrOx3Jt2EytH1qAquxBEGIqTOXDYp0GFYuzZLBOlfWl6Tsi+HHKRneg+m8NZ
nxAnPKlZkNuvHWpT/UE3I++X5+TmRPtlIPXbTaYThu8T22mil7Rym+LoVUjx7UO1Vtkpk+TtogK7
mZ4KT+Rf0zRy5l1QV8b4mI+/7R1QfqJ+KlwcqcUnmnWtgqTJVV9EVzRPQVZ5Ry3P4FrzEgGrmthS
Bbvh4xTNgffQkiHXX1ZltDxVTCUftBdjEOZeMyrrKMGNu242ki2/WLuFq+mEO7zaNImXIQ+did6e
gll7UdMW8bkQ1MPcoOV9/9DKDVo4nwtonG4jLgi57GIDTQd2urQejRckTBQYFusxOA1Oox1DLVX2
+tT92yYaSvNTzwjdfdM3jhcbKQMsB/DSqu1vKEOfI3s7vgiryA+FUoQfVT1zNjxkccXjIZQ1wVxR
uKMZQimSDfgtQkXrWLVHiE9eYNpCqw8SrRG5XlFEv0JoZXZTsJXZrJdlohgHV4QpARS0cK8NKkU3
2HWhaC8JtIGXJim+Tma1NRJ308gboQdFEhnWXRvxyqZrE1voL2ELhL8LtejEfTFvOMfa26mN61Rw
qTB5dNIWUWObVa2BKqrxAggiKE99NTfWDnA19XHYaDenCW98KopoDMXDPgwwd7kox2lFMAW9+TJG
nvajg7nwyWAs/hnEQvgiGM0/jemUbLzFN9YIHhazjK4AslrSdSmW1kwQ9ZkvJMXKT9Otg6/zEDPg
hX6KeCwKxxcBdXPaTKnaQ6dq0S6yhkmL68Q1XyAJg9tcsdKDiWjmPoIC8BDQlNs4YYuY6n/tyQac
5FKgLiK96DffT6UKd0BB5iUJ0uEwBla+d8YGDsmy73ZQS44f75/o9QeUEfGb3getRxqP1/ZiJJ2V
HK6MF2Jhp98Hk1G1T47iFvWT5jWOeNcwpwNYP8tTayNWXd9jlkFzjZkG5DBkYebadKsS4g2zZr3E
UJLug1EN/gYIDVgKnNR5rMPpk8k0437U+i0SsRubLFGlQHOpADAlalxbTuhoh5MLVxD91AHR0qCF
UBJVYdCm7q4oRvvhj0rVhJvaohEhX4eFEzGQLSoGYal2OWGxY4Q8PadzHO3RJEbpWfRT/+/9r7q+
a7AH5zmJMABaUoHrBU7eHJlZ3Cov7L65a9sCXhBXbLUflhBPnBUzjFDJhdH3WPEUjbOZOqmtvFiK
5RdmOh+avvprsNR/rdYId27cfo4jtzk46vQ6aNbFTcZxw4mkf14/hvwERlc4pKyWe+96peDGAXwS
2fidaXfRwR4De/icliQDUEd6bgsfLLwC+Rlu7yj41SFMauwcFTLFjXt3fY7I7mjEkHOR1tJFv/4d
s6kjJxunoe+JwNtNdVehmS6a6i+7YgAXVVL3YEaj2CqyrJcvFQ9JvqhUkhQt6fV7xxtplOaxX9qT
fWE4oJmOZpVXKApHuj3Bbqnaf6FlbVm7ajbar4UmzF+P+hqtDAqrhmxE8VgvjrHj1KoTD8DTIkim
XppUS45WIYYNj14fWWpJsvSPzBIOt8RYJaMTpBl4Yb9QdHU3JMMzvSN35/XKMziCrVrB+vxgjfoY
cAgEdIgar78ml1UrkrDNfaR0ih8pYs9H10uGy/2de8tGrp1XmmHzIMmTyrULp4ngEjdnZOv9OHFn
W98Jdi/d1TWF0XPXafGvsjDV+eAVQwX9qAIp+vAcwogxHFw0rH27Untnb+coJn2G5s37GdIl0Xaa
B/x4nzSqKA+T5oXGEzeOk2zMbtzaIqrNvL60DWTr4HqL8qRzyqLzcj/ROntP81/ZOyUMv/e3aP3U
A3CSSooMHIE3XhUrRxRqJi8ofAe9MnQ9XfswBJm9r4BBn+6bWi2Ioh7oLWC8hJykdov4rAtmuyqc
oPRbzYv3Qx8pexei2I1m6uqewApnBZ8iB6L/t7ivyiDpCg0dbg5sHp9EjZJ8VE+2sgsCxHZ2gOH7
U2fr0Yar3Vic5LMgXkKvmGUuHNowhsyGyUT4rd3O+0bpmLo1tfH48BaSX5EPo49L1XJZsszyMU4n
RBD8IdD6fdu0IWlnFR/uW1n5BCR18palE8h7im7KtefB7m7FIh5YCxTAl3mykxfUpa0DlZ+tpuPa
FARJb7Emc7qMvS22DbV73eq9ufLnobHPTWc6hz60GVtUoocfEAIgRk8Yz6B6JxFw16uiEpMasPsK
v9NG/TvfJoUFBenBYyKmMd6JoQugvZn1R+NbaRb9LvQc35CEixWqbVLoUVULP9ENBuraKYHGPZh/
BGmUn7w8Ux6cVmKqE4OAFgilybVWxfO4FbISUQhfdbPq4oLSPkdp2h671Hmw7fdmis2U2E86xlQN
r7d0tLTOzGoNU7FWXdQEqs4mNrtjSm3oXQKV68f7jrk+ZHCqEAxRuSPDQ/7l2p7pVImnBIbwgSfb
xzK3kF/XlAdBpv+7KiqEHAEg/5RQrq1YojPjrPeEDwWpeghdLd9lgz2fLH2qNuLWmwuiDEmbDBlb
htmuTTlaag/t7Ap/trTgL5BWw4emneaNO359JbJtv1lZfCZaXmgnQL3kMyZi7WPbace9keg1uhjg
Wn8q1vBPZ/fJ1//wsWCll3cVn2yZ2AmnsDQGu2t/Dt3weZCM6waCFo/vIO4OiIU8Eo6FpYyzZbaB
EtV27XdQ+3KUE+RUonh6+EYkIpHQZkk9xtjh4i0OIOMXtYujN0GS7k3oY31XhOOzgzzBh/vbduNG
REmcBpqcO+aJWPg4wMWQwbVZ+GHvhZ+zelafJi16F05xv/Fk3bRETQE4rMTeLku5MWU7q2gdAXun
2h3cxo13WpS4+ymmv3B/UTf8XGpice+ClpHw7Ws/J4xpjT5Par8dQ2WfV3px0kPj038wQiVSVhPo
vi4j2Fy1O7uJitrXZGbf5vOwaydt6zCt4uQ3TyD0ldMiFCEX93ndw7NfdT0Ox0l9EhU8/2JCwoRg
TTyFebGlPn3rK+kSKCOjWISA5eH+rV7hxFS1vG5iVXEwJsSBU6ecCiVuX7veKrsNn7j1oUAOgkaT
JCIU7K6tGYyaBvk014x/G9U5DlXEhy20f+5/qdtr+j8rS2xY4DGaBsdq7TdxXB8o8xd7kaBNU0bh
r/uWbq2HDgJBDIGZAQbgej3MILYzhcnar5W4f0qG2dyHzRgc/4MVMkQ+Eu63gjyHelFCROjVfgW1
3aHWpn+0HFWJ/2BEkuXQDSFiX0bqcS0GJRzSxg/0CGXhoR3O0WQ9HqQTPPPy8XFACK6wvzAPul7n
lo0PYML9UzN6y3syEerUz/9hNQzAyhk33vJlUosUVWvPQd7AFFvP885LR9Xe1UUhtqhTb3oAsNq3
mTKaIdIXfzs/rWe1DHTFbFs+TQdSA2eHQNnD+Sx3toQsALKHHIs379pK1llj3JtQy6F1ZRyDqkE8
ygGK8fCmkaNJUh2oqJhj0BdWerDRVm1DYJf12j5JYuVgVN3jNxzBCHgSqa4n/1xYCfvERkLUYmoA
KYoPehyr/zAJZ3wM5zZ9GrmE/rq/KhlPXSXplJVYD30+yl1U1RePq1v0pTO6gLFnp1K7Sxm1Qvk8
RFM3vwTDVIqXYgwC+xQ7qHVfaES34cMhOpVDKsFwm5GCAJ2+3tYhZ8tHs6/8tG4o0UZhqP2qMlQl
90yHKX9AMNRt3YDrV4SsB4uSLxmfWQYUppeglTWZHDMimG5fFIqZn8AxzGfDQgxl5+h5vlUOXtuU
vFcStE3lhkhpcRLUjkHRBJicH07qEB08NRP292w2+vCrYtaK8VeVJuFGEUP+P6+/7bVN+Zt+O31h
M/QjNd/WbztVf59SHDvYUd7+MaXEoPfdaH3Q5XXCVU/HXUozL76i686NqcDx6DOxpRzGGhR1JsJq
44G8tYm4Klzu1Mqo+SwWFPda26uN6PzJSL/lZtPtkNB63836U5eUW8Htrd2Tarf0uBk/hs7zevfK
UptTSrqdj9Bc8wyh2N8gm6ezOyNMfn/zVpbk7YVHM4NAW4sn5tqSYlD5q9qx9d2yUg4JbKEMJBnN
Lp6nesPU6jtxb/Eig5Y2CWdWsxf5JMrYRufZDwpYv9LE6w5JW20dsBsLIgoEAA7MSqKnFxdyI8Ze
ixE2g/kkFvoubOOfYxrkCJ5byI8/vHlUx20AC5xlGp0LnzBRzBaDq/eAkOySKfWKWVUkkDyt2guU
K7eWtrov3xD1oOPIRuT9sfAK4iarbnJz8HV34BnogBoWe9Qy7PqCGplF23hq0NGiVdd/E6R83UYg
st5aAlHJxsk7RLFrhR2dUO/gE6u+nWXxsafUsm+0oDsPs7XFt7DKXKkQ45gM6nG26bsugm3ATXMk
htwA5YvIKFp0JdmJm5yQZjZ9PaudvzMjiB/tftIw427mTZLUz6TO12fBDUdBJ7d2/M5lNuJMByi0
znCya8j49sq0xby0Pg9UXaFfxnfoltEDvTY3Dl2fhm3pMtzcq/s20uydqm/ejuuPJkVPaMIzI8fZ
W6YtigG/mWcks59FjJYfarfFO522cQuUHyEO2zjk8nhd3fsQw9K3ohnHSIEc1r1eVKUlUqBhMnyk
yM1DVAJ5sie3PunWqKIqLfR908X0kykCXxqhb70FK7+BdPCNP5tmILfMkt7GjsBw5J0z+5C81eHJ
HWpMNEbTZu9oc9UWwqIoUiI7id7M6f5lsDqdmAY0AjaF2jNplHG9clOL0NcMSg2WcreqTklvRNrJ
q6JIP3JS+/HAs2u5eysas/lYKY35INmOREyBpGP3wV1LZZhFwihsoqhS600/mVGfs1LP/aBFxFLR
0Gif0WLdarKsPjWwMzA55Ar8Qyd0cdO2Xe7F82xbzEgp9UVXgtR+skoro03JG3lMixjhvkE4QCPM
Vkf5zCRTNo73d311iOSPkKLiclrLITS+3nUFlEQ+ZalFgQHiHa6k7HkuLH2jt7A6RIwAQB9NvkKN
VQeWeW0lb6rZ7V3I0YZIK5+HyUkPFXX/Q2dtytDfNCXbrUDnuWS9xQGiU0LSormBb3mtOZ1aNGTy
fYj04Lw3O/hgd4/un5ThAjLMK/Y2h369MscQTj72reOPXhXu7BCqZRHH1UbStwqeJLkdyR7IUqoo
jCZfW6l0j2ZT6jp+T53u1XFr/R8HIMtTNaBN7uWF+uf9Va03EacgWwZ3yUby4a7tZb1izG3nen40
uSljKNAh7GnoZh9taNcevfF4nSi6y269nOVfapHUupUh89kEPrP0BSzrylQflKqujmpjWsiFIvEL
VFJxc/2oKZGdQX5vzhv7e2O9NJ/oeErad9m8uV5vUlku/RScpoTz/VJqXXeI89I99k43bZTi32bH
r254g+iXmjWvM21nMNHXtmwjk9MWQ/paB5podxH6x9U54cMbr6kquvpox1y4B+QU0UypiRTak1rX
tXmu+mlSLtyIGbmAFTZMYgxSHzQxomT6CsdLUZ+UJB6CnV60dvquno26P7ixZ/1bN8Iqd6XVaxNC
slne9ztbVJBQR6lndN/qKTaxAiF6fUi6rGsPU5aUEDRNnCZzl4Y1Y5VMeRXBl9Q0g+GipqUb7mou
FGU3aHZznihQB3tohUzjnJrt+KrlrT18DDw7CJ6SDrjce21QRP2ihaKuD41XwacxFrFpPBW6VSao
jJptDoAuM/PvzLdN86k262DcT8k85l86h+Hccx2qYXhM9LaZD6pFXrRzM3v8C36XItmrBgfiGOc5
BIFVwuDu0c3D0d0N7myIj2mj98g817alXGAVDvo952wIT+yrah7nFLqej11B667ZadM0eCc1dpr6
e9Sl0HbvMrIxAwoRIVrztVYG8aPje/Vfk7528z9HvevyD0pcUwcOqzANvowChTRE5YMxCp5dIy66
D8Goq9MnzyibCUxKrIVP81Br1a6Cnqo6A3CyiH+JPO2PAGfd8nL/PK/vD2q71PLAbdOYJJa59jmw
pw1KgXn6Srhp/DkIMX+LDEQWjMrNT4paFRuR4PotJ3ulwYXmIr0ZOECv7RWjNkPE1Fev5ZBZ7zRe
7P4QQG/+neJz9DzQqX0BetX/akZt3Eic1xEMzSdSMuTDea0Yq7g2HRhmM/WKvP/tTD+gdFR+qVXI
eY9FpyC7YzaFZ1FzTvo/7m/x+iGldM5yYdzCdYzlXB0UEXGNDlLyqohkQBZ5Gsxd5Aq72Egi1p+S
xgNsrjDY08ijA3y9PlGmptrxqL0OacsZ7Es9+zdjXvgbhwOYUZ1pVnW8v7T17YhJVsTyqGwCXr82
aUQ6Am/CSF+VdC71k47cenYsmBju30MbMbsbzrreSbIgGCMlT5qE8y4en7ikhuOqcCfksFsfs37S
TkH+6Eg80R4wAEA0MuLkX7zFkSjGIZwZhgz81DDbcwV08lPZzf1FhRLvmAKR6B6OFDDIB5OEIrJR
sAgvdTMxE0RjAp+pOv3sJchbIBb1oEajXBbTloA4eMzemLmuv1VOhaqw7Th59Thlr8Yc2XtHCZ2N
TyTP7/Ub5pK3S6ZSpsykuta1lTQLc4SETfFaMMHaX6oig4QWEo8ZkZ/JcMrzBNFH+zxoDJ+dZ7pL
G1IaaxfBPjmCxEDQbVkSU/dOTMBUGtVrhMjFsUEWc1fpYbPh92srMIcwfUxtE18k1bxeZW41eZV1
2fBKYbH7WOVmf0wifatrfsOKXAT7CdwPyJX8+98qfVmoz1QN7OHV1IvpGa7rYJdTmNn4YresQG4v
0ytpZAlpDVKK+LaVja9v8E6RK/GvsarmLX6Q9VVBzYG7gpARH0eK7HoxBZAxJoL68TWpi3dRoDj7
tA0TpHMYqrl/Kb2pP177oIR2k5GTuoAOXlZz5tgURm0k0ysqrnMBEj+MPgl7QlDbyWa9OPT6MLsf
qias1SPxhyU+jKndaruBUZXhrzBXqJ+JYS7CXWJ1inu0Amd4bw2hYv30IsRgNpzpxs7IGSNiPsaG
+b2LW01xslAj6pleCYBkJTJTL6PWdq+uQzRzf2vWTwT8f8SXHAxOKI2I648QGmrfzYzVvRLR9vWu
YW74UkRD/7Ok/fpFsYe6Od23eGtxRDykd1AI8Ugsyk1GkNZDaiXza592/TPjivl+or54cGdH29jH
G47skUXK2XxodkDQXC8uqFMlNNs0f1UnVbu04RztGXhNN7ZwHUUQQXCHwnxPJZTU69qKE6vGrDBM
+9qJvrvoiVl9Y2LSOirUBXcebJaHrOumjXbKraUBwZaU6dAVrVJXyQgfjl6L0YpB/Cou8r1OjXTr
4Nz4WCAxqGhBnMJjvoxUwrrvEiUpite4opzg0cg4g0Uq9oNqpB/Maa7+7CACyHcMjQ3noB6eR9Uc
/jSTMHvO0Gl8R/e8PoYlMDfbzLfYLVZ7QLFSkitLzAjDeG8ki7/dhlArT/rkdNprnxcUCSy32amK
oz/d99e1FVlCBxoKuoea5fKE0JVjwCxEiDeawOzOcaodXXD3G666ZKrk6FFCJwyV80gSibrwooSc
t0z1tvMzPZ/snWcSmf6C4qFr3oezJdSXoiOlvdCSnhjJmx23OmeKO7vPIixCfR90SdIeUWKfx91o
Dz3lk3nKt4jdVu4gWZWIu/Fyio6gP69d3dZoEnZ13fm6ootdEhvg7CD12Sl6qm+43nrb5ZgBJTaw
/9SKl7VUUAQkYMxx+3RS6n3vROXZSFLv8OjHlUcWC9KIJLO5XlAG2TC65aL3R7MBY+Lp0Znqaf5o
OCcnjCUuB6Qx5cKlOLFqpo0Gll71Z8XWnss+zQ9qNykbLrS6yt+sMA1CnRB1yiWWWTDTBk6+xgpJ
zK5LrL87Y76UAuEZOwi3BFvXrkARC0egPyGbdMsynTUkJJ+ZoVHr9oJ4Z6SMg1iNCKl0Z8b3+1/p
pi3ZK5e6VOiWLs5GGTSMcEJ36StFArt4HZn7UuHd8GwKvvdNrd2OZUlJHVjLgLEuEwr08rIOEgbN
H9rQ3mtqGBziWWx1iVdPBp8K7C8DxDCQcIkvXt05zYZWn9k8NOXKw9AVE/WZTvncGozu1EZZnTQ7
3hoCu7k0KreqzATX2e5ou1FD6VDz52lqTkZBTTBKu60S3U0rhBTMkIBv5p2/PlFa14ZNVJqaHxl2
vu+aQrwzunBL2OK2FSA0kJPLoY1FPdxux2kU4DnRtWqtfZAk4klRmq0Jq5tWmPPmFmKAYoWuTK0I
is7Jxe9qB/7+hHtZtMoWFOSmMzC/JUdfSJmXYMR8Sgu7J3HyUZGa93oev9pq8CUrjS9JWb30RfCY
VCcvDc73//aWZfxITSz0cfhCSdX+WYRInXReWB2sottCg6+6FtISiRc9bypJK2meBvrkzpwUzTcG
xDh73b3EYXFxIohADDF/FXP5Z9AFH9F7eJBB4m2N7CaTsNQH6GrKL/tbaNBktdUmMf4BEUJw1rt+
+h/Ozqs7biTZ1n9l1rxjDrw568w8ACjHIlklSpR7wZLUErz3+PX3A2fObRWqmri8b62WCWYiMzLM
jr3BGFvZPqHG9NZ4lkXO8CrANaQXFMAvTcUNx2KaOCRBa8kOQtmmnVsK1ci+Wctjbp1HHC5AcJ4R
IpKFHxQpONe0a2VkPS1UCa1UuNOZot697gJveVudUtwMg6P8t4QmhYPaamNVyo+VZ5gbZHh+esAj
XNOP15rsS0E1PhOIIArb9HWBlNC0uNw7hjnqwmvz6TFT4gD+0gHs0VjITpIb2a5HzuLUTsHw0HZS
ty2kxttS7yz2WeP3lEGNNSal6+0FJE4cCR0H0RhDWpc/TZopo6ZO6vQ4aP7oZIkF2faUKW8ObEhE
wWDNmB36t0vGaXo/lQ/NqPyYsa2u33RftaFcoye4XgpukfMI6Q4NhCsWTFq+MVVcZXz0hULYSn6H
DprZqCsn5SrigLoELAbt7nngnMf5csM8L2ilwAqMx7DU70dTe+gY5bQD6LtoP68dlqslaXRboKVm
QhJMEJCMS2PWAJ1oF9XaI5RaqtunKrI3qbJGuXnLCmOVM8SQ7g7f6NIKwN8usoZOe9QqrbR1ubO2
atyuzUfftEJVlrlV4AggPC6tmGYFGIc5gUfG3EOGhgUFhXvfe//6Rb5hZeammB9JaAFomF1aKYBd
qBNDoo++kk8uQvDSpmuEwX3dypW7oCXHLAw0vTNe+yqEHkarqQchMmHIqpv3ZULXKFTi5ge8KO3K
1bllCm4nBjT5PDNE83JBZgihc8UP8pi2XWbnk9ztDJUmY2hF1Vu70KwKQNOsgEpMRPZ7aYq6aAKT
VEqnUYgDF/1VuEdE+MnrdFqDhd34TAgezVOh9Nc5dgtTYZ43qVDT1PRFBF9bT2ofJLMZ3/rqzwti
eogiOYkOndrLBVUB9b5QCVmQpX4JkYU+KK0F7YA5vLV6OBM3gExCQo5YE4KDS0NZA49L6Kf+SYFt
aGMW8o8cUrqVjIpBPP6Zi5IemQCVeHI36nnXE1hiRiwl66352FfVmLuFbPrnEp26wWnplanAnOXc
OPGYlokbjHHvfwzHfDDfGWhEync+rYT+UxKKcbYZsxJyNZ3wsXBoMsqPRRV33iep74vJDpSGBmgu
CZ1my1GnK4dCE8zKRiiAURW70esBwWQ4h7Mdwqdx7abWOCZ2boq+4Mpo5AxOrBMRb70mqXVbkqNe
3eTi0Cvb1OqbcmtJdZ/ufNQRh7u2M/VyZxleug2hEzNGm/7JID+NaT71nwG70WDVy8G88+NALfeQ
sFrBobfi/FfCHfxJAKtI26mPTP/eygI13M4E821jD+okhm5fgGd5Ggbi9nderAbBbuylihqNEI7V
vdybGnIHVGWRiZWyZLCV2rO+5mnLgSdAtURG/lGAsMM8S9/rAQBQZyhUObZzyIKze57yodqWajQ9
iUltfImlPsn5aZMicIdJUL+aKsWDjTlmk/xe7xSt2YcI4soOo1+CbMMOUUJubHiFLm90EAzFH3Xa
xu9AikgSNCCEXtus0ZDKTSsUtE6RBM/Z3VgVfb8bauSWtnHEWPjeIzuEAAJitO5dH0rdF4EqL1gZ
3kItcaxA8NSflB990dGnIRl/IdRmyE6EFEnjZENa1E6iR57xNBFiWduyU4vOydJu6naalGnRvtGN
gXH8NB974YEnkXlGtVL9c84Whd8to/fijUjVLNiWZqx8DrRMVRyG+5JiY/VxarwT4zFh2rvzgie/
F6zEKfS6EKBdEsvS7YyoFzkYbSe7/RAEaIkyu60e47iLpbu098aQRHG0onPDlPK4V6ssnmw+hkAb
vjZK00kZ8B8dmv1R8Gsa/cZ0LL9Kf3h+nT3pPqpjtkasVTuF30dP7agM4odkapWHURwSlI85aZIF
H5kuRs6YaULuIqeaT4emEdPG1WsKJO+0SU0itwlUITxJaiJEu4jc0t+BEtGDzSTkprwZg6YFlTF/
hk9lIdXylgKBrDliFPXFdsijQtyBEWllR4qNoLRpeFvDjv5QNNpBmExfIfHTu1nyg/tkq6WnJm4I
z8zXTkKtyK3BRBQ2Q/uD7JpKKWlugSS8tqmaWtR/SlKZik6gVHIMPsOSz6UihvpZEvM6j20msurP
MfdWcnQt9mXQY4nUbPNaFX+8/jJeO3bcC0gxWstMz13VJ9vSDymuSnTS++wJtdfgWYB58+mNRnjF
KaJLFJgM2k5LSAz95Tbs4ik7dSKt5KqGad2Qhd553crVy6tTUZpZ8RlVBiu6LFhIvdj3iZBXJ58S
1raxinCvhYL8sWqg9H3d1NWuzcEKEhaAmGZOjKU2H8ojWiDXdXXSikbfB12fOkonKe4brdCso/nJ
TCOp24yhvHylGPv3aAd0zSm2OlNz074Xj9pgDW+U/WaCiEloqtR8JGAVlEwv7ci1MowFc16QRDLK
WMRBl9oAFKNn+gjqZgCNs/X1NvNXljcnTpevI/0uyHeAC85SPstpiyQMBq/picxLo/MOhvE9knoU
xPyaAdg4oyMfNLotV63w5hkd8IGMYtO8hqgYLp7Fen0RyqSp0PXHrJCGnTpLpsE79P71j3e9OqIy
EtOXEF0DJXi5qZUyKenM2PWomJ6w1QVVOUb04lytMNVtEsvHJIS4xap75c2xDfEgqSGskwQIxDmX
hpW25GVRGuuxL9k/H8TVsUYQbSX2vE6rgJyT6ZDtkFddKf2Rg5RlrwvWY9V60TsrNqKtpBbCpyag
bQ1HwPT8+nZe2Ztv3NzvhfOAaGrZVc4aWsCIwVenkprAHdMdFdO3ZPyMYWwRAfjjdWvX9xsAH/V8
vAi5KdnP5R6WguWJSR+1JyvvR7j59NwWfbHcvG7lup8yVzrhm2XydiY/WSJ0Gag0Wh+3dRqFNOtt
ScgQ0CoLn0FzL5Lk1o5NxQw2dZy26R+SNc48rrHgAamL+7y+z5I4H7ZJyeD4Q2wkWmuj6O6tdfGu
3So/JGV0XsYZarWc0ZQK/uHAs/oT3lckaqkiNyIUtoN2WNONvWGKBI/uEtE/e79su/o+JzYYxPaU
amPnwksXP8OaqRyLXGhXepM3TVFhBrVIx5BR/8svLATlaPWB2p6q0B8MB0dHSUfz/ZZYUaxKfbvy
qWefcuHsKKLMzblZKIbkQ51/nt+KfWORNKI8Gv2p4SumJ0Y3BeSxpkSDEdJE2s2pW/7aIdMqQ7Zz
pRPLZ1NFsxd0YxEZ0H9Lob9HEZ2OSS8F4Vot5ipT4ccDtM07wDGc5WYvfzyzF5oGXH53MgQpdJQ+
Im6ljXYfyhYtJ61kPHMQ1joMN24ZBUmmgBg5p7Amzz/Ub3sSKLB8jDReTzwQbWCjeKOdPfZkZe+v
P/V8lzlR8xjjdUY+JvBuxuk0nOSWlrCjCPl0QobVCt12nFR/JTS4Ye3fUy/GDDe+KheOaThJ1M6m
EwOS4z4MW0CsXhjeMwv0/fUzdf3N5klJyqxztgwp1eKFsXKEbdPRG054K+EdXI2+dqBmLrtZairp
FjqYcnSSuK8C582GabZTRcZ1vfDZXn63xPCBnIBUPVF+KFxK6oIdSELvtqKVn6SyTPb9HM+/bvT6
AQBmRtBFsXx+vY2FSzYmSLnzzh9PWTJaT2E3+cdM0Czo+sLuvk5jGOVfN3jjQ1KcJEHHRaDzumRP
ldS2JjPMMMjmP/hGBKcJnODPnteEu9dNXV8EHmzqlHxIav3Wsk+pZ56kTEY6nmrRDI5yFMNCmIZr
Sgm3dpCIgHlh2EyvS225qvgS2dl4Ur1g/GhoYe36kpbsxDby3BaG7BVQ240NRD4SDjGZm8BJXQQi
zaTX0Ehk4klKLB1N1qLlpUbMLqqGNeGcGxuIKWhuZj71GTJ4eSKR4unysC7Fk+L33gZKc3WvKtGb
K6IUcrhtlCrpGeIrFwtS0iQJMgivT1rfqIe4t8YHajlrPA831gLHH/VWHDHIoGV3t8/qmvZ0JZ1q
A7REnDQDk6VD6r5+5F6U0C4fJFZAdRcCWBw/zcPLLeuN0BdMwxNPHT1DxfUKBfBcTuEFEsF8EL8L
gwmkvQF1/G6sgtLaAv2vfZ+qUSFY+7ES5diRPWv4OBrDOH2T+ywxNplotJqDPGhvnio5ExNH1IEY
3sVeVf0wvFBv7vIy7MxnctFChFsspFOpaEEQbcegE94oD096RvdilmkGTcd2LpETDexsSZeV0klN
Q+OReA5e/7gIZ1SiJH16fUNv3K552JErTF5IVW9xOIYqxYlEonRKcpG5bUkDFWszW6ecKRRX9aZK
IllfCcKvjwpvIo1lqmGzBt2yS2o20JcNQ4ZujBDLO9kMwTFNar1yVOaf/PKkUM1mjJptnMd15cXK
YlnqshiShpOl5933RKu7LQdXecom6lrjUOmfVHS9D9IoqivY92sPQmYKkJREGx4K/MjlGW09BchQ
wBmFRKO4T6pR+tjGIPz7kSLm65/vxlZiij4wNQrGn5ZwRh6cRqhzTHlK0j8oHJW7UG6NFZzW9ZNN
REBlgolSHAg8YJcLMho4q5GBV04Ufis303ptmw6Z+TDIlf8+DvXkDwvt+O1blwYjN6xqYFiZ/AT6
e2kUpuWkyjNZOdGFsRy9isOPphVobw6oZyQUXwlKeNroS4W0sYjUMUc66oSoY3iPMi9X3ez1B700
1rC/18eCsgugU5wkQTX/fbmgdDCsQqAJerLE4Hs1Wc1BbItx2wf1Wj/vhpeEjQ7ANP0p6ApxmJem
Ap0Cs1oq2gl4eiygacyAX7SJI4ifDpKK3qMbqn3B9BGiStKdHkxT7ZZ6mZ9EqzSrjRwOxfgpDAcL
ptJOnTtcgypGe9/ownM5xv7ojpVQ/oHmsx++M8CJ+HsZio10o2diGDCiZCL4LLVpaNlgVkqP8aek
HtdCnXnDLm84F5w5PDjiOAMk2JerhJ8983ozV05VHf7Km1JxDLU9FB4DQHJYfxu74DDGFZpmwkoI
e33rGOKhKUcnHyYbEshLw3pSTz1Vb/mkWLl+P6mC8C3RKmnlArzg8Bbro9POIwAnC3aW5boORpZq
MivtxEiU6VD/1x4TU29dP2qad5JR1ycRFt/dqLW5M4x9cUZ2IHRzvVnTibs+ubNsMW86QSXtSGn2
D79lPCRxbQgNgXkykJ2wqVYKTjWUOdX7Kd689dbPk3/zZeQBnNm2Lk01eu6nHr20kyqY4UZB3IKu
CK2R163cWBCQYnJGSocIdiyxt+MUF4VgJhohETXwVAv9XSdPKGIHnJ3XTV0/Q8bcxSdwnSuiV/1o
yN1iqy1q7ST5huCOfts861LcOX5lUvmQzICJwEEaI3dQkmJl/uv6nGKbIjmOm9NKKepyM/tELEJR
xnYUhpY7hUpCsiOHK2/Qzc1Ez4DBW0ricFVfWjG6BMWautNO4VS0Ox/R3vuARGyLGP1aLnB941mQ
MQPBZ6kGkGOXpspKGJBUFbXTCCQT7lDeiCcrTOtPAcfWjRUl/SOpovazR43Tt31ft9YYTG8tdhbo
5dTQdrh6L9RQDTrOjnYqmHR4PwhB9wDXov9JT7W1WuWN+8+TC1kfBxQk9pVWSV6pUFV4sn6C0Kcz
9t7UCYYdl7rFdKQRRYaTW0H/Ma/DKiV4HZJuJ1p1WD7olYTiVAkgK1vJ+G7tPwEzrxgZPHHq4kCp
8WjAAFrpJ9WvR2qLSUrbdfxQ1OVGzXXNrj3pe235WylP3kz0C1aeuUlgIxJlKJD5l59+QvKknxVq
ToTOptOFogci3a92YdW0K6u89Y1n3hXeULafKYBLUzWNE8rDgXHqskG2wTTpJ6HR4SiJPfXpde9w
DdNiWRDXcKCIQKj2LGw1PZrspd8bnKemE1xG3/qfUVLC0pgK6fSul+pxtI2pTU5jH4eDy5StF2+b
vGmf6ijVh50Sy8FapWQ2evnwzCk9gRdVBEqISxxVl/lNXeaBeerFSn3Mu7R7GECTfXh97TeskONA
4Agf6iwRtfiieugXzJC01sno2wHMSVbnXztNH1cc8I2vOc8xMAhFls3HWsCO9Dww2klITV6UNAZ2
NI5PvSb1WynQ1ZUVzQHHYt9wg/OWESNDpLx4J41InYy2E81TYjbdc6cF3hF4He1bIxFtUfXaj2/e
QYhsgAMzPkK3U1143kzIS5malnnSDS+xiyZhstds1gTRb23gSwNjptnkXV5sYNvVim+ZsXWK06zd
eGbbOlJupBDyimvyVjeOxMvEGqCgmVpsybmqab7hG2VineqhHN2+KQoHxrs1moFbVma1BXB87Bpc
WJf3O6iqYWip/py0Bu2TBnI9N6LMs3/zx6HTBN31jJGlD7HwlYMUZHRrYv/Mq6jtsrxvbVHx1oZb
bqwFMBWngPOG/1iGZjp8wtBsQAlV9EritKERH2I85FpN7CqK4Z6+kPzSNiY4WwqkmlEvGSmSumc1
NdvJHXFa07MU1xl1sWYQzEPLW5u5EZxNslPWssjwrt6A7E4GU63fwWIuD0+IZgK+oDBQJQ7BOerb
M82EENkabu5LKEK6Ypdo2Fouck8W/x23mbBPPIpVD6bZ5wA6RCOjrxJqWvpcQWRybvAtIYK7eiPa
VttDwwW7wph8z1HsrB5yA0oFW/L95Clr43b80Gdw5Me2rEeq6rAEpT4WlQcmSPGFEIYF9DwtO5a1
6Ecfoy/6FEZak+8rOZe1jQqzUX8c4LQybFGiUvylr8RwgrNKGvWjoIaScQqtJC8PIUIKHmMoPcxS
mTxaNE2nehpt1DC6whagKI0r1wcvqH6XGrR4fr7x4BlAi18K7Di9a36tjhAAtpDRPLUEAK6upL7b
pNDIv27lytfNVhjsYUJuDlCWoVgtCJLMSJR5MvM2OuvIFdlp56vHRBmGjdcn9efX7V0d9JlzX6P3
TWGFeZ+lG7fU0sr5XekUtWG+LWUoa4NK1d68qnnekCCTugOlbX3hGjSGNkSIJ+RT5RuVmxtRsWUi
TThqxSAcNLlcmzq+3kVyyHm6GXS0xKM737vfM6tIFFq9qpUT+kvqGf07K7ADsNoffU8RfFtsEXR+
fR/nFVy8UZTDAC3PtAUzEHdZnBprqylipSOEq9LUcDWjKH+q/RgUOz3D/e5KTRi0LaILg75Sanmh
+1uYZiwHRCu45rm0vniuQBPOmnSWdUrroR0fi8FKfsRGFn+ujD72t0Yst1+RG6KTl8SDP8DwaMGu
0lpe+7No0lo4WAnSUbaiJ4LlciZNcIMK3efnQDdreUfCWE1uGKoGQ5Tl0BRfFCP1IZJro1Fzirhq
w01Otady21DLm/eWp+u/PLkzPjFcqnR2OMJQaIsgEb91Na3b7esbfxU706nU4ZRhYH/OxpZEyH7S
0L2dYAOoiqh/qmK/fYysXsPr6ILwXZ/E58zs3BFa/R9V3tVfXrd+9YjPpTuiOSo9QLyJ6S4PWhUA
5YJTwToJURzu+qaSKjrGsh87YxPHKwXQq9fCJAaiYjcTw88z0IsP7fVKk9VVbZ0sHxBjT7pkM7f6
VR9S1c6Ecpdl8jvfxP2/vsYrF0FOyKQ1qBxwK4yAzZftt8vUKRUjKBSmTrKcNtumZsos9RkXeasV
CiEgH6iEktbrVztZGamoxWF07sO8/dwLeWLDYyx/fN3K9ffCCtMSEkALVrIs7GrlhKBXnEXnuhPi
nZFK4n02TPGW4tZaZnXlg0jZMUSRgGIBhbSlD7L6OoVgjZJLYqEjoQ9fhtg3HI9h/KbtghX/c70w
5lvnshYvlAzdwsKaH2RD7heFf676rnCoHdBjTgrlUUrbN4sRUvgAmU1pnEVRT5Ivz0M6DPDjoV5x
joac9k5ZpdsugQ/m9S91fepYBfSJlCWoQ5IvXloRKNPlclbyBlZe4hBxBIc88q3d61ZubNucK/E4
0cGmUD17l9/OdhkYuRH3Qcy2xYrvFrlVfDUnBnntqM4C0X3d2tUjQbuEN5YVGbAD08u4tKZ5Ya+n
Pe+6qPmTraVwqlml8KMquqMQdfkOLOka4+KNBfIGgjeHcWZ+excmWzySPsVNfAbgXhw8raHpNTZC
wu1qvG7FG974ZtbcN+Ghn2cQXxDwv+1mYAy+KvoFdFF57T9Y0FJ/iNQ037y+i7es0HaVed9nwqfl
LnbySDEqMdMzJLGQatWNtemsce1b3bIyN15hrORaUY2+/FaBH0kZlAXpWW5Nb8tkiv7ND7To61vX
Ao2UCkBqpiCnCLywotfIYSi9l551b4iREkE9LW6gpnzdyvXDgRWNj8KYGESWyxs7GeIk53WWnfNE
mXYp81wba4ynLVxSzUEV5MEuYQ4/NmWqrwFgro+8MjMR4JDIReZRjstt9HqpADkdpOdcMrr+Sa5S
PXpkKkYezhVJZPZhlIv2u154WvRmivcXLQYF/hT6hdS25h/tt9NYF0ktRX2dn5NA700nLywk6JDX
ffsVo29OO4igiC8IN9GlnSQcPWMy/fzsdTC1MCeQOloK7ZmV6MabneJMtsD7xcsFY+syylSiNAd7
3uTnrJjaLXUR/ZxHTb4SUV5XSGdOB4ajILkhegFhc7misI6UVhCS/NxFcb/XYzXeBobg7cjCwo3c
F7qbpmCBqYybzoDk1KYze/Uxw+etuOfrN5R5fa46He25d7E8PdzthAqlkZ8LRHZ2fZnpdtoH2UYR
Ks+VYjpor1+U60uPPab1KRhSdL/Cv+flqJWaHxVnLw8jhrTKETXhbC1kvbUq0lke7JkM5KoFm8mJ
ivtqizNzPb4zKVbkZJbHNKnsFZt0Euv966u6cQcZEATMTYICvHGZDZG0TNVYGcWZq6I4PE/KJqSx
vbUS8I3mRFEBcLD/7XWjN7aS+GCuds4TT9TvLs8QftuDX3HmJfJky/HgwdQcmQjWXPlkNzaTohbF
a+a3EGdaIi0ksNqDNorlOW8y8VeoZ/lTGuvZxxptv41chG9GpTIkxqAWbylYJjjxFnGJKVc9Htss
zqBzlbuZTXsrD6ruRIr6+fUdnP3GRV6HJfwKlUjcFxHrItyvqhLIp8/KKMAom9pPys6BLIwZq1KO
oTAJk1R81kdmtq0uaA5VVOQrP8GNg0MdmVE1UGh40GVFr27lspumqD7j43Jlg7+u5I0i9W16Z+VS
UR5gNRCeslzU8pVs4GVy+XLxoGbojfJ4zCHgkjw9CMIIOFCrnZMSCQ2DB0or4E+F96Dw76D+LMOD
VYCJug/gNq9+FcYwGTuxT6P6fWZMDM/Zca5P+i9Jr/PyKAyKNe6aQS7reTJJzA6vf6rlIWQeg6PA
N5qhFXOKdnnY2x6kdTdJybkzstrtpvjOF7xzpvqfaBu/NVOajYG9oUo0Z4NXFKuylLeSMUXZOchr
CbHXpEN+VXxr+oIVWJtxUjOKiVxpsaQ6KeQmzZrqjHCh7miaYO04as+aVeQOIIlm5c1ZHvbZHGA9
UngyC9pz8w7/9lgXKqBN0xzrc1gIxq5ReWMSq5M2zIV1Tm8Oya4ee3NTVbrvyGMZrHiRpbfCPFN5
BEmER7zjS76bpCnqhsCrOSsCsjNKIvlbQWfA7vVjcm2Fe/xC8oBXxCUvfIdew/yrTH57hqDGfCgZ
eUv3Q1r2axHyS0fk99sjM+UuUQyBDoFSub6ME/Q6ETKrbfszhSEEdGQlGsxdbU3iHVSzU7ZNzCn6
ompCKb0LKrgmJpfJJZhjAQU00CSZYluXVDBkpnuTwg8/RJ0iTjum86LBMbsedpmxg2iGQVEriuw2
1s1p53up/j02xPRD6FGbsNMqiBBZNn3r8wgNLFMNovCs6LUevTEoYrGUDch7wWrNkoOLRooSM7A4
lNlwzi3hq9ypwS7II33lhl9NZ8xWTLwg7AGY4ppfHlCl9GUzDYuRmmwnSZtq0BrVLsG7je4kZBA+
WcNAPUwYGguiXn/ws3OicPt3keab9RaJ6wgulooyoj1AayO49JiU/o2p0Sy7wEnm2tLTpYqyyPaK
0uwp903FubNMgu1UMh6FtKVn/3KO/+vH8N/+z5wsAJx9Vv/rf/j1j7wYGXoImsUv/3Uqfmbvm+rn
z+bhW/E/81/9v3/08i/+6yGkslbnv5rln7r4S/z7/7Hvfmu+XfxikzVhM75rf1bj08+6TZoXA/yk
85/8f/3Nv/18+Vc+jMXPf/79R97iuvjXfGZ///6f3zr88c+/w449R8P/9buF//z247eUv/m+qL41
yfi3Q518y/6ob/zdn9/q5p9/x4X8A8eJ5iswO0jYZr6f/ue/f0f6B086E1lczRmPg70sZ+xw/kv/
4LLCtDHDAIDrzNl6nbfzb+n/mIGILwKes/MHtvT3//0ZL77Xn9/vbxm8zHmYNTX/8Hwn/nQQAiwO
UMDgbxc5EZx3SjeqIBmV6g5EyQ9gEG4qe+hTSzuhyh21yO8Y7mn9NdqyyxfyT4OLa5PmWZfItTwc
JlFxy86C2UbEwUwhw+3F99++xH9WebGqOZm8tarFsRdBsgeJ6I+HuH1Cy81Vs8btNd31IdTuhu+e
CZVPKB/xvbDhVU7TZLbqrSG1F5iDP5c4e/3fnq5ETyUYxmPhIEb9Lk9jN/EEJ68mW6pTl6hbVBOH
BdsNhDHCkN5n6X5l3XMkeGvd8378ZlmxhNDKSqE+CKa6M/NdU4UHrZNA6IzHVuxmeYUjOvEuoEIo
O9b87l8eokVoEKt0EzWzzA/jsLFO8P+dmk+AJbKPuJa16cz5Sby1tEXwK0iBDBF67h2yTnEL1XIl
C3gx07zW4La55QaxuhICvMC2bplavB/h2APP7Ifh0Osmb5xlh2ZnK55sa354TjTFNr1pd592xzb7
oMFdn6bVitteJNz/e3SuZPX0SRiCSeopwiTSrhPPTW/stMrfh7Voa7FsFzU7qh5L5LcDXVp5Ny9D
rj+NLqIQ0xoEQOlTc4hhhyx6y1XEYSd06o4JJhfKg503kVz0a9Q7f7nIhc/pNHE0y8Y0D8Xn4n34
k/4bY9+JbnufqgcvZZxhZV1/aWjhaxgriEwlVsqDBaALMrJUymxltF6Oz4RH8xWnpP8kRcqzuOrg
/j2KcX1+rohNtd4Txt6r8kOz1Q0n/Ch9zh7y4CF4T8N4G5yzg3zXtyDMJqdzux+efhfYyWP20NX7
4Rh69g8vOkrBxpPvuvv4UWud+mN01oRv3b1gCza+0lceym/5Y/6UtBvFjTflTtMehI3l1NuK//0u
ig7Ng1lIn5IycYZPwqazf5jkiC5kTWa9b5S7WnUsGR6ML81T91SbD9JGcvJ7Ey7hXX2INuNeOwhH
bzwM28FVHcXbjrvqLt804lZ1x0O2r7KtV/8IHlDmhALjrtlXj9aTzr+YFJk9fEifhG17Ks+lYWfh
O9X7Hn1S7v2d2e3KvX/M95HoSJsJFd4/knfAmMXK7b6rkCFlj8IdyNphV+2ynREd2/1a5eMvj8LC
J0t9avmJMMoHBm1to7HcXg33RuNBkNRFZyM3XclT3LRDZIH/DsU1dNQif/3zci1csqAgP4BoJbpv
8/Vl6INBRLfSZNuTvwawTuYdQhLV11CSUJ6fdl1TnNNQ3o0eiJnVG/4iL3/rSC49tD7gPGXm6E31
KKLtIKaW046m21vRXT15E9IStl8nnxI4BFAxVja5RlYdEL7SGdZUL7LrQhI3dQbNSdfbgyrbQe3K
oSjaIKKFHfSI1qEMy6codCvfiqmSyd1db0rhNlVDNGIqlzcRBmo5OQkCuWkviKktN9I97Q8IPfrU
ZnAksivTiRL/kzGGHLbxOfKlwxCawRZqX8Xp2vFLmAWAlgInahLfTujlD5L2AM2Ha4Lm2yqpYZsl
uJnMjgwjfQy6zBWi1E3D4H0e1HtfAojUSuleNOJyO0YqWKFQe8xy+WRlvdMU333ETNcm3f7iIaF2
evkcRwAcE7UsvIMX7qPys2X5301BdIewPRsFOzhtGr14Gs0HE9RKxRfHD688Yn/l0xdvWBv4YqfF
mXeQvPJ7oEhuZipuqBACeIYb+saRprTdVMpuJfK4HXFBD3e5VLUyh1AXU+9QZjuWpnm6XXDI51fT
zvMnCNXsOnxirBr37u9Bn6ys8y9iDxKyS8OTMsgpYtHeQVepgsNxlRWmnSSKGxSma0XFUZ2gcH5H
FfD/c6WL10tVUoB6WhXdZYfCsu6SunoWmmA/f9Ro1lIQHroqOWsSL7UuHyf/zjq8bvl2BGQuxzBG
AWxVDRHHXWdax3mQVwy7Y20JRALjseDXcxj0uqm/3NVFAJ2LPdDKJJQP+SieGbG6M7UPqBZyretn
U8+IjEJwkJMtB8la6DO7ohsuaokGHqa6ymaO8kPnNUchnGyvfzKt0U2DeNNI0jHEG3qjcfIIbTV+
FDDSa0763+Kft4wvvLRajwgVhYR8Q3eMewsOJgBJPA4RxGa2NFiereTiRzXBRcVxc58F8TEFPpky
8lNWj9k0HKekPySl96VQ8nsF2bog3ilzm1+JHKHZy/qWnD9W7sp6m+fHccIV7WJmv/l60lZoPCdo
O3uU9yMpiUxkgKKPPYgDXnYf8GU9zykH9F/1YH64nWAq7f5JmY598V1NzgVBYrDrul1lHTJz78O1
b+ynam8MW3HY5Hu8ohDudAI6yFJG7zjGn+EI69Ojp37W1KdW/mANnwr1V6N+TLP3UreLlV1n/Oqa
vVEfuvogaltR2qXxXkx30jD/0LCBVcNO6vZCtw/8A6PlWrAXkLGTUztK7cKTElso5PvOHElEOqpE
BhDDSEH0qWo/RHJ1r+QRy5oeJT8+WlSOW0vZ62O58VHgU8JuG7fWofNRFy0fhzE+TJHyXq+aXTse
RHFCA/GToj93ebYLx3GfUHmque5NoR4j2FEDK9wF5vCHhBaDYY7vrQR+plr5P9Sd2W7cSrKuX+W8
ABucksPNueBQxVJJsmTLtuwbwmMymQOZZCanp99/qXuf41WtUqHX1d5AA40lwKJIJiMjI/74/uS3
o7z365h8DM291w2HQERPaaDuVCB/mLQ5xmx574Vz5o6YaBqjsoFBFIWWpml47qVO6a3jj9lJYNOn
MjkOMF5S3zY3Nai5No8sWffrtiLmhB+hq9xv8NZkLR6G86LeTNxbt+FPrY4PK5SY4lfDNOx5umzU
X8f6N/ANg92JFFaHq8yGYL5rbFK2ZNhDrrmVAvyPbo4qTXGoW9J82VRBeHIDqf4BfMxS+tvDqt08
Gads6iGBpeueRDeaiWPSJ49eA89Ps5TaBkWKll3f5BvFdtP4FSRYH8Si3rXTBHBHiPTEPdTgmmTx
vl7gqRxIqC3Vk+GfA75ScNVwJohtglSpfc/l/AOWWTlV7i7d+kOMsTDRj3eRcMsVttNZGC/3MOL8
BRbLB9vf6XDOOxcfTceHOY9ldDetle+ym5mG7/kS3tk1+jDT+HsCBDxECgV3/aoRYrcScmsg4Fof
NHeQN5JHoKJu/YRnaosOs2v3KObuA+lVTt0dIM3KwX2touYBBjElIeSYGH1sLS8b/4vT1/h+l8eG
Au6AdLsGPCsLOfsWpuOONqgIjDYL3GdE1ozHUJayB5Csr+2Tl6LcWSLmrekQdr61B70etnGpEj0V
wkGBsEkKyBv222/ZwhqrRkoVbTf02un5Rb/yWoA7S0WgW9/CeAymA9gPeU3rO2rwgctp17XuPUw/
sZ5FHo4ms/39eDJPkx/quS4oEj43+qBXLK04yWNYgvYiyl1MZ7vGFrEy5SRhYltXMFLLqLdkMoBZ
RNLmPOZZqJ5G9cV1ke38ZLNfpjXZzV6IPZLju3T2NZyQJ6Roix1L66/ZnD7S6aFX7znsiNJE5/GT
nK+Zo/uvV56gmTvLFBq0YaaJ8kPQKHjGHWsYPPhPyv2CHSYjOHUmC2CPxMkmumDO72FMYeyNnNWN
nMxFNXI5uCpf5jZTEYzMDCvgSHKLzO1e6qh8bPg1ANaL9uyVd3WOiUWFsNlCwoeDXINDg004BhvP
BTBYDc8mfO+CqrTxPGY9GsSPg+/dJkoeuDK3fm12EiX6gSm8xwfm303NccYigzLa1Te6x2NuBqg+
c2uBlxTPgcFy+241DIhFvR9dNMl0XCxtlI+phtEIZM212jX4xMepKTbQaDoNlKJTjoRlEWmzU8TQ
3ZOkJUu3XAawrwh+CPn7dAQgkZszAz7RwnMI3TJv5ZkJZZYM4AQhTvXmmzN/9eicz/5tT9ANdtZH
E6yFz93MHx65OYjm4LdwChIZNEson2EVOkvuKXbbfV56EO/8ZJektGCtzvWcwj5v3Cn8+sEn2QLX
LirRCzVfgIfKZPwUYvcOl+8xgi4MY/K3UyVyyvtee1tnCagTKwoaoYdz823SevtObe5e+NHDaro9
5WM28gMxH2z7ic4d+gNfNPCDEnOJM47SkS03m+RAXz6FFv6zAhCwYgSkemhfDlk3c7x+IHopFg3f
l2G4g/UM5kGcLA5svqb1vuXDu5Sr25Z1BUJfJiP/IAFB9CFxbZK1CFaUD1DtnA3PYbdSon1bhXDx
bTFEBmPEG57GFfd10Ursq0SVm+7KltHSA84Ndo5oFF1FxV84IZx7JYU1mKYJXBAORHypRz/HgN0d
Nu+jO21ZSE0lkuVes/TRt+HP3mFP1t03sXvn48VxKmBtrg9TpB+94RBimber826LoAkd+MexCT/7
cjxE1JTW+IUTdnmU8pyo0yF6ojiTfInG4XamyzFxugpal8wV32yq0KNJsRPyYlmdfdK6ZYPVuCrn
nSP0u36ODrSfCwgac21t5a1fww7Vvm3IpqUr0ce962N7WFlfMfg/S+mULv4f/bVyGqK928Cw/JOe
2zI6nZi7D3XbZ9NAcvxXFLNyc/mekwQO9AlO/teCx0uD8rXleFbz6ij0LDBwbm4AtC6SdECePj5a
FDBhjnRczbvFwY9Fsu8pKfSYfsQUcIacKwNAEiPn6f56WfFlwOy1P+XsELGtUx2iBOAckjYdEbyC
owuGzdp5KGcCMMs3+z0Q4lbE8xPS70OwfTAHypMj6TzEXwdSSPM4ZMBq5Bs4Jfm6fl7Fxw3o0iZC
WWGW3wF2PaCsf+OnWV4L5KCJeb91XXsT6DaDp9hMDoZfgRBfOsyfTxDGPZrjBi6+B5A8URtrngNU
tNCVNl4ehsXURkdA3T+hG3fslmMUOMVmrM7eDjIXL352PuEbBPnJMKFNg4Lw6vmFVskRArZvMrTH
RvuZWqdjsMI/EK8xbcVxwGt1wmtIrkvnwfPmv1AeEAaY1Ti0Moawvj4GmhS15Q91ixp/h2rlqXY1
k4etaz+9fc8XKhgvpaw/ehkg2UHajA7qAWr6QqFZlCQPp3P9qXIikJrAPjsT5O++3bPkAJhXA5uY
NDi0kf4YITaTWux68tNv0iNJntDoLToSF2EzPDhkPcbNdiQ4B719qxdO9udWIJNWGAUTPhxbZ5Tk
ZAQPwfs1IkWL2xw5zB/01dp7+Ppuda6O8qdtbTaDc6KGk9wcgGwpP7q4x9OTdayzH36PQPAuHrr4
4RgUikXYB5Cattecry5VYs9HfxT6sCYItuTAsVtKuL6DLwSELmrleJ4az9gYb++LJJ+RenD8WW8/
44vXPQuMAoLWYQ7X5AA3XiT2z6dvV9efRj9GgrMdPTz6SDnF0vMH3V193pde7VkMTBkGFyHCTQ+L
BT0CdcBRfUpWFAZa1N8cEmeRV4kWKWcKK2J6o5LwcaHPc22+2qB9oKhHB0NY0Ppac+vCVxWd1sUf
X5XQAbPE4mzdC/9bPdFyDMmRuWTP6xVJv3scnPXo1eTaeef0/byyB5xPsutAoos89elh9tvvCVqP
Mhpu9PwSr5KgAQKFFF0HBsrVUPl6DxT6h7/e4QhK4wlvnh4IvhwWuoVP+iKYn2uaFI0/PswrisX9
s4Y6zKF/L1adz9NirIMsIGE7yNinI7zOjkCk4wCHEImwmKj46KJZ6WHXvbKWLz3Vs2gFFqQQAw+d
A0Xp7xQwOnynC5ztTqVAf3CzOjx5/3oFgXXMyzX/JbV4+Oc7O9N2nP3n/33qJP53rt74i+Ljf5PG
41RJvSzweGp+/Z/9N/mdfftT23H6N/8Udjhe8A/MU6CWj+lw4LYgPf1vZYcDzQe4yRF+jrbSacIf
YeG/pR3BP2AxAAGue3J0hfgC6/df0g78Qsw9Abx2GsLEbAhUH/+JtMP/a6yHxB5oi5MADESZE4r3
nB/YgxO+LkI8+gubMRe7tslXJQfyiG6JQIUSQnvVvws9ZtKneErHOl9GnT65A5l/br2AsQCFK/jN
BvPsORtFIj4Hq5sscK1v04MYu+DzVDPf3QfaDUF2Ydt7CC25RJEgnJsbsERi51ZjmKutAIJnH61x
9dcB4Xbab/4ymx0Z6lHfMadBM4lKQXU+wBPEZMqdHiNeWx+nH518TVnSKcg26KxzFvcBqm62m7ys
nTa4dIVslmMeyQDeHf40jzjJNjUU6Sn0MHkyOEOQrxaSq2xNUlGX/aYGs8Ov3GjWg62usgFUQPT+
3PrHuIl4yWafxymaFWFDS6q8ri6ggU+zk5cWhnSWEC0mlCtRQBkjg3mkms6WoUU/Tjp3IJPrczNN
rSodvkxPvWvCe2PjDYdlWH6hF22nEAePMG1MNpAh4Jn09LIWntFOewjCZi0dN1lNFphUfuatiZeT
XYz+PPfYEVGL1A4rI7DdprwfWoZmau9jBjkIJg3gfDLAzsbZApFBP570mTvX7lKtcQuHw3XGzEpO
k4EvFQT9zZrXEzyfpnDzfxKvCekuDXuQeykbVkyBBB2HVAb+4Ui/+9kZSwI29Zwl0o1pjrlxqKmT
xdmezNrCnxSbaQPTcdvzCf9qI9xU3hD6WzagyQor2tgi25/bxezgD8FpzvtUziWmCMN7N+HjjQTe
WRQQ7ixTJpt0S8oR8kPo4FuvsZnt5r8lXLsYqv4S0N6Ut/0PFK6dqkaXg9rum+AnvdprsrXTv/xX
aCPxP07j0hCgQeYI9f4JkfhP0RpcHv8RYPb3ZFwSgrmESeP/F9oc4v0DkBVYl51ijovxif8f2xzi
Q+wGTSbmsUPQSCBb/o+CG2Lrv+cV5N98mwZmRT1JLiq+kHfQzGiUk1A3YTCI2S3oa351R+58jAOx
PDPe87xj27yTvRflQOLCXQKU2L279ayc3Nr7xIdJX8szX82w8JedZViN07rTmIS8EkEjj3649rd8
GXTeAiQHICivc3dISalp7GYeGApwTNw+Tg7aQKA5aIH+DJnycBO0cF3h72qf6SKAsHsPkcJSCrjV
vP/jzf9rQ/+LSu7VLAJ/6dmh0u1s1JiU8wqGPUkeDHbIhNPLDBOQzQ9XhM0xClHomDBxI9DRDVlh
9NhdmWF+/UiJq5/laQFqQRhTGNBU0j6BUAaVFodRUiaa+PnQGFmNXS/yZp77ovfm6RiBXH+laPdq
Vo5rn3LHP7LgTgUMwRfeGvDDblXWw/jkkdIOujkykhywMvc9CxiUXyaOrw3AnTL+f8uEcc2znA3O
N64PlkNb9dyCUSltBFiqEnegSv688kIv3NZ5Ex7Ti450t5lXk0eb49brply4Qnk2YnPVbnVTtiGQ
aClFOR+2JKqS22QAXtju4eZZpCASFGmolruUj9+VjsJdx3xAaByvvvLSX1hlrzyE8279aYZMwfmk
rXyOnqDCTE4ZJd0I/XmQVsHmqpsZO8wNTVOZx3XUPGHqrS2pp9Oysy7Fx0vHbB1EDB7T0ty4swev
IzAzUY/oUcEcU4u6YjxmclnNldLAhfd2PjUox5kZkRBVbfUi8zYluliWdtqrPv7w9nt7GQx87amc
gtwfy9GidyDCdu4qMbnipokDnTUqcSoi+uWI/sqCcjjr9oCSd8Wm1uFgBy1vJulNmbtY7zEZ2Fo2
Q0PedVyj4dhM/LNRNKxo39gqbleTTz4sr+uN6n1AhFMuSwc7oMZrcm+0HjDCK7iH/lLKuvZ3k9nU
MZysPiz90sKVGrc8jN5yDGmIPirv+gK+BL/GKEjvfGqTHXjewTUSzutfSXJ2XgZBYmsx/NNVqt5c
jGiyGFVyVFzdfo13bz/uS5HnXGkAzT2goeuCxx2jX8CEdosJsTo3yt73VH6Gdu9LaBpVzEEMuR1y
yisv+nVlMIguZxG3d2obh2gAVoC52uXUQcGg2IyGzyeXNtMvOSWxyqBkilGjjVce5rb30j1QIlSf
gAHErTbjmWs8h4t/zlkI7sFw7raO4GHDhvB2RntMwHKESThYnpJUFaIeQUWpQZHKfKRfpeNxnotR
L9UUymuGp69XZvBUzqLxpMCllYBmVDSlrFJ+i+R9Wod8oPVHHaBIBWt4Xa6uAUh+1km5DWmyT5Kr
3nwXconzxiCOaKEzAVlfJfMUwzDZSQraCX1UboL01o9o+fbCuxBJzvt6NQwUzDYlooIeQmJ8KYqw
2ae6cD399PYVXu1FYfjxtDH8EUgGkaZb3ae84sa2RQ0eRdGijoo36KHjDOR52fqr9/nti136jl46
Yn9czSrVbFJvtFrUGOxWHvFHwWMHGw+iDsegXQHH2ebghP1v9BsHDKW16sqX9DJd+UrIJGchM47X
ZF3hZLxnrFE3sB+DRVmXbF9WgALues9TJQlgs5A7DSQUde8Dc+N6k4T+14/Id9cgI8sMHjxFaYil
9wp2FgFkmautGMSIOydUtAok8/p8CdP+O3cT+RyyBkPc1m0MjngSqZpWmPcB4nddaBbM/foOBiWp
uVLkgYvi67HwvGMml9YqvGNVoTK9/ozBFqaZxp3fRGRz0t1I8NwzPkYizuzJx0eczumFsfViMyjk
BQ6+JloACOuH6OCM/K6NZiw+NKuiXEwJv1vEEKGtiqPbD+Kb+psGSBv97iZov/B1tF8aFwoc2Zhu
R2zkDjm2GBwHQUlDd3I2sdLZqpqU76OaxQ9uYocWqMza0zlIEJObrYt/N9ppvQ9q4aPTKVB2RDkh
QXrHPAeiFgmVRuYq3oO3iAwYZCR/86BSDOyD4/caFoWxit9RksgVz7dpjyy1Ar2hSCqSqdF3Pq/h
wH+niSOX0qRxJ29XvdAvBGnbkVnMuN1PqfJKEi2wsGuJpGnWBwPaRbad0eSG7yta902v6C4ALcXs
/aaLnsAx6sDEUN3226lb58fcsrT0gWkhlV5V8KhRNOiyPnXC26GN0qcVQgEIqMOa9bjoqqCamFDX
zkRnh2eS1jM6WaDXN1D6pNtQwn1jILcrLAkD6Aaz0e+aygbQIribIzK1MNj7GGCxpxwWP+231g2W
p4BJ/g61hR6tTGH2hJ4sDs1A8ObFFEDwOMGjEFaLUTijwryOzCmUn0JjM7CJ7DeuvOfInaYgQ/0g
4fkMWvW7qI1T56YxZPwFpKj4Pbd9ehx03Nts60dVIgfrShAkpjF3AP9Eg10BEJLXxEqooYYFTZFk
w1v2+Azsm1QKEl5YWMIwkcno2dkYjOqGMeQzqgjpyepu8uTzLJmCRd/GQq8Me676rPGpIytY4wbP
cKGeqiDhw8dWte03j0fRDxk67QjZIdjEH7Vxox8pmTZnh3raYop28hf6GLFA6dzrne5UKUiQz/vc
796HUspP1O8UJuoFJAUV1yehQ+BBxV4LzAge9DT6B+5QjACwedhKKccIwq6lY7cjWQGHCJyJDxnr
2VQXUTLjySyNax/Bs0dKpjC3NOcJG/0PFsgMiBAMqoBQOShRzD1UUjJtvCwaUjSQhg694GCrS+/k
/QcFhPQgWMbhNKtpu31JQRnQOQoegJ/69WI+6J4olREYj7c71/YGA6+YYgyX2eo8bFLzSD2saxit
JljswtDfpFG9yUIyLySnXgsbwY5D4AUip66c1JM7lPT69t1svOiDaRb7PLhOb0on6rAOsXRoAXtJ
JEOYUWsfRwxbi2yUUfq9w7ems1gM8Yfa9uq3E4zRj4TCVguOpBP5pdcAJpqetgNqSNpOH1tn9Fv0
t+P0u5lG0+RkDNSvjobtR9aN6HRQdw1sIcJlCTMwlVcv055V37QLTpcFyujzik7JzncgE4wG1kM/
UdPgYJIOKISaOLWX141/n4xJSZc+AgPdWvZ7oaQvWwlQGTjP/Q0V6/JkPEmHbGml/hZjOfGske6g
K7+T7Q6EHzCaRZcEX6bRLk2paHczS7c5aAOdQm5aT/cVhoxPxl5ru1QmFPDYrK23fefp0JtqHdt1
K33aOrc1KOUjJtiofF/DzxRRE0g0F9an8sbta/eO2WA7aNuYOAv6uPsUji1evEUl8dbTULmVfNC7
EILPAeu8ZveexueLF6krgimkKJtJx2yeciiUPBFD3C4ZaD3KrKzC6B70qcMCtiHpXFaXEgL+HxJk
gB4tAEb4QaWL/a5xIlC7pEfwzPrYozKPQkfcrWkHCa+IhmgGZKaH+l7FDTZLiuLr7PThF0gb5Teg
nBBtxegHMkulZn0WcY71PE4TzFCFRMzMmU4HzHE0DblFaRTf4dsZxoWE6Xx6Vc8Qptl+QH5q1nEH
1096EDXAtd0W1FfKNaeqzCt5xHk/bLESdvSy6wA1WQfw2tagoi0kpW/fwMt89Wu//izhZ8DspBss
fTHV3Qmoari7RzoRZvZkzx7ybvwgiJh30Dd0GIJIQ9BTgujGDkgN0w5OsdwjgPoTizJ32JGswS64
C7eWfeqnGAOamMgvFjFiuoDEbYZXiF125tuNDpPx3h3aawyuSyn6eVNtaWfU+M0mIPOb21t3I5jZ
aB1WtH447RicZoGj6E5fWzoeNNLQvaj1cuv1k38ld75QVTvvsMVI48AD0Kwia+tCrBrWd8vct8+O
hkXMito/hhoCWjlWNft2o+uVs6J/IaM+t7eDxhxG9BazQnWLcaU2mA3ZMXAnvCae+1sbSAipCLWQ
ik9azh8NCcdvBscV1CMtRuL30QkCmW3piGZCvC2yXLyZsdwNJ3g2xPWkP+HkP/QZSF3TWsIGmD45
AvxWfEyiS8uomaIvjoEqXcxxhz04DGoEkFBN2dsr9MJzJaef/5HDq7CHxD1BCgK/Ph9ZT3MqFMGN
rrTLjFmZRdcE51S/pyAKurX62YwYcrjy7V34vM8RdRtsRwxQNLRKVSS/RHRZy9UZlqIFIeoKof/C
0e4cVTgsLEZjZ2yRufn50jpyL5WHRNZhP2EscY3GdOFGzgFkNN6YQ3XPKzYF4S0dl6kYJNLvOUKS
+fZ7uvQFnsuPFITODpivogrIBvE9zAlzWISi7g09VVzE2H7yhbQrKDTpgLXXoeMOpsPepX7968qf
cAparwSzc/hSDIvmdEKFCl+Z6eD/sa57HybdDxBvsEdNDcTDKOhidBxmEqDIkLtWS/K4aQ50BPDq
VV8LeeVwdOGzPNcjqYEyLEzD0cNyT8NrLjjuLoFGXnRO7smuLeN0nf5eTepciYRqWIwWHO0qmwRz
HkUU7LCgc8pgqK9NFV1aQWfFYbOC9L0MwanI2Po7DeUtkh0+FXz23Ctf+qWd7uxL79d0mziK3Kgq
grYfsLGDtsh4V7AtFz60c11RUs+oBcSRqrQmQ45++VM3yPQ4ChikzitUlW+vwQvh6t/EQ9OcwLDL
U1Wz9Bvklu58L6hzR/t1u5UOQTFtxecdWSDXogmzZ29f9QXI/8rKP4fRwFUdmPFRYZKmdvUnnqAJ
nUdOi5OJI8LtmQFk2mSe21IcemfKJmir6+4El4NYNK+1w2+NGODkUNeM/1ZJ130CIHdMsjGaBmff
gkCqkdCdDtTOili8wbsecj6iu/3ay/mhl8v0HC+sxtzkoNyD76NXUdRx2GAuqUa6uXf5iLNZ7Gho
Wv1kHR49OK/QTIaDITlmP6dHBrXeJ7VKdJ1CpbtrqvoLH+IJUPHn/pGaGd0swduq7lAEEXzrdyDn
bLeBSMa8Zbx91o2gVxbZhf4GOS3tPzarCIK1HgZzDJLl7VcQmMdt8+AD37T3wpm8/ZjM4mtIMXjw
9mu/FHPP0fIwp1vbDq3yStnm1kusfXQhkcIFkzqLfdbv7NikGNrh3+otdp5TAuG6xW798Pb1LwQF
4v/1drmHKbRtaXkVgtSTt7SLS4Z+4s6Xgl1pyFy6xFnpFQAMKDkm1VRoxVmMqfpuDmvJ7giGxTWU
3qUVchbatgTMzN46FHPnElLjWU8lYgS/7aEHPyxAQuMAGDo//tYjO8e3Khic4eSe0ApnxzFPZjc6
pEGa5vPixuXbl7gQ6c6NP5sYfOANR6BKouD04G0gGyUKCg5j+LavzXRt9b38wleCzrn9c2o0WZwB
6ZFXR+rY9pBJjhF0KF4XhjvlBM6dTUZ+M7r2nYcP/yGOpASSres/WeV738AAF8givV8KR4xMdV6X
JcZ9ojOcSk+OZHVfYSxuzBrKP2+MRbvtNFKNQzKo3o6zZKulfOdg5K7pJCpSvSSgOrqY6LcTf7d6
5EeLEixOuMzg9AHPx6mjQeaCRgmhBhKgJWrko8LrLWs+YDtuZ37kdhzycQRiZovqr7FhehfjDHol
nbz0uZ4j4ozoOygZfJwCkh7H/VZ1kPuYIcoj0UHrKdA1ANzKrQZnrneTFs4XOmqbw7jTvXLeu7DW
z81zuimS6RZ4tBplTL/68aY+bD4gDL51vRyAaRzLhy6cfr29El8c6V9bIWfxMNaTA5sgDudnWEDc
xSDblUGttqofh+EwL36zN9GIOfNg9MFxn2TGFtQEJZBYGcw26xzd/Y9p4wAcIfmQWzKA7zAvYTnK
cPsaodVyahG2BdSGfoFjuMymtbuGJrv0qE5J5h+xPIXQzImZxSz4soxl4CuQBCa13m+SfDaMs8dN
oMDx9oO6uDLOIum6Ut7KXsM9T+IsHgbruHeFWb/HE/SaDGTpmyni47ERTfNh5rLLt6aFUx9j1+72
QvJ17iDT8pQxxzW4W4P5i5UNTg5jLfdKVnSpExOexVg9DunkU7QsqEdRvvU9VnXbPJTA0I4nDll8
7J3FL325tYeBAMvhhW505Yh1YQs5p9263sb6qUca4xIwXDq7qMLlwEDMyr82Y3Uh5J5UlH+uFRSd
QLZdnaaK19V/BlNguXNHCPWSDQI41E6u1Zu8C4vy3JApWRXkRFHcVDyG+EOny/oYzJs8zoMxhd/V
/j4hwt3NgnoFXHfZo/KtU7KIIeWLeuBVItT2s3Fx1nKiMUzSia+KMY7qv/msTw/oj48moDQwa4Lt
Wgyqfax9lIO9zRdomRDv09vfyqXXefr5H5dgK3xG+smyyjQ83RvHTnkDHui70F6dJrmQxgVnYWuc
hbvEAcMlxna8iWcPOhyHpzufyHQPX3LMhlHPlugZ9VcyuUs3dRZsHBloyFcNq/D6TB4tPr/Bkh3z
MOrllUzqBZ77SjA+t+4JFkOnE9m/IrHTPKEEK/dTOvgPYhj6HN6YAdx8uukDrgse0ciayl8anYMF
uO2GWNliCT1ekniBYU4KAWaoIpujiGAK2ChdOz5d+pDO0j2LiaoZzSGG4xNBNXcmsKVo43XXRejy
xGzT+7cX0aXrnMWjOtKOH1PE78GD2p7Ch/64dam3a1BOyxu5/mcM3n/BdYCFPjvTphJeZr0mDNVb
jIKJCUgzp8agPgwq5JXYeiFyn+N9O3QDjbdBnDBN8A7fTBreGa3W8u0HdWFhvpQd//javGhaFFY9
iEoRizLYzRNwn04Teiu69n/vEmcxg+vOBFZAv9Qqip4SXAjux357B+zqfGV7vXQTp5//cRM0XW0y
rAI30aTJu553kJgBd/cwTfLaW7iwoF4k7n9cwoGqHBL8VFZU1+ZTXbt9CYMp7xC5Y59BCmoObz+s
CxvAS6b1x3Xwpw+L5UFbQWf5IRr7e9qOUeZ1jiimHk6ImIW6sq4uPbSzlGSLsLHAqBqHO4V+gK8A
PGlj7aGK0KRXLnFJQHDuGGqor0zST23VttDxzc5S37gLc/J2Uv5+nkeT61PLxkd5oWTcgxYd5h43
g0ziUsTJ1bz80ss7iwZJQ1AWUDhGN53uoaxPEzPmHvG8r7Xu+j7z13Y4TH5tUygM7Dc5dt5XYkdw
hScbBj/M6sw3KSdgNHKcOSCNA3MnT8BySq5sDy+JxCux+6Rl/nMFdw4jON5DsxtgZJO3m/sBTEz0
7ttl5w98KM2CciukhxD1Rl2Sj4DI5egj211K7ZyFgpAC0q31ngm8xlmEcGiDdOwzzLqSvSE+xPCy
XkpoL7dC1jMtW9piBp03x2Eeb/Ukx6wbgbywIFK46BbeTiuNPkcNRiRgrMN3lg5HvEENOtjJkYlR
/35xx8IbrsWICzvyORBe9Lr1ew8LBf1//9B6C84pYCcVvTvgsLj5v52tx9l9GK4BhkL3Qlx9ScH+
+NKg1Gx4sjQYCtlSEJ1D2yVHpqXbZQJJ2FYsrqV7kogozfvakXce6yaLwj3qe2VAGCtwfIQkJUHL
eMgZdlovi5ceO+rcbpjmgAD3Bs23KfeJs4PpF0U1SuHZ5g4V81cp1iDOpg4WBoYn48FnOBdk8FJY
fjZTPczwBhuGB6Kd6R1kTcEHEXjLg9UR+dlo1XjF6E5izM3IojsMlfcsS81oASUL/PqdTB3SFZOT
zu8pWqtTQfuoszuH/kCXFCQFudb+vTIewHc4dqEHAUPkG1g0920BgxTMb5AAYqV4daFQZ2gfLqXH
OEAgaxKLym4LuoKYqNlEka4ej8t6BAY5S5xE/opQyCmWmDggfC3B+GWYXPYtMQD6544eUvQjXOKu
+NO2+pvr2eUTWCzvTdTMN2RFf3X00nc9ncBU31YMWoRDY2EctEYOOgtj7N92s8KEjoAX9pTVGBPq
S9wf+2mF8G7rltYkjwJbg/G2qmEHk/Pmmx8PYC2QuoVUjzApGhhNh94zMdq/EY3SZdMko967UqFU
AeOkAHSleR68POlrXQUObofNtov/i7oz224bybr0q9QDFHJhjEDckgRBUqRm2bJvsCzbiXme8fT9
wVnZv62yra7qm+6LdK6VaQkkEIjhnL2/vXVZuoC5MBsY2yLoE2tLrXz6WupVN9yjnIQ7J8kT24yr
uWcVuajPddDilFkclcFDsq1yh4U5gItTzTnASStsxutOadmXomqc52zmFLrRRCqDLS6d5J2bxHqM
ByhK349x5Ei4H+4UEBs7uk+Ewk7JdljC6iXpZ16VJc2WErXiPByNCZfQRqebvkWTUJt7JDo9Q3ox
BW1KuvB4chxtfJ4NowxPsTG4T5UZxH9qSJ9iv2hzaLEyb4PD1BWJAxiwoC1PlhoyAHvE1b+pXIzJ
G0gHve1n6Tw+cuIo0DD1cZ3sOZE4Cwrh3J78FMDhBkOQZXpVEhLD6EQyvsDtWgxOaqN+N8K6IdpY
dO4mNlX0FFoGf8E1CuwRejXp1hHUv27A2QqzwitzhXqrbrXiJe5sUW+nvlMfR6lIyqLuva2mYr4F
1wXjI82U9AeY9dY2jCH+JKIF8RAbWXses2pO91S16g8zTq5Prb7Ee23IgBDqfZRsTdHq6jTQTiu3
NTEAXgXHF2VGbJhEHVDpuOtlWLkHtnd0vrB1yczrG+Jt8YLZ9otKov5JC9p8gvaky1NiGtO0TYtC
bzeY5JIbUTqEVvf1cEXLsVkxGQ1uKLpJ6iGMWw0uSkU/lNa2apJ7Ks2lXySa83kQc7VjLGj5pg/I
YofcW2NkKwL5peydlEU7ySduCTF6gFC6okQlXdMp2HeqWog874LqEo5TnO4tLWvvQqfQ561L3cPZ
LqkKmK7cpu83HVaHcFNGi4OWoh/TR62eEINRvcmfkERrgMLTyH1xjZKTZirsesGqsOpzWsd2bhZ3
FfGX6SCyXQLZ0kcs10SeBnRn2dcUE6+zfEqHzcQMEm9SteBjc6pBw12StcjJ+mzWvNnSKmOXgVAv
vXJxu72tB9Ujlhnk3oMuz6k1pjBMVd59GQbDwSBH8sB+jhXAzBHoMoUFu802C8gWd2OSXsXMOFAn
t7rxMtgtqe/8PndrTgG8q6BNzFPfL5Xt8dWRDVZRk31Rahj7XT4a/b6l6PhB2Y3O1JV2M3eoHgYX
fxz6KIBFDt+A4TtcEdgWunAdF+dG110Xf17TjcfcmkBQuSp27njrIQ9akaqTbc5InndkEMKiWoq+
8UOq+C+OM1zcvH4X6mJlVQI4vJpMLfya8/OMBMQ8OLWL+MbOpfU5iEKsEkNSVc0mEfj28Wkbcm9F
zFOeWmI6sAXJAnfVBMtlX+pr1XPKpL0RNQvqJqp6oJ9R09E3aIsUZJhKQnrvuWHUG6oz+nMwj2Z2
6PLgpo4teZNbg/EYl3Qbl1SPoMiYlWAoJgQibHSKPwHaq8I+Z3TbGOjVGNxOeubYG7urjA+yVH3p
OS1SI7RU9U0bmN1liucnBIurbEIlxaOWLlqCrjJqv2STKOdti7CrRPOd5h8zlfHhyjidjW0S2M2J
CmO+bA2G7G6uypVTF7u6tjM7YNso0sb7KFHTx7AEque7naWZnkidpttmdTzO7D0zNQOI03TaUyWo
uoJbsBlUVrxMcTM8LmWRX1dWBkw/1MOl2hTFWMOE1QJt2AoGzkEv29kCIVaO4VaXU9Rv47iPLb/C
kPYZd6P6wMagMWHhTGxh3KQNUBwOIfxt9LppsdVVALKNRNfgaPcFxT46uv2ZvjZInLG1fKrn2gbB
2jkemhVn65jt/T/VwMBg1+D6Q5Hk79Hr8NEiraje//7g8asd2Ks9chIwS/a6UH7iMlkZsfHZJtsV
Kintvhz7P80tVpoBKt4b9YpfnD/0V1teps6JPDsuyHpU3aUIgf/knCuOWII///4r/aoqqa/f9bst
3qjbkHlIkfQl2JsNcEd9V8La2ovYaF86IWlAd0O2q0DpQYTJQalk5fTyxsV/sb98DbaHKqQJjSqe
PxjjY+gYGFiHCDNLOlpbM9SHnTk4saeFjG2TWRl2I+jbsSZSpLLhXlkkZuxTffj0+4/zi8f7Oixi
Wswqr4YRKtBYsuyEg9g3S9FeqzgqfYSLGIj1uN9jNBZvXPEXhy791aGcZbNLhZlilCCJFCzN1O8s
QKmnmAnriGp/+i/H0atinlGOpHCYK6a8swuIiWZ2YW857CozTu9+f/N+NVStH8fRkgWEylYSON4y
U31R4iaDC+M1ATk0/90VXh3G2yQ3LNi7ri9c7akDU3mbZLDCBTlSbxQWfvU4XlXe6rzI6JnZNADi
2vRGt83BBJXGHldo6Ru9O71xlP1FAUN/NY8EjWW3VTRpoMeiZw6xR80Y0Rrn0Zc6LslDEJ18QxXz
rQ/574dmU72aQUSTNTqi/OgQwKPY1iXh6FI1ww2dJrFZulYcLNGjTm2T4oIHzSICITQ8M4qmncXi
8U5l6s98bNizxF16HoLJeJfko4XHxxphwM3Sc0PUC3apzbuw73IPTbTwzCwWt1Y3VftY0msV1KVR
rBXyOGoJSQ6znWOdl9G+Nmbk6wredLgYsW/JKr0EUtBD7efxPJBP7oEXy495ltIezmJW1cJevGJM
ci9Fqr6TPVIJTqIEtizt/MZA+0Unynyd+FOHWYKELtP8WhTt0WCf6ZVTFu0wMbY7O7ATQM0zRts0
1U5t3On3kWGwIXOjt0iQr/Jr/q6ZApn48W0iYa42myAPwDW1CqqSsWQ3dAmtZtPgpvClISDFA/9V
BmrDtv00mEO+E5PoCZSoBk4Qc2rsxsRxrlVCffqNcfvz6dp8ncNrRWHb2doYHRqyp/0iZk1Cy2nu
/qv3+xss7buVqE8NTU0Bb5+DS2BbZpHilD13ew7Bb8kcvkV7/fvrYH0DwH9/DQy+kRUt6aGBYrzj
oc57GGvpVlky/Bw06HPLZBnx1taLVxZB+KEXKI6TSQdVZi4zLEoOdoHbhP4ygmrNWxVcgrCHdJbN
eDJDdVvaQDzSrvzcOCre//7O/Krl9W2YfPexozIgzzCj3wMFvvOIsnO2+ZCO+79s2EsnbxtLfJ7c
2jpns+0cIBr1UHtAfVTsjW8tQ03XSGR59QJbPdiRQ1h4q4yr33+8X0yb33ho3306N5wWe1Hc1MCt
5J0SPWILaqVbUy342xppH35/nV9Mm98qqN9dJw11eBTClH6k5lvidko/VW2/IbU32PAQ/SXE1fD7
S/3qK71aCXJ36I2mNANfb6bhTHRtu+WsOO5NV8d3iNnjr1v3HwF7/g8RF8PXpuubr/8gwKn9x74v
vnzqiEN6zfn5fxB2Ya6F+l/TLh6waC9fmxV48T3D59tP/SudSf+DWEUC5/Dk/oXj+Rt04fyhHAJW
IVwIoTuE3/Ec/4XwseUfrk4aojIJQgEqvE6l/0L42A50H0eQkuiYq9cfwfx/gPBxv6EY/mdSkToM
IUEYHSnvawar/lqGjlozhABomhvTXqLn1IZuqeOTpTVhJxwI9Vqnz58iNhzMLtwM+Np2xqjJW1yK
wRE6hg7ymeAL2wjZc7Zd9RBZ08eq7ckowdRyg+dJXaVaFp7VXAwXDCBltjORel/WmXgTL8K+UGIF
pUx5uAoVxaxiaIfTFMNxc9Ow9YRWrRMZm+0rx9J6vw9Eekpom++Ntlw+TDIxdtPgUGstVTlfhaTi
XhnJ9FBgc7hM/DQrdGMpfi07gLANm+cOga+3plntzaq6o8RegN0pmp3MqAFstTwKfTlD18xaixAU
kjFhgc7K2DRR7Pi1aYHjwSgz3SWVDtWa7KttqEoyD2xgepadVCfZdaOfhYW1z005fB6zqd+zffra
tLHp6WWM/Rzk05ZozeQkMiyIo4YuXrOa4WK04XAyshpbG0FZ7D0GU+beSMEeJb8VdltMGdGzXsza
i6kt3c7Ak0sPIKMMasTzaUJg022kMWkflsYw4Vgm8tB1FuWKUtTqQ2h06QlPf/XQ9oSQz/aAbbNN
M3xOqJvSYthjE+lgzPczsquiODKLE+tQFJbfNTp+0byqnsamXbZ944SX0FrkVRs5tUMHpR0OJGG0
UObjzLkqJaxNLDY0T1OlXVtUPdVG5KUPrSLZzWWi9ZvYyjGeLhoNyhpi0Kacq3bXO86fZViLq6Gh
A7IE5XK3DLZzZ1LHRAqRu8eyt5Tv1lrjK+piVxT1iN6wUnES2Mz39GqLgxxzdxPyUJ/MTBt3QWuk
e8M0TL8u2rWAipvVcQM4pZZmPCJZQYZkY7s1kc6wN1+CTTVBw2wig47MUgC0r3xSG+XLKCV/qywd
bl2m7+Qk3ysMu/uxEyVg6gBKMRz2kw2D91K0FK6JXyODR8bs+oJs2KS5I4+4G/NjlNfdoVKQjsWo
/Bz1+zuSSNxHW8CgHZVhaFulw9XIROZ6XS8Gj6hB+7nMenYyHaYAzCErahqZfLLRW2i8OS5lYtXa
xHhGbrT4M+D1zygHADGFlklRczTNXVtNxtFtKZRjj40jP8yagD8cFugCdKy5WJBvY+kEWzVXGZ7m
1PJ6dBvQY3iWBAkI06BpNYoe0vz00WxoAWDGm14KM3Ieh2X8mGropDMjs66NBnNJOCCYpiPnW8B9
bii5BV5LPdCnvDh4ZRXp+yLnFnWDMC51jckQu2d1EJNiX8pAwyPSOlEkN9Wc9TBvWbHJt9FdROz9
s0Zg6JNJLWUXDPa4b8ucVALoC4UGoA6jn74VRvpcuq3ujbYM3vOq9uckcbO7PJreyQBEce9olifM
dTQuOayJyU7uszhLkfdNFJDjFBBp3wc7O+1cGnjj1F/XyrR7T5UJhwQKsuk7akcT7tKxv+msQX6t
p8i4mikbb3Oc6riDzS7eWjU69q0x6d05t/VJ88ZQMy8mhw+AVOHYgv4QqriO0jq5iqIVtKynjV/C
Nt4E/fKChW++RDAVvtSyBK1m52L2q6qNMJGLad+uoQ5st9VXlL3aTvH7fC2du1OR5eOVmVLyygx2
jVn6lMJurWh+JI3cOFqfjye3p8l1wxnOwtRe9+n7mlf9upS6nmwTrVjuSq24uCGwSMsNTWDOJuJw
E/9OtiXynBEqobFPpbArAhTCwo8CwkTwb00e6020iXPthGRjhIQcYy12mO6IF66WXTyYmefG2rus
78QVXLfk0ezFPlejew7HBhQ1m5ldZzJ00zJK/EkEu4BNJam3mgpXlll/Dime0Xmxbd+sOhhx6fDZ
qukBqz7Jj1Y/q72B15kkIUYQyhQQE7JVWyfLiNxukuUSi4RI8TgnTK+NAZQVn0XafMja/CgVwvgs
u7b16EEQfhcjZ036vSgEASWmYfRbYO7VoUurT0NgzRfk9eGZXi8f1rKagx5nINGtzqq2BHQah2ph
puS4dz2r3nrGbAr7LbPzE4VdLBMTpfA0lvNH+pRkM8xiWhFoGXBonK4beyk/mBkpPxjeiRC5cTsm
qGZovnRN3ew7mP9YoyuP2WLcJynBCItGV4YN/nDMnPaqk4DOZtu9+5Y1a2rjSzFqwfuO0/yOcnwM
in9ZWLYR+EOkSXaxS1l3m0a9fQwS1kbNctV9GJjhDSwde4dI173LshiPQZ+eewAzaI1YgBEBa2N+
sKnYP+AhTD/lEHuTTeaG9LjiODgOY1H7bexMzHZ99n4O0unUcEj0XXB3W72Ng23gyvK5r+CD7BKj
J9VKluJomJX1EhhVtTdEgUl06Sx55cyt86WkKHSjyKa+a6qIY5DGR72xwxQpkGhPppvMYM7D4F05
YGC6iss6IyI8+GyMY3aiR7BsRTndhbANHzQiMf1xWso9p0UHFkIljyqNR46rTvShnmMaEnVlaR8w
dVfHwgmmwtML5yhrVhfmZZc/HMdnYOq7pHSmK8ecxE1Kq3XchplR3XHckJ+IY78dDPzye7ZVi4Ek
ui0uPGI8fp2ci9txmft3Vqq/b0veqMltQ/rPeIk3Cw4IIK7ZvmwqEOp5bz2BDQBrUg8O4WZsPeUm
tfV6VzdsIlaCQLYD8SOeq9hlHYRMcEXTKLgIM6uuoyYZ7puwnY5Gm9a7SKPbM+fuXOE9Sli9Ce37
zGfMcFHrk8u6ggDhGnWMcRVGroYwAXpga3f0v9eI7jAPzkskAIRmmgWJz8zSiR5QHm37Olj2NOOh
C1XFoRzyywjGHkBupsLTYMtyqw0RbUDszmTuoJHwJMrADUKZNPDGoLc/dq7jprTS0IwXiZHSkhfy
C+JPcgcKNV9j3I44P7nLaWqMhuRgt2cJMWZzMxjuBIuAQPOhxo0OjgdiKjFSiXOIEmGBecwC46NL
zEe3CV1jJCAgd0GdhiH8QFd7SKOJiasMyGfoRlG9W5qk/sBplaiVzB2Dr5lV98ZDFBQTztmKPhUl
KivYLrH8CBdhoeU8xba5L0IkMa0kuMoRCdkwZftnY2l/lngTH0YVuFTPBDJ5ln0IB+jgPymr6vSd
niU1APdOXTe2hLJv5e67RdBHITpZ107SNHzDjYip7qLyga4YpRWODPt6SJd7J2Go1C5ikW4ctknf
NXt9JqyQvVbYgeE1852NvW3f8cBvHE28t9lL7uH/BPs8lJG3QKD66uaLBIptWsd+ZiWVqyeBLmrl
8STqw0T39gmrwhrQ8RG2EzCAoCA1QufZyDg9F4qdGHpgtqqOb+QfZJHGGxnHZ9tZHsJGdAD1tOFT
0jnXSdo1t22WkvMz2HeNXe8zUV03TfQVeYKHaPa+1hU2g+U+nuzPVmr6a57kYSwX8wzu53F0iUbK
5C12FsObZiLdFhQvskCk39Z0Hu1IHJtQsPZMIRwPaabbxmFPP+pwAiLfnLPlZUqCiGlznNmiqS5J
9kEk2vt5qg3CmuJyrI5JX+baXSk7Gm9aGn+W7GDvTM3qHqVh05SPOoKmC3MO77SQMGupZzQAJeLZ
ZbIIO8kRHyC8XHY90ZSnFCOuh0BruVFoI/SNoLDJNjcOxJWLEVOw6oUwE0JtvCN9BruxymiBRYK2
cdjzV4KRHqQxX3SCrw+tSlCeVgunhShjdc11GyoOcYS3cikFZsK+I9EoG+Kvut2EHLlKHPUwI66j
IKTtLWPn1jYb1NxVnAMIMQiYcDkv+j27nCme/CxrQZ7JDDxn1Nc5aqO18WvZGbNwXiFmhqTtZeTc
xMQxxmcnZv5h7bWIxCHRm05eOF3yzoYNGj+L0uZGtMWkHYsZLYWZC78JejKZ+hxjVTMnxm01s7gm
pnufLV2xK/rnIkcAMMj+IY8X3QM6kR+EFTR71y2JnnXkqci78RTh2PLHJhvuANafCca7FXW/eK0I
6/c6gNb7Op0xj5go74vZjC6iXiLPHolRkgnG0SaR4dExkeyUulq8mS34jYxd8xIZE5bJnHgrJ0O+
haC1vktyhvdijuOxb6HWTvN0od1zJ53BONvdqB3HaskuwQwtTdcLBYUumvN038VDfr900xcQMMZh
7PVxNxuaWW5mK4zYcfdacXZ47cZN0NK8j6MpfpImRI8yDNW9MY/p+36CkOpBSgltbxz19rGhg8zx
IVf2+gtyeUYUwR9pHOLJMwuiZkRReXOjFqLAmBG0BUhlGOW4lO3iObRsdW1oNqNtCLXh7BSx2yIp
0p6b0k1AloDUaIOMgDajXE7LsHBgzaxD6lbFbT00kmNkEt4uY6A8Zrj83nGWbh81+rKtRSW3eSGm
l2Ywll3SaQy7Wa/qL1WVl++dDjDBppuYhzYhJQa7jOE6jE5gvZtql5yTRKQPQz3ru1E6zr5bmuw4
ySW9oNV/ZDCw+em7WT8tWlvnXlPZ+bactPoInij2pD6XrM8JzxcLUk+Q42Cv3yVCvjtNN/ncuQ9N
WLEnNOPWfUYmVV+1IzSjDRuMS29JfWs18/zoLk61lf2kvQTLTNcaoOCfRifcZwHl+Jjq7fT4z9Kh
29UplwhbALfr29VuoyqwDo4aDUjC+ifDTcarf/YyWRIKHQ4RNmqASqmKzUy68HWViOsk7lEGCRWy
W4jp68vk2oCqfPutKvUfler+b9jaPwBr/a/lmlDe/v9Qvlutjb8u3z09/ONdjKO7+Bmt1lx/9l+4
WmH/4fCAePy2S5Ed/OzfVTxNOH/gUrClkpawTNdYCR1/k7jdP2wDBqiyV331Wq7732U8Q/4hJOxs
BflWmsL5z8p4P/Y2HId90BohAR9LuDB1nVedF82lTxoWZrAegPZmTFycG3jf3ZifsFx/bJH++yVe
tdzRopAkMXIJBKsXs5r8uNI8MaiH31/mx9r135cRikokRU7z34TFcJHCTtc56QEvKe38XJbzLnXU
O63s32iYGj+7liHW4qyhSxuR94/9KuWUDdvwGQzKMFxFRncFNXWTGjrhDTOFonQbW8NVOYe+HaWn
OJ+v6QEe5tA6rHdXjTOYf/HG1/+xi//X1zek0A3Kvw6fjeLz98IGI7GNrFzQA5aRdo9W5RCh6U2N
/ipcH2zjPoXZ9AZ99K1LrmPruwaFbYYzBWLyQHI9fE9d8Z4Asu1UEAnZEzAJMdGZ3lKG/Gy4fv8t
17H23SU70hqcpuZbVpzDEz06RQikfz+OXrVB/7qTVMlNXgzpWlSlfrwG3pOhpMvLww3KW/CvHwnA
OGhcC8zxReRUnUV/1XYJKV7lLZDqt67PXPEdyuKv60vdMRx8obCtXr+Sje30Zpo24L2Gj5Xd3CwA
deYWqnShzm4Qn+YwPiWOuh+RkXLof4rat8KBX5k3//URbMHxXBqmLl+jLBRYyNBCHw7XKdyLJflg
Nvm5Ajts6O5TQQWGA88qB+QQZ51swwQ1ZcYnTha73gi8ou63IRrGhBePoXDOVH+VsnINOhTgatw4
ffnXIsXaEX4lqyebw7L4Hhe9vm//04r4+/PyzEgScHgtXz2yGk2UsCk441ERFxxc20wLPRt/gTWq
B+Kir5TtXFBcvvx+qPxsZnN1QtYdE3Q4vZgfRwqoQF64EbheVYwvqslvq3LwGhHd//4y38xnr78e
nTbTkqZtsCy8mqQtDppB0yUB2ZOPZVrdFqCUNvlieRUYRD1xTrCHTjVHUD3VzusUk1BcU7N2Nmd1
HovsrioWhCqEa8aI2GVIhMHo5VQrsNJFpM8zH80TWWPhXiuzA8mnaK6XnSA4dGTs6ZN1glPpcfGZ
SNfffzcE0z95di4lQdeWxGbpr1+3JXLdVOskeUqGeoxkfmvCmQgddRFtsAOttZO64ChvDfsl7o6T
QI6KSLFH1ary5JRYNgnV8YdpGjeZTYiCgy5zuiFAYjtp9raah71NMX3Q5ohUzdGTTX4o5LDPGosZ
UhyWJbmfsYEMTYlmWvNkyrHZACKDsH0yB28iOpLWj1/kMJXcwVvvpB4nW3yOV/x38v/GF9mO3lQ7
FNcdYsvIvlLjtVPXNwGHXGpqWJ2PwFXPs0kC/RTdz6MNqYqtNVGTPVRZcinD/KzkgG6edMc6+TC5
obde0M7LW97ycz+HW9na1yEevE5kVJW6q1y6X0ZL27ft5NcxCPmIOIzJPGlId4Nl2aGAOhRzv3f0
5pNpx2isilvkzTn00ebGMUzqsrM/iMgHLXoFBc+n3PWwqPqTVlkWCQ7TtTny2truu9yI72Xa3cR1
5qAJSR8HJJZw2bLbRNkHZYco1iKvD7sb19WIlI+/gBCHNLn4ZRh7WYWPR5rv44QnKtx3ybouODah
FYpj9Vb0ief4jnVJiZwbmDzWiaQUf0bc23XeXe91NVd7q/Ds+qMrRLWNC/6T5XyZgEkXdQAbfpkO
UlT3KJ7PTZCRhicftHG8ymJt3xTaef1d5bD44YJ4MY1OMqKT0GXnaQhP+Qi6WDqz32v2Y8z3GMLo
1NbA5wC759ryFMAMEg4DT1uOVjxcurDfanZ2rtTkw7M8JwUJuJq6W2cdLdb90LAubkaFAERvTdUo
TLEt9NH9WAzlBvxrsW3G6QXBPzKrYf1nU2mIB6a2P6KdfXAc8dRiSiAvYGLCZICMRn5Oat2vevTF
kveWWMe2Ju80gLZEpp7WjfsipR3oUB2QIFowmBjtvKswoGWDs2nGBU0jN1aKYxz29+h5tm7d3Lg8
OIgvOwvnY1jnu2LkZ0IGoRw7YDnG57bIqanpI1J86N6tfVofdcQBLBZsrFztnTZ0x9EePaOmyENV
IKtDvy21vR1Oe9q9lHkV43joj90Y3rM5PqXzgp8k+DYGOsFKZod/zhAqahNoX7TspBk+iIgDGNCH
dWEV5qNLubw0kpNjjJS9I79ZH024wj7jDy1gapuTdM44wdZ3cIzgKTenN2aon03ySpiE1OjCkjTe
f5zkl6amj9aZahWI3Ui3I1l48lGXvbHsm+ti8XqSV5TBpcEOlnrkq60NMmYsT65Su1Glf1IgJKAk
3IRZeZs586417FM854e+oMwxl71Xa8VtWoTP65qqO8H7aGAktVN+L9zuvZyyc6A724T4lt9P16/C
/v5aaRU+TLZGLhtt69U2k35wVOSBq3YaLtpNZei099TyeXRQvJnWaeLfsD1PhuhfFsu8cFL3ZYKY
OiyT7Rsf5Wf7JMQHAKPZKBnCXv//d3tBk1pARlq22pEfcx93NECL5aVPZ7/LEYfJzjOt7gqh9qdY
YipEllPYmvf7z/DTsfHdR3h1N6Yh13Ks9GrnWNO1rENiIMvqU9LKx99f52eDA8EFeU44/SGQvsYu
D+jUASui4VrG7APigYuQmsex7tAt6ts7UgyBB4Z51zMN1RYyy+bGVtreYhZS5JtqdA6gvp7LJj7l
Pa9t1L+hhvrZtpn12zCFFIxg87UsSoRrBEJjqF1fhiCj6Do3TDwa0djgdkU27A0auL2mnrTQijY5
y9vv79FPzmRrqotDZcdGAfPavKcl0orqSVe73Pg4tZHnBuZnykPElL91/PvJuUfqrmVgB7XZlr0m
MkAhlWWa1WpnJkcaKp5IzF1CTb4yZ9+qbGbkj7//aqh9/n1y4JKQgki34Rt+20R9N9bhoU45aBq1
q2w2YiwcaB226PL260YXuUa0oZ+ESpzGOKfOeAmxt7jwVsndWEfEzKHMrp3TbI0UKYd9vphAK7OD
ENl5Uc6pXZpj24XPSzztAdb4PR32ehy8RMDy5GdWM65kF0SB+eKK/JzTe61y7QHvj5fU7Y0xYz5z
1TlOWfwi59Q1w5bcFErW8aklg9ZukrscQLccnEMtko8zp6p5ku/0rD43fOj15wFK7meqb11lAWGw
T27pbCy3p//OGjdFz+tuDHuqV7T9lUOKCEDI41CElylJtkbf3dhz4A3sAufFPhk6vUGO2etb0iv+
f9vc6MyYKrMP62ZpHPst/cfn0NZ2WsmJpUvINU//BEB+sDgr2/10Dxj7ti8m9LbJsAeZCaQccSz7
4HWnJVlsu2FgdcsOQaR5ka7dozki8j30We1O4Nc/22Z3tYQoEZm/58Y+BSZN2uAekqXHjveqVSlr
NN7jdSsSDO7ZSkDJThcRFR8NfKaBFiNgDt7pLVtw4Z4pQ2AXAKXMc0AWuW0rRoEiI4bdZ82uV5YE
J3bqPOPpyZroNKLGWe/h0NU3eh7eky6xNUySG/i5eGFjyIqqT85hmKyLpvhn1B7GGm4x969M+qvc
fWyGmZMecmfV7zudJCMWfETQuyVI71LUWEqo+0Uqr+nYP2UgpvXZXzcydqLeuXZubkRgXdo1wSWU
TwHnEUwuNxKgDnSbKztlwaeHvo61cDUNpfkZKPq1k98sMrlPEJ0W7UdhOKRo57drzcgN2FY5hBZW
FmDk4VjN0cliFepsytQo+5c53obleFVwOC2d9K7gwIprzt1pJByH/HA0JGySq+hhrYWsY0RMs48J
ZzeMTE+MwXWJzcHFzjI9z+3i23rOeB09ZXdHwezaIavpyGRDvOI3ERodnk2j9Z7IxVZG2oMsuUEa
x844OzhTStIYO7nxkVf66fczwiv7POswwj9BPdGSLlI/IV8dPQmzSnq+u+LWag/reQBlydXCrnId
BkViH/DnPki5+CQB+MiJNgjZ3jiW/tuEy0egaCmoGpJOTRzXj+tvSSe60a1J7da+1ECkXQZgPnCy
w5x3b6z1nHRfT4BrMUZgOcYrJ0D1v/q+RqG0otCIy7Sd5KQt2LWiuYOD3kb3Ul921sI2vrXTO82J
vJp5OKmNd3U0fazr6B6jHfBPyzwFlXYekDpwkNlo0/gi7BjLYyjQ83PkZG4wEpameWCnjlHnnKQx
vs8Mi5+7bnPWm8shDYah38fOwZg5FCDRd80RSRIqOopdi/hf1J3JjuTItl3/RXNekMZ+oIHoTXh4
eHj02U2IiGxo7Ekz9l+vxbxPUqVXvgwVBAHSoAoFFDK9M5odO2fvtanCpmW68poZmIETMzdFJxz3
NyHlb+3bt3VuH12b/pGfPnL/eNQ8OiW+X+SLV2oeY0aCzPQCWO5wtG8ZDlfbVHq4sn2EczL5mAWL
jDxvOVfWfB679QZasEfZopuiqWIXXMqTo7CAd/ITiVJMHev7TpExgVV4R6zfFDXsl4x82GNZqxUX
RxE/Kit+MnMvQt6BRGv4+ek7UguLyngyOGw3opSPvUhENINadZzuzWDSOk+eHeWBfWBYdB94/fXA
42vQitCJ8ZhnBKsaQ/wEyH9jMfWOktY4oWj+iNRpl3JzrAZmTDHoPXaCY4KSBgnJMQ6q+87lUocy
8Eiyw1FU3IHrYY9gYdroJHmEuL9nR7ZzzrouOBkifMp5TVpmDxYCOHMpTq1pk79t3qJWoxMU7tbn
QtvAUSvnwIRkyzI7zlz2bY9HlHtG7w77rpHHJhv3uUoe120WHceLNVaR36HXUUpFTmNsf/7lYXZI
GahFCNQ3PspWt8UWKTgUF3XwGElHvc5xCndPonHXIzjb0N7/5ntdsu0DoqOlRhsgW/vAADxAB5YT
ffijL/wm0g0/rhPLY2EQl6Knsx3MW4ZeG21Wr3kePKWqPxNP/uCxt/hdfVov3hmb8sJFqjG7N7yq
QWQQbxvlBvJ9lG8PXed/QHf1qJmNtmzOu7Av2bCC8j7R8ct6xZZZkW8mP93At0cZW24JMNjgO981
cbLz0If2tbvpx3EXNNytYcySMnVtck+Owv6LRw7FWm8XFjonjz0zMpf4prbsIy3/I+qJZ9h6MsLb
dUZf5JLj5lebrCUH0g6yz2E1yL2dldueEcnNetKrKnmndv7NzgECkJo5pCY0/9ar72hvlbM2kSWE
I9URXyYHr7c+gk51yulO/Hln/vvLIcemRc0DTeOTm9Kvu6KZenKyu4oLUtHfrPUJ+ZW7oKpe15Xe
TOM7L/ebg8Ch+xgEFrcyh38uWp9Eh9IUcUZ/1RIdCi7YCg8SOfbmFT2bTWrlX8wZgFyQn1JZYmns
sYRnDz8/8z+aEf7vyfn/TyaJ/w9q/K3VE/SfDwk5B6rvrwankH7t/6ry//nn/ldUL8II2yOV0hWI
ekP3fw4Iier1LWZ8JkJ7/sNfy/7/MSAU/6LVHVj0TVH0AhThkvI/onrNfzH+8gVLXVgB4O9/oPK/
WM08ddytsR8waWQZEY3562pGqjnTlMvuEgZWM9I4rNORgot4FfOHWM6GejELZRnv3OUu7Lncb3hd
9CIYHAIkvualcamkWYbSM70j6NaxanQSiJ3Kjp7IeCLK5btTiJ2OUdeHdv7pL7/Qb0YJv3tpYZOg
RafaNEPvsg8zx35bjPTHhhTt2yi9vt9Nle3sEcxYHbcoXya3szVqanVg2+CXvHFk3qdEsn/nnazd
g790hNYvgZss9g/mvzYywovuwoii33NmeZdWiRQoR9HgUWshK43GBRhdFOjFUtvCq6y3sVbaj7Ky
jaHvwT5GO2oH8gZ1MgR0D2jUu1HmF+2qn29OoG9n/IFdGmDtrytD1mNrDcI4I86QChN4PP+QWW+t
5KEAR4QzqPJlnjr4+QhnbAlPoJvsiASn93IbL67GP9+Ig3yPH82ibrzkBLkzNw1ZJ3cmi+INlkb9
hnHEI2hsSo+FVVofB5Tz90bY1h+AJyfvVKY8nH/7jWjZMXZea3HfvahLkU1pz9XhOUuU/JASAPQm
bCH3SSeSqz8vh/VRu1wNiAECn4dCUPOvj+pfWgBeIC23ToxzW7vFx1hK+SDG8P7Pr/G7T8P8LHQZ
xgSMHi8e96F2kzqJ7TPm/gadWzK9TIlp7rq2617+/Eq/+zSMzlzYbgETxsvmXd6jujXm/G7iIXps
tdfeQbpw/pH/++cu4gT4YZia+a5HwM+vX1mfu7nQRXrHZAkVV+vK8trEavNIvMT8Tvvrd58ndHlG
eVW25MtntR7H2AKkfueopd8NnUzUpkx6NGr//GsLfc9nW6cJiM7h10/UoR3wyRS+8zFWPYOPTU46
JZXpzy9y2cpbHykkBAL4Ab1G9p/15veXpTY2NXCSQN7hNxLGtoXpW+2rGPm75fiKa0XZPY1icc1t
NSGy3+ksKIONauCNELtm8Zj/+f385rt1SXpmDE2fw8QQ9+vbWeCbuWURnHVXqes8WcwD2OJp9+cX
ubjN/vzMVIhUUsJ3HCxtv75IUxbs5q11FgK/VAYzCmR09VEW+dsUqndY8b/5QAwUhOOi18DIdwmh
QA5ahqE7nccY/arfxzPTusR97/i4aFOunwhbCsvEYTRNr/Ji9WegNELsSWdCJ8Tx3zFiiN3pjAeA
jBzMeW0snJ2o6WcRyp65n1yUwjvlZPZp6Y0YAFkRP7dtlz3h6iM8XZkKySUJA49uH1bv7G7rm7nY
3djCV3eisCF8XE6BnV40rRDi7All3C310Lx55Geh7SS+rJxBspij6b7TwPjNyfHLa4pff/JOAqDI
OuecCd7TBmPLtJHTVN40AWwoaTdeHJFs5zNOc4v55GnP+Hfd/J/KFn63DrhrurT2fypNLp6zvtFh
yqZy9mPM1YOh9O1EzNk7i+1yZPNzHVBNWR7+AIGpcH0Xf3maIRe2VtWZXCZ54snQqUUPOMoi3Uks
WFXcUsvPTV64n8HKOTNyZKfSG+UFTFwz0yBskSGLQYZAabyHkb/UUf18azx0zNYQT1DIrkv4L29t
IXq6CVvnzDoOsE7X8tHq0uINz47YLblKP7T2WG0trQH/cIxPnyCTWjsJHZv/CsP7wTGqK1UDWqp6
dzkVSHrf2XB/VpqXCzOkwvmpT/Cd4GKRDNDaRh2a5z7NLCbHtUBckg/DUQ/aOeDXSJ96gHKfvWqq
b5Qa04+27ug7pq0mRq6gut95iRLXU1PlSI6N5vnP29bvlhBTQ5sJJdUiR92v36DX9HpVEZ1pcVZX
es3ZyXLMDH9+kd/sjb4QJjUBmiCuFBc7STJbCe3E4UxW/ZBv286RL6WZeXhw4w7sP+KG6z+/4O9O
IB9jM5+IRYsUay1U/rIwmmUYUflokJJ9d4PzVGx0njlflDeKe+JGpjAi/ISG1WyO1q2TWtPBcc3h
KQZ0/97p87sPz2WGB4iBp4WO89e3Urde7cWeOrvkLO7cfERcTYqYqCzwl+Y7h9DvnlUautx7aB8g
i7y8fHSVsONc6nOphLvB9AKZWOHSiGNJPdYu/rVTxfkWmTVe0nGVYcBhIhgUu1pnbJa5Yzyi1Ht8
mN8cJLwpHtbVV27S1vj1G1Cd8lVqqPMouVeUwvoMGOT7GJhvcR1uvGW50r793uH1m3XNrF3YHI6h
6eCK+/U18ybwtFs3Z3t0cGfBp0a94zCJsMBk1Y7F94CQrJ/FaSqWj8a6h9r9gzt3u86qvyRrPfLn
Ffnb97NuUjwELpXI5U5lB+0QdtU5XBK1qnkqUJfue+nff38RtGsOZ9LP6sC5zOwyKgiQqm7PJTEJ
L9ie9bNF+Os//iQh01HB4oI9FqBM/vWbra25KFt3PEOuVF/tEUv84ubNO7/f+nz+umvyIoFj8wzD
QGbL+PVFKiOsST4CZ2mO4qnplu4aTRKpp9ngEtzx55/mAhOylvlcWJBmrBoyl93pYq0gQs1oHaoz
mLBqBljtJA84NtMPtp6mZTdOOLpEk9kvZlz21xO3mteZienRMXOe43lpt5UOjX4L2hP0QNbFJE2S
YJHvtK2bcfvOm728N696bsY1iAboDfKuL7aT3HXjmbSAM7zE2MZqBSFwa4ZDeoPyJ602tKzTckM8
DLk03qgN/t0RU5Zobn3/cCGs74SLBI9ZSJMnvKRx5QS3BbKdzxBGlw11ar5dzPS9ZK/LhbDeWC0L
NavDlkaL66J2nyEfGkimziOsZZRP2XjrmRP00Cp7R4z8tyPj5yut92JKHKQ6wcUr0aWyCPBoz16p
nOKKzop/TMfQ3qcaq4s5e/4VAXUPio7zfeWOxvcubMOj6Dzz8zu/8PoA/XXtX7yR8OIXTv0Eakvd
nVNH61uOFUwvSOnuUUrftobj7dpkli8FEbVFPy/HJmG4MQeThYQtEcWmFtiv3/ml14/+p3d08YBM
ZBtnKlbnZTTMlkaS9S2Gy/gwjngI43xN6bQcd5fnEit40/7TXW39PtD4IyZGlC9oX/y6F/S4g5iX
6bNfYpcM2k5sUu2W72w4v/uI61YTUis4qwfg1xeJFwf64dKekxl1svSc6orTvIqWzNoHZS0/tVPS
XE3NmnEvU/OdF//bsb1+RNuiw0DblV5DcPGTF0aVLWQjnbUOzC6awCWcSj0vTwF61usAKMLJUAaU
TRFaE1qkoKxQceGr/O4OlUIEKceFZGertsL39sbfLUak5DzjXJ6RDl1sxHZWdS6UW+44SXizDCXt
wHQgYmJDivingWB0nI7mfAAa+TqFqD16uJn7IIY0m4v+VBNQ8/rO43F501u/q9XxEWJpx6pwmc7W
DWVQe3Z37obZgNAJ+OOzlWo/2CwUoIwmq3C8rdtZt7uJ/lGKmbarcJISIqM3XinHO6NJQ9JwnABx
owFi4SpLZxtScoFI+eiUbf79nXe8Ph6Xjw9bNpsl2yRV0MXOwqFiwsUrz4NfJcvOzh1PbgJzCYiF
BzZM3HneGfQ/Eg3pO9Rmd0+Srv/dXkYuzfykQCT//IYuy4T1G1z740jdXTNgC/91rauiZ2Y9NFjw
2iXdNDgCrzyr6N+LX/3tjhr6YWBxYFGVXCYM4tmvMijkfG67Ys7dluotr6GA7JJ2tWK2tb1EeCGW
lmiiHDpdoUr37BV+LTamnf/jVisfO3TwKlkCYvt6kf31YwedSsQShLc6QNWeVE7xMFhSfkmXZnz6
x18wPC0bhQVbCv9cPM7og50cGsZtDYL7msx2bzflDK///CLr271YVbQmbRvhIjuu7axP7l+uOD7V
etyL4LZR0ALjGBZmRYv5Ic8bYqtDqNyHP7/e33fIEAEZwyIKM0ERe/F61RIPCA2GW0hC+pOpgF5s
lmok7X4EOFJFtgmn44aeJQJb2xrnbygKsfP8+T2w51x+aqo0plUMJblLh0xYfv3U3LBIeu+bW1sC
jdrk49AmO5spxadJLeEn1+7GF6o9ZhkyLzo0VM4wrqR4yBz3E40uOEwJPLfbrIwh5pB2RzzlEsuw
vy7DZMmvBI5TA+eu9pfj3GJBNXqbcXuIm11GvXJ7ssUXooyhendIgJYmf0Kk3X5leACXwDWtstno
JWDcT06ag+N9IqZ855a+8dZXff4wpIpYTMkp+bXTZnKux2n+6noaYy2MCA3FIC38AyTQ2b5OynzS
t52HKG3fkv75de7swth0tE6zbW2X/aN20ERuEKWhlQZaEfd700/6mfgokX/zKwF4fxws47FdICqB
0dJELEO7wEWa1ePnpoI+vk2BOYEPzBEkbv3Btr9YdiKg8hou47FkWYK7NLVJaebF8bDXOIv7I5HY
oL3Dye4PHQJZYgpAZhIGPbfYm2qu1uxiV2ETWs1uDIhXg/2o0iD92uUm3mBNmKizlcrhLOESOldo
MQJjhkylArKMhzoPIwBCMkd0lBIQsAr5Tc8gCdTug4NyMATexoEngc+HWMX3MaLQ6R4pQHBlA8iH
lE1CaH/Qdmz9qGDej9vOHmETDEteASeIiWvEIM2OHAXNWCYrn3A5k6YERplyroWEXjOY3yqvmPgB
8wINHAyQugCiOhb9NnOc/FkMLqjocCAtIYJhXRXbeOQqik7Bc9ud3SVzFg2aX2e7hIl6IKyJI1N4
hXjwxkJYZ0fjK46GmHC9Telqq9gtuu/VweLH/ZxnmjjeTgDVjAxZVvEK8mF4iSJA4omHVvgdrnvC
lciYvtS9KJZjZdaQjRKgPV9rUt+Wc5vOVUmQlt8V2EO6+okgRPJVgbEQoI4K27I2IIvd+7kT+WOy
tKwgcy6ITuzbBi9iHE5+CNw0JBibQSqrOowbjUNZB2MdQVQkRaSeK2DloIsG4vgaGq+bYZohBPWj
hTcjCeNS7WRpOPZJFH3Wb5s6S16dTqK/SezKR9gzT8/2LLxy76SZHPZMx4BfTNmUP5uTDjgSzTyV
G+6xw/0Qj8MDgcLCxk1fy3KXTqH45uVTY+3VEIpduaAJ9F0b6BrWkagYB30gvVHa17HLX7Npw5gs
BeLVXxDiWSVsIyWf07ayTmg/jJvWSyRiHW2hoCmDpveuYQ91zx0KybupA2keQZhna2tpKH3ozKBC
0zTJEFT/MjrsIUmrk1VcO/X/rsD+L2gj7prv1VOnvn/vYB3+f+CQ5gD5z6UP/+1HIl+rVHev1V+F
D/yZf8sefOdfHOfU6sRjWGufhyIHXn/3X/+LZ/6LWYWL8xCzNBqAtdXyH6IHG1f0ChpEd8hYfG2P
/IfkQYT/WsdD1EVWYP/7f/0D0QMn4q+H5TqFQGUdmKHlU24gvbi4MfVNYmrXMOKdBXz3BBzo+ywT
G/3XeHLQ420KdzwyGZHHuMZEBI3mc06zfE9JCgNxFjtLqfq29iYyRHTsuXujsthx+6TPibeITc5b
4qlCCsUejZUeUp9gjy4Zi/s8czXaa+m48BEt1Qo/p6U75bX46mrcoN9cNHw3y9Rr42MTijr52GRd
+WlgTHHbOf6b31v9Q1GVpKKwixfo/mQ5wlEz813Se6RlYFYYnI4mIq394EE6s+FZUT2ZVXM71jz0
OkJLEEZFF4zdKQzSYDmkcBL6GvEXkvL+2AQuThNVWMdBoo1z23HadEYKN2Qyt26sOaJSWlgGH91o
7RsZ919m5dXbvnQ4l8DbqKMzlCcNNYJQhoSg+GKqQQwL5V15FZA2orR3Uts3luwz8kTMVu+Htqvc
CKodeCkjrKxyN8Ru/UEvOkJdsNXaqjdWkiVGNDhzgwTNLk+Wl3LVqstpp0o0qlCOvbuyA2pkltaP
3pipIfT4hPPprGDVJGdCrQlUcE1ffVDKiVyny241fyXS0cUj1isOqHF3synlncgFSTlOIUEdzANt
yRbq4rhXQsJ6nGQnxbb00oFoIO1+MJQi8HJMEuod2xyXDdiYTSXEGOwJ6pjHD/Nsyac+xKyi5PiB
QAIYNF7vlHsLfOW+N53mxuVruzez5rpvsSMOzX1d9d1utqAiF1xJt7Bx9tagX8kKyyLX4vR2QQlR
2eZ6LwvyJIZw7CBqcb/k/mzdVX7fc+EX9ehByuq5N43Qqu6TIJFmZBCoMV43sphf2E+tNRq0OWvX
P8So5OtkXOSeFoeDL2spmni1eRSgy/qKAivN7AhK3ngbx8W16vIO2Y4DCOehKOWCvhKYSLkNAN4p
QmhGX23dDFfVxjHMCBmRjpwMZW7rLUirBQrZK20k1/00xl9CMUC0knpAi9kPZPXC4eSxxuTpmMsT
uKBSrYpecws2+Nki+fou64ckj9g06m9T46V7jbqJPkfl3NmAzfu4qjZWg+ZwSfpt13DprZyppWCB
pDaUP5DOXjVWfUya7oRFdFvm4ZtHx2yfN34XxSo8+VYafxilTDbhKPIoc2FCpmTXs4SqLtc8TGmT
bjPCkbsrKGJG+V3wRO1Z2PN07POsmTbLkh89AOJ7SRzMkwNJHtoR1fHtMjUhE0j2n/xYD+10j/EF
DqcBp4rEkKwaFtwVNXC6xDG300JgpSHM8pFWgv8E1+7kiYboKNTO87GHpEjFlN3UdqXbqG7Doo5k
7xFHk3qDa+/H2vE3s7bbYr/Utb4K0m6oVgQJmKgpW9SrCQ5ppZOGutwsekL25aSTe+wJ4ngw+wIF
staKLBnKRBFpExiZ6Fu4cg3JV8ZV57vW20AEbL73MT6WEC1rn1SmcN44iRPsM6NMfixw69js5m5b
EpBC4kXuPRhzIu2oNYofISOAT3jIe/DgqRyiXvZw8A2VjX4UgILb0bhNH0e/oMnRWSex5PK2zWVO
rJZtP+cFWVK+MZCuq4V9BaZTQYgLRmNTt2mV7wxk5NdLUYfmoQ2bLw5smCNqEXHjN3MyRz7FF5qm
qciuuiZ2aV0qZpL71i2AAYI7nKARSVS+Dem5xTi+EvgsqLK6ZM93yjJLi10NlwxXyoTGnEFGr/ZG
bqHZGJkLLpFbWMux7v3ynPlO8ynDS2xtVKivUMio7ZikaIrr4NkOyPLaTu6z4cXMfvCAlFR0k3pJ
HHFXNLBAjSE4eFlL7Sen4Aox7Cf2VwWv3R9OoTtuHHPI9YH22K1fei5twIJ2+sogAyk5R6pLMDCV
bdbt1QRUD3QmAEXP7U8EMqkbwxjv3FC25HCBPdIwAUWKPRYJondoyOl+IIaoOdpoUT4PeSZflh7c
SMRA/7Mdtg+9oQj7lgxsStW8sMBx+g7+g3DsBGiG8+ApC5zVItvbOHS/E9DzTfgjxEXfgD6dydg8
F1nmeVGI85KNoiTmBEG66pmQtTYZkoHzyBEVHNOq8Lcqcabb1mzK54r8NGTbQbmzaXueGkRArOAC
b/ISK18i8hDLa92o7YDJvdZWv3WbhV6oqjhyiaE5jjXQApG2886zBKEBjH2JnFZA4GAfcRVrjMXD
ob6ACQozaJt6PNUgIsypeYzJLQHGisSYHZZY6/hjW6FN3qZZyWZReURUMbkuGC5vWiJ9DkWaQuIy
4Jh/Wayheu5SrNRpJ6q7pRU16YjcneaIaDOFC6cPCwCEqnqO/TTjh5QLu2ZY5bp+MCwi+zK6Lzbo
1lZn8DG67HWGEMc9pbOlunJSf0bQkbJREbsB80yI/uvg88zunTZ0mUAQCPRh6YP0aFdetZvdjEpj
QMF/7Lr0zKicg2XRwMR8TYg4U5nTlCbZzh7laQp8A4q9lB2ngFsZkefr7nPuu9Bw1yFfsAcgX957
c287OwBRxW2Xl153Y1pManCvNqewFcNnP8kVgz0t4MDmGZQ34kj6Kt9mRfW1ykzwn4NNOAnE03wj
qrZ7XtKcoQK2xJOHpx5NJiVivrPpe8O4ypKrnCS2o9B2+Gz3E6DYICk9Tsei2mcclVUzTOmplfYj
7KuAe/FcynaX6DK8l+ifkn0aU65GYGWKt4RZNMJLz8pANy0NCUJ0+eNmQzicrMktKvkcuXAUCnPP
4i7TTehHN/hH6C6Qoom4Pelm/3tRDQ9xZnblBo+qP187DZXVll+wExHQqKb+4DR+w7hs0rXah4Rf
vop0NG+bfvLLyKEojcEKBGQNQiZM+wgvXDiRN2ZgXxkFN6VDxsQWLX6fGuN+Uh5U14Eogx+ZBVOP
vdP4kAL93c4spYOBgmDvUaDQQ+2qwd4zePXuBsFDG9j5Vk5ZcqIJEBx11nR7Ig8/KinVvrEENk82
U8KOrLCFIJRWpIGx0rb5BLGhyBoc8Y6X9fxUdfNxys042TCsm6yt45j32opPVS1gy9ZufBOTAL83
IChKwib6fLpamt4wtzDHTOKOStltZJySeAaPMymiVi3LtRfU6XHMpDA2AdF8XS9GaAc88lZafC9S
x0MKYYtzaiofqtow0qacmaNF9LrF2eQUfXP9NbhxKRjTlG1A5pImpazJmB5yp+dBmDHy2c6Nm1sC
DxW5S70N/mW2oWCEvfGkJjMFgean+kg43LTLMqDR5A9uqGLl10XOBzxtJI9PWn/wx4q78ZAF9huN
nvHQB7X1gx+2OZC+4V2Fo/HAlQNdQ1qlVUANDma18addbtghJiYL/66ccFMmA+TCF3buoD92MsbH
4ipsDSUZgJIjuoAZ0Ghvm+XJ+DYYZvpix0X5BWogQVU1rLt4KFxs5QBJr8PaLl6lneebzgRYTUSC
1Xwl6srK0Fy7P1ybAgYrWXvMjZ6u0JyotLlaJnyjp9722SmzNvEw9I9Z8WnBCv2tsMmuxzGVMX+r
xn4JrwMD254VG1a7homAGVzqPn+2vGWg2eSX65xOlH2FHxPfCbTAycNfirLQvZWu08MnADJrH1SW
VLshtImcnqvWqc4QCdtpk81sV5H06hqTTaAJpUamZj95WcOm4Vtl9b1iY7QovcPRxrlUiHaJ7LDD
HYaFo9l0ZRtuKghzw8bApbMVweS9ZUM53BdyTpy9HCn4oA7wiDFWBo6nlic6Rm7zBaMz5bXTqms2
ghFzVdg2/etCgKZ16NNkzk96wRnWl5mxMXtokr5y8/ahMNPpW+5LaOS4h6lC59hxnzvHpQmW975L
fjDONLGdp/kWMayjnzlGSkh0tGbjHWiWJ3D7RA92pCRiSRWThemtn9N52oGH0d9aBH/9nh7JXTg2
V9ihyxdTzfoTCvu62BhaBh9dMbCxZ4pkKY4JXLFwcvObOE7dt7KqbfJHw875TGZ41e3kOCBKzMu2
6vZoxPJNqdS9qn0eYlLrXsEU0+KnHn6YlnZlsXpdt9MJO8p2YAASRjaZqXotjGEVytAY3B1gwJy4
yLoBzGFydhHNZ/LTE0CVJ5uYQxV0asfg4FAvse1txNJ5/r4dM5zDVR9CIDTG3AHrl1jel2nQrbOj
61k0WyI3nQ8EsnoDNPhZ57tZVMCiUZ25D2Vec7TJZEp7HDCQI7yhS7xIqnR9UMuy/KFi14OPG2bW
CwWMIhfPGdYqKcmxqA3VOS4TNOWzH7SRBeHjo2eMBdesQcJjMh38dXnYuMVVmsUVRZxd7yvLhFaD
orLObl0uauF11mUW575uPPNTGBayhZzQGLdFmnjA8of4rEwD06ov0/oFsf+c7uekGx5AzXZvCgbZ
plns+Ieu2mGfWzOkz1CaFatlopgtVGPfFeZIpOFktXXCv/0GjyDQ6TPonnZ8dEen2CSWy4yxQbU7
AJ4xu2DXpXGV3fbhnLaUpD41ZCt1PdFZw660Id5vdnYyiGHRuMi84n3fzv3HqWnUIwyP3qMfO6YH
e2AP+FSHsRkfoQmPmoo+KOqtFNpRm8wVt+TCOo/EDB+LxMyvrIaiJvLaSdwPYTMkPANzr6+kS1EQ
zTMI4NsqjHE1LjY8W0tX6ccM+GV5RCJh5NcaQww1r8TnRMBpkpwYeXD9GRW8VFoonoVhblGpfAqK
Gfzb1AqPC5+TzkQpWaM3XhuD6U8HGidNdysXrmf3OsnCbGuEmVDHnnvW16RSY73PJWBbylxOMj02
3efQiXN8e73h3UxZIHYZq5VKvciMh1kW9BenwPA4COdHT3Gt6gMz3caOzc0wS52z8DPvmkaMvlcF
A4TAYKBWELD6CdlScqICCa5DritPyrLllyKZHGqGIrAiwLU1R6kdZyULjmFJFNTdgGtVTOM2F6U4
DY0FCrYs650nKn00w3m5I+GUe/+UnpG4jtvQUPzkbAfbqYpniVIqc7qDsCB4PBVN4fyQhFLaN3k7
FOUhzLAeJikuF/pUw2Bx20JUuK28xKvug47Ic0joWDrxPXak9YVvhj2WZs6+2uZfBtIOTqrlubvz
G8MtD2NqhCHZs1V/cOJgZ9rA4mhiPWVN/WQG/LSh+83oY/PjiFOQsUoLDZ7wbciraDT4q0xECmZy
KAMa1Qyl57uecu+podKODJ8pQgP0BehQS7H7ocNvmlXukejqN2rWVyNrH0LdPCphfS+t7CR609/k
JGnVenoV0ki3jt9dJ/HyGALeiTpdvJKIhhTbdz8aNk8jYPJ7FdQPASRiVzlPqWnckaPtnrBISDpq
NsWMrMkp0Xc0bm7GkEWmrOXVrevP8MXNbQAld0/shSbf1OowMLlfWy8X34g44FLQhWQXqOR1EjnZ
S/nJCInVLQhl4Io8bdyeEMAuBApsm2sCg9HNUc5lGuBUEW8AAx/KJn02S9XShqHoZLV/H3FSRphy
HmVWf1CaC5GLH3NGI8q9PM4iRJwaFAiu1OVgZmbNcD2oi9F9CUG6tdg655634HvKSV7yxW535qII
Yu/P8Yx2IbShd4fLdOe24UEu3iM9ndvaqq5HEtBItLwdC5d9y+JK4c71NiYgqSEC5no0Bhs3Trb3
zenG0NXZpoSPc+SjizcYOBW9jVfI0+gRqE2ysElhUN8BEacs8brPmKwWPLnkEBJvG16LbFojV5o7
6i0NymqIpFvBp+gDb2diUgln/15ZYX3X2Mmp5iKFT9WLmIVM7UvbuT9E4dknNrbgOA7ccpNxbG8M
0q/O1mpdRpe5GlQPgbJoo3UmMcHxdybNbpTGy6vtWZ8tDwLFWOTXdWqkJ10n98NUX42TOA8gHh9R
So/cPmYVNWYfHtEEN9cQkaqDU3E2eQ0NKr8PkH3lZXMjdJuCSpg/hdLYNw1vcPWlU7ceJdXqhukQ
HOTWv5rIElCWO117ElkGs9Etd8iYxdemJ1R22t4xwXmkFixBKw9v8URmA5E8rImUb7MulmZbZis2
uZi6axIX7iwje1rKggbS0MwQsYb5TTvBtQfvnqD3L2ndH5l3+Vd2Pt/RTGgju7YfLYp3c2nSwzxk
6VVZceNrLPeQIdM9ISbX+OPxiZt6wegNyPzOnURzGP3mKq0JquAYYjmxewMJKPUTLwMSnPSV/Xqf
PoCNeW0Lil9sXuCdmsaPKqM0cVNbilazuK0QUN0F9NKivsmflQczOIs/9wGq2JATnGrjv7N3Hk2S
G2ma/itrfQcN2gGznT2EFhkZqdUFlhJaOhwO4NfPE83uHbJshz193wvNiixmRSEAx/e9ElzAJF0d
FCbH+E0eA/FqadpzXVNeQyq8lUFXHWrii5lGiqQLC/ZoSWDWFK9k4ngv8WSOGwCQc58Eb07U4mH2
3moxEBlnBeFlLlJL4uf1AuroVRpEIcfpfB0IyQ1ryavYz/u3MBnyteum+7ZwD2bfBoQU5H14Jh9d
s0bSchmt09ZNiN8mkp8olMQFJ608P64+Heje4qsLLb1FTUGUSmPN97KuTdoDEvu2SwLngSTG+QpP
sY3ZxnwO2bLWiVfUS5KhjVU8GRlhyHLSVFEX8pniApPqIioLRdqJjbL76U5GyXxwmqjk8RxJo5vA
/k27Ex8KxyUzFrh6w1iUZA1vmmFs77PIKjediyGcusaj0Drfx1VrbUSWVYu+Se+ijLi2vH4g+P3W
Ec5DzJi/aFUrjhgAp102qV3BQGq79pZp7lQ5Y7dEOh4R2JEOpOBN/sbP0J2xOzxYeU8hRAiPV6W2
dWwZUnbUBpHMjJOxAADKLzYuZ26fyYqGBJcpaR19TPGAzMjwaKg7Iqx6hz3pJOhKXZYYpVRmPkJr
70zZNCsX9OyYJ037bcxMATFNe5DFpV4FnXuVVtKjDn3cV6gJtBgJrimj+7hR01UcZxgtRQ6n77NA
Rk4uXxoKs3ftnF3jSdxlSZmfnEL3684ecFoPvf9KXN6nSxg0XKxtLggOe5wpo36ACTJXSdvkGx10
MPEjZc+JfOhEWaH1tg8d2GaTDi0weVk926kg1wFPY2zEH42sVjpioccJ0a/CQv/kPCQkSlgW3HJd
blKXk3ZmaWSbdIA32Ej5qbk98CgRmLgpYreDQyUghqX4K9PGm5j6G/y7W49zZJ+6NF3T6URmgrm1
23LXB8TuBNHSs6bHuGxZoGP16LuN/xrPsbPh3uPDBzKuluGQn3Dhf8yB9r60N2+TUbxFafWsuKCB
ZfGZ29bejlOzd3N/P+bRaYjmb9sckmVJvkuw0qkjqpU9qngPH1YupbpkwgCXu5u0zetNSwnMyqsr
CG3IteigOKaeHFO9ZD0VREEb0MqTvbKd/DizOue0gG1au79mLpyWFHsB6ChnSf5NtKoSABt+5n3g
9yw8EV9d183vrssBpLJW3LQi37S1exocNEfQUa79XmT4axYRcSfRJg76wQVJjxn6hiGtFqUS9GR2
rLfp6MPXp3kdXuA2cdYJtD92IgxWMvHIeHSC9dgbWwAYsY6TsH4pEMOdQr7lL4oU5LtleC/mLHGc
LDoxBTzVRSbPHjSUAd/oRekKai+8ZuKqnN08RJG9p/56LNeN5hIsozzqiEKPgTCoIyAKSh+GuGoo
kQ7E/EgANLIGXWh8zJQI+SlZAEUTlrz4iqE+D4AKMdfYmwl4I1u97rO7YaZYaa2sTmUbNimC1krD
Rons9bA1kzcEh46j4ycHvD+ZSmff6GpiAlO0lY6PXl4MJieCoP2rdeQh70gvoxJdU6dz4m8nknPS
uql3KABoNyXQVozsp3fo61ETdyGVx01M/FCUBm9TWZ5ylwrK0KeyvCGVPSRua1lnJLN0Xr2xKzrg
dWoCug+tbK6NwDuVUWV8ptxrN5acwLKAdzqbQNBQ02KJj8CpZ/NAmVu0sWLji+PmuiJTtcCet5J0
z1wQaRrVSZivIswHAAhhfknbsL88WycrHh13NdZt/dKy2Swmpc9tdCm+q+NL70oYbBunbJi/ucP6
ZoOlN/YgSzrPAF76SXyTWo6rntXZ9lk2nVozUzjxJs+iglKDZpgl00AlnZw4lsI2lwi0540CFY03
6BSiF5I48w9altxhAe08ouGpan+t/GIZuNHvisP/L2L4G7Lkv5IxXL3X8o/6hb//9n/WMxLEfvHl
OxeXJXYdNAS/KxjYQQl2d5HWE9mHf+lie/uHgsG2f/NMEym0iRLPtoD8/6+GwXJ+Q5x3ETiiM70o
IIJ/J7jB8v+ezfBfAkMDcz6qTRxUv1hV8iSudKeoD29n9nifGtt6BdrYvlUu3W4p5aVg5Qjb9qk2
1MmxSTNlcZrbYX9ZtFk92GSjhUYC9eNJF1KvZMs4DVN4YVNQz3FiR6UH6jN7K0YOd5+Mppsuhrjr
X0icsR79NK3ZViqSSFlgSWNaxOVYEHwa18X1yLjxbDadPpjsACsnLIbrNuMNXUczmQalpxAOoD1T
ECoUkVziDGbrqakNuSk4mdiz3TH7jNqKtGNF0dwuRnP1Y1p5k8Nf6WqnqcJYJnXYnwqqee4ALKlZ
bEOcBzarv1gniB4RdBmEVnuqce/DPK/KYwkuaiwgEGkt4XCVV1aWkHraxozBadQmK3RXvEVLQp54
CQTPU6B5XSTBpXdFZ5Fx42eWui+gwJ6IJ2/fXJ0TQBu28sieQX+XO4OdBK2Fj9EhrgAdvFLEJPpx
v28T7K4kFPP0cjFY9sZyTk683uoPqgkZGbXf9VtXm8ysaBb8jdeCzNSM7RzZVnknojncohRuNsV8
ydrJmK9a4oMSdZ2OnX0HnoIQWcTot6C1Li0/Zh47d3lj95DHI59fpEdGjmyJOJO2S6c1j0ZlQFQO
w9DcBzlqzoWVO/kb1SjlicnVoKkt9d+qusk2YdJnD/KSfptklbGkDvitqFpNPG1Iam8aV1dpCV+7
KsIujhaEd4jFGEYohJOhWXlDnt6piQNvGfTsVnBHkEnkbVkWwodh3EoNGLVR7kMgwpOdUDk2NX2O
HHcKbyh2oYQ7TDxqyHxUGmDA5jL24YM42KdlUGj4ICiFnR+N7hM0XnyDqWx8z2ZHnsLaUjdsFQjy
Ysc89LTnXQVsx30TBEe/ymco5DJ+kl2WfQKMgFnVjRWtHIpDruoiMr7EPLZr2tI0tFxd1sXGcUb/
hpyU8DD1VbLK2jT4KNjEkeR1VXpukjLdxmAmq1rMMwVLWRPR6qdcLn9cnnzVBptpThquYMnXZYcg
UvClKtrMBBfs+3Q0fjIC9748OdZ7JdyL+NqTOWq+UfXPRE+34XMirzDhXCZIlc23WThY3M30thXb
2tc0s0EEg0oXtGjOqX6byIl8MVUTXSVmbp5x4hn3YWk4yx7s/4YFBSUk+9ZzBPn3MOdCUFKSAmzt
2EAcXn1hddfBL97ygg/ujakx3wPuZAJyTVMCS7b5BngpJNLLb68AWuOtLi3motr0zxx/njqOhurJ
2xv1YfZ1hbogSB5Ri/irfGr8654mNFZUTwOCcH4kE4qmKQmQ1Fd6lfZanOxJ6tNk2s6y6p32PDSJ
fzuBPtJZpcPm3SqFXZKB6NZnLe2QW0zmEmIPuyp/unvdF0x21lD7Tyqbom0o3fkuopZ7DcIRr3CE
zv7CrOeKNsIk3mF9hWiKre6mjYiBC5tmfGZq915xb2mubwBfllkzSGWeDhvtDhdqqJTHNDaDe4Rw
7UaXfbj2U0ZV2Uh3bUClrIyUqD94tyE/znamvyfUQTQ/VbbYO6UzPwSKhH8ziB9bIdZhRqJkedUO
c3yaobWaVaJHfJ8Vf0rPSlCrCIK8IHo5XDCNjzc93rHraQhisBbjKxH9TVSSBoXkWQNrosP81jIh
eLktbISsgDTzOhfauhOgYd925Xg8Ve4RmNa+thXjjjCnltpvRtLMMuRtZdO3KxshtvWQpt+Jbocb
r/CbUxnH9m7EXMd0HmHh8Ae7eSAsMFzMhLWk64z2QFqZ2rGzNhMwP2Sbk0zLhChhhCMky7yFIyvV
sm+rZF+kXbVPO963i6Zqm29rnl/nUYgHVYH7bwOzGvYoOqL1XEQUT5ZGaz7QmtXtB2H1G7Lo6jUa
gnSnCtLxgRSnG9eYZ2Jx5tECRYnllar0+GAWUXqssli9y4LGwIo31nUep/HabiUPOWTIfEWxrnnn
tAMCZFQ8xcC+Zaf1deoU6X0jKouyuaw7O7YKtzGpwyD6tZ5/4BuHqyyYOHn7yGnIJ7wop12jPbVe
S72a3dDYqrxqN5uZ9V5IcC4AuXprN4P7mjB2PtqaVsK44EZb09cQPCR5rm8S4Po9g2p/bAtlbDl5
zQ2aK/O68UkitWqlx0Vbmr2zGCMZH606pGYQVf1ONd60c1sW5zYeoZc7kFiWnHA9tF17X0ym90li
uTXwvKX2Q+nm9spq0Tosa1aeK2ce3JPZlvP34EpE46kI6+uyrfuV8gUReToaXuvRMbYKG9SbKPp5
SWh3imrZLt0XfktZI1bIEP+RzzKda3N0d1jP6A+E4ZK7qXbdTVTOxQFiDGzTgt7B8bLOZvgYjabo
xuqN4ruvQ4EnuBPsVo2fCKRdDguqJj0kWGRhmd+ZAf3RmopmglXVvNfT3N1YiWUeAo0f30GTcq8b
sk99t3YPZAuJJQWjbbOga+zStN5PFjrrxNo2ZoLLxk9a786sVfAhh266czQ1adR6qbpbtINh3V5c
CeRhp0HylFWtfbCcGukUO+5WNJCl6NRKjvt0onEWYX9cL7OuczI83VC4RmK01yye3lFlwbiiFzFd
W2PhcF2k392IbGoHMurr6Iy0LDlksus/aielH1kxxEx+WXxXJJWuzB6pRiy1uxwHN7qmkLVDKBem
d0lq5z802GZq0Y0R9kJCNhQKrj3AKn6Ir2LMVvERLIQRYdkSILum1zVayTmC0Uhc4ykuM/GZtBZv
m84My/dOcgIKY7JI4arLfVcp6zwJGgZ7UPjbMTVcvczLvNq7cdBctS6CBEoeuwa2Eof+uibd9Gip
NtwXTG8bHkYWNj8Z6CAInPWQO8HeQEz5IZvJSOEIS7kKgtI8NuWUvSa836haRin2lJDsv82Kol7X
8RSf6POLdqIg094YpXO62Bj2fTJAirsxzrLQBb66iPhrbhy/4fn1PAxoNGYiTEqy6QFRYHuYCGG+
cjprvENUQQYiL2M6grvp6HWJfXbkNN7yaqv2E2+c2wTPEgYETFrTKilRo2a5sg7Sm0khr9xOb5su
EPeWp7OnklSuTd7X3NS6QWOm7cBI1yOYLFuel2FAaNyehvQpIES8410CyPSWFNGw6uc8PoyKeW1h
VwOvEVkHezIPjIepUeItwZD4MNd9fy+JVdw5ftV/ujRWbjy3GMnIzQwe8cJ5n8mp3OAIRgMf6PWM
YGWRU++7QqSL3BIcqrx3e6l3Jgk+h0TEEDK9QPHYh+DQFBeSYSFzfRqDyWuhZp1hh/tKXsSA+Tov
3d5bEpCQfRWTNSAHi6JXVvZwVdtucDIldDZIfx7BnZjB2TB6NCB55N5AwlLRnmYpkasJWix8N3YQ
3ec2Elprpo1xyYjobOPJTUrMGQLCfzBSymHtVomtK+gLBuPs0k0aW+Y6bQZG675V9MsDKl4ng6pv
mmEILmsFSkm/tU5hjBiI19A4DvwzwlrNaoXFLaavjzwYd4nT01nYVk51c60pMgor8Pu4wsPJ3kcp
BI3m4bKh1mEtpzR9MXJNhCVI6k1kUQg12sWwo4w1RW8x1vma2L/Kgq9xpqfBy8XRCDkiFh60y6Ei
tWHlZ4TnVl1WH4l/LtZdYXPaFwPFcQ3lf09zY0Ne5169rqDXL5Ox7Eibzi3rlrZj7xyozl1WlHPu
sj4XtybUDY5AwpLvaFCsDpEzJMeiCLy3fjRp+MYHvMbxlp0KvpsNpQLpXpVQM6SX1+eUW3RfVyY/
IUW+sBuEx5Pe0vKj09rgz7YMUKrcp14mVzBwAqXHmgphWokKZFRQVPHBx8XlLmvXP5WJr5cGOt0P
r2uiLYtM/9BEwJXICm6G3hPXlApigw0id17HuedvOpVz2KdGmR9MLf0Pp0T9z/1QGzuPh+uhx7/z
NaJPXeiIPk2CMgoKMNzwW6hUbnul/KexdpiAMZWseuD+z8Acc/ouyvlMHybfNy6vK78LxzVF7Ujj
qduku5RC5UdS1PvvgewzyD4Rbh09E8UzVPLD9Qz3wFPh/RTwdKzRYr5tqWr+JHRXPGkPPRWEoR+h
icO9+hRKo6O2V0Pxisyb8SNdLDlOxiWGZ6uuB3QNqG9gxGHCZHUOcpK1lDZ4/owaGFXiNtoopjO5
CDW2LDvt/E9KIqtXz4k70kd8bz1Im9DeMjBIIewHgueM9AkpXrswdGxbC3J9/IXybZMVTPEAwuFR
fwOQuie/yL9pg5ofXnWjfWzDQax6YRjbtvHokW2yen5EsAXKhTBW79y6Sb4Cjxt8wZeWoufIwmfB
HUmPiVH3m6Luy0cDLnavwih8jGpb0FOR9dPSqjMdgntOPsm1A53ffu+pH9bWsUeg4aizm6fVF78X
PWlB6eXCFBIJmLCmcWHFtYmG17tsjN5Nhj1haQSW9BdIJJkAg7Hsn+D6g49YGVl3HMcEpN+bxmNS
zzmHDEEPi6ZzwGaNNtaQlCgZeWkZzTqsBNBCjGhr5SDRJwA8sE52zm5dm4b4mVzln+K8Gg9EJgTH
vjVyBOtzuWIb0jcFJr33Ng7alePmm7gJuqPtZ+7abKeWc9MXSzFyyq68WdaHGoDu3Kdlu1O2377b
nhKbkoHMg8HgtKfIaz3PtffGn+1QAltNYgnjET3i1mpP/uyKk6Kt9rrBAL2R4Bln2yPHcZl3oXue
EAwsJ/Dj1Vyb1uNM2OJ2LDMsqoGSiJ8M8yqMkvG5d+sMoSo2q5O2ob5sUe74WLCAjP6FkaF44W4p
sr3HYrvAVMJz5Mv8bcqdGSJRUiEAl+E8RKGUexMv432gS3fVeiEJoJ5FG5NZ50+O0cw/VOHw/NEB
fD3puFn6ouURDTxkZ66HNrr1ODwM2ZRH3yozWtUYp8qpKK7yoMrOpb7cWyEtBEdzKGfMbqF4H3FX
D0vVTOR892jHjzYfZeuOptqQmOU8sfpfZH6xsRvN8UFPBlZ7lGE4FJTckCvdnqocKaTvabXpuozI
kcu2tB/CeVrHUP5rxpABSYydXiuaZOFsuyn+CLLuVZA77a/dzlaviWnN5DgZ5otdSOwFOOnx9gcY
dUF0qhclybZWlzmopVS3TOuA7VjavL3nqt7xsCExNyoBneL3EwxXbBnzhxD5ozTzem04BBhtel8Z
t5bKsRrXsnkeHEt+XyDdrwShAi+8QXZLu0aIYtLOs55oClqi2kZ53KAunhr0rWUVHkZL0mZdl1O1
oGqFv7dbDs2x9KdqN3Km76bJN06eqLS7iAGDeBHbtKratf/WzVZ0HnOMDzqR+aKEs9vWBjtBPBr1
dU/zzTbLMCRI4LFrwjXUuHK0CcYdsRcDTLTwvmmJum4ZmG1zI13fxWlaBpIT28cg5DmI82D3y/ve
yePXJK/7w9j2w4onororBnHJxbb8bGknTYJtIUEQREZd+kEbtDMuuwF6BLGQzVgQDeLslLW9RTHc
nHiVwic31nNMuvEicqviI7D1zjYsinPAXEZkUNNAukGXmM5VM3Ee7JCG2nuEkbO+VIMhwWZCDfa9
EoVe26PTfqkEzmalEAWUrGda8RbRItvNI9ZAwyIDa1OLzqAwOTLDXclC+EI+2nhH1Bemwyx1+Koj
Izf3mQPShnJ5XEZ+fbG3ZMyOa2w2VoLgAqYl7eLuRXBdLOAsVazwNSUOCKCDLDloUgWYVI1+eZhH
rEpNmhfP2owwjmUk7azTmLo0jCqR/PbFSPQZ62p70oS53DhKptYqN1Ly5hu0ry9Ag9NN4gfRhpJk
W/O3yH2xoDMLsVc3Js51ZrVyWKVtah57m3ipCYE5qRmcr8wvbTTcTNLnRugG68Fhod3gQPYf44sa
yRKGwJeUl4eGAXKjaXhnE+Odck0gbLUNU9cYFj0U/7Cp5qCwL4SSfiYcFVkyxacTSSc9Dh8KvDxe
WkhXHgrkSbTOgbhRCuHLasviaV/ZsVUYqzSIIyyiub7NB3tcKl/LrwoVzGoiEN9eZEVj/QQBp+BQ
Wf6DJs5t2XaJOg9eyIt+iJJg54a+deWDQOWLqR/Ug3akv7WHLrkudVi8D6GfcmnyMFkiAJ9vG8sd
bsekHfima/qeA1shF8cwrJYk0fe38M4+be1zSnyPC7G3CNNu3CIlM1e1oeR88IKZqqwe7FIaKAFJ
6rpEpnvQdPUKrWW8cTAucwaJ+T5p5MV3kSZofyrD+JFdHZ7NXpk/ZsRvhP3pv8oc/DlyyExdToon
nY8DMmM2AaSVcij0oQoQHtIsllPszW/BmDQ3ZU+EIQIe40uD764lTeyIipxm5NDXxV0yT/7rnBrt
d15HyatTl8muduhvowUhOjl8R68t0OW04IC3FqkR9SSA6ik4xk0DetgW1o1yrdji1i6dw1wk6ikT
0Hd8BwjOEkzHCF51hnKIlTMDxWYO7ysAUVKBL6/CxtvhSFCAvs30wdIHHJM0RXkT+Xb+WRDWz2Hg
T/Pb7AiW20jj55qH1N24apBreq1HuGgAlDi19Dn2RLGOqV055E76Q87LZvb7B3UVGFgXQ9Yqf4ui
8YCCdGeW2Zvdp+lXiHhhrzC+nBAkxOACJrtIrtryYtwRKNtZcJdxIbJnOeX4DwuWrnmBQX/KuVFy
76ntKF2jIaCpHqU9jAd4XI/GeKPFBo9S3F0gD2n3Ex7DZmnhq3ntBq4xI29hnnlV4iGIyHS/YkxL
PoMUMBOnvHRWc5zpPamj3ZWygmTPBmfnWxBMkgH4WdV6zvgJS9en/plwrC5cGmZJMgKIdNGsS3qq
jxS5M+VFZowAxrWLlyzx0rdOxPO9iKv4Xk0RCFYUWFdII4y93dfNZlKUJqiM8u+FGY49g76dLplu
fEjxZKRofPaFejAzV6zduSiPsosAiFRnFXik5ulgB13/1M0B7hYPIXDUEIBskYK19psyvskxo920
XlztwjQPvzKrINot1fOaca7e69h1NiXax3UaDYiP8qq+rofCf7KCPLSWyBXDnSeRbAv6dp6a1K4e
E1zh57GZeSNWfRNufIUgbKGUYb0HAlbIdcJoM4yV+TJ5rCk9De5reJ045gmzUJhYiW+f6YO593kr
rAhplfdlk6lrVgKN7UqNwFWuf005Ig05IkNoM9sTRd1G+V54ZrpWM3DWwu4ydwOhUx4Gv61vmYjN
HSl58ZUfpGywUtQWZqN2vmvM2AI9t+uaQpnGjVeT19AU0ZKFcB07HnTyTEUXQpRQVu/MC0imem1w
8BXWEDwUZjV7u8BvwE87w1gYVkYVPA3ovgnN4aWIBJEKPk1C6Cv4RcgKQ7pETbienNwXWWmdrjrt
1sU2ZwnPtgmCDGffcL4y6TVEtSzKkb7IpY97d9NbRA4uusyx3tPJUE8XicrKGQVWXlXVn0RRqI1d
RB1OKVXSQ2ggdGmWHkEd7gJ9gwRTTTIRbPrAgKUH8erZcim8J9XCYwxKIiy1K3Mc8/sQ+aMg0q+P
+HvW1QSWKI3o3RtxKy/afjZZ1FpXhyu05R1TDCpAPGEZqRsOu+IyAAod11Xu6n4/kMHpLA0PdVjt
dpGFpTQMP3tsHyanDaK9YzcQobbLPcor2WQ4wPAf2qpchGEN9D36F+aMZLbgecicZl4Xsq3GHTxq
tK2LPIyP04BO/CVEUftjNsTQ3CNj7KedvIAAiywhhIPkhKwNsaimc05GO/hPV61pySNUt8qC8jvH
NpPdwXnUZxpZCv3p+hhXd76JwhBVRjZ+m2PdUaEb9rJZFzlZgEwVmFzgZTs+dVJb4nM0DV2i7QVq
X2ESKx0szrbGJnLJsJgTLe4MQ5nbMmCqpV/Tqttt4yL6W3RBjM6nhmSAWSPkaNlcahO5vFCXVFmv
KrSy8X5MjCjbtL6yr+Y2TT51P0mXasjB3ld+2x26dipv2ZnA0P2SGYExvX6uRJDNR9gNxLb0Mn/N
naq3Bd7RmwCheEkKCUpQB6vk1LEdUnDi9Hvt9+0GTILXWQCbly6aaaTbpHGLFxy9Wb+TAcLileoN
eJ8iiqW7kGjBigXvFaQ9Rhk24yK0L47EHGll6mDjWUBmgqlJKbMrjdpjQMrOKFQlVXbHXt+uErPz
9wTRRYJSWFssqPBw3gEqHGzDBNU7LR8h7mLvKGhXep77qWN78AHCyTsiWqrJwx/6jFmacROc+qaV
pHkEdkaBTyCeY+AJToQ8KH6UWZavfWKRA6szxb8t3JHk3Rw5L8dKa5/MOmB/LuqsQH/mDMin84IX
JVCFfRw0akuoYnF/4b9uNHAnqctFbyysehqfgxI5+egHMw9eXN0Cv2UYFRt7GyW2OqRFYiOJNkgL
BcJ8nIBjKQSbOupxBKytqMyN64N6jHHO1OUEOB0NUufOWCunVShn3LcMNyJYt94U3k/+kMPhtgAy
FVLwsGG6d7qsYc13lq6IjXOIWZyqqUo/se4Gl2yxNtv7vbTJ7PH6x8B3qOtFYNvvwYisDfEC2l8G
iWOisLJDjbXIHHmxmoXawHRRozs7Eyip4z9G80VFnOORuy50ED0SHwDcwweCSDDGbKAKuzARslkR
RlW3ifZ2rF3q5S0DiVTucEsE0F0JpQP0/YzK+wzNQJ7LSDMuWjHiaKslpJ3KBFWYKBzGqjmrYCQG
z7YqC+N4XAz/aIv8t1Q0/4MClO13ff1OcsD//lPhyf/58y/l77+mHnv13r//6Rfrqk/76VZ9w0N8
S1X0/4zCuPzO/+l//F/ff/8pQMjf//G3z1pVHDF333Fa/ynOI/zLDJAtWSZV8V59/VFBc/lf/tl8
Yv3mWig/iZ+kAY3uRpIBf1fQGML+TRAOZeGk9IRt+95/SWgC5zemGoEMH5mM77uXiCmAwD75j795
4W8CaQDBIj4pn5eAkH/+1W9+F8Zw1f7bcO4/R4B49qXDxzQvP8c1rUu/6N/+lM9V8xYmMxPZCKdC
q2y6m8YcJqFXKbyrLWPHCK4m1n6DADjJHbrXiKbbpygYyuZfZVte/qz/kvJcPotwPWHxMRATEUb8
y2eBLM8kSe/WqcVfaGfrwjGT/tD1KHge+1I0/snJa3KZVqQ8CFWAl7dD9pwWY/BQyQtiGvao9/YG
DP+0xUnjBLeS1uF5/wdt1D8u4V/UsGPgdVybPLMQ0RGtIMEvyqMBTDQaPac4EUdAjpOFSXI8jWHl
6OfaZZGgmhOr8Bb+jSdvsHwc7lJ2Qf38738MYRFW7ZiXe+jXb86ZWg7KoCigocEZPwg4omXKdsqM
c7b0a7TQmpmgW9E11YTHDK9Bf4j7sQ4+/vpz/FolQ06d/fcoGZy4rsdn+eV6RNi+oD90yERLd6F1
8GsiMQBDGfghs9J4tjF650zqfjsZ9qKqCFjeZ7YfLceoMqd/ETj3//o4AfeRdSkQcYhy5nH7Y+Lc
GHoxPkdHHJrSFtWtIl1pohi7TIBQ6pHJ090AjuT4gEODSW5EnuMavEWtPK3z21pmzrT7964QinAa
W5nFmXM90xa/3tiGB1XbpTraROjlWlDzEu6j3jsIW+JpXUqrMgpUxzDu/LdiYCkk4KpvC17gaQcz
A5PZ9X30e2bTf/voX76XPz5uHj4x1yGEmcA9vHruLyF1hTOlmnResQeGKLCRAcvSRpn1sYdCFb+Y
YPYwC5yG9oW3L9HJ9Z3BW/yvL84vn8IhII9TEXkhDzZivsvp+Mevq0GEM6kaW3RJKHG+Mey+bQ4Y
/ONiSb+Ifz0m3NNQm4kRbNtAVfG/ul9+ye7lA1CvTNiSTWyrw3P9y6nj6UgLBNfdhqBJq4f5m4Fx
ymnyvlxbY95PnEz2Nx2eVJsdcOyfsFc25kJWRebt+9JS+goXPaZhk+Ngguw2R5Qbshjn5V9fqV9C
BR06onwXhQKZjUxsqCr/fKUEs0Uto6kHlzf8YGNJ+EMYwoT83arsi/tKNMP47966JBia9iVvyhbc
v87lDfXHr6cvnNEQ9ChvFDLi4How55SpJcsN7+wmoPYg/jQh3w+BclscLlVUnNrOAzBlcYxc+1/c
LNYvryuuAYcMQlRiVX3WVfHLx0G7g+LQKSS4hxmeg1oNFrpt8ib2czlavBLGZLj1m7nrdsQbkB4X
ZopO3k76ywRx+Ksu88j/Do3MP9mgSHT2+oV1octzx10kugGOHVBtMYvGaW/8ixPbZgj48xMnIFs8
UiEDArewWf1yq/WOMXc2ePs+mvB/RG+iQ0nZXXmmDGGbE7pwmSNts4U4uhZo2+poid29SVBl+6Lh
AMiVbrMf0x09c1lNdZZNS23g7baBVeOEs8Qm5mQ6IsAz/PdkHAO57v6TujNZjhtJt/SrXOs9qjE5
hsXtRcycxUGkxA1MUpIAHJMDcIxP35+LrK4UK2/K7qat26wsVZQYEQgMPvz/Od+BhCQW8nHDtvhW
SY/G2jaOrab4low+/9VQwHS0+/tb9S8uk1HouG4sWLlAOfv1rnEWs6Ft+u5QYLOlUT7NMky2qPu8
o1hJ03mkJofHblR0YF+nsWv0xi8i8TukrRk7/jTCmbuF0daA1LiH+Z4fDsPXvg08Nm0P+ezm5zMW
ktuBMn60xULfpqBBUvYde4i6uDDLXMv0QmC673bxnMzzsWqtxH8tu6afmt+cH+fjoMORCZuVHUcn
fKaHD6NeFvsUoeJAHTJXUAtSPX4VinAtAEInzFS1s4RevGNJkXnYFkk2tDToRE6VFOxA+AAGOsGt
VAG6uS/ZuYubGVhCccMzXPW/SVb5eSwfziJDM9VdlpshNK0Pxzp0S0kcUzQcVB9Wn3U4hNl+KTtw
P5nTq+K8coDKJKxWETavySS2XkCUxslVQ+s8hQtGpV2VeHhdsmqaDksvIGtNzjDvU2xXW99HwG14
ihYyFpBW34olyOfzuVIjtCO7jfdITIdik4oxOM/zmo4fhr7ZklexG6Z0rLo5be9Db8KRFSjEL4ew
hv+0dyRpub+hOpv75cOZiIQgoTDkPww/Zi77E8w2Zf3SAYbrD7MDxerW7s12ttRdKz55XLz2LF9F
folCqPr898/TX35wJNgheNzSpG7++sE6atIKHAz51Oz68DoLSCciBgZ5sKu6Hc793KY5z95T65u/
/+S/eJKNwh8dJcwbXwTmRv7TV0bFpRN3ZfwHbSbm+0qKEEteV70gUtfx13BBUrLTsyqcXcXSZ90u
Cd7v3zwuf/H1GSwhnQVeyLwXfVipQPAgwjyCK1bmNpw8GnTOQBmM+uBWCSedbhUxEDu02+nvgu/+
6pMF+zYz51Ivij6M2E47YzmKAMI4njMEhxaXC4QCnmno7qCtGqQqTt/sVRR3v5t5P/C4zeDFBo90
OnIsbNwUH6Y6WLfksi9xfwjFUMGIQdRt9j9OfN6poTrGtiWdHQxdtznQXknKYz9itd+yLEj6i4Yi
f/Ob9cdfnQsTxsbGzERtfbwKsm9UVWd47hViMkFfO1YvZVTFl61rWeplpPR/vtKRGX5z9T+uECOz
Q41t1mcUL+CAfzgRq6oxUgjmfKReEzSfuY4eiGHrHybVYoovplaVuC5ceKrAHy25//snwDHX+Nen
PgbmzAqIB8Bl/f7hqc9XJ+/cVfWHYtEA2uguk3E7FmEe7ny5FlsHWXmMKtpFcAr1Xlg3FOmLi2bS
63TuMQ7djNTuJzIIWkrOztKPweHvD/Hfr4w5PT7/gw3KHx+OcOiiQVlJxhHmYFJ2RRFEyxd0v9Bv
YN/3XwCKeDniwrH7zaX5q3PDVt2xGRLJsSGC6dfhAZlzCFpjhZPkTe3DkOpsAT1MvA8uiyood7Vf
z0/ITD1qiLIMLuCb1JeBk7q3NuZlvCGL04jsUjRF9s0dxiT6zeT1cTfIU0TelmeOjJU9+9MPk5fK
xnX1p6Q9AHUofoxehhpHLAh/oKdUdrDNhSu/5lz4O29xJErNqB63nlORl/L31+jfB1LMKW4YOgEV
IIbwDwfi6mJUSlWIDuIAJ7wA5ZZ3m7JxYcy7jYPlYxJUxjetBMRxnroJmde+nXp3f38YH0MczAkh
pgQFNzBa7paPwwr4BZSNsdUehqBB9tMWuNTx+5WQE6a4GqMdIqXxe4NbNdzQrEm+1kDhkwNKlvqq
AActj9zz9eepcsLhd0OeOQcfnjTMXBjHCCGIQvaEv95NWVPRlhRre2A1Enj7bIzKSwtq03Vr2+kF
S4vq86Bl/dlqIiBZqIU6d5OCYEMGPlUvHeaX36Hcf2az/XJIbA1jwl899hw+5bgPhzTbI1kAI6cL
6IuHrRhS2WfEQpjJyAIBurDOkX8cyDn5Hk3lfJWs6JS3JLewT66rRkYs4TSnb2RwhmFB/jh72Vou
e100Wbddq8o+DAN+3d+M1c6/zR5MlAHUSa50IKggmkHtT/M2gT+9ZD4oD/4UKBQEYTVV+WewuVW2
Yyxdwjs9ExTyh/bSuvhGZE1EYAw98+6rKJCe00+nCT9tfnPz/ftRsQ4P2EDZpr7nfSyd+apWlhdU
cErtpgmtzdyXA9say22j/MZNyig4H4ae3s7WWlgXPsLIDse7dRqgC+9DkIiQG2ffr5v7vz8w14xT
v1xmCqrMtDbjO8Gw8cdaSA2nfQx9O9kLq4Y0tPHYu1L59NKxQEg2h6MgBs9dMsQOYzhXxbfadieq
NQuMvf6A1YC/krZiPyULu7jmdbM4KQct1aXKp8k/X3y2FrjkKeqT4hb30v6DJOqWj2r7aLaq30xa
/zYjRI5HNYUJ0yNCgqfp18u/rHga+tRGgRfx9ocmH+zmwtJ10u2LaOrAdiWJlyAxQeBf/yYkljSv
X8+mzzkk3cvn3iMTyczev3564gIqYjCRxwV4k4zRXvWoqBB7WjN/SPZYwB5nK57G+Tn3Rj8cz9A7
rS1eg1XWN0FL3+zr9HPHKr2eHW9G35X7xBkyU40a8rKZI/QAxPbKk61oVA1HW9iDpU5uwdj9OMMk
ka8eeJ7yIUXEJb7Klvk42VAlDe57Pw1kxAHQ+I+2sMekm9xXxmeut7ZK6/XRW/iEZhcXpc+l6VeJ
9HNfyQZfzTYoNG+7LfxOWoARw3jhVyb8Xq060OFpy/hoD7Lg5fRyC7bWjJfmoxOx5vyEgi/pgZAC
t+JmcthXDfE+h1fLrZNVNXt4leF2iXYz7CWqch5dwR5PnbQUNwsV/DqY76oxDKZ5B+t+XJ6Hql/0
k4M5wKnP/YAyGoP4iPZm2c828iYPHJ5lodNKyS5Ce8VI7vvbKXPBzoIlqD2zucysAo6/KBLO3G5A
BMe/qSLog+tO5Jn5O7Z3kFAiJNX9elb4eg3TQ8jJnssbmGTB5N1aMaEM9lG2+LGaMxX4GMoR7PpC
CXN9cnZ2F5Pl8oR9sp2R1fP1+9HmLTeSg0NiDql5SvpYAlkj+26gh+sQ5OsjbB720dtozRxLoP8T
PU8nUZpQtM+5jcqpuQBASIVD5PHYW9tEuGxND+kgSdQ5d5oB2wzbVS/m1M/0tDnntuVLTmzmzisZ
CXOH32YL61uuj5QMep7wIlDyFSG95Drhwv/57MMG4KIXQDM4JRgpzAP8/lOzrCMnKMyXim8fuG3c
PLp0HcUdapdyfRxV3enrGA3Oa0BroP9cIp1S3/KxtudL5cwImCAloeq3dy18f38w9r6Ma4lw0nwo
HH+mKdQLdfjNx1KFpHKhEYmRFnEux45YgJHcKWtbfCbmIII6k0PY2YGsXoZHOKCSQy7fjhxAzNJ8
C5ukBpXQyYIlx61yJ6uIj9qynT4BG7s2atk5cxjxVOiGQIGEtlBKiWyDG6QNruN4RaR65k5YpuHR
TCl5KOcw32NdXrmg0rwNvL0OJEFV0QO+WLQTIB4Yk3DqP41CjlBX89zWkb1J43Gd8ftZOko21DjX
Vu6AtFrjMQUyxqgAeYegpW1UM7Ogg6265tHpnBG4s24YgTY9PD3oUKG7Nt7z2ljmkGGCpCx65yZY
i3Ur1ThVwzmbJb7jIWzzhkfLZvc13tmlQsqOnqct1kcV6ZpzPa009h/JCjW/5rfcPFRqfNE46lME
fIVbELVawF/iLUgVgp6AFrR1XWISy+8wnZgpJK+D0D/JJNXcbKHAbZ0fRYLcPj8WSHY4nb0VF/L1
7Snz9Ghe5LN55rl111iO+f3qTQ6oWcqqqvgGZxFWIzKyfOFZYYgxFz0nS8MMa03HvSqRs8gvjpV0
7SleCZV5Hhn6vA7/ZFPGJ4lfJrmrR6DCp6pgxoNHowg1Q5AxShRmc5qa52IW+KNeU8qYutjkhcbV
iIpiNLPdlEZEQA2Sault3AJffVTwxsDdtZTHo02cUUtF+eA1i7xnBBzjO2fxVv4FqMyKnSVjudtc
kj+9YHZ9v06rULRjNvw25GocsCMT/tsXzrMihI4iEL7FV8OCThf4jK+GH6Ge0+Gpw7YYOjtk6zQG
+3Ix1OSobRROVmdSg9r7KffQH02Hq+/KQaVSoGyES9Xd6j4u5SlQc5DZ8MfRVMFhWa2LQg8kQO+i
UnrVaUxpmwHNH2GaQTYutMS2YiF33giVA2Lz087lgBGJUpJ+fyS8BGnOPyuqnL/aRc6AD27+nK8h
AhxYGyQmFDt36cxzNOlhXTAotJofkECa5sqQhmaqjPC8LxdIR7vimxezWILyVw+tOEuLXgD3SBK0
IXcaZTIvpfA7c03pR5g+EhntBSe0EtqEKSY1xXFQJR1cIormYdtcegM21ktu2Lo96/CmIpFwQH1S
n5uaKDoPYysyFvdJ0vXdZjh5+Qikmy7TnMdcRJxZHft9SRX1bWJjcSHm8Zgpr097ypSdk30qwQNM
39e1N/P1+1rJdxIzXL/P5UUpExaYtTWZ5yhbFo/359k39en36RfMiFkovE8SbiIIWdx2DlAHEgp+
LryENonEu7H2Wl4W6sAM4hV2RZ4Je3XMXIxD3Uyq9QQaydvUSZpzuUpNMBynCnWHeaTeZr3Gc/Nk
2NLfTXL3n02xwMrMuBkGc4clYKknNwTy3CvoEuKtKVfW0893JgmH0x43s7kfUkFsQYvQMYIxsJWl
zSJGV1PKW4m65Dptu0DyyIrAuPvuFjtZy+6ztJIWJ8iEdB4/lNNg89h0PnQAiqCRlTLa+m/rUvrj
IFIoekwxipaeZzDyzmXCz82F1m3HAIH4u+EFAPzNesDWgiYjuILerCmct6mvCCtz37CuMY8eXOPA
IqDbBa3BCPT2CSFZSL6AAkPRwd5XeWkmUIFPoiA6yZtVys4waMz0RNoqUILPBaZLVT523WAGqzjJ
LVs+Z25izjrOto7hcjvMJX5K9uHrMnXONd6sqGNsHLW5zb3GMdNyXyP+Ugd4/igmMXcXDhfdRifJ
t2BFTZgGrF0d+Cdlj97qfAIrVnUSOi0SLOcmrYkwbi6afBS25WxGvEcjjKJV26z9cGo7488zVWeh
+Xz8hzRjcivo2/LxfVng5EWuv6t+iYbPi4Wx7QI4KJkXFKpLtqRbv9JmGM6zEArIDkWXWRN6RiGh
cdFCxMyvIb8y7ecDBqLupJeg4HK8rz1yt2v4/dbxzZesMqgRzf3UtcF410X4b7zzMSZRiZCF0rxh
0lUDX0cMA6HAOFZ7a2ZptcGz4gZ01BkwsBMvG9fDouKS71WbZnHeeubQ3t8irFjsNmcEojUcmvB6
o15asr7iEbFgc/A2TpP7YURml2y78ap5u5/rvjGXDvSceYreBSFQHgIOC+s+6wAPDpj5ONQQvGVB
6YN2iWibWr52fdYR3sEKHzySuUPM15Rlp/t1h2SscHHtpX2edYSpFHa1tzwrTK9Z9zf5Y0hSfA00
MInal5B0wWQLX8P29TEOe1V/8VVp09dvyQFPCT4FEamwas6q5BtXpYCz3PmsPHeSVk/xJDO7xWg2
I6pD45K1lDkbZJh9PHxqChIpnlqwwECsSVtaOxBxXeGyDBtbrox3lemCbYcxNTU52mwirMZhzw0d
ZeXnOV1c/qjWzohEF7QzmEfCIoHFCB9uJJYFeu3EDwuCkaUF58oN9Yn3FZQuMg1x448c867utm3m
oqHdcG6K0LnUY9RIdYcNp7XLQ2yXo9A3flxgfzqqsUH6Geo8Fbf4NaJan9Dcmc+30yCa5b61GvOT
XzoKs1CxFJW1r1xkoDcK6JgdnTCnRGj38fNqEqJYyGXYlde+K/Jk2/qrD/qOLiiu0UDVspEn+Ow2
x5a1iJ7xUscz9P5uU3lZbXVX3VybgW/i9jYjnoQmeJe8rZrfh2ykzDGyGNY2VslIHARmjKedEzuI
NyO5yG99rwRy5SohwMYB2RuX1b2sYG1gJSjKlAAH0Yv4SaI75MpOAxxVvRlA5lTLlXbKKdgIC58j
UWKG+4lcOMwnHT1Fq8N9E+RJ1+PMSJ1cXOFSM8vVqunMts17m+SgxZjH0ZXLwlfw3n4Fi6iPzruv
VkuXO5rOZlPGBqRnyHjbm4quNu/lEweyXHQADsc7WUPynD8RdOj3B25aiHGYxLD9P+KvYXuCc+Ln
vICVdLkYlGfmem+hLEKijGd2uq6fmtk7YFgbctK33aSZDxR+EfFfvw8XtIDhRO8Hpcyoz8IvQQS5
xSYnsu6yr3pU/3fsExO0jAF5TXW3LQikYcAEI2CG9sXEsi17xLpmAg5x0LJVLvKQkT2bhJvo52QJ
glLvgqb4uSaFpsFhvutT7KDhe3g43jlj0TSEzBn9aPMNYzWMnFMX2THjgawsVQNyHnzZFacgUNkS
4ZdBVLJvBrtubz3ttS7XeuC0MWpw18CGK1zmVUfN9OTfp/E6kDNj5CKCn+flbRuDrTR12g0RycAC
uz6Cr0eHSDOy2WvMXUZUZ7zyKq9BxHVy34ZlyJQFG6S3hbNOoSd862DCMUbWsW3Gs+ptyNNZGbOe
eZ9ckfTnXBCy/yxS4+q0oqJCmF60cg9jYjIrn1wnZszzFtssFVxyFxhU9dtyPU0qsx3Ee/lzQ7G4
bBGrzDOlBmeezUxHbPDABBH1jllo2a27ds2+BCmcXUwKbrT7vJAcOK1HwQmGh8wdgi7b9lsNJLAm
mSJ9GdJeJ1Dbl7Y4rTni5nU7SoC0I9phZlqf9NvWXyDWtMrpTpToiuiFMoH90DZJOz9nk2d0UBmh
OvKIqy5XZwQRJcujSgqjaA9Wbz2mSgNqYWm1ttaxh7Ix5+cL5ccW0X2BKRUgH67Mr25SEWzljuDf
LYrL8ZSCHnKGHipCOxVDc4dfdA0ww5deHp2oe+NzxxeJ2WSvm9n/5iRYkM9wIbbyu9SuQzdhbcIj
RM24rc91uY4BQvHRGu8rOnLJzQi7hOeyr1Pwxse5ZYH3mqyjTI0cPyJOw0ecE7BnKQuMOEvDiKV3
faXs2tsxTfpJjsuu7pOj7cy6rqmRceZYPIYBbV6AJ7ZTXooM79v39x3X+yqbZYBZ9bwVCd72K5aX
mAkXqAi7yjRWLOBDj817vQubgSw2bD91yE3Zv23UiTvkbnm7/+e3NZT79lSR6EG5caJ6xO2RI74s
vr1tuYtkNUvN93Xu+yMRitEsq1sbXuZ4tDzd2l8pG6jv7bjkaLMX31z3w0qs2bRgpRkqg1hA9TQy
aLsRd9gu0+P7csQsrUlbMaNFX6wd6D5KZPKmcaNsUJvKspvqHEd8AIV6SWczZFDTNfsgiw0CHx/7
ihzCTUE+idnMYKBkg9sWTssSdHDiAnEkoVm8O8qFhGemyAcnfWVcKhm6VrU48b5oicvM8TPNU/nA
IxVkwQapY2dPm16gFAEFuVTTNRdQTddp0Rh+UW57q035JGjh7aC+nPsXwuWH/oW1xCC/Z1Hbysdc
xja3YU8Ck/yupeWAadQhKibE+WHQEfU1rABU2bkvk1F4rfVaL89qqkz5awYDFrwQtcF6+pjgFOX3
/MU2g6CdIqv2IGeNtsNd/rN4FNLLB5rS1ygccVtZypyOup1tBlKYHyVrozYX/DBC7AUC5SVmJoAl
BPrn8D6G8cRFlCeyfvRY4eQOYJLdUogEYpYjOgsLWUsrkgtGSI6Zhwbbqzic8m0539me2W0kS2iG
r9hZWYsKy+WhADfZVz7k4PdJ2hSdOO3wbXl14QjKIMHkDkF3XISNRpCiaaTcyxoLtTk5rd1wvauB
FTW2u57ArfzYBqrv+TA6e4Sw4qIZB7kLxJxwY87v0iWKwADIYQov3DwQb8qYmLYhLlRsbEKmBkAI
ChUTx8HV+c1qZ56fpHYIT9zGjl7Q1utxtJ+AM1NxR9EIOyvMlctpi0rWWA+p7wzjw/ucStDfz+Ip
LBSmuiRM1PI98dPWGfYesjVz0tJl4FxP9EX42iy5zWnCUo7/j8oyT3mz4aW92jIFmlmzg/OkmTU9
n2IwBh234mTYeef0etMXcznU+zn2EqvnBUO9ThfvwiqasWalQQGiYHDo3mt51GG5YlqHZhB53yym
Y9KzpaiILSN2hG1lNBO2hg2TG5gY8WA5hq03EvSExCthOOl6MZnqUNpTETvlrsI8t3VwFWDgpjQa
pe6mGKX5o44ajoliXiv8mnsoq7h0HQIOvoIhpLLAr4AhsFkBuMMPVlYLtgDkNRKljtX5raKWF2MI
VlwFjbouNfW+lzWHCcray5nXaz9zJ+B6Xgwy0H362Z75v2UpQBH7g2Ile8tM/6+r/AeKreZV/+o0
+H/SeBCgTEWy9adeljE3vJsWjHviP//HTa+7ZvyP+wzcLimk//E///V/z2D5/+pK+D/v98729IN/
QGV2sJCFNGt+egzenAkO/0L6KOI9GtbGHED/6J3t6Xsm0tS3aZi9mRboiL4bE/gnxKLocyLfCFco
yP93nAlu9Gs7mPA2clN93s9FAiNoC5sm1596mEAhS3AhObgOhGT+4p53WX0rO+dHWZXVTgrvAvzL
gfe5gBQf7hExv/jLcp9EzePgiSunsvKt7AmPsK7yNbtjWXBItdpO9XQUZf7IqiXYtmqWhyCRJzFK
ih9M1Ft497A+lnvm39t4qh/bKDgL2+U5asRFHSUPAOfZqgTkycWrt0OqCsakaV7GIsWULzFvCU0E
l3TuYbRRGbYoJZolo9mA6iZ4daboZtDe5Qz8LgJqRB/0ASjhTUKZro7yUzuUpyGyTt1cfa0q+b2G
QLidPajwpowC7rt56VwLgNwADlJP9Al8yDqUSSGF2XC26Ibo7dgsz02d85q5+MoiF3ywrBSzbk64
13zvh/wytP1xK3DiTiN4sdRrHvEGE1wzRDc+f9sLjPyFq++s3gKA3zNUho+9g+wwi8mksTL34PvJ
KVa8Vd9BJJ786R4rAoSz1SVcMHl1p+audDgrFvICLIic23lcKvaiQwuwkCDZmLKz3ZHZWRRUhOmU
j8dRYr0LDeixxbC4tI+8Fh9+FJ7QwPK2jXcoI9Oq0vx15IfXGdp+tuMz5EMJG62iXiBLDh2Ng2no
AENhjmfvn6KWLjuuxNq3jzJdnyYv2S+kXQSlfUExstlAh72zJvsHE53c4JJqNyjWDZ24u0P89UDs
0LUlHvxpeelV9ClP8694qJwtiJuXlFSDTUzQY4zWNsEGuVZdurMjxIpBiDOlLCVp7IAit6qX8WmW
y1MsvctFzs9kYHxq8pDmgUmV86zXIeuPNL7vUxoOGwqouNx6DH9Y1U6+RVGI+CRqcAkAR9netY4F
s9F+Gsv2kbn7TITNY2nr22QdrsgHunOaKN9OTfUII+HejUsYD2BE8pL6R9pgws4heaNaTzarsVhD
Jxt3oyu+jIbz6CYJ2V58TuZfxlQ3yf6r1Y66/wtRYedx515YWXELQ20fLf6W6JVTwpUf2u5ljIpT
ETkEZlRX7D25BEl0O/sjQb1jt0dhsregOW8kVJoxbI9BS7qCJryL9MsbT8ZEL+byqyU1W6tyA0Dy
1XX64+haBHqUNHwpVvbya6Ls54k6fzS5l8NU3sLVMdXv0ttYQ/zQTv4P1uA/dCzOlK5+HtokcArZ
1muR+ed0Gs+UxcnxJ+fSj7PvAAEfUPlhga3SHXHZ56VdnGJP3TG739steCZZnZaIu8Lys++Zpe5s
l2DzKXodayJTWu8cjdaFxMkvm+CsEMvzVFcvs3LB87Xyd0qKvxwbhXCRezFD4AP6dWzEzZGLdJrX
z3VUEDTSEqqJ25wWGSmuKv0xzfWlDKn4J/VlqvsvshrhfP1Od/ZBTPQ2Qos4FkiK0JrQ9P/1KKq4
pS3UdTZHQYKBlybWRhXiRCtvT+fzkq42ITjVc+WkF2xlz5vOu3XT/BUV65ve4b+1QvgvZ/b/b+d/
x0M58V+nj18sXYqO50P4+M8XvU3wkf0PI8EPA9rnuHygZP/TehjE/0CgEft08VDhBKExWvxrgneR
nuBEstGHvf3T+wTvxf/gGmNLNONe5OJl/O9M8MhYjQzlX7IbXGMYrLBEenweixBU+r/eP4tVE4MS
+Nmppz9HAzdfV+AIkJeTwXVPniI+G7COb13Peh1OhddNZyFxQ3vZ8DxOS60uJug5f5BGa92YSvIn
Jynug8xZu62CPLrXsnXOqLJO8PKDQV9JWXSvLeXLclN0VNIpjvsv40hXfCPGiqgQ/LcPBaQqtZ17
MD30I9vuWM0eiwCqkezxEiLA55p01V7QWKHBUftfUj9OfjiI6s4l46aisOyDRhOjldzUiOM3PSA2
UhFtSqZNeqK9Hh0G0m7CJqP+1mjhPqlc+i9OnqfHfsrqg+1WzZk7x/NZO4cdkhOQg9Rnw+AWvaVh
sLjrvqvC/inLx/5MUNL9EgXT6xgrOCP5WKoTdidfo4hObYrag509AEYqz+3Gs5EsT+0PZAAB9UCm
ZW/ObtA2hIAjFzffpSsxPlp/R/LKmgBs2Y4bMNtB8cwPYcOetw+w1ocSPvhC2kA57rMcjINMgydt
/YAbfRMhZ9qQHDw8W2Vs7eSASi5Sld4OU/pM6VFc5+uV45/SLniZNPFDrXTulkQ9q1B+oXIYbtlb
If8gYSmgJo6mNwcRV4O2nIk/osGT0qun208z6Tv8421GSFsbswiB7FZ+zfOeSIMuso5RRmlHefDk
VpjQwM87jIn3YdEuj9hbzyjn72ug7Qm+/aDyOIvT3reXUxkwpZPadZ4FqX9e1+kf06R3o4zzLbBE
QRfj2ZFyT+TNkR6oddlimEOtNhlywVpvy+ilIWA997rbAegm4SLi26AgyrR+tAnw+Wxwzftbz0sg
jhAdA1fxC/a0x0wEsGJb+lQVEVrRiRCOfZBR5yfcZDrzYZaBCHXc4UQ9wNpPwQJgvAsBgBerdH+o
yIa3aCWAxKrA5ha4tXRgRBneUbr9gAw4R+3gEj0+6HzXlN2wqxZSQaVbckP40JKPiaiiByxR+X4d
3XAT+MXd6mbEs/cjJ4x4wh9lZvZ6E+hrupnWBfP/cLBEQokp6XKPWW64ywPAfzZ8iT3hAOMBgRS1
pqLKxj2U5aup8++pLCxf2DvMx3maz/K4NjFa/SGheXhG8Ie+jljkflr7ipSm1KuetLgTGdjqkFXi
kXD7+H4sCV/CXgOM1EhoPxFPK/eqmNozmHW4uMDhk7Nojd3nNSAleByqnW/XCOMrpwRFpobzTjrO
K6it9EzatJVshKwN+S43dmbDLdfQyR1Nc4j8KnmrqJ2du36zUuuOvW9WKOudpeaL2SWD29CMUf/c
TdCbti1KsDMaGASdEAF7EIk6EYCbQszrriBhxumGiuvnukPmI6u2/yboW8lSEACiWWjG4c71BtRO
aA7sRbMdCU/gRdHBpNfFYqU8JXWzj6iWbBBclXX12lsQyryUtE+0Mow2cAlSe/osl5kgxRZEX7aQ
gjbPVzixnlhH7eacSl4p268s9VdiLoFaT/m9M3Ai09HdIZHZlnABqdOf1VQzQNetYXIL2ui6BDjU
DyETfPaIMo61eUU070LXgR7ncz6nMXIyGGZVqaiyjTsvgGsc1C8WOGFUH6QLXtEzWk90wI55yeBs
2iJtbH8Ngja9kEMu7zwWYuNkwEOhtrZOJ3fatq6SSjqXY1yz0mRTv9N+BDGkObK49bCbrD2oBEoX
CCvmEbq8Jm6rIfFucS0gOkFWHS3f2U1RAb1yLaeNG9UneoP1Vtuk761zdrLtB0v3+ckZ7JXRID/3
uvWLwjRGbbgYjm1FIly/iC92PjyByz8uITmc2KTYkKD4j2hB7izMegQJBEDqhv5r0fZfF4uaSc/Y
siOE9poUxYkWzzhvvdzvT9OU3hHWs5wGv2tv1jC9wOixJ2m43qZsrB9U3j9h4VaXoehuZ/uL1ZgB
MRmOvVagPaPlfLbDY9KMewABV5asQFVYTDNxcCNHJbZFARfHF6B3+JCDCgZ57Y+DPq9aHqG4eAaM
CPoM5j390mUHsEg/I4TH8R85r3QovefZcgwPXpwFLeHkdj9+iaHNbWUhngnH2kdWAmtmgDikggu0
CdYNCDfyqpxM3QnniB7hPNCvfTz3jzwdDIR5sFzP4E3JrZ1qMqr7s7AX6VH00xF9Kt25rL0GTvBp
xTpbVyr5jGrhc4gw6oye4LxzRUFc8eiFT4k9Xaw9+iLqu0/ZZF0Ec70nexJFLhwAlsDDeF4Majr0
qnXZxOfic9XN/idP+9WnFSpMBKEOAW4CzVcvh2lxiy36zC+t6TohbQOyniXh2RgE+8yn+8XFu0oT
MhuamLq5S3nQ36Yr7c+m6E95GzoQQTJ9LPtoi/8+JuorQUoCUmXroI9AxxYeI6WeytidLmtZ3nkT
nY5u8S4Ct9fHfmm+F6p9HuJpR6GeHLJMITTOSL/J0u66DkEju94N0gOg1XSNDzrJjjLswc4K51WD
9ENllW1gisHcC0YA8QqlaTBQ0qYDQ/Kgc4sqoNrWDoA6kkc+K0eeHLRobGfb8KpRoXuPDNE9NDMk
3Kwrh13TjfYlTcRlS8rH1ppr947OQX2ZTHO+SeHS7vokAN8+2+qx9VrSr7JhHyjYlelExTELTyjL
NrB3kLCO7PXZ6R68yd+nbEH3wZD7OxWs8U0RpDvSyA61isfzwK/2sU3aGIiVlXZQdcRLFOzByB5W
6v4WjJ1NOUGMY4tIE270l2OfJse5qw9F2kybuVgJpdL2ExJTuXPc9uiSi1AsHgKYgJnJjdQ1UXUP
ybDCKVvUlRWPnMKUAoTni2hr45vd2Y1We9rRDOHktsED16d6pTqLQ4sATH2bo2vbgD9rmMVLiM5d
RDxeiSAwKfeNc0N2bLEfJOuHME7OStNE93pGY9KPyX3FIESD+L6z5ssAniNUK+fahcGLMKyNLxHQ
sMwq7KcGFPqmnslB6xy7PE3eUgN6s5erNGDVNITXeQ5SLY9PEcbPs3BisTANS7RR4fiQ1ExZ1LGf
R1b7Zz0ZxDAuszsgOftwHfyLFAUvu9ZQA+7JUvtMZQm4RmpOuxrL4FOK738Lk+mRZ4bqu7cbqxIu
NZ6AF2kLstCzPDwJXyY70mu55XL3+xA2zR3BUbe9w2nzi4nqGyus/03dmSw3jrRZ9lX6AX6UYXI4
sCUIzhRFatYGFpJCmAHHPDx9HWZ2L2tZi06zzEWYhVKiAPdvuPdcw4OOqIGBwy5EmOcTBenoQx5l
5mIlOHydLbG/v4ADjatWmNxkQ3mGHbwnwYfpEREKoSLnkbKHpUqnzZgbc2z5k0vQRDnttbj4i2eo
C/rY25lL/8m+1j2GAk37RL+wQf0S/xlxsW76wTE2ZV41LCiUM+wc6KLRSunLZ2uC6Cd+JdwmkdWR
JwF/Qlso2Jhnh1sws8aLVzvfVmi2W9A+LIGMRFJBlkwSG50ZUw1D+UlvQvijFtqrSz3gmGBfNq5V
lhufjGwkoziifV07U4+J4U671Fm2FGD7zsCnKucTHi1850NaPwE5AqxquOKnR+vmNxUYf/SpbG8j
I11nqBICcFU1NOF22aEoW0gjrE1Wt0WoVrPXtAd0LId5MH7hSH0bxI6vaxUdWwyYIek8IqnCx0qB
yxNVK7eFZ1W7XPwieijwlVuPrju/dZHu+ktd2DsCXV+Le2+CwpzBX1uSY953w4b4kC90QjsvmpYz
ReJWUlPDiut9pok9rjbnWKIZDhBoFEGNhXllSn3wh+SBtBOOm8L6GzcORXvX7iZ4Fnvd1exHDUxw
nD8OnhWfNcXwoJN5ek2zzoaSyvMv5pubWM89H/cZziX/qk9X/+MxS7Nl/2OEynjMewZkdTa/Lmn7
1bjpDVzNg8FSjGfdQIQha1JUyQtG/dska0eWFB02CSzhDB4QwYo5HWeo9QeLKuZxcfsF3diwBAbJ
40fCNq1dSriFT3Z4vW7cQn/oR4Oc7vo39CI/N8pzsSRqRTonYO+GSo37POqXEZ1L3N//H1YQ5XF1
xrwyvkPB1Hw2xsMzfaPN/Zp4Po1s/5vIPnxG+2ncxFCOP6TR5why3PHBVLpJkIHh5F/kopunOLSY
dREBxNCyBhFHnaXeUXbX2zQ0rW8IpM0RWINcxSnly6C0K2R/c78k2QbcmneXwq96S/06Slu1pK6v
MnEnNZv5a0wqN5JkL+HUUB+2sfg9CgImjAZ3HeqeVZGqcD3AANEgKS97tB/bOSaYx6A1YdqE6YpE
2003Z/nO7QkByVK174c0RZMS9SAjIvWPC2kd1dM6TDk9y7A3EMq3353NpqvEPm56fL37QFur05cF
xa/fWZaqV3076md09Q85gLg5G9utwmxwEIhzGU9GvsmsMM28IYjAMa8B0LZnQrXOZr5g2AJ0YI1z
QATIR7mAS0Mk5NQXL8w8bBJjoEbLfnPH9EnYXrG3+4xgV3c0IBzNXwV+CG9FEMgPWYNPop427N64
rFO5ivirXmQmK03LbER+VxqDfdrvtHtQX7Z3tPyclGrPdt78M3qmYHxqvMWNCwUUjjlBtT5Sz78N
ZPqJ7aLsAFBmPYOAcmFIPUmynow5GKGqnTIZOseqwmBNC1oj5G+IACLbJ6762I/rRRzxX6Jd1kug
kOAYNqIvGOaqS9WVm5xP80k5DFAK02GhYJfEjBTw7YqjLqhiRuzchzAGyt5oevgmTPbnwzhVrS/r
gvAKS2RAIzrrcZpdIiXZYRzAL9Jcsp0+p+xHWPJb9Rb44LWV1vjTluScIaxjVa4848krHQqD8d4j
OFFP1PtoVk0Q4XNYGSOJo56HrdcnBDAPmF4Np6k21XPR9d0Jvx/OOCsaE9DFMr6ZYe0EGdC/Dd0k
KcQegRtubo879jchVhUycVZuOvbfbbwEqrHNrc7+OIfMhlIysnl3DTkCyeuGJwW58xgZTrMXekeR
YuUbM44rQjNFfkSC8maJ4RHi3ezn/WycC1RuT7VUJ2yjFL28wyuvgZoGRjJzA7Ao3lEM9WGApewr
XeCKmSq11eZq8Ct8ihsdvt0qGo3kbl/hGa8q4mKwBv7YKTVNoHKE8ZP1GVncqoQiZyuKADpXIzbf
nDyn3KydTK0Jl9JXU1J+TmG09UKbJZGaKEL7A6KFiIY8Qbs39LrvtBpwXEQxaPi06FBMk7eO7Nzc
akvhvs71/AZQ8b6KcKrdSCWGdJ6XG3rVJzreKkAW8lzNHYTkrNz2DYOZuSGEcg6rs7nwZoKgOkAJ
QP09IeUPG433aZAagG4neWk51NymNrlWy5zwtJ/BsbiMoqFE7eWWez2to7WSTEmMzHzRSaQDN2TC
qXfFtGKEOe91A4Q7wpyAnHbkJIplyQovLRy81NsaIdxulgzlqTKq9xal0gb8pk7X0RM6a9TWdpnV
yeS6MYkDA0pZmJwm3kPl6HAnkuJryvViU0KRCwh+AGMts4PWeqgZ+h5ZsEjOatS+o7C8ssD/S4TS
hvC4Z6nS+LXxRLbGQmD4wilQCCyJecV49pjrwnt1B0DTYgStzRSsWIG3EusKuuRPRfr0FiTJi5RA
hatCWkGly02UukfgXJsFocuain5ez3Z2RC5W+F6SUutE0RPR5peims5ADuOgb40bdSpbOUMA03Lc
17plTjkltMVkf6MKXBeRnawTFlJSOu91O93Sad5z8z/0XRtM/wTpoZU27V2LJ9M3iW+H5khIRraT
zvgc5k0ar6Qz1RuILjcJvZYfiAmYU6btauCi4BWP6WdhUiFfj05eHcV/QhsJNyUxu9MkT6KPKO7n
NSFbM9lgRrRprZaarCuoLBzi1/PlZhBQ9SfM0/i8zOUa/Ut8qEddrmHevBrMR/+qinsHZNhBdPwN
6OilX1sQt8PsB2rhnjbQWCN0oAMbNk46iqDp89c+HXYMZMq/doy6ewwjLLZaDiQFxlfZaeUzCPLB
n1JX3ovPBJtdzy1iWt3DJCbp14llbAs5PcPude5rvuHtrtDfV5b9zoyX7w4LEU49bBTaWJXbUHrO
BmdV/Lecx9sdSO1nExcYUuXN/RNZs7JE82MyUOiWATwBgyodhDnnu2T9gniPyRyjTZXwGcVzebH4
fTOhmm9YoRkMovTZWoa3zcrmh0lMHBiAV9aW6Mhho7XxRWkwBh6z4bPmOMQyUz2Lxt6jgbwB67rC
FFOEssgadCm/ZW+234p5etRCZjVD0muoO61w20yEtfajXdz6IjFvyJg5PsuE5MXwo1LRGd0Ve1JL
u/WgNo8S6PtVLt2hk8Jbaem8HxcM8uQzww+vyBwHoza3icbMqyiD2BgOzdAFgtf6BSCR/FIj23HY
KMz5LIatNjEqjj42l/HuRF3KZqc09dUvIekuPS5uEiQWCFLohQ9jviwrVSSfzI9fkP/9csQDrPTC
+qEqh7UrEdYqG3iSdOT6Lhklpw19URKFkJRGYEdQYrBcw6pugib1pp3IiOEDYOsnXtPRYc4jOuzq
OLQpAZHRWNBJgNj1CgWpeYRllxxELAaA7iz6exTYKxjmVEUc9itEneeOmB/SyrO1FKkvNBTtA+Gj
Wl3WAUK8PSUtymC2Awd+wuEhpHsWLdPqxgzvrdDowsIlfKIfWJF3xLRNY6lRodcjWSMKsH21HNAD
QZFwi+iBQrFlvJy9xCNjxFiYw9rzJvncNjw2GnlvRBw1m3ZxdyRafS5jHj2altiGtXioPXuAUroc
58z8E8MKNef5F79dQHS0F5RFeKjZ0JDOwRjDYfz8W4bGtW2MI7Jq39NV7LNo39RFhCe6/bV76a1D
jc+Vfr1dW61+62zzUi2jvpm9LtnojpETnEMtNpjdSgeffbT1Or9IoeXrtrbKn8Jli2HOtw5WC65R
eKxYNEtg9apdIQLP1olun50x1LdzZNbB0nE82VnpBggoTo1U9lZkHQfcCBO7bivhky22w7nmy7Ba
LhkGcyauFiEGo+538qOTlTqR1Bn6aTX6YJ02OcwaHF1p8+S4mnoELGcFdUgDUxSg9PMmOeq2ug+6
6GQwmjL1MkOiXfun3JQPCLqDqWJITh3Vs4NBqpFV1VaF7aHEF859zuQu42TS+6t0LrHhRIHR6tEG
5ScG6Cqd0KFbj1rdFEf0EMvGSZiA1KUMEupiU2unwBzN5WAbFGJsNZyNxtdfd027sS0SKjxtT4/K
lEXMf0sr/Ws1josXMcO9med7Nr9bVTXrJJf1zh3wMVqvbmzqv8zVMtoGN/tH8f7X7bWPkDJo1SAp
3zcxgO02BKnTDlQMWbIdc+2qiUhtsYLsu8yAjb8M+Zbs+f2UXlIpd1ZfnVzcwWvBjL3rdAPArqSB
MJJyq+I0WndGcm6IH7pwikds2/R4Z4ohPKHjJ2SyjBL8Q3PTMnR6L1MzOvQMcXgMJ+tF0cGvgO4d
Haybfl4vm9St2UPgazrRXnw7ufUUoedZ8bE+DXB/KNIMokizKFUrFGDdLTY68NToMwKA0pCpmsaP
sVmtRwqbuBopqfo0/IOBxyFsZMCi4fGgmYbZ7Qwv4ZQbp+YVj1LOXGy06yd97vtn9qQnyOkXxPXy
L+3lrS4W49x3Y1I8iLprKeVEnP5JTLEHj+5jQF/JuYpOZeSEt1mRekulSYwdLnAOqam0VksyN9vw
viqoi1y7DVH9KFv9287nPJjSomDYP+zYFIC7qu0nPKVHxpMLx2ePErzjQK2k+KPZ+oO858waJ7fU
1zaBSfuJnEuu0JIF0ACZhj5p+kJ9vwThtLybaFq3XVPcGM5yFvTMcAnxshCI3wzTgu1TFI+s7XdW
xqx0tLBc49ANMmXtvOwlAYrMZOzGmaj5bT0PfhtFz6XJuwPW4C4eHYbAdLufBNcSvZ6VvQpc4ME8
pJuhz3ChmZAlzeJK24epyZhY8WLuqLX0MUtFv1bIukEfY4noo0CFxWYaqp2mDM8nffSCA5RMmsT0
AZ6hSk9Dth7R8k1mRklq5LfRNeSKd41Qfj6NLE909TC3GTH0WqE9zJ3YDEtyhneOjGZkmWCTRVUh
TRI9ZufB3WeYAdZOuDwk+tBs0aLz5zE6yQRo54qUWNYbnHKFqB9Ct30jJA0Z7iwEymcXWTz7xxmW
IJSbZL4mrZMh3A5RLHuNOMQLIS/AGl51q46CmAvNB91MzMqj6pvDUJnXjo3viivHJGmQ/ExjGVzy
LyTBLgaB8KH3oFzzkvXMtYH5rxcaItJK13ZLettoedkq1pedMVrd2lXE4sJwb+HQM6JacOY8mNiq
VqxOrKdQN5311HkHBK287LLANUFOVGYTGMcwoCGKekeeG4kwTd+vXIACJ6u0frGUMLKAYK3nJTsR
MmXCvgrttYcbZg82KacE6uFyDWMfbyuKRIDVcjQ3jZvZO6+ZjD2q/AhUNY7P1UxRH62NIs8eu1Rp
a7dOzRcWsMcoMzcO4RitTB+5MkGjS/fufJtOVR8BUIe3VOWrxGt5/WdN39KL8OPaZVDAh/rA12M+
YUx8hyk4Pgp9StS6sOEfZlWTRn4XGWILGoBYwEG5KYIlA4uKZ7tXLU0uMRRBmgaSotPJNh9DfBef
jUP/3pLldnS1AiM/nwolKoZYjRxpixATdk8EGgwICzOyuondC/+Ymv1gUJyM5Tu/Wd8DxUseGiCf
cSj4FtjQJv1LytU2QjfWJd77nuAFKk0w9PeVQH/QQNbjTAHP0ZbMR8fposL8NreTutW9zkCjoF3q
pm0FwMjLBYKD5Z6E/eFwL2ESe8yhKnpzlmV+300od8fou7f+9E7NWhn9brSyvJTt5rewH8haXA1C
bup5ubqK6UCaWoei8ZadZ7QJZq/h7DoQ65NDkslNTJq0SNVx6tHvzbJbJ0y4bkll/rhGPZ7BmmSY
MPiWs/nHW/I1qanA2elPl6rhROpHPFF5zFE++GpRxBvG32qs3iJnV87D1ohCbn8618IwP0KPIHKA
WftlripKPuzfRCyH1A9hSZ+HH9v2BhYUOtLpzIZxhVsWgwjHWETg7hrVwUehjbemVoFW2w/5NH2S
UsIcGyVNA68w6cpgXKpbOoKbssPeW9mLdRCKz2OcQ+vYWCw5qvqiFlaN/4xaC+UyrSSoDe4C66Y+
LQIoC9pagp1ae3rN0eolFhpqt3/FIoz1ZPSIKinC8nXUE/ybQot905DHRACY7cud6+Tfo7CuGhFn
LGzc5mxZ+h4DOEqFyTH8PFcbx6oZ3YBMaCTKTWI0Xztp0LyZQ3auW+sgEV4hLdHUrygl28vBIzDJ
k0gdrUp770xF9F+GRrIGxrG6I/SIZE0Y4WlEoZbZHUoN6nJzp/w8LyPkkZVDHs++rfF/4vAbXcKI
a+vNhs7vgB8dom1kmNp5+GdHkZN/nPqNnPlV9m5afKQGKpapX4j9I6/jobGRfmyxLPB4FdqrnSfy
OoeyPKctg8ZN6tBwT0SJr8zK7B5wFcanO7rt0RvM9iNPpbg0oJp/wiFV7mqZxoysPEffhIvLImMm
8pXs76zi+6rjYs9KEm6PjK1jm4QuHu8pJI1oENUWRIRkIyyzQM4KMY/IF1YnhOSg9ct+bIeMLCuU
zHZqkyCmKrUI0cu9eNwSbDk+9FY+bXUeRuB/iXPJVWm9R+Z9m6uP6kEKm3pHNuJ7mpLTZBnDN6Nc
YovCeHMXYBa62uFheBAVmet8WupEKJD1qRuz/rgMHShHwnMDHMoUO3lEI6URTT2YkZ+QXrKdZ8KT
RT2Lm+X2xk8B4ykwyorsKfw6lIDt1nUKdgC0vKcwd9480b2iIzBZroZAo8d6U9uD/aXsai/1M1E3
59nmWeAJSj9TMVNbyEcxFU+lNr0NeENXk4jldlK0AncLD2tX5xbmDCJT/slW3ZDrv2U0Rpcyrfkh
hyk8ec2QPcy6G0icHIxOJzQ4mzDvKbf1l1a50bhuJy1JVnWCLQB/CKjaAWVnWhP8bsXsImojRXvi
0J/kxXRM8XvomOd89kXeIyHMa0HasmtpcZBU4/1la9kEo+iCy4yyl4kAqhkT+QHXwzplg/mZmDS5
w0R8NLlAXWBmqXV1yWnzk2YpfPiuuz6JBmZ2pJuxSnT2DPHdAAGEQUPgSuM5rvKB+A7FN80pzY7A
RGfKjs4l9btuu8vcGka3GxWkQQPNNeOcf4ttsW7z2P4YMGChFVFsFIT9PRSkJRai2LnUDmv4UuSG
SsxgrNzoknU3P4wd6zHZMOktung8IFjT9kM2u2/4r/sAIAnLazlrhwyj/lW33KXz7UKbH5rJ6wJ2
BGTJ582Mnpk6mpyu2Qf+R3PZd005r5zeLL8hVRdBr9XDEerKslFmkm/z0rKPhhqSwG1n/DSL+OGy
+pSWt6+TkfzXKOLyry0IwnMSuccmL0uuubk8M/Jz2HrmyUmbInHuh3p6qhhS310fGvMH23jRRrMO
14xsh9PQq+oHR227A2JP2FQHnYG7ujlGS89pU2ppdVaWLEDChP1P2sXZk3D6/n0yaxFjKyNEGUB8
xBTfHBcCgiMVyufJdMZd0jfJ7h5JspZRdyvzsbkajm0cYU7Ye2xD1b7jsD6WcmxOJLQhQRIiJOKj
LaYzPAMi4lsUXE3WR1964ur/WGfY9Omkl+jYqklOG8PpVgJIwqW+FEOQt1N4gZljbgqNGKGS9JOV
3rVcbohIaL/yi5Hwm+/U2aSkDmi55etgRPfaUCb7MWNsgxdYXRsF2aZzUMHYsjaeZqOI96IrOhZX
dD2ryVnUpWScQog7oYdOO4wQn6zoD7lvTDKMEg1dNqq9gAH8hiqv9u2uAWQkxQ8C8cYXqlZn3TCa
o6FZ8Yud96NcuySnUp7FF+RaqPtRBVVsQGU07MuoG79kX6pnA/El2Ywzoa7VGSkbv29DB6K0WPkj
JLHho+nmf8PIsQ3hlOpQDfLcwAeMh/cEm+XiO7BsfKL/GDKX/W8s5v4hzDHjMdadgrRBQicKJ72Z
NqZUKy+QjQCduQ65oLnssiLdpb3BBAAcR3g14f7S3fFa62lpnHi32vXi6vIe6UhNAzV1b+GgUH4S
5fy2WtIqz5UXfWidJLzKkwjFmJqsGqdJ9nrcLJuks2DtAVDZmMLuj+7YaJSIcbyOh5CfOW/hDWly
ugJ2GV61OimufCXiOLvE+RLO2OhsjhIbT1ZTGC/oBsBuR4UtLrHrPMayfbNTVPQx+tt17pA9t1Su
t4tJNbvpzM+araab2SVevOFc3OXhXdGzBM6W4sMbiNyKMst7wFBZ7qSx4E3F5HgFDqJvrKwpHlRV
OQzHmoh0W4eJoOyqU0GnwY1eRFg1K0IFRBY/Wm4uECWpeLeQ+cNYoS+uQGKm7Uiq+SaFQvPmYKR9
MPI2OeY4VIKxDrsgbS1MFjYquH6OTy2Zv749DcJ3WKVxcGWs9lrbfPcyO7rUCXl4kZiYFeIHH1ZN
23lfQzjBTovM5mWMhnxd1bX3HSVC/GZ5PlyJpQkvrZhqcJvCyXfsGTwcmJB1UPLX9xLJdfNrw7cN
nrRU+Q8UtuQVjhgDde2uMfSa7EGL21esmwTAZbn8k/ZT5d/bnADMkRutQ6OaTpZRFwzCF+amIleX
2aoyvy0a/kxXzmYkB3PvGZr5vAj4B9gOErtZ9RRaJgUU+is6XeXiEarukD9rXEfW0P2WOKY2M+id
fVcxueMI5FuQcaR2RZkkl36YnHWZENoemjljUwM5HyFl+oWWNk52GrMpwlvNXt4ig9OrLcxuk3ae
ZOgGy2yVVMwZyfEu1WFwOs5rLDcGQ4Gq++ncobZWDkDko7LZhA7MxveL5kApixDtLV52F9DVOl1y
Lw9KCrXppibaz97Sn+whTNHD4s5khddh0xmV/h4qj5gJGbOQa69WEzHep7HVeILWUTJda/cJTlN0
EVm6PM8Yn0+ggPLY74R9V+eVxXXObdScJB4eU/YPQafQ6NmENHAo5dqmisb2aAxj/FiSULUG/UW+
EnR4pmxlvctyoCMrYxLRkUBOgiaZy66RyGFe78nKTMzJWamRKEtWfuigEr38sVLHvc6zLL4nmKmO
L4lZAePKeKUt9J9UjCZjvMKdt25DboNWlr/z2JfYkNKyGyinvOrbHByNwLsag5ZjoVwRQ/7eJnX5
OIu+/mIkgH4GkWGkzL2efGON8CsLpRQEj/TX6KpiXWnDfJ5rh2TryvHqq0QweH+msEca+eA8pOFj
Cz+eKa2lnrwoRIjIzlh/SVk1k/3Zad4zuz4UtwqwyTwirXEc0vxW3JfJ38IyIZfnhsCKg47Tz+Zi
+lFE2vmGTPUvJsLxjYUQ42LwjGivKu0t6Tlw83COkZzkA/pTbMtsZp2HrIhYEoCU+quPpvkSFaQB
R1iEiO3pKSqgvB4FmoOdDi3G17BgrPEpm/pqLDlGWI4njFlSkk8AaCwHZ5m7L0Nzl1ukuc6mtyb9
rv0agH40dCGmFok1Xtk+yOeRIqgIp2BEwuawiet4ZofJ5kbRIOjr6XWarLVm6fVtxm50l4Gm/LRo
7TAd1eTATmDij2MMBgYywBJhCSfPhg0BiD0oImb/ZCbMRlcEeYurq7FAw7jdv5AP4rzY8N62A3Zx
PxcxWWsz3JcFONO0Q9HeHmxFKnpvU2w6c1fQO7b9tjSXjMug9l4aDLY/WkjdG9bzVqtiEgD4guuo
n9ojFR0yf601opWjMR6iL4hveibwsxQMZqD9mLTQM89u4Yp3NEwR2ZthdTNy4qQ1DNWUmFOBBc6d
vGvkZtq1apIkGCUyvQhS/03v6k+3RXI7LxRyhIvlAa+751dwPlipdMkpXQz5VNn3FWdDtrmft8pB
roUWnu4pFRsL6Px71DoHY6zoGxMnPQmlOR/ghdP1kHXJX4Rek40yLOr28yTnJyyTGorizjDZwDMJ
fUxLtE8IBrRTnockKEqrTXcJML0HZvjLn7qIkxfRKePCGVkuPP+O8UXejvctsN59IaaZ98sgnW3P
RulbkAb/nnU0UADLwyenW5b4GDbxR1vlAnSNMs9ycGaKkK7rHwvu+bciE91tKtsMZajGYUbs6AXV
z+IrFRt7WwOO2rnG12T1xXNrjv24lrAZ5tXEJ+croMYC7W0sLlgKh+MobbTTCX/mNa7zvNiNcyvC
bGpWFkkAU2Aopk5aYrA9APyMb8Dz8ksa5i2bdGBsLy5z7Gcn42Bb94w06VfMuyBsmhqtI2C7aXVS
LLroaEjklCgYtfBsFlrqjzQI8W5uplZ7KGOOs2G29U2VVvKsx1nfb+wmyt41O8xOIYria1H38nFK
cuRxnkZbuYLSYzw73tKOK4eVw0pX4bLSaacDq5fRE3HJbtCZjX0YBqd9CRHoHPHHYPes8+6d2XKG
2KtHd2wh2VzDFmAai33lyUoIvXNdNLtT30yoOcgfrsfiyTW7e8J6eOzHxAomAsqPgP+LN7UIYka6
e9aIZG7YpgTcjxH9Jl1qhqqtVH/6tO4rvwNdxErfTHeNLtrAmJJ0U5WItQhOMp9zYcc+4E64Ak6s
iIcNxcXotGRfoiE+zgQ5g5uazQ2gPTwbLXEgiyS6hv+2vOUq0abniAr6qAxNWxWtZb6QfGLjp9CK
RwLpw1OvvOpprkXxUw2Yk6AFDMnZFgabXzALfWC7pXPfSNlIoJZI/7RQLF2KJiQOxeCqcHQhrqkB
5YHBvv6ZtuNwsu2C249M2IsbichvG624WF5XPtbNlL5ZKcGyLVqbk1cWyWWkqDiwzWcIbUIyWlm0
alwaLNkjl6hUJgMuMZ1CXrxRToR5mtFzTVX1phQD7dlywtMQqXmT1o77kyci/cBIav4dS4LOIwQ5
PpSVks7JLjZejgVplUO4e7DmVn46Tc6zb8Nc8yFcg39w04rqLJXxSwKPhqR6gjTO2ohgdxZt6bOE
IPcUgsuH7qX5NQLuslVNmrzD7SjWZSWXr6i2KjQOdndMtVHu2vKuvbKXaGbSPOirXmOuqCd3r6PQ
0u8C9eqzcPP+NCijOeDBVYekXLj+La5BbdKw3OAjX2PrmFDOl8qn7+v+jvGUHjEop994kqNgyho0
QbYQnk+lAgibsirOgsVK6bR7TpWvorGwz9qmgU0AxCCgimKEaOolP02S3aj8pl07Qjco2FB8o1Fv
jxmk3X2YSAcPtsP7x/Xq6sRPekP8BxgkVEIopYDS3GrDxK47uMyRfE5VFta8lOcWFwzJuqgcM2ey
9iOmlU/q+Pivh8jxxUQMG28BLYqD7kYSv3fN4uFuUfLQ9xXRMwnGrPM7GJ07S072epb8HwmcctkT
jtOW7rw6Tybem6lZRrrV3sFn40jwaIXYk3ENA2wuly6gC5FPRp2y0sN5FkH9/NMSP/eqDKfbTT0x
lJGTxM9GUtH3T61gapkxlamrGAGaigY+0N6eHmUlnZ/JrucGolFZbMdpHukYwgOHvMku3QwvCQLI
X410bsYhBnHHpjZiNqrrhAcaikM3458e4p9ElPbOqgZ3YyKHZifjlTsjjQjA5b2htPac6QCmjiV7
3BfZvrl3VYxR5oNo6uE7hDr0EsWCMGnbY2s3Sbf+aexFbkSMSs2cGj4BfTZuy50EE5v3mXAzNZf/
WEVszJFtels7itgjC2c+VWSYnlhjmV+6U+sfQyHm3QAb5gLJLX0D3Tq9kzeHn6TRUXHgqu/Vfpzn
NBiJGwocr7BwFNjeWtaIlPHazCu2wRXhmF0VCO7JxIeuan1ZVFWnEjvEHuzlGK3+wxLbayo9jnZ9
SLgHtI/uN12Q4yB05qgsiPpbseNHe2KMfWDqBsqtPlyCvp5Kn4GKti3jqN236LbXqjUrxlrLX3Ci
1YPjleg3x2Jkv9OXDoWga1jsWe0iJ0Eh0XMQ3fPdNghemChxW7EJZg9EjDZl0UkX8AHmTLNPDeQS
0NrZeMijudylnZXQaUdsY1w5JW+LVCwzeQ5ZYVEfXSkpzi64oS9jHs2b6LLsNekQKAdKsnUHTChB
kNX9qagR3rsIysBq8na0XZQ8FZP27uTUj12TmweYU/GhSpr2ZVriCfdGYV8jbEOHsrFBZerdtCGZ
Kr7+B6gt3bgtk127QPSyas3bKEFqsuUwp0oUet/UeOFyYjPf3S0PXQiofNWIhR5Dq7vvKAqTNVBZ
nBOWKpaZ7A2eNCnN5pOjoQxoWJYN6A+ibefCVKv/JEhrpkofnS04NaIK4hipR0uT+5+ujR0iWfN4
NyG4e0xD1MWaA3bKsNNxm9CQbHt8Q//6tP8XfMkX9bd86sgS7c5/1P8HbBKBl/h/tib7FcuU/3NL
vklY+jdjdf9Dcil/519nsuaa/8Xq1zQoHS1JJAVW4v+XiurK/+J1doRhsVR3JYlD/9eZ/N/sndly
40a6rV+lXwAVADIx5C3BWaREzVLdIEqqEuYpMePp98ey+2x3x+kdpy/2RUecsMNhV0kWiwSQ/7DW
tyzrG99AYqpleZ7yfAe7MOfv70zUbxJvg0/SOux5lyfsv2NM/ufwBMezHIsISdhwJIcQjspL+Ct4
ZCGiQ2aD720I2GQqjLj+oN0Wi49Vj5cSfO5ucBN1qlh9ciKjni2RvN+XjJmf/vKmXf5wQv81atS6
GqD/2yDtOK7HWe04QjimZzqW8082f6NYekIFVbYdq+u0wjdRVwFz1keDGr9iHUh6cBPn9i1WHiSp
hhuTMS4pToC6flC71u//8wty/5nt78CQ8R2XF0RAB2/5P6cQQv/L27jp7A1gBfK+/AIgMmv6QzlH
1o1tqZ9M4qdg0hopq08Q2G5CU3zjx4O3Id/FPC2o2C5O2JTBvAjxZoeGs6PcKraovldzj6+mR8OR
r9FTqnPnRdO2dWeeCYv5gCHjE2NGtGFMz6QjS/0z++H4tmKOfVSO1wWtEIW/ouXSl7afjAePAcut
jYIPsQ1DiNCq2bnmyrW/xCTdXYGjl2FYVlJHul5Q9fk1tafdjeZVJmYU/Q6J+CewJEAiVfadFyL2
BtX2z6HD6kvhT8fSSk5nL3qQeX4zqUi+5FDItokoph+ZJePtFN/mud8FjSk+PSN7Z7J3O8b18zh0
LMd48gd2mZxJA8nffHwKAbPe+D4KIc16E2+wai3npMmBQX/boAtn1n9eGqpswYx6m8VO+1yOJQQz
VXLYZHgz29wSBzJ5oKNPcmYdZmMsszJBXVrJTyBaoERAX/ermcKu8Se2SL5h3oW9Md6PVmrw/okQ
2IdtIjFa2NuPhUmlUA0Zj//EaUmnj6Gl/chHqoYj99IJxXIS7rWyMBwjUEFeTNqJiQX3pXbMN9fj
48PFolZF3GLpcosP1p5H0cZfru1+rxoe0VmOWEHhj91HHUHVTLw0ibWtu58RD7Nazz+VH6ZrZcGL
UdV4IEYd8/nANrWUotv1DkYM2i8Uyc54Y6YqfrYTP2M73GFAXzDzDYsVxJX4gN21bSfLPJC7V6wT
DpkVgYD5k6cSd5XFzSnO4xrJyfwzpZrAIsB6bhoNjS0NPZl2419WWu+ruXwj0gJbehp2ezicCD0y
0tzDzHnk+KGSzgnDNCDTL6w+gnz07sRSIXc2fL85mCidNhkb/bDXbBNNweir0uYFdu08bXs/xKxB
XOolCqN5Py+9ema5ykfaEHmwYE6lQ23D5BjCJryr3Gy6JAKgRuBDLbixdOteSnzHp7Ib9fVK1jjw
ai9DqNLbNSK83gCIHyg4AzfX/OA14PZxXYJLoxjs5x+JaTIKatwdzm6uwYUFu3cGGg0gdvQyN7xB
aVDHd9XgjmmQQEFCIgCPF59+SBDARJvCogpbIqvPeyr0adkzopurredMvBw51pQnvZ/dEYbLRDB7
K5eKfUbxZCa1s+6gOQZdiA5g7tAXA/ykP3QWky+N66OQo/Mwp2zBIqZiW7uxDWYuja4DWdk/YO9b
P3gCZxftwJlfhYVnHgYT9k8QZbODBCA0fpmx198rvzefjCEqzyLEcUASitf8xGe7BJWdNVsD3AqT
/pkBN/JH8LKjXjXTZO9ZoYVQU83qEIYUdR5Tup0Y86IPnImJr6/S5XUuuLHGyWyf58RVO/qJvW21
494eE+8r63hor01rbN+RsDaPiC47ys+hcMFYgIBYLbU13kL+j3fUTch6UlkPa2pxalYT/fHUCIBN
MxeatvUI7d6dsoeSK4xnGpfrpZjYAsdZa+SrZYiTcotjJz2YjhdmLwtDOv8pFRYGrsnydbfgXHJ0
/WvxWZutyIGwwttEynSrVDvzo7vU3QiuTTatZe2ccWuooAAZ5754oGafWOaf7DmUd9gdy4vvjIgR
NPJ2tJrSepsBVCRAqXH/YXj/HHPEhdLyxCEV5chSDTWtRKS3q2pVC47QdER544ybFL17QDfNgqdm
bJGVSC242qdq26hwOvahwAI3Vr31dCWIh6tmgI+E2yuibTT1NF1o47+LKYSYpWd/4TlRhqcm83Km
PAPwLFCrNh4apC6fs+c8Eq6Mfn8Z/ekC8G66cMnQRbE8PEF7jGE5lrGhN8CJrSe82dYTS7bpoti0
HMawBdk88MAwIzAgQHv7x9jX4558oQJ9UpE/2ugZuN/HA2OV7NzLfsZpEJr6HLF92zD2tfCdGGMw
pnm+T4q+4EMsox9O1Sf4Wwcu8GEpHlwXIpNoBN1Gmnv+SaW09qNgKiuyoX6CxireZ9sCHVBMYBIf
EyQvQUcXtY0qtkvXHGk349Hns8QSWtZnL5buKzO0ZmJFXKXnq5olMKKc9UXpOe1T0xXRsG56oiL4
t2Y36pjdeZmp01jV2b1AV7/yIPr3gRq1e49X0OpXeWdc8doN6/SoqZe70m2YwgxS7CwX+tiGwIj8
wSgjxIF19uxUBSJQuA88Boape0JPdAIOJbZchOZhTiAJZAtQL5VbIffLMGKoMUZEmDNRJZco1ct9
OcAiAb9m7kiZW06FVRsvbV0g1CeAhthWbC46dBiRLiM22qx5zxcQpHhZxLvdIQQG5qr2VYiQOcri
8qnVVyxCY7rnmI3RZYZrcpsaWm1hgPSIMTB+dhb3XcSwcDtzbCSYHAXBGKAzPCRt/bkMU8FTK0nf
tKuyhz6mEqMPYeC6oIFeMh/XqE3mQeD25hWylhvigI9LzDiH+zFQrBEx0fuyflfsM/FcN09mmRIP
I3uuwwmCODeDTziqzVHH6jy+DBml4TqUbbNlSE9POMbRs4v8bOFLbZc9D6qr1ZLPxWtKFmAcuHnh
oGknv2Eg+ylggltx9rudr0HlLtxNdP766LRkrDJHE+1PYjaiddaxJPB0tmUsG170Iv3tWDstu15R
3iOLZ+Nse/bPOGOouf59D9pLzsUSl2xEWon/bO7ihRyUxLxJQ0zayArNvZ0j4RCNNa3neMiPU6Ku
zkMeEFGS9KeU2MJ3iA3+Ou9UeMv2G32g6k3utDArsXBYRiwDrqxqE5oTVJJ0ICrvuIyil2ezyu0n
jflkDeycuWTfSvQcvLPYoVTqi+4xZID6MxkGHgUo0HnM+N10Waa+TZ7x019HSWkMiHQwXO41EZGY
VviaC37qwmkHmYSqzi3t6fL7WG7sNkfD0Dbqi4ZfnRQokZ9layqc6yKS1lOWmry3DOtNcMxaW4Ci
PWuAh9d0zGgJCk+nbRFF84V9KmxW3xrflP3bmh6FF0D7BaCYa7fhiK5+h9zRnkNloe2WDSOf379I
pcEFCQ+RfyIzEIK7Zazf0UDoq+3EAXJmpA5/gEriB/EAKeP/nWr3M3aK7MsVGaoJVCGCJUMhD6zO
p2gzTjhoTcOt3/1srt/a0eD6pJlfrLXVufyWO9TvJB6ZF6YEqM6nhh+e5OyPu75RDC8IFTIei6EY
b3Q1LO0GGwD8hLnnV30J8k4Ryv3H2x+pQd1Jp/mjd/pfaL2fqoK//wN6bknu77/uuR9+1f1Hnnz+
rfr6Wxf/+ltQlVH11/b7+u1/kj/9b64UrkWuLI4MU1w76T/Jn9Y3C/qjpa6Bp1Q6Erznn+23gO7p
E6vuW0oSYSmureGf7bfhfDOlSXfn+QLhDUC4f6f/Zs3wD20vsCIT5pEHEZT/peu64p8acNtwLTfV
aCBd4kwFi8GItOdZAM1sFogUA5ZV/IBLm+WbkfQC4qIZKr7Fsk+4poQNg1j1hi8DAkbAioxhz3Mn
WhxaCw4OlzAz5tMqyFRVPM4FA+nVhCyt2mTtnLzYyGZUwPR9mjeVjTJyLbI4/CJRxNRbHvVoCz0T
l39PLXnu4HJWwQJ+WuCxZcyx82Q1Dxs5dUiKU29BBUdXOL00CSEWh35orfnV93QzH62ZQ3M9oELH
N5sAxLKtCiEgIjI3CWrw1NnK5uz4LlnJ1esx7lmCA9ODL7ZAiEeAlFTRgG6viCFGlVgYlTFfcWkM
QDXYgpm9wNAb2Ufh2d53blcbVwLj9Rr5g69eloR9QKP7ct5GyMluM+QXnAAcuV8VcR604p7mnFQS
luGIbTRaVUmVX+LK8quNqKFsoOmLbGhR6OjnTTRawBKSKgmnwFn8+ilJGQHwR0pmuUbJSlcpu2x5
HOHBEF1fOuF2GSEObEbNH2ZNABHUDzElvY97t9e7hA3l9xaUWcFcv/QubugCReldCGWw2Kn72W2h
JMmZRlNZmsDeVombpz80T9iHyo2S+RoK5sJUyEc4N94CubgUw0IOHUI8SZZIUsK4iP0eLk+Jq3er
TXzPO7txLXgLvpumDxRhnfuwFM2Y4Ksyh/Yw94ZXH1rWYXBYJUE5VHCLmtcJmjM8EErDfbBrZBJB
W7eoNFxtODrgoJnqHXwvOeOM6xYcCehEulNGmHB3Yn9rFNvYdVFdYskxyZiwRdkc28w23hqgoOmH
PwPx2sS8DkzgBgmuK8ZkjbUBCD7E+4ipLdDHiViAgPSbhfCArrFIM0BS3EMYjRU0nETQfzcT5vBN
c521741irOatR4lIPA5iQAudLZoM46lCC+GQKA3OIphno02POhuRHxQNY11III5EWJVGySmpheU9
JAj/+2cnt9MY43c3j+8FgVNs+PKhS55yIx7Tc1aylJ9GbyhuWDLbw2005Wq8053qxkMzTjAnSO3C
BI1HRIRIl1Umv3jdRoVHKPGtdcsF5GzbeSYm1yNCrL53xgGkV2RSDm3jZp6SDbuOq4MkjrrkYKUA
5whFi/tlXSC3y28dXXg+2CyNqTAuJ0McBZIDtWZLaVosiWbny3NomaG7UOtuTKeg8TGhFYmNhl9K
/zFQ6G4yh4XPfhIdQQmKWTJKpKWYKOnDwYT9FvZ1cWtPEU+uMLI6+2dFHgjYfFa53UURP2IG7LDK
eOs0Zhpt8M6j+iPgpSrZiCIaPlRg2zCGw4ynVGbfmOxJ8W0KeAYjG3qa+ba6tUnB9PYTD4v40LYj
sL+8Q9hNeomBm09DcPV35VLj4U1bJKSB11vQKbLEKhDEiDi21lUr2Y6jRkjko0R/gZg6kbDGW6z+
L4TM8HL49Pmm0mv9YzjRq67Be6Xvme2BT8TD9DVnk4UXCIrRqzlefzobW37BiAcEqQRomYJbrNAy
8GUIPKJhVoGCChbHzDXUZXwSsiHUKvRzEmqN6bqZ7izqo6X2bmOUVj9rSCrNHlZ8rXl+I+9dVaOX
/MIG68FD431FdtlXrzGU/a/OXMxwD9RCf80TFsbUtnAiZE0F76m0KP+CgonAqw/chNwZ4OA/w8rm
8slJa9M8jEiOJKqADelKYAV3MLvN74r1PlIiDORzwP2LnoKQmJSxpIPshJlN7/sHBJWjXLHLRWeo
fT/tt0sZTkj+cVOdrCLJnuquirPd6OgRZa9OmNhyYBg1oZ5SvDmI0IWxj+zKEd5KJxaiggJN1Kmf
M9NedSV6+kCmXGxBbBbDc0HQ9a9klPBeXdXPDwMtg16Fkwl+IAqZacSxA7YrtJ2G5g8Y4F5abXge
0Fz+xC095jQqLvNPbSHWYNWCT5z2oa9+uwO6k10BiwgsNRfllpF3Be6kty0marN4qiJ8kcEg7E4x
TwTaHUhyuU7YCpMq6OGZ3WtItXJHcg92Cg+JOM8ixMje2pqEKG+akE3vKp9M+4lVFrmCblE68Xbp
Z/smjFBsr0pXtfTnoK6SlcnY+6m2kvYesr/7mhoJ6GahtHdkHVTQA4ghfstKS/AwY8z83eZZzuc9
aWZL9dgghKbGRY/jii5/WkydYZpr/HRr6FS/d8KPzqMarRIlTZjdEp5ZvtZks72WuWG/ESqLtS6U
dnHBNdPiUa2UxXFDLqfHnjYacAomuni2CCjBEstclTPGh8UJS82IDzq9okkRSFKSywDID5MO22sA
6gy1PWNqWwrHWmduaoMet4X30w5LQNjT6A73g1e2TzUhfqBNDDdDgRTXjD9SfwTI3SWdRsIV03MS
+sDxVvtLhvbYtEIzuMoMb9FFyhg2RaIfOlJfPrLeR1AQu5PPwSxEw9BvaCA31EWFYlumHgxNXJrW
K0gc/ZmX149S4ga8uNI1sh370bZg7J1MD56Q5ocN7ec5T1SSrKGUI+CqsVgNG19hNNsJZVW3VS54
Z9sGtW5tZ+A78R/r735iqo8FwMYTHirnxoqBqVYqxw2IY7766Xh2YQIOTGK1qqtJNBygU9JsXVb8
4GbYLL82PIcb5KHR9UN2LWvPsFQTd+HbbbHGzwgMJbWG9jPxvBabzVSB6iT/gWFknvokxMG3Z3Le
uZKp4HU5+WgkAGMDVMigCknCGy6NDehgw/UU/XIweM/HfB7id/wODGWQxdnsp6mkKATn2U/WTufi
j+ohbn62Q4FBJ9aGvHRM/a5hDFVJ2obRZNl2ERM4LGtAHRyYV5ExCohlqcBN6OJY1YZRMlquF39t
mRVryKYOSevKVXqp6s4et3TII2fQ9ThdmSUje2AK5UhWfe7e9Cky1RWJhAnOQsh5/k6PjawDw8Nh
DDYFfwYR1hH2G4eFbQZDoM7PRlRW2daS1fggFdvWDT6x8AJ8Im43ikk/BI/KbRuqkKvWmbM2ejOM
SHxpM56KtUm4EfwwAx7pasKs8kzhNwIebFBctqzVz6q+8kK6WaDswOReJqs5bkTBlGxhqdOircZD
VcwRiGg9lj8SopKv1B0xQisCooczD1zw95rkrBcyx3BymHEKZzflHe3XE8u/jYrLKkfme7V/tl2r
fB5l0/wr7frxFl0ZY2Ny2OcHYi/bTwFyoFvN1TS8eRUxdCgRREHiHQlUYPYchItB4toTmSuYgVla
t25BA24kn74snHfLT4E1tNQMEgyXea2ziZqu4Yw5mHi5/KV9U1Fr3kdFkS1sSBrcoL3wTQRLonHv
ozb23u15GCi6kG3/NGOJW7HBrfdsmXH1vLTRKNehdjC3g31gUWCGuv5JCFefbyiiOIQUGyfY5zlq
y1U698jm2WjM39PCy8tV7JeQ5UsrcXE+4eR9iHqONfifJvsK2hOEdUqguWxQPMbUa2jrwKcUFPQY
MeVnPTFlRHVUDW8dVrKQVZBVf46dDkm4bwD0EUNnVzCGOeCs1WL0YGPaxvdjEu7qAoCWnnmi+WQr
vlayC92H1mnjD62K4fu8jNHFhwW13DsuMTlgjUbkoXFY8Yn2TEUo152uvIcWEBJHDCmJxYypkf86
pgxPJJNjjbZRzh5bxx+yHXnUWOR6sQDQYSEc3YurkAsUScUszRrB0ib1ZP6K7TlnbqMm4IJwFaZT
Z/Q8V9oMDcwqnMV4huZn55jqsvYxRY34mUBG9DFQ5eOLW+v+dbLS5sMeJtRnKafzS8VypmFO2GWP
CBlZDqiSo2Ilmmuc4FLSEBkplw7JUrG6l6Wyb2dP+O8E605tIJSN39RGyf3uCbBVq4m1KVR5I0qI
/EFM99o0y4SnlWyZD1XRM1ytoaQ7R7OCmErafPejQDryYWCE/2hb1b3BGEPJlBsWe60e5sTJQuqB
3S7T5QPE2/o77U0+BCWRbHeOlu2bSlNCilECcWu8sbOOOo4B2jeCyAuG9YYssudsUu6zWVbGBwZr
DBV+mzhvCyYsYGWRzWXPhmjB5yTj/gGt5EgAGuUOFpGi+FrGaXqFu7p8eFObhxs6etA5sdOMWy4s
YqLKcurgGg1M7XD+6hicloTiPLbm8AYbsfpumraDR4rKjzwwUD7+1reKgb2Lg/+Rk4zjdrNkpfvc
2UJfFyOei7IMHpJ/7AsIvWt8Os7XaExxtDETw/pJHwY+bWHslt7HS2J4gY1W8PoAK4ZtXC7Ug0Xi
8gtk6zDi0nZu3U5xORcUDF31Kp2ear224LttWlNEn202WHon2zi7oyi2bZA6Ie9x2CfQmYkErpZH
OdJNrVTUMc/M3U5zhdhk3iJIJYA60MnCjRu78CE43Tyrv+FQdTdhg5ER9lDlYexsKBSJxFiq8KyW
khyNBgie/0BqS3v9oik23ye7S6mljLY3LFyuXY5UdtR+FW7EskT2a4Ip4xLV/mxj4gaPUZx+z5H+
F0Zp/2kqlmuwzb+eqK16BiA/k7/O0K7f8McMTZjffEQnkusauYpHEfT3GZqtvjFX813lse3xXEBv
/2eGZtjfkEzwHUjsbSQd4qr4+PsQTX6TLsFVykdzwl+O/W/l5yB7/ocpmoNlkRdmSdvnn0zSfks5
/pKfk+o+MUxRv8yONO/bxmFCYYANMhLzSM+9j3F1QDnv0tWIr7gZ34W/K6ouELgreOxtXOdxEI9Y
eChBszUOMAUFdw4WxTdQhvrGQ7c8sonfmtd6prhhno1VfwDOPUXWq4iOwn6wjB/oIfZ2x6Wq3W7d
94PxUlk/68Fad8tNY+9LTwRO+8Ee96Zf0BKiIcvXnqVBOaVmt9UZ0y2r23g+xAg3XAvX/xVCZS7B
wfpM7IPMF1W67slzDrSCoxbdpblQG9gIh5wyRhWYmdLbydcPzvKQiITyw40eY5Az0TAem8E4Sm4z
w1CBMzSE4JKChuiuYwPGrWhaYGN1CpgkGXb4jfZG1++0XVAv5LsYIlcDlywkZ90b9BoXzBIYANJi
N/pZsX8ou/Q8ynOFb7/UB0QVbEhp7HJSWHhI9cd24PW3/SaNnQAkCnymEYi9B2LA2I6Jv+5b6j9o
umP3hU1h7RdEw4gNeYi7Sj/7KG2Eu1pcRJjjoh4Gad12Fq6gFsHUriXFDETnOXPc52Vy3T2L35TG
nLyk6wGjkGY6+Jchz/0iDo1lrLsu2OEin01f0qt7OGlXZZnu/dkHwzajIDFoY85mwvYpSaOjUZxs
+SObnDfXzTh4beN9KVBXTGvkAgDHD8OYCeaEXX41QX2gfSx3ORTtG4hu7W1PFSxK56Wn5Q8hHiiX
D9lhze6wmEB6TniLi7czfLHKfM3YxN7EzqubLLuqpdKD7hoBAW2Ps7NcFFaZXeLflERJ8uYf8ogp
B4mxN5Oc4Fc2uTgTPwyBZIRBKddsNTbx0txULC2jtP/VhDlXdKWPGB02ZlUfBBdpE+svi92p8osd
aMjr835rkUm8qqWlA8OhccLDSoHtn5k5HkeY1BTva9a8EgYKyk/DYx17PesI58SEPpMP0Ky70t97
vbnhUw5SowbuxWhYTyhoDRjlUD2y+14VlEqgFSf8yj6idaP2N7ZM7kIv3XjZsC0G6552PjD9R0ze
rLxxx0aaMVZ79qU4MIqhGXX2doRy1DOOCazjVKxzI9mW7WdbMbnexOYLKXcrW04Hip8N8lp1sVRb
HtDjgSVZrkO/G7ZQKzakQdnDBmSpVN73DqGgMaGlpYmbya3vRKGLVRnPe3hiD/3k7MDP3kmqOYec
CwHndWWUPRNl8wHMAzHgR4sCFd79WsbQq/DNgUe8TTvEr2bPkMG8acnf8hAnL6+J+WZTd8J8aO7H
Ag9CFcOS6setbZzgAHfOQ9ZGMWoEiYu+v7dSMGvg/ezuOMnxsW/Sw9Iid6WoGAj7dFOicKZin0Cn
C707kk0J5cLwiNW+Wag85uyj8wjKogWHD3X1fNcbpmg7fHSoEDSgAYOQ6Hf8N1+Exwc5TXY/PE1h
8hZeZUf+gkDJ+sBsHEBlXtUC0nkHFG366Grw23CXipg7zbF8Ip7pie3ngmq64TavoSbNzRhMy6/Q
+CozQD/EAdTOA3OyXQcMNw15RNwOTqJuFmG9OUnOpV0GOIvR8GZs3dtnZjYIAD1z4xjZqUAav6TH
mD5nAoyw0nN89OV4IXowIK+axxrCZ7L9vJUXp3ta3i0uLlBqwmSyG/IAXEJckVe3P29Ndt8tr8r/
oQwELSPvMLkklWVuuO7UJjKHHXjxkBePSxK+WEYkYjF8eXo5LtiKFhKT4gN0dLMHsSJF/YTShYBZ
/V5LbxdHxj7DFAkXscSET55wsYoitZx8S8u1LeNb7ZAE0TnLNXM6yT9aJ76AVgRooZqLV6jvA3ct
a+p705IgTVzzHb/Igy6z6buGsh4YpbJOEaTUBmwF1GNGKTADSF+L74rCubc1tD/HITF9HJMbNAW3
mojj7yo1A5O8mLBoz+PirmtHu9u6S4bbimxP4tHH9JiRedEs6NQaSZRkxayYXOQWGFRsgctksNWZ
Xs5M2xSK8evgnEQdT6+uTtpdpHL9LNgNEMvOQMAFNDnAh321zDYj7I21MzYfyXzSzt50iVhEFvWR
8fS0jsoQWGQuN0NLUG07FlCVlbWV1bCXjf9Z1MQrGdA8Dq5vUiCPitw32uFjPnj9c+j4UBToHViY
8SQCi4+kiA0P8gz/NYbqmEDLI989eWlRWzkWh7/yxnsnV9yR8Rkd1zPM/I1yELqsqsgjwst6UTPv
nZYPbeJGOxqTy7AgdMkXUiRM+VrGZlhio5rq7dTdgOr9kuYEIKsyyw/GHIzx2tCkIXV7FiXEmSK8
svjvDFzwladsPdtOeMyG/mYmGWhSy2un9Tpcpk8mx+TTJ47c2gw+cBQfFPsYq2MoQ94CjzyyPpoy
2UgOpUA48GHcLk+20CnXXRO/muX4Vjn2a23/RjZDNy6HQ1w0l6LGRVq1r9obd7HW8ZrJgF7bFmYF
hm37KroDZokWgRQGDwQgbRcscS4qep0YH6yxL8CxxylOpAQh+X4BNs6q6aabXP+r8BVg5rpsr5j5
kkhlw9+S3zmtG4flgtVT1AcqV+zlUOOjZSTqpbvvDHHFF7XyLve8cNlmSewka0y7/RONf7yRaRJ9
d2UT48Ev0RQEdSyhvADSXLkVVUNtRyKHFcJDu068ce3Us4fypLYvZSgpiJK0PZdj5u20nOW9T/A7
Fqwp7l/CmjSmg4vp4D50SBhYtSLl8J8HkewzNmooPPH5LU2mV7iePeTPdDKA65OQiXxoVOroGTUV
pccONYfenBXHjCmgi/bT8G64q9u7jDHPOwNS5ARt0Z1kYU3YyrzW+V4yGvHWub8kH4iQ9RYeYf+G
yDrckGDRmeu4CQFn9qrGoaQ5X48g7vKT7CXSXcjh8KF7ZyOHaN6CCxbQTmzwZQxNdlAblptORBFo
AQ4O5FHl2ehopzP5qdVT5o03rOeWl77MZnwYI3HjGQ7QKnbFCTXZ+Gi08fQuefW3bsyBNKYhNudU
eSA0Wve+Wmb/jGynuuelhAdWnw/4UId1kTo8pVL9koF7PaQK3q9T9KC3eQHLZz/ayS63SKELnXyt
Ch9WuwzNbRsLOCcTpuV4NG+yWhi3vVWVHyXO6JcY8P7JGdlLtkkK43b2+XnlgiG1amvMoiLeCJnG
z3AnRjZ0zU6xd8mV2GQwVrY0kUjDHb85Eoij14aTPTPYf0VOE0IWjrB9YHoFdA/LPbW+e/VSAVZj
x6tLZ34ywCH9wPHqvJBjEm5AM4371qRSJmwRE3w/h1t79t1nr1TxFl6qvVcu+UVNMxqYcwpqK3TG
8VZl0b0CF4R0vA/PEpHSTSWG9EHm7ifU2qMuu9dxSLaJf7807XuMiw685MYkQPmcxXh78OdQwlne
PnTGQxiF8R3x69lGjsMT2Llo1ei25x5V8UlOkniXDlac2ZzBoNIAhWhhLAe945Akv5qRpqFMkCeL
zDvZ0Ew0Jlx5LUioDfdexpuL3609JbAqF5QXUTIwH0jdN5gxL+lgws6euu2QOpdQju3RHeQpzb6g
+SI1y5OHMG27i5lyEsPpJac+MbLNNXiSGOZXIqwobdMovblyPHA+YrMe1EMO/4bH4A1efjZcYrwH
/PNaDt2lE2177Nqe7oCkyQiew041qEwH+V5d+xabJiWCasyCTK8IGLhKa7LzwPT/6gWjYVISb17s
caG46ui3Xv7Iw5SiWFs4aAhlZt7SO1tt2C8gAfSZaAL70CGFTBEMEUG5cN3+SklCX4s4DA/aMLzN
yATtPIVzmWwNtnUHDtkruxfv25abvj1ned/fZgmB2f2AH2EFyzDjzijUOkEquI601wOAzAvktk0E
sOOaPgn0cmCVjuaBPgr05mleugrkn9nqn+DJ0UvmdWUC5U3QkbLh/Wi7q7BPxMeaZXV7glQEgKOU
Uc/C8IqXJX5iW2emk9y4LfZychREvbDmWbJNQ9woDgVSLuqd7htvncVVx/zHfacpJshimX4wZoR2
a0Tq8P8nKlBX8fhYErHOvx6pnJJfn3H3C2Xzr6T862Dl9/f9MVlR39DoWJh5HBMHkPBdXC9/qJPU
N7RJV/0RqZdSmfZ15vKnOkl635BcMsmQyvVt93cW5Z+DFX6LmbDv+FhkTMbD/14usXMVH/23J8eD
c265jHeY/fBzpHSuY5e/jFWYiSvX1A3UCvJu1r07tzdLJ+8qLJmsqiF7RU4ubulnieeVzYSsZQHQ
UM7wL83effIyOI0NPrbzwiKew5Rg2C76MGTyhvROBxgTZFC4uNvdbLwmNKHFzk5wBhkRZ/o1gy23
0rlvH7Lao1xK6/kqdk3JMxCOsqFthSAroqICwkNYFUViu56KPMTP0pOkXJAKTOoDp06Ktsb1HErh
yC+3cFjk3dwQkuAPME1Sk4rbqAa6s5F0XmuE2kME4A4bPo9wcKvAhVPvQTa9XP/7d8b/XZD3/xbj
+Q9ftftVXWOy2/8AbR9avP/pvgE5V/76BzPd72/444YxPO4YX5rK5S5ysWVdR4F/3DGGhTQP7zXS
PMtBoy6wxv39lrHsb9cP2DZNHJt/zBv/i73z2JEcydL1qwxmzwa1kYvZuKSHyhCpIjdESmrSqMXT
z8eq6qoIZrg72oG7uMCgN11RKBrdaHbs2Dm/+HctUvxLw3vcpU6pQqqhEmn8J4C+uaj5YstY814F
aIgHqcbLzR2a11smBkkMSiC8Vaq++jqkXR6sq6YU8coOEggBapSZ95YGS3bjkyRDp+31djrYwRD/
tJw2Gw/oS/T5nyuNBRD8LO5/J9e9Nh/986U0iDQ6+GRdADN8/VKQGUpVH1IU6Uf5hASv9Sx7ipwb
G3b1F9cN+g9un7qf6Qhr2vrFt3tj6PnR/4SQv4Z2NSxZDdWE1beYj7TXFb8T8S2+KcouoBp3gycG
jiJ6pN43oxZ++8+H01VNqLauQ2SbuZYvIxZcNGxY05gaEdqKK8zmsu9A2PIvOKXTfBWZ+HF6vNcR
8s+f93K8eTm8iJBGrNgATuJbTZ8Q0k5UeQBKoe6dmH88PRLx/reJ5DcJi9YqTEltBpK+GCmMKlmM
U3KrpDnurvToD3E4du9OD/LWQsES153ppfhKLgcBA+e2tPxvC6ct9mgZa7+qMqqA1tXpQfeb8ltb
2v2mSm39zK/DhPf3X+cI9stMSeW4ef3r6mQiTw/C20AHrbuWcN0QBcNA0Jks5xF4EDJAqdthCW8r
JJtFKVanf/ibs4sPMEvUtNgnix3iimpM0Em7DbiabxFowLKvxyvs9CBv7AWNU9TSHcEojj3P/otP
mFCfiKnM3EZOZH1v1VHZUwxAPShJwltdVs396eGW5N45FoFwhkRsM5zuaIvx9MFJLB1vPwCqxXU1
SOVzEenRfaEa/oOjK8MzCKh6P9rIoKptotY7QACpWFNbHXenX+WNbcJ2nP/HEjZ++7wdkq3ISAe3
TZtq60amIAJakFmtC9/lPx5pTqMcF8IWIGR1/tAv5hg1AgxwfXHTkWl8BmYbH9D5RRgNPJB3eqS3
ptfAERwwuEHpz9UX0wtaloFi4yZSI+19w1Ryj0ycb6aG2fMB1+H0euL/g8TxQ/StWq7TXy2lGOQm
jsvp8fTLzGMtwqzJscPvBXxmuMZi/wyA+XJpa4iwc2+GCiPNL4j6yi3WodPtqAXZx2lMs0OWmvX1
6ZHfWNQm7T0STvp/HK7zp38x4dkUxqIDr45Kj+PpgB12SRqKTZyM1c6n1/PndeLoUfZHCFr+Uugx
tkv3kMTgj1bgi/Fa1ww5evUbGjmls8qqhE4KXg1IPSalaD/3nTHcVKCdP0WKo3mKnxufKnAzZ+LF
G/FqJun8/RaLZUak9wVFphsST852tMrKXyDqEVZA9R/x8BshzHQ/IgG4bww3PLPy3ghWpuaolg24
giiiL44C7FnDqJ+0mwb9rauk0S0P0yqE8E9/2Df2rMnRpqE/IDhQzcVRCqkWXXkJ59nHQcq3Oir1
UMbWNeKcV6dH0t4aCmaGAQtaVy3ysddrSGB1o1idhvrQFNvrLgSRT+E+bHaAAY35DmAHt6Na94dI
H/VNbtbJjRUrdADb0i8/jmE13lpmadwNCIaFK92qnPHMZLy12U3ThgoC68MwVJW08+UyR4c4VExr
uNFkNd7ANwZEl7vpvR4hwDEG4fAYxvic1dFEIaV1W5zohvLgA3s4t/7nnfx6/WvqzGgxyHU5K7XF
i7hho3SlYl8j7dTf+LMVQgBzbttW0n0IxYggvQ10zMdkE0wpVWVR1uNe2FXuU8p1+jMJwxvbkdqw
xiczTMMgu1wEQWNo+8JxrOsOosbOpy55q7Sm/CYoiq79vOv2lRAtijpZtUVSItuC/ek+nlk+80pc
TAmAYJ0LMwQaoKSLKYkxiHOLXFwrRlTfIl1PhSvw/TsLlatNhR08AoND5OWJcK8iOw8eQK0km9F2
xjP78o11/MdMcC1nMhD9WGxMZJuMDtrMNX2V+AftXrlBRPSgAezBvW1M5Rrxwwa8Ke11o1SjX65W
dZ8dSYVIw2XwgOs4d9TOrO6cfjTPbbJ5FhazpHNWzdcmnQxyucm0SM+YQOPa0iNATy74JaRkRhNs
99DeltlXGhUo9CFaAVy187dZ6+tzw6y95qKCFjmly5Fb29/1kPs/xz6l+UGCQpkC7gSSxaaFe9Fi
vgKzGZRkVK8bCdhhBfQcEd6orjY008U6kBI/ABf2cdvWX0PQrmi9odvud8X4EFZBaJxJUt5ay7yO
xS2Rz0gqupAgkTAPolDgzzAmAevWt3GlGDSTTiE2SuiVyvcmvYfHoYPNZMr8DlameSbO/H6OMyNU
cDQLaQ5bn6+wL8NMixCpqHv9GvUTsYuiFECZ1qpgUkojeW5Huzr0Gt7bwjTPrd03lwdjOqgHqPPd
9fXIEWUaNRXInuKa7JlKg/JLUIgdlmDqQ4rixRcNZMlPNwuJzYka+YfBTQ8idswVHaRmg4ZJcya2
/D4XACGZB9eyMAUD3PP6jVIU2/1qiq+jopi+qhX+PcgVolQJYNwEeIi6NMohZHue7QOZPL00fz9i
LY28mWjCVGgcgq/HhsxjIlYcXzuajB+bPhz3Oejib6cH+QOW9HpLMoppMIDqMO/L3IkmkdQxOLue
MNC5g47bHSoaOOuu6iJ+n6BrzXLYxynSUMg8mqvMQkNgRP9/2KQARZ+LBhmDVe7gtXL6zd6Yek4Z
1XXJoTn/3cViSH2Z2hUvxuzo3oBZ9V1mutHOH4ASONg/ATeG0Ru1/plQPk/r6wmxXZ0kdi5eIr9j
LKY9gbIQ5ply5dgIj28GuPzNWs4EKLxkColAFs53LDi8685dAP+44S2HduZkh3Ses3X5kxsHABwa
59cVxp43sLCA6vd0AWkPfayLpFs30OW22TQ8QIxAxaKvrJ2ljPUO8yyYBkqFGgf4Rpg2fvMkTMxX
tXx6mDSLBkM5F/u74Hultu/bHu+RMfbjbS4RQ61AYm9t/vFMmvB7Vg4izqD7OycK5G6L/FRUgM4j
NJN1GNCejT2Js5nw1d1XFnDUraFPwcPpFfP7hpkHhM1K4OQCNheyXwYulgvATtO+GgSQ0qB1yl2S
oHx0epA3fhW7EqwshKH5mrMYREUneILffZUpmn/fCXPWxciDeI2GHLqR/RQqT6cH/D0xFaR8AMjZ
oHM8nv/9i8tGntD6F6K6anBj2tD3RCA/1Gx6QLl+5qdxWVqsfcpVZL+UDvlu/EBjsefKPG2HOMU9
CyWaZlcGFkp6daDmNPPtMV87UWdJSO/Z9EmXRC4kVJRKB0dkdPnBxq/+VkfTKFxh0Gd4ap9Mulcj
3xmiBl/iXk/xPn6HHkuUbeLcsfeIyAz+IYPW9qPFLfengpJL+TRC9YSJ1UpfrmsQZR/7KqUibzTu
95o8EikYLZRftcEUDT1nu+nRIg1RM8FfJv1eyRaPA+mHiDGYthbfST5Xy8UXAsNOb/UsoYmYWVvX
BB2OrFqafm8CfZa0KPsaqo1RTfBqa3WG5oDzXKGgk9wj1exAopJG+53NDycP35/rpBCAp1EvpDnf
pm36C12eodmExmj/LASEVu6q6q86H/QHI8IjEJWeCtRSAHL0W47dX7ChTT7JleBm8TUubL1bIeME
ATnTEGYu8jQ1Nn6vxtd5YoJVSyFtrLjRKe+pB+g0BABt06uI8nq4nmJYJusK/TfUgfQB39TAd9sV
orAxkwfxcNXItjhgI5zDWyyVnxX3oA8NBCZwKYPtsoLlqOGNnqeNhkrMiPFEGlafdOxaQY9pDRDF
OATlti3NP7SqjNn2dWxiEa110DbwoFqg4QbMgiu1S20ANQnkToOD0lk1WY68VVFPrrlWo3FEN78J
AHopjtFfF4o5RfhjphhLNzgq4UCHTvRGoISAuSxmTj380RGgaZ1zFMJMdeiC19mMNijDUNkU0F+K
tYX5MNqzHapWNiZK5QbQrX6PA4sS7qu466+auEKnQxvHEoaZHpHnQXTkfUq1RinVt+FmrPGM1/zr
zk3SYtvWId51SuJ8t2Is7CEtNqyq2ogGSJPIPX1kGygFAE/kgVauVWF/gtrLeEDHI3smoUIbkcjj
f2utcP4keQCqK4vG5NBC6fxIUBwGuAeD8T7LtfBzWJdDBRt+MH7YOefsir6v+VilBtLAflNE7QYt
RogVLMtpLlrBjWd1jtYT1EflGZVFhm9R04rX0k77a1QhUmvfRVydIZZ0ZeIFXeXiKxW6gCrDJKZY
AAwGaq7fCLRkVZGM33EVRnECa7wcUG5QaPuoTxAplWKiU5xWQYRVYYEc1hotENCsNYunvQYXU0T7
AGVc0CXIAOT7Hk5ZgacLJr2zmRiJUta7KN5I4dgg9rOsBXwyosTBB4CWRjMs6b7ZcScwujZF+EVM
SGzwoYxU3eF4E9yYiMPtOzWCmgR3LP7IQm5tdCmD9J0kGQzXEbLO/MEJzRtISLCb+twKyoMGy9Mb
IM4gTWVhO7KdRiWD2TXgiIKwzgTemY/cbTEk8b+ZNmaGWyNRAV4HkH6tTY+PUuNBfW6efaimzTus
6ftHa9B1MDh+1GHJwUQGO8Vw/I+5TKIeCF9RQsjqVYmOihkRaPy+LZNNVRqzqubkgMmKpKNmGzBu
LSqumYqoTlfbIttyVLrf5UgldZtOPkqIrhSZc4MUiGIAWix6QOG459wpU0zMgePrIClsgisdqY9/
n0SiX2VwLt8bsZm4K40VqWJZnSjZXvMnZMhpnyLPniQBEB2tlfWTbUei2iCYS0+zgX5lUDDLidBp
2eYktHJOsCMMfj5EbWLhNIIfL2zZJCYjabV8vJsyZfpgODVhJ+j0DFZ8MTnc53rll4hMa1z3po3A
oG0NykPsDyBTbag2FkLFBF4aonV322LfDGwNx40H26ixSBeD239SMTZ4tvRKv2WmLDwNQif+wAfo
HgNfqIjUo+SzdrIcbF0WINO1LZCGxWDOjt0SpupQIy7haoAn9SASTy63WRSnChoKa6BV+g3aF9Mz
0jYI/DQuBHJkpWe+aWJpEwJflVQBbGDnZK+gdU8ZdtGcKeu+940fltNHt2gnAzIa+YXSs5QpfAId
LD9RcNG/dWoxfB8EavdbO4SvhzsVISiu3I+KbfZ3AfBlgz5xjvACcjXIlsVmACQKTV4ontBKccxp
ol59UEPIg6smBWqHAMxg2etKmi5fI6i12ehAAI919Iajr0l7L3KN+JNudtpP6rH+PTa75CC2OtiP
hW/BOy2nCSYcWa56kyIFz7UaaKLYk9bj9NX1E6ek7Vg+XClVLX/1KtmhR9TtilUP8T3eSifFCAMk
FpjRjkWJtXVbJcVVjfLfZ7cHAbftog4MppqixVTGbtKBow9b0GGWZlfXoxMq70dFWHjDtag7p30G
MSqF1IBRZp6nH/CwdAtgp779DtX2NF23uKrCwh3URlvbMAKBdqO4xqLHIv6GpIXafawMKDf2IyiY
tWWFlbVqFL9KVubQFz8Hujc5sE5OXCQvzQr9xMpyu4MckvxqikkkNALeu6inv/LTsjvqQpw1QDxV
NW+vhsbQ0e+CuYUzi1Y475DYBWwIO4mQboAO+2IqWVJuSIbQrCxz2GabJLa7Z8S2sR7Sa1jsJRRs
5Co7TcEsKSuD1ajryQ+Hltm4HsKBuhw1MQGbEng7TsxG1j5y257wNGwM3AFka2Xfa7wdQAuJqgMc
O8IJPwToaHo5aqAaCFzyUgJaan0PJz+4ayYbOmFUJZDd8jZ5MDOhfCsMN4AvDDYn29SKhILWtC7V
H81MzQZt+LIk4LjxEwj84S4jytPYIl/nUMDQCuqEH9TKaipT9UrlNjJdIduHLkWGxmCyV/3QbQ+4
uGACArINtlVv+Yp5qxF/yAlHLhT3pql1KC0qaQG1WnX9EPg9KwrVfGimAORkAzcDEjxun0MaFxrA
fCroWwTE2492geLfqsMBhyIanaltikHO5xoDM38TCBHEu0rYIcD1yv5h+32Ur/OOtIfiTaT/wDQZ
PC0dQ3QRYZzBXQAQ+dD5QiMCZlh0AdTOVAdGBDO49h3y6JU19RznDq72qGGKALPK0jGsz6EShTdj
YDtP8L7Gp5Hi63tDC03UxCE8c4qy4MWsNyFx92pmI58g7OQ1chUVyhl4eX4yx2T8iR5Bg8lnZ1jv
B5CNiNsF6DFTxiT+TbovOnjSEscrWjj9zs1gvT2WVoXxNTKSKBai3YvJdm9M0KCD2pGwDkUMIHlO
rG/RRy0lnuv5fPYUVfcg+jH8kqHmvGncybx1dLwDpJZCUiGXJ6b0fQ1N2jRU/U5x+27a+aWL0n3C
X77oBRXjTQhvBRMpwu+t1XYdLj5qVh5AGtdY7PVj9pBahUDgf8B8OB6lOW2xY6EE4Ot4dq1MUJU/
fRQUHmUqENcw8xJgTuAArlH7iXPSIHxCKEbv1YYWP5Y4aiLz4u6mrAGvaKa9pqHvPbvy4W7n/tLq
Ujo4k9UAQTNUUdFQc7MGB9XE1IOddE3sXXOnMe2NCusF7OzkW0952qUfgIL79S7hyDfXnVI3z12I
yBzOPyjPXANdxPCsaiI0tymLWj9iVC6+omGeRRtb8E02tubU30h04coi3xnku2ZsKPl00uCbpKNT
YBDUmOJzoUSUA5D5RFWzRC4d6VZy9a3VUYjeqrYffJJRr93SQ56+YJ2VfDSb3LhC3T+s1lLvx0c3
q5BkBzjU7lGYFP1Kk1NJ+jN22ChQMPU9o6vfd0Xs7g0FSywsC0m29kalK9uc1Mu4HZichxYv3NiT
keXccN5C+1hFqiC5DuumJReKuwzzNDocxaOcqg5gc4CSGxfpqd44fdJ8y8AuPY9pPj5mLKoUHGMD
yFgZ2iLfoGEGrYzwCqm8HjU1wQ84LcFSZr4C5wt/N9pPEk1CDF2HH1XasBxCsx5uJ5Rtpq2s6+7Z
CDrI6LEW6D+GMUhY0YMhdxJ9EybYaPwn9JSKdB3UY3JHWzr9JaZY7TeumMwZldyFW1xFYgg4oHOt
K1C/Q79BORbv4QroqMbFqqzDFbblboVhVZnA8U2HkjKiOzQ4VcgBeRSltWbuU6iONyDbEEXIOuy8
dn7ugy+fUj/bWGUc/KSYJbo1Zy/sJLQWh892FbfmXvSq/yvVOv1gYbRFzYt49Dy3I+5wxRmjA1+h
3xLfEV4MdX346FZs7TqtM/wu0hYMzmSG/Y3hKOmTH3D3pS3iDOHGcDv7dkJz31mT+9U4UJWjucbT
JPgWVrhur01ZYCTshqA6kPgLUAN0tbRd40gIFcfWM+W+1c0JlkvAfQYqrN3/muBFtbsKqDGColPY
D9QoXPGc8xfoxGX9WHepdp/6TA0KI0lmrkrbdz/XLUFiJ+sGrfxuKHBtkiCwlfWEdOZnUEswsvH0
UY1db6jZr0TkyvsydmLmrhXQZUbTdXmShW4FSehMnXatIEbyyUindC1icrVtBrul2ymZleNeQJd2
V1ktGTPCDkiLZmSlc85nkmZjBWR1t5W0wNrZxTChCdmG7hdTr3Lk7TIfnLyKZtG7oApcREFKB8pN
rFbybiLGKyhWRdwmi0EZn5vKQEAjbQZsKfoidt5XDbSDnRbqwYc/SjX/x9z9b1BpL6pWm6/Izf8p
ND8D/v7nv2+LvKl/VtXX5hXIdP6P/sLM2TpKdyBAhGmAiGCtULz7CzPHv9IBSyLmqdnu3LSi9fpv
DXr7Xw7ad+bcDaEKP6NV/kKZajZoOhs/Q/5IeZiC3H8EmVsUfS3ARjPOdZZLpvniLBtTnUMuO+jJ
AMDUqD/E2Fo/h8mwb80UpanM7LWrXukNXIVsUkwonvcReOWrHOzVFaYY7TPIOv06iZL2Wk9NzOEi
PX20NReJnP9nK6z7WTVt9fO/MDio/2sHs5rjq8j/P8BmQsT+p4X3+1Ibv+bZ1+rlOpv/gz+XGZXZ
f9HK0w1QRwZoZocF8xeWmfUH+pL2PghL+GAqdd2/Fpnu/MsywY3QMGUFODQm/15lYKNBlUAtB0+p
U/J17P9klb2uTyv0PQWUc97xdQV3mlDVwOtDepWdFvTLG/fGbBzyohfz8EYr83XD5J/HLzqY6NYG
ZaIm0hN6jVp2PNyMhpmgUAvRnBKnCMV6wKOEy3ae/ylVcBQJ83rb/HtICu6vf1FIKtnJWnAL1mGc
YJrmNJ+HMOHinGJZgDgjmvnWfRMpQXKmRv32HHIYvh5RH2KrsMup8ELF9c0111N5HaZtPm1OT+IC
ZPHPT5p/6osye0mNMDTTsfDgsnftQYfUpe37ygk+oc1ho6uKjeU36ILv6rQrMQWNnXupdMr3JqwV
9e70S7wuw//zDnPv4cU7KKmpsELb0rMh03DFVUnStnGftjAZzXR32SDz4C8GCbsGlaJGFJ4RGN0T
2hzaL5I55DvtAGTYmTV57HPNf38xyCBjpKpR1PIAvlomqv9t8T5xR7u8cDksGhV42zmo1KNZZ7O5
7orB5s435foZXNmx70BAePn2RSSbrqmUwnP46B+wi5yyPR0LYaLTOWn6/vSHODZHi7CgBm5IK9wv
QE51xVbBB3Nna6l9Zi0de/oiKsSxgmCRmO0TCD0PXVfJngY5F8vt6bdfAE7+XqzOIgZouRzgFRbS
sxOy8HdBZI3qIW5sbOuoqyCpXMqWgnGgFt1jopcJQpG9ncor0dSyvLGy2ozo2XBpXaFjZ5OxoeUz
zs10LoBnXnGeyX/6qv+84iJojHRnCkcQprCyh57awmsKt5jr4voWqnGsPkNxnX5qsku0bad04RXQ
DLfY5EJmzb4uc9Fd9jGcRXDBrK/vnCQovRoHMLSrzFIg0N66307/0CPfmlPq1Xpt00kmcR+XXlAE
+aOhJgFaS5Su3Mt229KhJ4jAcWoACb3Z7zfF2CWnwJmFzsfLXn8RLJreBrQEgspDBjT+oIQVFnZj
mZ2Jd8cmZxEqsAquUkp+qIm4Iy6UEm4bah2hEJdt4yVsPJ0q4eahIz0HqxGExrWg/KTH+tScmfwj
wchZhAkO2MkPfQ4FGO/IKPein+ikYaOAFYMfKL9Of4N5qby1VRbhAjySOaaCujaY8+GuVaP6Z6+0
mnONOXGX3g11S2Pq9FDzon9jKLEIHC2+q8Jv1NwzBaJWkODNBLiCNgziFi59oyEvE/pKQHO3DPsz
oeDIIhCLSNCFaongoC89F3NcdyeaYXbIcYPwrwT9aEZ0ZP7EYocbFarNg9EXHrfPPKAzg6Cssu0V
gY9vliLMjN+A3YxfTk/hsZ8zv8WL47VzFKn7c3WjraWDN7esTX87tWH+4bLnz2vxxfMHKVQDmxcy
1gSl0U0sUXHlKkRYuez5ix2vxBAB0NWUNDBcDCMdm76dnaZnPvYCTPd33F+CMYuh1rNKjQuPlsXs
GtOADAgDDYdCVUlC/VlRHMvYhQIVklWehThSAZmhobCiKi3OhPx5qt5a5YscIkfPzdQ0PpEiO/ez
jwf1D3qZ2HRljaM8XDaNi9BgQwu2y2okDa9wUVzHU29e9b4QZ2LCvCHf+gmLmEAVNVGFkZWeQ++6
BpJRm4iRpErtrwLaIqjE4vEtcfRxKLO3yZg8g1c0vp/+bUc2lL2IEuEQJWNpkl6ovoYElKTQGx9G
RHGUd5FUeuVJ4KJbPJ4e7Mh+WrJipAJYF/QDV6jasQ4RuqdI4FTD5J+J4ceev4gONuZJUTk0pdek
o7KBm0dlrSk77/TbHwmov1HrXBm2M87fC20zVyj8tx2C+UGXX7WltHtUkLFD6gYrTi/8OYvwMFrU
QcyqY/uqNCVaUX6o0J8+8/BjH34RG5AJjmvUbsgr+65okcoJhidqpFm4n6i5XCtFLDan5+3I+raN
11EO2KNVRAX38t5Ks/yDNjl0mFH4x/k9V6PPXS6dDw0y32IHF9RHIwqAgHHmVx5bEYvwkDmRjssX
6XnOdfZgI8Ufr9XOyOozzz8SfuxFaHCRBRG1yhVGjgG9UTJc0W8dSWdlNdWDad2fnsJjP2MRIoLU
kKjNaZIeBR4Fbm3na4NFd+ZHHHn6XBh8eQwViF5Jd96W6HP4T5MvtSdo1eXhone3FjmBbzcRkA/u
qDKo+iurmYVHomZ32cMXOz7UTKdU9IaHD2CEKoFZeVUG2oVPn/fOi/O5Kws96xC+90AcGdcY/rqY
2iE5ctm7L7Z3qOili+c62xtU0dcYs9l21Wl2feG8z1/7xctjFF2nOSa5Xoyf5rsCBOu2BNJ2LhM7
tmgWuxrLeE3qU8bbj/0vA8eFdYIU+fayqVls2zHHRkIUOTchNFb2aWwjVaI2yf6ypy82bawOCPvY
buENcXSFtVRAL9D+cNmzFzuV3iV+SikBAbOldkvPZAJObGVnjqAjk24udmo7dKkPYqTwFHwGd8in
2IdOVum3i959yUhoCgWdEZV5yRVE3Xplln4qsnJz2dMXW1W4YOUMSeru+sJ4mFTtOiCrur3s4Yud
mttB1w2USTz6zWWI/mRFSTTX4LquLhtgsVmVDv1tjdaph80gTP42X9uk75cFYHOxVUtDOiJEKMCD
LnRvVnKLNcqFs77YpmHemJ1r99zI7KlDerth9d/kmY2r32UTs9iqDq1cCX+68PBUM6YNUmCITFpt
PXy67PmLzWqBwNSqvMB+tZEjgbioH9tRDc9U2I9tqMV21QR88yJlURaIg6a3vY0R2sauNezJL3p9
Y7Fjx7DF0C9UC09PtHJcN2k5ApluNcu+LFTOUr4vw7xVQanU5pCQgYTxiqjRIEw6/WWhcsnSwMwz
CtEJp4qN6cBG4D6yBcdWXvjui13bzFYlsUWJgsUZPyHidqPlVnqGW3Tk0y7ttqQchIrBGzMfjv1+
ipv0uy0d7CVOf9h5ft+4tc2N1pfzXphq6Kb9wMzovs7GBfrF7eBzbobkOC4yX2PjJWVjndkGc5x5
a7jFPs5qYNedLzlXollNd0TZHQPVwek/AELy6ws/92IzT0qXdHHAnA3K4KxVGeCcBy/pslCxVOxo
ahPAUsJiYkOLnZRFe0AwP7ksnTIWW1mt/M5wc4KodOxqD6CmuhIOFtynP/eR1aQv9rGuFFZrAND1
RjPSbuysDO99Zr84s5qOPX6xi3XRxJoxuimwewMhXsQitgPOKede/tjjxevFKtF8qjEJyD0NlfvZ
jMsuPyum3bTbrlRnWV05dMAyC18Ud5juVg84DD0qVpxcST8NbnItQM25MKMJMq1p6Cg04xaar+ui
mKs5tRv/RPEpfGj0yo9vqZJTaMLj2oeRkuPBBugwsTiUK9+MvpSQ3WHoatqAUn8/pR/iIcXGBccG
B914c6KLYdmuF4fSUnYCqxb1draWxCgYVT+kzYYGLqACAtv6jrqfYRxq0di/Oon498MAaXCCkFIJ
hDQjw/kYhnrSqme+0UL45+96l744inI3Uaa+VlOvHJHnXuEaaKe7sAbJjnudSMt9kJujtVYbMwBS
2ZqVv48dvwLsPCn94IFC0zoQiZqZn5MbmVffG1FhqWUiITMkOpo/3K2m5n2T69EdhaqvPgZ0eFSg
QLiK6wTrahMC2h1mHHZ6Zi6OLahFOjSOODFHUVB4dpypex92kJ7m6ZkoNIf/t37VPOiLm4uV933a
J1HhTejg4aUQ6CNMJhsZ6b5ID2019e8v29SLoFpXUMECI8k9lMdwP9Ik/ExXcc5V4I9N0iKaDjUw
iMmUmQfVd9oouTA3KrKVh8tefhHvUi2xlE43Uy80MfhYT01NI0q0jny+6PnaIuLhAxF1ZjCmnkk9
Zo8aSbNuQtzTL3v6IuCNftf3YtQTL04r+9kPVPddqWGGddnTF/HON5Wo6THS9KTaBbu4G6u9lbv2
uXD69vrU5nX7Yn22/aTgVNjWXoJyME7Kdan/QMnCUM48/8hZ/0cr+MXzFR9PQ3ibtWcOiRqjDVl2
bOEocVx6q1n68bI5WuwyzYJ7hOwuvwLn6utUleOTk6IXe/rp81y8sYeX2hVhiveeg4KFJ60ABiOW
I+hwp4mhr5I2Fvm6kDg5XJZj/xGvX8xXjhgRXqipsledNrmJa+VH5E7JZTeEP4AsLx4+gaavw2Lw
9/mYDntwNxWmd8B+T0/TsU+92MSJVdOLy/XKU/HrwxY0cwJr6/gZrLks83FhPT3MMdiNutzMUorU
jWTl1X40dockwKRur8Jzf8bSIJTXllnX0ZXbyZjfiFUlFBYD/Y6rwbIgRLXhUE1nXuXNoAgCcHFy
SDvHFb5xCs8awnLYINdXfOIEV8wzh8ex5y+WNQYQ4BldJfecIf3Udfyewu7PAbLefDg6VouopZCl
qZFd409aluZ77BM2McYXZ7bMsYcvg1YRGdxUSh6eO4M3Oka01XTYLKeXwLGnzxv1xTrGAb21RGUE
HjLSqYnmQNg8p+goZZfMO1Oz+K4O8HedG667dypV3SaRWiKebxaby95+/lUv3l7rsxFTNtPd+5Ft
fsbH290PDq4Kp59+JFgtFX+GzAdQqySka4Wt3MCFKaEGx3qD9GlRlN3O0CT+lqfHOvYdFkmBC0cw
cRTV2aPpbm+GbuR7u0a3O/30ea28EXaXGEjNoAneyD7AwAIjh5+iS0p5pRUy7/cK9oHNlvpen18J
VdHOrNpjc7eIYDVcnxh5Y38fKaW2zmv06VaGxEwORB3Y9JXh2phTnP51b84dsWMRxTqYqGmIHNQe
89QJ4pELZ32dGSpsrcsGWOzvsBp8dUgUZV/lyJHhx9IksBeGMpsuHGCxx8Gr6BXymP6+s/Ha6LN8
fIAN6F44P/M3erFLSmgF+J9mCqAq7G7rbtQ2saOf6/cfm33j9dOnboh63RxzT1FH7NjGHhGsDGbW
ZVO/2BdJhkVf4nNFtZAyP1Tk4rdNcxajduzdF1c3N0gzS/UzfY9FtjVwYYnyamsapXkJlJGVudgF
RgkYmrCdef3Uu5jtCr//RsYDe3EAxnVR7EClZLH+HZxNaheHPM8f48gTEJkPqh/5l/2GGdT9cvVA
n8dJyxeJhwBMtjJVpblJe1V/HwRT/euij7wE6MkJQZuOoOSZfSSvGmHnu6xqgq+XPX2x/H29Vx1U
9PCUziln7PJ0MPFgEXisXrZGlwC9rGqtUg4MoNai/ahnefHYofuSX/j4efG+2L4xBGc2rz/sscMY
sdweh3qbg6mLd5fNz2IDF7o/tnaI5/YEhCVdO7Brrx0Lu5oz7z8f9b8dPizPxRbuhknaNsoK8/LM
dy3qzOlGmXm166Kw7TMf+dggi50sqkDAc/L5BloR0gs328xf62lpoaOEreg50MKRgOEsNjTI0VrV
1SH2jFaa26Iv9bVeaxd1ICHFLDZygm1vUAxV7OXOqMQry8/kUxqX9ueLPvQShqd37oClCY8fKv1r
GVLQQMfgkk4br744wdKgb2xdZGyyOpT3xvwlUMw5t8OOfF2x2ML9MJlTDcnbC8JSTBhzje2wzhO3
fY+9Bh4Rl83PPPrLjRaYUymlEnm2GjbpKnEcvDByVCYu6roxSYudrAw9ZlSWE3rIkWLY1ILy7IZz
OkJHluYSdidFiIsaqH9PC8Zmb5T42w5ivKjQzasvNrFMuh4QEM44ONIBQsaa2rrOw5gi8WVzv9y/
qqWnFdRXyBdoFmDeiOerMx0ue/hi1w4AggetDyI0RTTF03KuO7QPjfenn/424NFBru71uvlfzs5k
SU6d69pXRASNhMQUMpOs3i635QlR9jlGNKIRAoGu/lt54h/Yel3O+JnWgCKFmq29115P6bGgjNsS
Tpt2TNoj4KSiz1iDG+wyDmgsrcRMvk9NKauPq1d7r5sM/BEwNpBJ9Pnv7/DGx3cldLrxzLDECPBt
M4+vgOY0j7DFYp/2Pd1Z3EGkFtqg+n9uDQlv2DROB7KhpWnf053FHcedXSkyHGdVl8ldZCjNk625
Knh+a2icVd3DswScMnxyWNgkd7RENVovRb+nnIhvf/mvv+wZK7jvJWxUynOQFD/ptC1gTaLNYd/I
OCfzgKoGgfOmOI8zUul+gav/amD38/enXwbgD+fyhdz666vLedMw4PELcKdRSE/jRBaPYvQIWgxg
zxNd+S9vDb+zsBXwJtCiTJiZpl3LvEbD+pTNIFhfOfjfer6zttF1GNdRab2clRTUbfSiE2Xqw9+H
6I2HuxI4NMsgb9TNXm4FWsNbSepDvRX7VpWrgBsXbKU1x8PROCgOCsZId/1G6L6541qZqhauiUHt
JbmoxgpkL+vfjF63S7/AE+qsWYmqm+0HnuSzljEsQrf4VGgldw77Zcb+sqgqEGHaSHflOdL9T963
fYbu5Z2ZRnr51r88PKwXtKJ4E4Yd8K77Xhr4zgIUk/99xryxqKizZKNRBUCBWuS7BoaGKjTMl/oA
UwqdD8XWm50D5CxdFNmsQesBbvQwMD0viymPwMXO+2I56izZGXQFOJ/2SQ4jvfpY6KTMjQy7K0WY
t0bIWbABX7XVRYFtR42wxKNgpq8ZRJRLCLe5wOzK/vPE1cSVNgwXgZagPF46lrWryIGd3LmpuZI4
Nq84zsfqcmQ1DSz1THtkF7Oqv8+hN3YdIJx+m6HA6MHfe0BtQcWB+QqDjeEMxt81OMRbT3eWLrPo
x6jqqMjNYEiKTuIv0wa7p32v7qzcfqDweLN4+OqJEFTP4jOpve/7nu0s3GLuIUIBT/o82KK5iaJS
3Hs9FBL7DirirNxk67VlXVjkxO9++Nt4A/ja3mc761WDOhlHVZXkiYEJ1qQ6r0thOARt8r6hcVbs
CHsXyPaBExmBqf5cVCR5bZvm2gX+rRnjrNiOEJOsIk5yC7n+fYtM2VnM4c4z1pXCSb6ZbV1xDJqR
qBvZEA9A4XC6sttcZvUfghxXBxd2IewjqqHIo1VGhw3KEGzKwUTByZPm0Iom3nfHcCVxYSM6SC4A
xA47NNsWVQOublWddn3fyFmz1YrhDgvs9+0Qrrlu2LOcr95K3xoiZ82GA6+9GsJtTB5fv3C9Bc0x
XLZIw/sGPRr3dFzFrlaci8/t71tb3Q7RYuaqyNsxgLcOSZYDPLOCnd/AWcJxsmwETRD4JXCyWVNE
EN2PMeDFvlg/clYxWHVhsjHId7o68m9iWlc/kJQo913hXBnc1mF/I1pi/6Hxc638PisWoGL2TSBn
CbM48ZtEopQV8mo8VnMAU0w6X4P8vLFBuCq4qOrAhifCyxe9RYd6SsAAbHW0p9TO/4ey05tijBYo
y5D/jManIl6KVPV9uS+9fXEz+TUclMyqgY8oHtmgLMAANF1LU8DSO3RuwYrsmi33W0PkrOASDfeC
FZg7cLAqgK4tzc0Ke8wrM/Pysn/Y5VyX6tGMfQJ3by8HV9lKXBJlqO902ZSgGwLJLtJuaj0/62TT
1FfG7a0fdPn7L2G0Tjyqu8p4uQgX/S5JFnOG1ss8/32+vvWDnJUMl7cI9pEsyb2K1z8BHaYfhykO
3vsI5vxsCdrhs9+265XE6H8SnT+Nn7OyR15gg4UbYN77YyyeCxH1xQEioa54N8BX7l0QSySjVDLR
4B6+hFALa2PD5MT7yH5pV5lUWSltmxy3pvPhljpXBOZlsaj8A3QUsdl3zLtKQzVtSPGVxMulLsk3
INihkPSZ7j//fdDf+qTOJpEEfRkE/YooxS/hfAsb1DO8n3a1y3LAm36fMGRoEZCTscDLLz8TUv9r
RvgJ7npzl3MWcRjswTUCl11/lfA+Bx8+LNudCSoXBTHCsHIqIcPNvWV5ilvvfXFxRN735s6+MMH3
yGxsSWDOGvwo2/gT7CZ/7nu0c66DXcBlxBtEJMUMjeTSbjfrOOwsurt8AbSHVqvu8eI8mH5UYf2x
jtWVmO2NeeiKxLYG1n0NWuzzEf7bt3CGNoewi/x9t1tXFtYvcMMu/A7nbNWTL6CEJ++QgInzfYPu
ROIFfCpNz2iSd4D8pDJYVSqU3dXXiDXkrNB104qiGp7kQ6z+1cP0bVvKfcPiSsGw4bVTN0CAAlB3
8qULuvgclvPO489VSHEhCkT3A3iHmlefKlFMXwDvZfsiBN85w+tiQjErTBBV8lg/IF/X5zaGz+2u
T3rxLvv1pEtY2UF6XPDcBxv+g9Wqf4IByLBvwrgCKVCXO9N5mOxK97PIvES0D3rwr+Il3lhMLg5R
euHcyAW7QBnHWw4G5PoYt6S/Mjb/Eef+cHK6GqlqQUXUwB45X1ctfzBoEQCZnfvomwAaZcjrcnsX
+sMROgjwpZZkOcWtrbpjKApw29cElgI5unx+VPAFUscYrqAwNMIJe4JOv5NAQ5NZH6xV9GM1TZxc
eeu3xsQ57ut2he3lKnm+RRR53d5LAI0HMr3bF8q7cqt19WbZVAxHHcBsJ9SiYdwKVMXOlepsAm00
lrWxCwegtELckZSPxSz25Z7+x4qx4Zc73xYUOdtQ5usHSJwktcNpz1KCFuD3pdQsAUxWa2QS9EZm
9LMUxdGv6C5bMo4i5e9PBzCrDgJJixz5hOExHgT/AKja9rzv3d1toA46VoDsl+tgC+EID2/7afL2
iTCQUf/93dnFlVrC+zkHipG/+lWpT+Egig/73v2yEH4J1mcQSrwL9yuHN9XnIhwNOnW29rDv4U6s
Piyk8SWc5PPa92U6zvEHU4AzsO/hzlKdYq/3+IbIzkNbwInBcedhtTP9tO/pzmkdLbAK9mtEdshU
NLlEd1E6DMU13d3l2/3v3ggg7e+jvl6YlmSYoYEsFv0lgqfda2hn725U3rirYYJj0v/+P7yqt/Fk
Ep6vrWpvBtpN9z2luywg8HR3vcpi62D4zPNqjr+RoH1hcleTJ57sLFYDDvMAZ3YEvjZmd2Wr2xu4
Cvu7MkEwt/19WDgaC8a4QZA3SOOdLKhlSLhGPpzfd00cV/JlahoBBiER5qHj7eD5/j3aJa7JTd8Q
FHDuLtcWGqM4aBBb+6o9JoavWLB0BbilC2xs8jbyyJwpDzbVN6xv2+5IQwrv8rEbcNff9wudVQ3L
FdyJleG58RL/iKJNB+v+al8B5X9w0N4cq6DwLM+RfVGvRm/27Ntl23WB4K5pm1yDtWIc05Z47U2c
DNFhjM2+0id3JWDb4oWSNMjl92D/oLE9/AgAVZ3tGnVXAeaJeElChfwokcl4nBkaidd4KK64Yv05
7uGuAMz2sQX1YkKMP5YriqsyPIq4+rzv1Z0Fjf4HtMmHmuWLkVMD0GkF/+Wil5PaNyNdEVhplk0u
ZOZ5D/5RBp2ZfAZRW3/c9/rOATx4aCO14chzypU4Q+Ii8nmL1K4bCrxKf9+PkIlby4ahXm5EX53q
ammPZlqvmTa99V2dtWoLNc1JjO9KlWryeBrQxIN2yCvJxbee7h7BHbx/4cSLcWf83ZpEQ9bF/i5L
F5wCzgksIZYB1mlk+VhM9RfIu6P3Zh6GXYE4d/GyKoI1wVDHMfTdtnrPeF+8JFGvd13duKv7Cv3Z
N4MvcDryZAKQDBCSl1hWiJt3TUlX1OVPES5XAEHn3KxzeaxwBwXHgPTl877nOys2KkTASImMXMdn
+tKCiPNxWP8/uZD/ry0aJ7BzBOtSj0SHFa4pOJU+hKzl78BnsfuW638sxV8i2h5k4QpsYp4XYT+m
tZmmtFyGfXkWeFj8vlzjwhIarILlPXyoj4ncvHs5FOrdvnF3lutYJFFTC8Lyi6L+MJZedLBeE+yb
866sa+mw/U6X82mg0UHGcHYKqX+Nhv7GXuAam5FoAy9oxc3WSD2XqYJz1I1UU+/tnPJOyLyUc2P9
4XK41sPnbRhfEhl9//uovxGNu1quplhlC8PhIteq6r/AZdjWOeA7bZAnSuyMal1N12S71ng1ckXm
wpLRA/h9pIbP5d9/whuj72q6kJlTEErGLC/9CEwwyGf8KRVLXSz7wg9X1sW8YgPSEbeJcQ3AsxIy
ny7IuH1v75ywZI06M2+M55rwujnAezuOYFPNyS6XeiDnnVU7N4q3WnGEfWy5wO18lgGVJXe+vrNq
mwjyEF5ixxngYprNvPkaGu+aLfxbXzb8fcOZorkexhXR9mYCBft7KPZgoborYcRdPdfYaLgCaCSM
tPVkeqHgHUqrrjYRXy6Df7jmUmfNwro1bmVhkhxoJFGep7qV+nYK4/XJ40NT3PIA3AW4+4+fy20B
DrbeQCFLC0/6X5MB1aZgjrT+BEfO4Gtp4Fp+Lggfbmro536sRZ9QCNrb9cff5+Abm4Cr0pCm9mzV
Khwbpl0+0cULmrStRiD+Art6X//+T974mK70bJRztEi78rzr0SJ4QCljE1mpiiLat0xd+Rkd8LKh
Qay6dsv0Kdxo90r0sk/tzV35GUCMqyzLEMtoFI8jXUFaL+3rvqFxgoJp2wCXnTqehzO1J8oq9mWC
Qc++ex9xdhge4LT2oWXJBVr4YMrYbQ0DanKAymTf6zs7DLIgIcC/I5RQ8MF4oSSmX3kXLZ/2Pd3Z
Ydoa5uLwksO1f7XV96WWzc1U8H0CJX7hrPyaAyzglwIBvECuq2iAgQQaCtRNgAEo37dBEieU30DX
XZMep5Mn0bZfAZEGe+fq2jbz1qJydplyZElTzNBz9o3OGtSnBzhh7Bp3V4GWwPBgZn5H82Ic5Imp
8RbshnjflHEFaJHo1nIpPJqjRdmg4BCMHydqxytT5pLm+8Pe6wrD2smySAjD8nDo6I0BeubfUINb
lkW0P3Xo0+it+SBmMBVNL3fmql0LNfTFw9PbjjTnnrG3iSR8Tc1qzL5OJu6KxLaGxFZFNUUuvEH0
wf2NvsxtIP3jvu/trDM4t0OZwTFoPvIr4KONGqjMYV/1mrsqsZGMZAXpHIpDv49TYfofKlivmU29
sQpckVi7hTg9ezycELi4g7PWrCSVIyP7kjiuW5qdFUAZK7oGasaHJxgG2pSCk/ht18C7OjGOMipZ
cFXMpz56gF++PQRiEqd9D7+EJ7/cCKXFbdDULM77bQty+Cu2uYa32M6nO3fleKvaQXES5/DCHtKS
RP8UDViH+17dORUrHY19pAOSz7Idj7ItoXWLln23TVcbNqw92TTMcHK6zY9F5A/pNIDs/vc3/08D
84cNKHRORDBxAaxVRZwvA2n7M4qe+laDGz2koR3GZ/g5gZZMBRmGtAobr0iBiFfz4VIBITD6HoDN
TeqmH1LGVvsAUEMH8O3ggSjPOx8Q1oXXYl8eK3SWfYuMAdCsFgnKGLK1uoYhLO6D+xokwc37ffpR
6P+h/RJxPhp1wrH3uSHTzhd3Dta6hEzWUmRWjS3CPBHjnMuOXkur/vf7//QJnZM19jsgLy1isiUC
PujIN4B6X2DiNpUZh3HomM6VF7yr/GYs0VFNS3G7VB1ut9MFNpZqWs7+MQ7mNT540FOvh4WN5kMY
al8fGzNSk3IgOcxR2W39DgIgO3hh/A6U1CVKg86Tr6yTvtqlSmSuFUjgMaTnmR/nJhFizGQAs8K0
ixT59+/z/bIi/3esmFvA9paxE4NBQtHCPNED41hwlhFrk39i1pOPG2oan//+n/680zO3mE3mGp6M
wGvnS9PVp1jM6luiA5Da9z3e2XJgpsgQ7YTILXrxfENhs4883c5GduZWszs+TMA8hzjBDSZq1uig
f+Szj9vnnrfnrpZQVdD6QRmKoKpnZVqtgOuCUrsz7+qqCaseEyipCc17Nf8IsKhTpKT29SVxV0zY
XHK6pY1pHpdFmUpbfgCr9ce+YXE+ast05IN7i5XM6XTXwVgfS9Ln+04p138OueIwYErF8FMT+inU
Hv25giLzsu/dnYOEVlPNLGX4pAsJv5sG730oIRS71iLz1jbnqgrRhjpL5B9iFJxZex81Btz4NlTN
sRMgqqcB5LQfIQHnj3JtN3KHJEanv4CUC+PVFb3vH1obdo91zAd1QO7CvJOqFP7Bbs1qU1Fu3MtQ
c5xQqPVn8wjkJLXZUgAcDcQwPOsPWsE26Mr0f6NAzBJnsKAurmJQryi2uZpBjByX9qfoQ0IAUx82
dlPasi0eBMzCPqMyZO8hg+nRp1YFcp8mFjfr3487dHeVFSnQqh36Hv1vGmvshTtnmnPgrWVhIRIL
Wd5EyrNp0Mo5yAJR7eN/oD7sHHl9tCRQ9KKyMmlC8h4WMceaK3baNZVdKWXSLCUYHz7NLYeFn4T9
8C0glvXOyryrpdxgA4ig65Ll8OvyhxkUUpyof4A+ve/1nVCXlbPSi1kpQiTCUpzgyNZIMe4cHGeP
GqAtr7ZYx3khEPSCTVl2L2Iomn0lbldOubEZxedJY+xlOd5EguqMxbrbFV5wV0w5ALvjr3rC5t1u
KCqiZHbbjzubJ7mrpQShrEUoxAlujhryDviJpiC8lFc+K/1j6MKBbP7tfsQncEt0h2lDJh809lV0
cEwO0flc3jZ0jn/umzzu0t20HSeDeu4cjsuHdREigkN0IK7Vi99IePjOyoVLJLVtg2NCKfaq+rWF
c6jf+1tm0TmYbYWg/zK/7783FBlMtI0jPNvzw1gS/T58La8jxJIbzYd6+l4XyauS+0wYIcNzPs3s
BS3ng6E5VLDFE0ybOzRHT/6uFYeOjd/fHOBtiZgV4YydA3HPSRmcZ0GbXckU+HL+/nQxyXXpuiDK
+Zwsj0bU6kPCi/rz30f9z5MWAonfnx6RuN66soogKhnaLROi6tcD+kb0ywgj73VXApC5MjeYUQFu
35f4DQgs02KsPhA70H0TxxW6AUhObV0uUV7UfXEs62o7BwPZd9agdeH3ASraYg3moCN5EdfBSS5+
j4ZKf99mDcnU708f4FDde21Lcr1MckxX66nzEjQ7y8nMFbrFyBZrr8Tzh8RTDxv1oQYHae5KmHSJ
hv5wWePOkoWb0BSIsia5p5YYgiTy73RhkP59Zr71cGfN4s3hLKNw0JjK1ndBU1VppPr4Ssnuctb+
6dWdNbv06xp0C1LS/tRLm6m+meIMPkYbvMFCPpDTFM7qq1hC/f3vP+eNRA5zZW1FAQqaDXgEyX6A
LEC1TXRKN3SA/Lykph7mnsvmcl/R7XwK1iIeavhgIkF4iAo/mlKLHFNwnGgXLqnt+qZ/nvko75qi
9tsU0SIzt+imQzn876/7xr7g6uRELeyFdhjlpgv0msaQ3XzyIUn4PozlLrdwgIqdhOLUMptI32BX
AJ38MAYTybyuW68cx2/MH9cwLayJ11tqo9yacDmraJbvKdoz9+35rlauNZCgaeGHObxOxgN85vVt
N6pqVxjEmLMtmCEq1dgTPH1pbRq1YfUQeTuF9szVykUzlEMx66IcXirRTdQk4Xtuk2v9NpeN8Q8r
y7VJW2rUSxS8tfNuSCRyN10zfOmsapsUrTFzfyB+PO1iW2EGOXvEBOeUaZZRkI+2x9QHClx+50u0
7ZxCziYRl7qo14KFORfwFTsSQUGiG3Q7XbMhf2uOOmd7I3vs+5dZZJKkPgMqUBwEpBX7Xt+Vz8nZ
H1k5RT7qhZxngsTsgI+xT0nLXPGcV6kO+Uzg4o1g+rgVPj20ctxXgWexc0dqp7WcYhThc4rjPUMJ
DJackuwqYzNXOdd6LZsskLV51DfdSw1cX8qKqP/0963zjY/qKuc2Lhoiez/IY1Uvn5C1rx+aVV4j
Q/05Pmeucm7pOPIh/RTk5TBCr76OU/eJlaT4BneM0Uv15BVz6k2l/9EX47LkJZxNd2lsmQsUraKQ
bvViAsglDaodcADNUDTWN/uGzVnLhhJJTK2DnOi+zseWntD2tjPOcmV1my45b9chyBs1m4+kqulp
Cak+7nt1ZxmrnoUJk3j1tmTVP34fbBLd3TBp2PV4V1hnKelWEEBwGiDl/1nX04z21DB83fd05xQW
M18GRCB+Dhpye5LIGaBo2OwykOfMVdRFON4D7B1+PlUQY6bA+E7gSlq6cwd1BXXtxuFoFcx+btqg
OLBVGLisJPskHYw65zCjqpygXgpyyACq74OIKeo2exNNzNXTAWNF+6UvAljrreOtATMpn4La35Wp
Ya5TGqM1bqGdwYf1BvZJqaj9YZtqEVdm5RvnPHXWK/PacqgktrlKwrQy9b2kXdPFg7IpVfVUvyBD
G6/7FpgrsBNk8ko4RuEk26LtBn4Y22M5Ltc0U5eZ/oeIxdXX2aoOwI/y/Bzx+Wruo7BmT7ElG2z1
I7qUWTGzbjz6aEIJD+N/sequlefK2JpFNsvQdX5eAZX36Ee2vNezUPsiVFfDZhlbuF/Ceh1eauVT
P4E80G6b2Te5XA3bXMkSbmEVjN3ZrI4jFd8B3rNXptYbJyi5TLlflAZ0HOH5bLEuCrIsP6bNyo9U
t9dYDW893VnUY8ejKZRlmCtJ/BTAwD5L4u6ajAr4sMu2/4f55GJFPRTWJdxbw1yAx6mgBlj6jabw
farbOYXKyozHtQSP5cbfCNxr6dos60Vj4rWHzYax/TDDjxnSWhiO/cNbG+m0IhuSD9Qgs5VtqpPL
sRi7uEhBoq2g8qM2ru5t0s9VCk09o4dEj4WfTQydThmydXOSxSNnM8BxY1VnXDfhlpVr7Zt8qute
Z3U/9VtOoyWaz0kZJvQ4GzrzlAKQN8OGeO760xZJiFW2zfrqFi2pi7pT7TTMWVOjmvNOlQBxn2mF
jMBRzBbssyaMaZxWXh2Gd7MVcLMV5WIFKpZjM7+rABb54iPK09+GGWBqPJguIgtn462ZrK3f/IgW
Ytdskku1pBL+gtVzUk1+lfpbEJO8wfXXpAZilxeoWeHjFOuxjdLCb/R2yzaLCQpcHdpTPhRdACey
RttqPFPm+cVdNHg2zCSKOPaBgqdWHzbfbsVr1w0X1QS2+DVM1wYgAFCTGtW8whO++RcfjhfHJApV
8D0IC108RryNcabRem3S0dNekErfJ7ifF9PY3s4amcBshZGzf4b9fjTeBLAM7fGKvuJZwLTsEObE
wStgjGTLPFAOWVaXXvAcUo8k7yTQUzcAQip63mCKXgIfGK3FZxsSf3lQYVijKItsYEVvI2+ai6zq
S58cgBvq/qkGU3fH0hvqBB5jVaAfpwby38zfkqU5asQST6VpwP4KtI22s7WWL2ljikIf4Vam7EmX
Y/g1aEQ83paGwGotnEb5uA6F+Iw3rKDnKmEb+jKQdftcCf1KEZS+Nh78jw7jsGFFDVuoPnb9vD1L
3ZLPZpt0fQw3ArHKHNWyT4e29mDlHMAlLm1lHB5mFnvvE9jNnluN2wSSHMmoslGH23MILUl4LiqN
jMlEY0PPrei68BAoiqwQHMmqKa3EVqGOvPXxcI4DJR4Ag267jwR2zckxGYX+Aq2krA7bFtf6ax0N
RXWKDOu208gDHj7XhVzC0zrURX1qUMfEpJ180z3zsKTBTQSy1Qp6Yqumw4qWRejqqbdWB4LeaS+V
0zrVx4RHajv3Sq/tTRRTTEnM3bKCD7UOiiTj2N9RSveabUhbwZClHOsJpKlVJ/WYVWQICIQgrQkP
Hm7+j8LOE3823VjfjuhKbv7Z1BKyU8+kX98RAeAIwkExofCl4p81EonfwzGmT8EQyfXILL7umc9y
fijJFuN72rUej2ojw/J+sSScXyjF0GSNgoQXaEQ1b/fdFnovM2ssDCHgLB8/gehcybSHpVWfSjP0
Pt4ezhaPQoOYeaAG6/yU8LkzD63SiX/Axyz4MZgE+6fou3Z+2UJkqg9QunF2ChI13LNkRi4Sygjv
FQ0QQZyJcm2R1aqqITmEQ5A0R98Tyz1oTyj9ehL+/3eyV03ydOH5SpWqIbrAM8sR3RMbUdMHiiEU
B8L91sumEirTu222W5st8brCZirwou+zwhJHj8542U36IBbHi5vjeDICI/++sJUh5whI3OkuJsNn
0XhHWS3bq1+O+C4djEHNgZcgB9RpTPuL62ZvWMiPZPYI8IvdGstbGDCXDT4ZR0fQDHuN9Z7PQYDq
TxEu9mEED/s7X/ms7yrIypcv9Rx280Mtq3q9ab2AmulyOrAqSEnfKaSBuYCg1LdFK7OV6UVmsS7i
L5wiaXn0fKn+8YvGHGYPmQ98/4s0Rh+7tkgOa6V1zsIB3HYNf/rY9t8uEoK0nqMxE6r5KXwoBFNg
FqD65/RrAY+9U7Si57NDP9ahWhZcIfmQZL6cq2xrFpXiNkbfI03hHToDWfOaxPP3TdMOfifmiwK+
LEwZFvOjCfiYwYGqO5SoymatMAgHuUePmDKixFAQgWu2ZOVdLbzFZLOKvSdQSiGPnrjFsJoeXd/p
5BMB5yBICFJI2OezCkxWAoiLI0CVR6bm6ABu2yecYOJ2VX2Y+XBVLNOyTB7s2ukyBfIiOFBUaxe4
zHkfzCxeQxIUr6AJhe/jNgZhffGGtPdx3AgTYkf3RZUROW3P46SnF0Cb5ruhDv2v7SCml4gNRaaq
ymY+Yf2zUhI/sPWScxSsX7uVPc+gjqaSKZmRWMQHOMGEKSZleNtCGwUZ/spgIlzXn2DewJ6Cpf/m
yQop202C4FAb87xKNADEiTcdRAEvlnEoUJzSyblZkAqlLSQHUVS87+v2fdQ2a8ZLonOv15/Hyn6j
yg+PK7oA8w7+kqnX6Ok2rj3M8EFW/3q6oGnTle/rmLwqHT8BRHWXJLE+qbV7snZNdGoXv/oBM5zQ
HuncJJ/qhJTIEsFHxi7LkcqRn9sJoOV6QL0mGsc2s8bKf7Gy4yCzjfrR9xYeaT6XtwhO1LEV6t7f
OA4rYCpeCICx34p5uInC9amVas2C1iePsWnzkdj3TcSiGxwU/j2LhT0tNFSpP3PzPK/b8qKaZktr
T/MMa2x+KCKMk0D0kXZVU5z6GDcZX8wsQ7AhvhRy2547lLlvmYfpW8Ej+jAWfZv6JRy/l0VtuR7C
b7aMMWhGpDRpp7SP5Gnr4QQUwVwxj4Zoewy8JEJrUzGVKeR4OivDIPwGS6X5u5ij7/DMijKIVabc
H9gXaB3r8xR4MFoBmP4sQE9NI0bsOd6GoUkZgWs0FhqGR4cvokoAHAFyAZNuqp5YUW8shYFL+dKU
ONB0POlUDJ1KjpgjR1726iCkCB+1L+pXMk7jg4298LBI/0RYOT6SEMGk1u0tRaCWBXEzHP249oHl
kgiRwoV8mVDkPqtOrGk7yhvcjOl9YcxjJbyPjQjJGYvnGJSUHTejq1QWgU1X6odZM4pbpYuPRdks
WQRMe9YE65S2YBSiSlFXt8b3sXPP0VfSza8RLGyyAbLDNjXBOh5RM9Cv6OWUh557VZnOpprOrMFO
623cf4TZGHuKAkFwUFjzxULpflhEP4GNEyWprko1ZHabTZ1tYTj9W0F3UR38eeqrzLRMHACa6FIN
K0DsLR39VpKVl/mKilkLZU4ZkZzOnh4zFXjtOVR8yTZRrGkUUJquCAuy0C7fcJfUBBqjgMdpj2b0
FtKXkCtQW9Y7Wk+kO8hm7myWLKzOQoUtMViD8nYGj2l9RLtwlUKUGB98QEIP80W/CUuyEM2C0W1V
BCI3faEy0VXf4LnUpPA8KWFjyILDyubo4wjvsqzagBjCPwmZPQ9REc6w1SfklKhmvKNyfly25FNl
28dRytsZtKNznFS6/oxe0+Qe8SDp33fwx8Ahx43+CgSz2TJ/jeSM1TJAGLqY90PZbPUhKEYcDjQa
Eljy8jo4SqTUqvvFTsmp0yp4aOuOihRsophnkVlJnxKvS3DTSCLEFxJ7TVpp2BwrDMV9AaLW11Kt
QTYi8n+mCa/TyPjefWf5UVTsDgHQ+OBFchIpWSZzFD7/OpfTbd9qQC1aBGkNYr8neM6T4+ht+TBJ
+QSrhxcdQbecDDJJp8WyMQX0nmeL3+Dy0lUkQ1ZpwtSgE6Ik379N/o+zL+2RG0fT/CuD+q4eURR1
LKYbWB0RGXk5L2fa/iLY6bQkkiIp6qCkX79P1PTsVmunUIMAGg240klHUCLf6znquCdXW9h5cdYv
vr5GdRJ0gNKy9VcLsZnjUnWqL4Rd6xI2OX3mBWqlh1nQFsnrWRI9SWpxaMPQ5JMI73uM0DKvbmQW
B7042LiPXwMMBWFnBc/RHqJamaxC/BYq3UyuCnvXmdE/NW07FBUi6JT7TGxXNsB7ClFKysDA69SH
pK0N8pbU+qnaODokDDVYZua0S4tqgZDAybJYPGximcp0WqpCKujY9Wurv+qwm26NSyaYRYkabg6b
KRSZh4OVHEkQWAQHgqbdZxWY4Qq3hirTwahSIF6XXrO0T4Kk5JEgp0CquHoq9+I4PbWL7j7DaxxA
NXjnwvVUmvY0haN9QI0234WEIC4mW6JGmKAqmodixhbPbRI+z3bsP9wIzdZe6OAqEFT6WaVMfGqR
iN9CQJbm7dL7T0PnxJEKAoLMhBefAIsJmXLT99mwMJIRaDHarFVG//QJStp0m1/YkrKCW27Q01Hy
GthNDtaqql9lBWlPsPt045dTTLwoi7jg70Pt9DPGkN2tdTOy43gYroNYabxidTNmaUK8U7rRpnB8
8a5pNfKTIjou0aFNxIN1/cRLoTBywI0dL8ABQT6tWsO6KaBNW706xnWS4ViOX9O1gSFsmBB9B2hK
+9lVo/+F0Rp711ipXikdCAppz3pI/iOCKWkg3yKlbDGn5+x66GS0ZbEao5NfD9FNP9fmG6sx6Eed
g7wJVWVSVin0uYYOGvQe1PVuzarYeFUNk8oCxbvxbqFQSM0gL+XlYzLOIm9Gb0N04l2FeiciMWYA
FeonuqSoX9wwXy+rSu7RDSDfz5Y4GYwve7zMtXCwFbL19bwQzTKrIvuKoJOYPIoGQCyhk1nHmYI8
8LFzoz4uYIaecMUlz7yJxRuRgYOZg3dXDQDhZzbc4Ea/ENyAlXFxIYYUN2bYL+qAUOxMztvp3gNu
skASnn6AddvrEm/lwO+FpeBNnflMuevRMABIPUbIDdJ7vCc/QOl0sJJPH8w64b1d+VKyaEp1xleD
G66JN/4CM8GbrYOBZz3qt4miiZAts+8r6IVxQ0sSiuCRxNTMX2fJ1HKA/3EIOpsgsAfSW+5c6z8s
ssNNHAV9OxXC+Qw8JTcG30xq1y/Oq2eRrVqnHi62Cl6Lrq1RmVRe/dKwdkUbhHrA4c+m9g4JjdIt
GzY23DfB0EyFS0JUg+iHMD+LawgTZzMaQIdw9eALDwiaea36bShiXsEUhgFycLMGEmlMQNlPjUQk
N7JSZYOb5V7MgcDzGShc1ipSx1dJWK3XFQiGrzOmS2VDw/mG2eYVCKTkxjRoGAncCRnoY2KDuBwa
OdC66QsNoe5TGDuBLWqD+qrToj4ijvC7eevGIgpWVQxhHR6430XgavlhnVXOm8qxs+q+x5ApR5Is
Xm0UmIPFn3O0X3jhYMd7DoYWXQY/6L6hTTp/A+DQHqO+qws6uK5ccWHm1Iz1CT02lHcr+qhovQAQ
bNazhhyzjxxKEEXcROK5rUwvMkDnG5M3vnmd4aSQ0XnedAbp1ugAm77t0AvcyDMZTDGRiJYdtHpP
8zQF2Ygb5RNLpiYDchhv+CAdz6CGSEVBcMkWQ1CRUxVa9gvYUXaFRCk9CYPCEQs+hgIfCTr2tkAG
yEoyta+oW4ODFVP8GMXJp1iZ+s3b1Jcp5Ji/SFGwLhogHiWrF7iN8RN0ouSYyQUmqRmHfDHSvrDN
QcNAsRP6JLlpRspzHsP5TAcOt6CDdik6d+oO6i9dFsR8zscJYMdFtCtY5JP4MTOi8wHeADdeMAYH
4YXVIeJgfPRjZb7WA0dCvcC9pfVqVmykmUqIOw6PqhvYg0EM/gybQch+9dRd9QEaFZurrmLbtPfc
Nh046hBuWuT8soXEz0IgzXCHh/K6hbH9m+nbUiH5PGdjItvaISqJQsU+YpaA218UKJsYiq32UZrY
5rBObsqlIT+jqI6Oo8Ir0gb9FV+CNAsoUjCyybmEvOqvDeKz3xMUFddRCPe0UAiZGearEtME+4nY
+MgFW3Ibd1/X3pvP2Ov+wEhAc6lZm3nT6krJ6VxUI76Wz+l6RGeenES6PqxIuY52aHDpUn0Th+H7
2rnpqNvkkx87fIPaPEwtu49DFIqOzWgbRd7XOmX+MUw5uqqQCLyf+6hDYwQt7kzY+lh5AUg4yQQ+
DjisL07Re0LPCRTjJId6c1cCpfQl8lqklIn4RudkzMkY/2i5nosAZuL3oS8cTskwZHzYpi8SUmJl
vIKB1Yogd6tmuQMD6bgqJfJaQ9W2WRIoidJN3iE/wTNFcIAR/eZ3JdoAyLo0Qy0BSUA8nNGDwL9f
H6p1SfLOgndmoFp97ouSTHc2eOOe31/7LmkL+AeqDPnDCswK/2r7Gp2mRbByUOEnMwukpVy9kMW8
pTrWyBh6ns91IIEJrNVhttKWSlTfpC8AKo7CcobS5H0dwKrRm8mjhe3MYxVGU9nMMzK4RvBMSdi0
UZscvHpJCxjSJ1dtL0nWEP6VV4Yd4sgtNGdp5b1FeAhoVc/NC8SDTxMed5Z6gADjlY8OJKxwHxjd
5UPQ9geokz8lGHsPvO6yrZlXhRguk+sJnmkPfirSXCofVxKbwYBaGt2fBvjH3/Rpz8qG1SiPtIXQ
mhswNqxIMORM9NMt98RksgjqP1+Q7XxDziquB8rXe0MnL4+8db0B26l5IH0/IP6NG74cOsXaZp5j
9B5NVnE31fTNukR+GmkdL+desVq+9MAD5C5QFT64oPfQfHPZDCRMBqTH/G3hLfgvMe+xVSOoPM6h
WT103NHrrkoRl2eAlT20vJr4gdXwGDgu0JsAi3qcOEcXvJofabMN+rBwMQQ/63azuafBmr1WzE1B
ziv09rIqQK6TRS1J9X3nWtfcht4QZKj+ugJP1uIIIuaKb2cXkuY00hgmwxAqV+R59lP+Y63UHL+F
6Tm9yJxkyb1WZD2tPK5npCkIgN/GTs7BNfroc5yDknQ+wAB9Hjy4qW4gL09xiFxW+6YIyYxy9NyO
e430FNsC8SsEAo957LYhvuXPVRxL9UQhFLkclro21QMshM1x8jhqZDoIlJpTN/f0rt2Yva4SgK5x
ENiD70/+lKUYFTWPC6iICp061931YWin4xqQ0RZDb3V97bfbaJ6VPyHOSrFO9jjQ0OeZWIKl+jpU
IbElWqCYr8ix/wygS4CK5pxlZQsncFrrkQnoR38IGBiO4OV9gsgTJDozzHTcIY7RbP05jPB9v1la
b9iKeoXvcdZ42zT/ImJDEMYZidwhaVv7eUjT+mqqpH4SVG/6JokH/qlGVMLBiFjTn0bPti+TrlH8
h+kaviRdFz3bwOntWM/n7KJuY0j74jSiJ9pHvYMvLqTlQ1R0Sxo+dNFIPvGz9PzBRpVG+31c9Aq9
PuDsT3ETcnGH2N2Lq8BAxfjUBS25wvuF6KVmIJF4282fJPoF75qM/Ba0RIOJliQgLsChPUlg0boK
GB+gXmqyKVIBh8OD5LzoNKvUFcVtgSYpsOJX+GfZs0MlQ08TdF3p0Ysi/RCwAVIyeqpWEN3PysW4
oar+J5RgxxcOetiTXbpgKWqDJ4QZv7U/Rzb5XoGyO/AeYLseX3WCxOgR6ZA927BW/JdTGvonSB3h
o1PRNB2yClsv8yp2FMa1C2YQPe9qh0zNVF/aSavmTsADOCxS2/Y4Jo1n1Y3yBL9O+17cSuhA+iVc
VMyUwQWsih7iaJhz6Y+G3hsvtGOxNio1ufGanxRDD5FTUnFTwpW9eYK3GwVbuhfrFQrZgGQTC9Dw
mWwKDX2J4JZhViN+1STAVKRJjSvQ195cUTmx/JpWGz+DBBmsB45h3DUjjfR+dQT947JJBwuSdMvb
Ywwi9rVAldufgUzJq68wa7xd23F1uaELGd/12kZBnSWcO3vvTZv2TtEW+fRRsI01pVNQyzt0nQmu
cVfH87WpoUGXpcRZla/QqmT5EtH4AQ+DCcxa/B6JiEzAxIWIRmKLjrMn+M5YgYuuIegwkC1Eey0Y
9dUU9bPKBXIxAJN6V7X8ZgyryP/po6ccHfQ61clZdxMiq+8MQw9xg+FJTx89Dx2gohkDKR+U3DAi
XBB7jpGKxvX8PZoD21QMmb/Qx93JraAqj+Bm/gpI6foGnfjuLpldcpi6bf4MQAIa2AOC980as0Hn
oPG1LvNUpWD1E87BD4WU8clgVvZi5qlLT7I1M8p74sf+k2V2uPNWZroCZ7b5wDPYvjiesPiKRZ4H
pUe1qDzwRPhpWvj6KBfM2ZsO1WXmdRylRNBR2p48UaHXhN5+0yFDRcOm6AiPX1MyTJ+Q/NMHjIUq
kTUtnzi0QOe0f6NmaZPcppuq8ggt3HOyUc/DByHL7B0oaWFzmo5B+tjwaTvGqAxgvN2Ar9RJJ+6j
lGGAQLb+4Du2UtyaS4LWfkOIyX3OpHcaSUxajG37IRBosRjhvaloDvDsNORQ4c07JdUtpsnd9LBa
EqNrv02R/94y3X6DvXJwO1Zz7OUpxC/CG6OCBeh+9K15vqCFhJEiT4JX1HGDLVfJ2cvoRcNpRQW8
HuOIp69UO5S10E4yp7Xeuu6DQ5YTss/Knoe9mApc+Yu/ocZaN4FEOGH1S9tTm1XE85tyi84yyGbG
ZD6bXTU8Q15r+57i/6tsq9lEMwpe989VNL46jiPe2nJGmvpk0IVArSZam62eAM97ZUtPrmvcYbgC
1gQtMYN7mpeQupZ+Lvna0wygQd1eqZmtz87V6Y+OC6TvKnDjM/LQ5plUEhtRTYsCIRGD2PcOqJE2
EwgHA+bxfpKWUAFEdcdCjFxkXelT5cDpz0K56gdU9NuNZVt84ySFVh3sTwQLCtnTasu1keQDXChW
HwJnGgHHhlXC2A9A8p9Np8b3QJugP4/X1XTa0E396FXFq5J0aEkfBoIKFp3mDrFXD8JHqA0X8iRV
j8Y1iY01BebpWuQqjXBddNRDaNowsa/QqW7TOau9Kn1DY66ub2qB+wPtKO3VV8DT9cB9to6gsO9r
+WuKeP9D6A0hANPA5efcY2SZM9+4x6BdXXKL4IlpBhk7TANpSyjy2NGdPK9jd9bpZrq2lvAwb7wO
FjvDuGJ2RHjEPxtM6AK80UA+HsFgIVupfTn8ZOh8vntdTLubFPrPVbEODfrGXqtwh6PBWjdHn0KY
OE8lhto5ziwJi1phHIY0cms/dzLsvo9qNv711lUiOVQy0T8xqZ/jbJtSmVORBD/P5UeaA4LfzbnR
lfvkj2Ml8oGBGZpjkI673q/G16gD/uLQy2TqjtXkISyHrDLQRN4iNIE9DLuRbcXgkha17zpRWgjB
0XJRaICVyM67rwvGzBlulxBT7aEzh4QJh5uWL+oel7B34zsPE91kXn6gb5zqnITThsakX5ln2I7i
jekH38OWujnyj5YM4FM75sU1mnFySF5aSA+wEy5ZyjISeSPQ2KTln2M3+a/W8yb5HvdAcoCQsG0D
2haiUsW2DCB/T51J7rahnl1B+mq8Z006/9jQO9jytVUrOWjrUCGqRY4YEDsG/fMNZj45OGTEu10m
f0H5iz7SYVTTeuMsfvUTeldo24O2xpMrxaVWtwIff8WtyHEimtgYTDOkAdijV3gzUJcvCywnnAf3
yhl5pkKdDZmiD554KML6IVy6zFtSwg4qSdXPqWJoB/jQuAmLcOvmFwyPHT34jZjnw1lbpy68LZ6A
kKHKvELKuN6OFSir7/XsqykTUWqDch6RvOUQqlTyUZJ2wFxCtOj8eRxNCbzWQqEnI3uAe/Eo7gZB
2lsTdoC5+yKq1mwgoJmdhs0MI8YjPfL2bXa0L5NGyVecD99/mZM10NinxCbFgvI7yFkQaABKUGa8
JWoj6dXofIhItQkymqwCLc8+LesWjshGhTO/iOnW9IB/wn7B5QZn7IZLzKz6rg8By4hrF5dQpddd
BpWANgaCh/HwQDCBnnL0L/T7QF2wlAPehDlDLxfuGL7DJKsM6zHSReNF2NYx3iSS9nhb32tSU3Yn
exRtKD/NuJ1bU9Ey3cdou9+kClOwfKGBGEtZY+Bx9NfKfHLgZn9OquasBTKO4VeB8nQ4DECFzEUv
DdPFhCrEf4NS3Tg8Er26+KbpXQhaMpq0ITt4Y72i9lZ92H3GeFzhv5go6X56caP9e0wBEndYPfBQ
NTJS8Kcy9AUQmGhEVfLWCqQRQJxAGPVaroguBUzaQhT6CfAeeVQj0Nx3GIR7mIe03pgzwADru5V7
uDip9PrnUKrwqw6W6RuAoO4qFbqJ8fU2DSxBEHTzyZEulPm6dvF5MLcmwXvDu5kiwo/I6DZke9ih
I20FsVs2+lvSlWoTQVIgTp7nEbJ/gC9m/9KqBiNvjwb9vfVafOhIt02DnvA8vfZeDb3CfrGvaxTQ
toCdid1OSd2ZL0sdhzqv/aXZcjxwXKUwYo8WpOhd4HJImQBU5s9TjXTPhWH4GJPYN59appL5asUN
npbe2GqSIwKYu0TxJMkiUDt/ohfjqjxGSo4GALf9cPYKCocimBYz3k6Kt5/4FjMvczZA8etw3Ra4
otR2g7iP95mhWBwzHqFhDDhf+uSAThf5ZGK/zVsJpkOmlw3tK02Rq16nivtoTK9z118Hw4RyEKUn
rt1kM4vM0EOCXKE2eLU74oXgJ8pB3oXzKtdjDb1U9WXkmOWdMD1EUImBR1ozdGKJKpOkmv2z08Ys
iy2UhNzP2AvIc1cBTzM/6cf58zRBc0BlbQqtKoQNHjUPsBKpgcWrx/EFSlPk0SRUPIikcd+xVUiL
GWgD0ymZ1kYgUzDRd4AIKWAKERtX8KIHE5WYhaawEVtp9SFttPq5W5qG5WgaxN9IWq8Yjwq14NgJ
b7sdwrm/XRnH+CSa5rbUgQi+2UCuz37ccfVKLMZ2V0NaYUn0GGN75XxYiP9KJi5BNK7w2MrBn1R0
U/uKLJ+S1re/JmbX90TouQLC6Vyne7gL6sOkg2AB3M4XshhjGhSV39Wq9CA28yshIebe0RAaL0Og
9b8COrjhM3Y8gn35VE11DhPF8GrlFfy5olgcE8p+qcXBSWaOPN/AjtlD0KMD9EgyCpkHWghgPcxD
NQ4JvwtwvKNSpkH9Bk8a3b8kU4UOuoIpIyuEH9IbZGC9/wSoDLLcrFpZ88tVRt/XcZCGxWZrxDm1
yTd/DqnOm3XpvFLZZn2OgR2Y8SVqVCd1rXlXhrDCrIuAbizOTdRuuBF62mjY9TFlM6citDwJ4lST
EcxHGVrSka5O4+iJrz6Glks2Db0gaF+5CRIxI++X0jY+hjoOp/Gm9f10KfmY0Luo6eWbNQGSen/A
mD7w42oD4G/FVMhtNPBzhpLlueLDSk/cG5oK052+qq4AdNmQtcUkwBi6xkzyHfwKjT5yitc5D+3G
6LXQ52+BMl8+dYsXPfapQM+RUTwfv+KF5kGLCfswJyfDARqD6tPYYxvQXS1hqD44xHAaW3S5Fiqu
hDeJO6RcozvMUOpO8CFT8k4r1r4Yqyv0LxbPorHnD94BcadVB5mGEoAFAwJRiTl18tbMtcWYPo57
pGLQ+ewxEGXym2f86VWac0sJsO9OXalmUw3MUAxak3xIWntIyWztoZm8uC0oZgk1cCtUIvCNkX0B
/wDY0oYP9rzvKPNfZNL0z+sEM/vHilEc6ySCeVbGQ7DusgZwElVEad9+IG8b4b1Ge2z/yBqk60nU
oNRGxzBYS9wR6Oo3ieDoCA9e+A2Za4gxVtUyyN4lkrxWSLtatA/JSNFhNYE8bGO83CsYrvN8mIPh
uwMe8q2aKOnQ36BjEcJoMsz7uYdDhA4qMRaiVchR1kVPGH6hhMRN5Aj9HHsjmsa1MNPd2SKbH1Er
1QPsvjFvPmAyt+nrRtlpKTDjCTF8lCb0rwhyR16w1TurwG+y/9VMTfw0RyhGAUVIoILeqQ3LetRi
87dANmnOKh6ePLgD9DepWKM8rcGZKsdeowvnQLjuiiGpgw9PyOV5G5oBeCZL9FZMQJ9+yHDudN5H
DK6HlDVooE3bUsGgNvWmASDYbUArhcj2UwMg8XnrI/kuPDF8q0yMg+TPDOArSKLcAOSmZDkk0fKr
HewwI/MyEGQZ1krfiUrSIPem3iNFCjOl+UCDWPdlPXsaiRqSluiABtcyHNo5lQpF/habo/OXfsF4
ldoUdH2t4vsqGar2tmlH3EqB6tiCsWFoasyoRSdgWuq2Jw0ZpPZ+SpQJMEgKg+XgC56OiNDnVLtj
Ux3mIwQ+9GsH9OjyF3TZP8OU75jQ1cQIvlF6JkOYBRk2MOs/wkQNH5cxBXZci9XblmXxMaUYydad
5Zjm227R9C+YV78r9Px3gPUdzxGMeRhqrq1/jCokrCevxik9jimgABmszZq+6GiIvBQl8PoDxbR5
J70MbdF2MCU9NCixuhLxXcWnhXnRZWSz38H1f+AAYIrY6hioW1wigEW3jVwLwv/Kp+NPuCt7QVIk
/4FIGDomvQq7L7xz/Y8FLfMtC8feQA+H9Gg3XfTo9vKkddPHQqV0OxK31DerJ3HuQhs8X7b6jiZJ
fOog8We3Y7CChMno7J98X7eX8TD24qepav06gHP1ceXGL/2RqAMMwMhlpJ69yqm0qfYTic+uSdpB
8jEK4wAuPLz5C4r/n5zJvcqpd7ZYtLFbjxjY//DlnE29erxs23fHHXUG1fBD3Y44il95mpZwktYX
vjC7s276aQI09jwAFJGEL2dASnwNfZkSx17fdAGqghmfb0e4//EbXff20G/hZRY18V7dVGxGtkgw
1mM/2PZnZKz8ZKlu/mmO8O/vy/+qP/TDf15Jwz/+A39+12a1LXA7uz/+40V3+N9/nH/n//6df/2N
fxw/9P337mPY/6V/+R2s+89/t/g+fv+XP2C+jQ754/Rh16ePYZLj7+vjE57/5v/0h//28fsqL6v5
+Ptv70gBxvNquLzUb//80enn338juHL//Y/L//Nn58//99/+t63PqygwOv9ztf/6lY/vw/j33zxG
/xZhRJ8mfhCEkZ+eLxn38fuPYvo3xpIQ3ik0CWMwbvA6KXAQGvxaQP6GLB6QOQLosZ8ApPvbvw16
+v1njP3NZzFsy+OY0dSPoGr6Xx/vX57P/3te/6am7kG3ahz+/tt/ewQxrtq9y2E/6Uqj6V3Wcnrb
0vVHNb3+YSP++S/9T1behSyoZAJdAVfGksAmkCOOb/YimW186B2bt4XSBnBMVJRrGj/41HuQBPn2
RR97T/kzU4w5sEB65Tu63WkWLHm1yuiS+xrJzZng+IeYWRHA7WSbCECIDz5gBXVrL7mrsfIuzmju
8wVUW1ECYz9fbxidFhicppdEMay+4/sFFbyUFOReSuMsYn3ItyLywrfLtnxH94vXJnZhtIgSlqHR
Va3G784H7O6yxc8v/h92fEuGNuxjX5Z06LOq3m5bW19yU2NTdjEGuLUlAd9bol4+psN3edEdjXV3
ZxKPzZg0hDzVUA/BPQRlpncKDMKSX7Yju4NZJXOcAPsnS5h7nXAXvggU4JctvTuYUL3tXSRRZPBk
Wm40n8hdlXiXEFoxkt0JYUH9N5zsim3BqLsHfyaq2WVnfp8BVlFULTEP8CAxlY4M0Auh110kpYqP
vTuY7QwxvlDHomxN/wlso/qKmeUiYTMsvjuXAPVrgz62LO26gjxuu/o08CD9i7LjT4LDPv8LZSgW
PQ+yZF/QSaYXWdXjQ++OZJWwYG05lnWARGeWAMYUbhflrFh8dygVkOl9rPCWgD17tLXDWGpeLv3k
u5M5CzICdQdDyhmyLQAStlUOCHh/4XbvDibGDtVWOwSHJJW4UJI2j+LwrzSu/+xZ7o4mRrebq4dN
lnHddkXIImBQ4vEiaRCkMLuzGQUThvgaqxt+O0wv2lyiA4N1d/EyDELFN2+VZQv4e1eB4WeVuURT
HGvvDmZEN0xktpCXSUhPWnTd90YzeonOPxbfHcw+AphwcZSXsN4T32zkDyIDGkQdLrpo94r2W+e3
fQtlwLIa2sPmzh1f4i3HyxbfnU8JwAfBfBxsYCl1UTElruZovDBG/C5O/IeAjAmzDzhYVxXWmswP
HRiJPy/73LvTGYEcwtF54iXmE0PGpvAnrS5SMcHz3J1NNW4gQzdJWybGL7rFfANE8q8cBP7kaP5u
LP+HHSEVi1Gu9rxEnxl0HjtcdXFnios2Za8TDk+kcbUWH1y4+rrDfBHwLfF42dq70zljUgq0ET44
x7I+Bd6z6x4uW3p3OBWa4mkCanVp4zE+wx2vfbtcpBjJIrI7nEKuDRBcWLyDNSBjhQ0v/NS7THYZ
wsF2iGfA0rgcDD7we2HIflmWQnbHcgDYbvVhZliS3gvzofHDMkrXz5ft9y5sygpTITF1vIwwsJIY
R6Qr+xprp81l2dteLTsGAdo0owQjYhvzxHtrLL3sLjwX6n/M8NfYAzWLYmXtrddjbaDxMGwvl23L
LmoaBtTWHG9NiQ7kD4Awbitm+suS5b1GtvbjCar9tClnukRP3F8+Az8UXNKcZdFeIbsCiKal6dRC
v6G5U96Iusd3w2VR2d8dzhTC937Ydg2qwQ9bnxJ1WUHl787lQBsJAhbWrZwP/J9XwNznstdvL4qt
RiATUR2fcZSlA4omTS5MrPaC2EENjMzay6b022QpqFJfUdBeJHSOx7g7lmc7eIzPAP8EyRPDcm8A
9gQcjItebn8XL5WHPlULJAt4HV/TxpRNc5H3PD727khizsw5qL4N3r4lgSQESdEuIPrCd3t3KH3u
MzAvsXpVG+j6N48AsQYXXbJs754yWld7UG0AU6b+jqAssgpqEReuvQuXMmmhhNad3xQZnAnk4+tQ
p8lFZ4ftzVLc3HZBUGPxeGQZjMMCfVnqw9LdqQQYGrUDBv04N4DfpLAkmiJxkUYlY3ubFALRprGZ
sd9d0mN43EEuok49d1FFxdJdyOSgl/LVCxro2swY/rua54DrzhflyYDL/mvgAXllmpcEq2vf3Uvh
PgBuii58V3ZnE5yQagZgoSmtl4QZBMxLzHmriyIP28uhh3Xi5r6BzErUB7yANwT4UF3fXHQ8Wbzb
9DGFKuvYjThCppqOlVh7EDfTv5I9Pq/y/01C8cLsDn9g66n2V2xM4gHvZx4i8+WS25DtddYtkCZj
DWh2SaGIlXGXzo8ApycXrr47+54LDBeNxp0FbmojAQJPLkrC2V5cvdZgBogeK/MeKln2Sm4XuRVj
RrE7+HatUtenWLnzfscV/Fgm9Mcu2+1dphzH/grwHq4r4SwpGvi35tPSXTJXPA9X/vVgmj6hUusB
B3NKIXGzzWB7JxdGiL2kegOmWtfAu63U4227Hrv5oqSKJbsTHweY+8AbuClHvd4aKe8Ahrhsr3fR
GFpmG1gFOJAQWyF1dpEnG3Z5dxJV6CZAVSxyk2Q5RWS8odVfKVf+ySHfa5un/aiSpplxFrfounN3
dL1It5uxvaI58G4+VDQQzPqG86eGDp/VpMSFN98uL17ghySgV3De6PDZJnfQ/73s+tiLmQOIFcM9
CWEyXF/qCX5Nl710exlzUBY8CxZ2A0Y+eV+hL7NtIG9c9NrtZca7WooBFDbshvbAfvs/1J3Zkpy4
2q5vZd0AHUIDQqfkWLPLLpfLPiFsV5kZIRBCcPX7zV699t9mdYd3c/Tv6EN3EZmkxm94HqrTfYw+
zW0PX80WhqaCWcNEd9BZ232VcRfe5mIJho2ffTVlahX1rlR4/GhQYuNyf7Koctr42VcTB1WyqGvV
OL+KqjcA7OgxOjI5Cr+FTS/EmiqeEVIFZdbh7FCXjyADJWU8nze99jVSXDuZ127ACG+a8IyKn3ZX
oPV520uPVtNHm8hJFHPiN21Oks8Ps++2bQhrnPgMcU3BKaYPKs7PVbuYS9/JJhcwXvdqK0NdWzlE
DOvgbGk3H9GqMKM/owTUddt7WaekCRYV45cuOqKTdXwUgfGgK0r/btNPuk5JF7FiEvzq6DiNcbQr
nY1fGj6O2978Oi3do+nUV2MdHcEuRB96lbN3zli77eyzTkvLpkFrnS3Ro1hRnbSkasDBFMHGebQ6
RvRgxOJ2jB+2D/hyU9XjKyCX/P2m175GtY8d2mzphB45Hj5d6Emh31ZjgFj1z6cfdCpTNBJgsFNU
nuYsvbDrmk32ZQz21cIIWmsReI+H15M+58XdEhTbblPRalWsY+hSWYvtooqHd3UchDB+zpsA7QLX
hp/fCWiz4MG2ozw4Zd3tCBLNrUEOb9sBS6wO9xEBzKuxS3Qsyj7b9463VzOkcRufvloWqzYssUlf
6m9d15wUuAZXKTputr32NZ5dys6i+7jADoRmxx2T2XzIIyB9No1ysV4bg3iZJ9VHx0oNQN1lS3j0
CK9s20jXdHYwBwLVtyY6xmPX3CuRLXu0EG1yBmDMsJ/HTCvSYk7TLDqiKQ0dJWyoT0Ee/mq4Xy5R
f3GPXRdeofARbqMAS1dT6vK7XPzyrhwYkEDGlECHFb/SKP3NUVqsJixoM952RALlkfbhDU5NoIIV
Wbrf9vuuJq2ecwq2nca3AKD7EeJ3dlXVqtq48a1GD5ommSESW1NTjjGAxJFZ7ogVwcbdY7W+E2Ak
AqDXMHzQ9nI0QRzuAdTbVqQm1tVBMpxBvi6wa08mfzSBb2470AA3hW7Ff5UIMUQO0ZmGeQVi8jUb
LhwFWHs2vvfVmBEkbNAriHklwNR4EuBvQq1ayI1PX42ZAsRl4zO8GG/HBs1NqJwdcerbtmmvq4QU
GZjUl1nbxLMFbU2DBAOOwrbVcl0p1DCYwfMpFcdsHPOTj2s048Sk2hauXJcKcdTrlT3HSm/Lih4H
x+xh4M3GAbmuFSomBOTHPMBnF8bvLZqcb8ZIbCtaE+taoagCdKeUDcaMcPSMY0EMXtq8SeaFpXg1
Vf1iogFtI5hMBVAMQARl+4WhrX3TKrauGWo4Q+M6QAfHHjhxEwgOYCWPtl2Z2Po4VlVodEHP95FY
/VoNnbpittxULI73spqpWRPXOTpWxXGsRbTPGPwkeRBsq4UV62JxNoJgXEUeVDcYwL8YXkONJ7ti
U0pOrGuGKl5CeNIwwKNsjEbMlMtryEPAhtv0o65Lh9o8UOi4G3A3MOO8S2M2J7X0zbapui4eSoE4
qcNWiSMtGyB9WzR1xUuZbltm1tVDDj1qJaOYqrxqAugRvN+HHQARG1/Nal8FJpV7xzAke6S2b8q2
8KCJe7ftVEZXc5XWyjZofo+OF0Q9IGhVcQzinP9iOl0+41+cm9blQzH6KXUjaHQc8wHdb4MZbgCj
c1eVNvG2Qw1dzVgv82ZJOyxlPKTzSwfi1SOIsPOv+o3+7hus5iyothKZeXwDtNe0930KUAiCWBj8
RnZ+4y+82mNz9N9j0ETiCDxNdKXyIHvBNj593zS11jVFrStaAD7BcojisTh3YQGAug03Bn/D1W2q
kZDWBA5cATgvyhNgys1RuSg9bvvsq9sUnO1tiG1PHGNQuXAZSeUJdQH1tgjwurKoFtWIiw6GTs6D
6MABwzugmJtum1nhat6i9xPdw3wRxznKp0PbAgbDKjThb3szq3krSJxHw4KbIJq0m7MuejB6RLds
O2z/3tn4pyI3UOukRD8yGBdo3N2hWjE+yzjemKpaVxeFNgX/tcSpj9ime/UdUL5T1s5P297MasZa
UaUu7HDqs4zSAw0mde4tcNrbnr6aq44YLHwBTtulBTBhDyVO/9Zlmm6rABTrOiMvox5sKTx/mGdw
o+JFylPqeLBxrVmXGvmgq9o2xnxFOYb9FJMBpqNau1+s95d5+Rfr/brWCFW0roguo3JgFUxfNXJk
O6W0emhYwfZpNQDggWRitm0SrEuQHDIUJZWVRPtzV+4H3nf3egrLd5t+6nUVEi5tYHenCBQBKmIS
CHDzXQji0mHb01cTOPLAipAOh+QZBQkfsav3CSo3+IdtT2c/h0PQfe5n7nGeGsjkbpD3s8elt9vK
AyEx+PnpYEb1FQBL0TFChQy0br0ezA5rEEu3ZbrWJUkh0uJ1hqXnCMnI8gxoGv/Rq3hjEJ2s5jBH
iVbnKJ6O8n11iGn3Ugj0Q29583xdk1S1bHJOSDzcef/BtTx8AAWk/sUEu4yO/55g0Jn9/OYbCpaJ
DGL8ruBvvnMBpHqyqfWm7Zavy5JiIoI8aAd5VBbWhSsgMPUHi1kQbBrzfF2cFKB1rAPYWh1FP6ok
RXfdMZhxmNr25lcbbgmCRMw7rY7AlrP7pm7IrRoq+bLt6av5yisRt3keq2MMNMw+GKX6mPXdtCnz
wtfVSQPgWnE4MnWU3JRX3Qz8RtZ5t2kl42o1X9tUL2McROqYLhUqqwRrvucZ02/b3sxqw53R0KDc
SPHeQfV9RrWZbZISlaHvtz1+NVsBL69UIQHmCipq7F4sdQRoS6rmTdE5vi4lAip78Dn4LUe4+MI7
YNBAMiI92zbk49WEFWwEBr8FrLiGEOpkyJTuIbiz2xabdTmRLoTSHE3JR1bZAGg5Epw7W6ttb35d
UlQMrAD3Fod5JBvrm8nm7Bq1KXbbdI1X07Wp0Q+XVX16zDscvCPgiu6BtAMpf9OwWZcVFXmqmji/
0Jo0IYeABeXXpm3st21PX+2vPRvA+KBtcCwm1CpGrqRH4ZBk2/Z0+vMqL73SYNAAG5SrJvwYMV3v
uykfXrc9fTVfl65iBCfv4GKW8IcxDtPTBNnixp91NV2bNujLQdXpEarfehf0c/VOsop93/TZ17VG
gAJV/pJJOtaspnd5GJgn3P/r3banrybrQvLGRuMcHJ1x/oX6rLpOJVk2RaG4XF1muSw7CiZ6emyX
hR6nrrwv0kZvCkIBTfDzkEkbGEEGPaVHQOS6Qzj7NPFLnm9bxdaVR6kDLSqAvubInegOaCgoTxPt
t9Ue8XUNKiRgYBYugAbaFijAK2AMzQeWRlCPbPtZV5M1a+B1rTMWHENZMVSTTFMXQo1akG0TSq6m
aykZWOEcn78hNtojPp1+Yrwotk0ouZqulRhbP+RYagCvNjf5PJdXPPO/urFdji9/caCUq+mKfZqC
siiwCs9jfXWBBT5X0dT86rr514lTvq5ugrfNZbOegBzOR3FRP3sCWqAYj7CiVXDp6Egu2ybvutoJ
lcxx3XAfHOdBTiDAMYruJT1sfPpq8hY6InWRgZ2cM8+uIXThSY8AwLbj37rkqUChlrqovk/DJCZ+
TZiIPmpEXTbJqwVfVz3lSs/Wx8Sc7BimR+SDJhgIh42rQ3QZW3+KFtmAct1IPZygwan34+yA5F90
sfzYNH3XxTd8FHkRonP+JJXv9zYXcL3Bh7FtcVgX4JTweUUFbYITH3G6zHU9nUwJhdS2z76avGmu
4DZgIj2JuXUQmJZB9MZdn22KRoFV8/ObJ+hoyIfKZueKBqTddy1y7lHVw+y46eOvK3HcYDTAhmBw
SMD0EkfdeGu7Ktt23VxX4ixMSRjoaH8eRsuDfVdnHUglQHBvfP5qzkI6yGAejM0Z8O9+18X4VVvA
ULYNnHUtjkEJPrSxmTh3JZAiKE7oIOC006bYNF/X4ugK5u6o8AEUL92nGRKKt1pOw+dtP+tqwsLj
WE6wN3dXjvH6iwjL7rWz7a8qQ/+NsfmLTWVdjFONBPYHCk9pPsPcciMQioJ9XlrGRHs703wMFLqH
hpLcdFA58rtqmoL4REM2p28TZeSS/Wuh4oaQbdAd6P2QfQT2LuCyhfsAymcmIbsJ8vIbeNYzeMyU
ePD4gxni6+scwgg4NNmSKnIsC8eqbwGkb2g6W3g0hZ/l5U8gMWOFWd5Hfu7r6zZVRXMnc1m219Dq
dNnnsR0N9O+dHnz/gRgz1t2umgFchqMR0zn7FtApzNKkIlSXr8EUALi582r02cd0zicDJzAPcgw6
Pffpgw556W8b65eo3w2hi+0+5E2Vvu8cCBh3GknhJYCLs5vL99KMVQgrjAeEWO7nbhb988Uok5/Q
ctB2VyoeY5Fk1jVO7x2p6wbfH+poc7X0XKFnAMZn80K7mrX3MVBwBqbPnkf2VitHTQMhjo/j14Z3
obmXuTDk5cKOpmTvwqbA7UuDk3MRUNE8y/BlYT6bxyuHZxoD3UvMw29LTSBSgRPJlGC/z5Cow9WC
gmggKBNFcVQEM1qmrjtk6ZTq+3JurXjsMzHgCUBDB1QkNRLMYj5kEDyLh3Joq/JeQSVaAwjNSIcv
lHIo3uwQ4t65xHFRP5a+6eDyxgYPUUsuZjHcDSOrTQ2JNooYPixKUFvvrJIXBYjwS9adcxKK4HPD
7AzoZoHSOZnDFNS0YMsR4QW8QdD1QVsEF2QJMO0O/X4zg9GirB3CaiSc7ZKkvpXwDgNZVWfDDqK5
QCDT0sZpVOxCpnj31cHLNn0cCxrnH00qDJyRcQeYDiTIEfUgMQQsY/lVNGoRfSkGWpc/LJHBAoJ7
FixwSAH1iz/bRbkrPQxf+FbhCTrjoQ6SEuiFEGDdFrRVcWgVasEwJyY9xj8IgPzghhelSdH4aOAN
D16CxY6i3PX5wpbvIcAtwSsnsm6AQxewuOZlpxq4jCdoBW8gKr9MMGlsbg5oVtfK7/NWO+VveKFZ
CBUJkZEFylhBtAbqLqjfgNjLuGimN4p4w/g+brIZzk6rodGCwS77HMEgLQ/QCsUmIT3BMO+NLOz3
cMA7eoWfHSZtvLwmnK9b0jbyFh3yA30fGyRTwwT3xvqxiSIYcSGgfaeoqvkrAPxwKYAftnynywAX
BJ8lmEJhtsBFH07ZaxZFUNlkUkFlmGTM5ya9g8PNVreTrWZ+YajzVFXZy5hjUMHOs+SKFtdA5fii
3k2V6vNPA1YHrg996UG73tM0mvR1XWazM3vU+2Wl2cMqEU2fwGQelreApRlEQ0520IbZHBFqAiQ6
t8sjNOPYjvfwTpKw3dWTvIBysXoE3kCQjRxmd3QoEujpGWou4LOghEWpTJo0QBqZH+gN64Bmh2A5
sh3q00F9iRPLwUB3iYSdynwGLQ6lEUePw1wNiQJ1ldNAuasxU8kSAPWM1z6Dn/UCfOqs3ve0naLP
bAbynSbKNT3HZ5vcxH/UFhzBR8giY/MCi6kGjJd73o33KYER+OsEoXsNDtxMuuJUp8L1wFuZDhgq
+KTzpgiPUxZJ1CBUc88qelu5kLgwqXlrIJLr45ShSKGmwRC++HGayUHyKuI/xgCXsPpq0JnS9VEC
4V4dQ0KH/t64EtbZpCq8WyCngw7pQw7sA/mGn3Wc0iT2sYA/DlvDpN6BCUglSrk0Cl7wNxLA7G8l
05AUopDfkxAGsaz1dDxVprOBAa6oi7KHKGeB2VMrFjA9C26xX8jIxVkSQKIDqUnt8sdK1tP4oFMj
6AnvJuPf65hDKoOeDBFnH7HRj2WVQJzRAKcNv187XcUQb4OqG6l4gjYdySck2HeWO5hMdnKsx+wj
hyzKnklPh+kFCkXeBjsjiryCds9C+QGj0OSJexyhti7vhjKvL9QfUoQ7aJhIBTn6ouImGbQOH+GX
siM8cHMBKUjHJ19/CtIR6O9HnO1LpDB6NASXHZw83SLBTB86f4M0YgBzJqXtMJ5Qkxxy6MsQG6vj
pCF6br6J2vNCwFSaTwhO5qbnXZmAkmxtBfRDlj+UcuyxZKep519BNqvbZr+40oawc8PT3kWwtuAZ
n4ZYquGhqapSt6eclHkVnyDZ7WNyCLMwKG6obskwP0yxq2i7U8NMs+WOLQt+q8SEtu5RnWBnkpK9
pqA2N/s2wo/b7kx3uVwndmFB99jZeJCQN8zLTM1hmRDkg8C6F1kbP0ClkH2GSkzgSOB7S/1biO++
pLAX0tK98mlSqHjzQ9hOgO/Cbn/mNIbDKgtIOoH+DO90/J6MIRoTMjUAnZwgLYQr/Y8iXdxsjh3S
UuojVkACTLjjhQqOhEbjGJ16AKUvhr4WZqlvs1m6/ial1UyuSyOX6eniW4IQmMzakp01VSEYzhYL
FgEA7zEfl/wjVHAYIDs6WAmtNuxF0AjsZuDy/TNW9TL4MspZwjhVQoEoT1mpWP5Wgu3cP/XxyHR2
4prlMeQddWTUrSAmzqLdOOoKoOsCcuPiPLe+IGqvXNh2LjEBVqf3UyAhXcVZxfD2HYumaLyCJM9G
jwts3A7segmyN6Td1mbtsOvxTmLQqzOGEhIcScdpV+WZRs8SoOus/qBaja0cGhrYI74E8Lpnb12Z
8qFDswe8kXPikOovP6uqA4YGmj9oJz+FTpUsT+CRwwUmSeNxCTQkgwBUhYdhAYwX823GgVAkruZz
eSMi10fvkfll6gN8dQaKUMdpaBCEjQwQ6xLHcjwvWgAKv4beVZTP9TKK9rukBRDmCW/h7wJmXfVh
BO9Shm0goUVUF59gmE17wLfj4OKn851IzVUz5GVaJJyhdPp5qE1B4JBxJIdH00TWYmjBOyOzkyhw
joWcGkzQEuugE0GI5gUAZkacoHpci5Oiqbv0Ks/HAW+wmn14izMHj59ZjbXx2C3hhVHWLuDPvcya
VdXRG0hNq4QPDUs/X2w4wyM+isAil451M9xMRA/0XdTwOEgUyv7CRMJxCtGkqmxY70qA/dL3OuW+
v4LTtKbHheP3wYHbafXRytz36HgcsvlzukhIWZM5h2rcJmFONL+DPykgjwSc4pIlnVHQRSWQMwro
Y2VZW1iMzKyzUmDXcG0DLc/EC14dmBoy+TZUQK91SUeEwv/flMjenkWDXerTMsNFeO1LuMVfshDr
yfdF44U9Vr0V7iHXDXP3HlUz+TXqrCR6+XB9nuJrC+GVhZ1laSH3IXA9j4kbw1yfU8fK8aXqwPT4
wFDxmEOaFjCoIDX6lOfnqhgqc0Y+Np/gAiKR1M89Qc70FUIdyFcPrHc+muC2qOT0VClDcaB32dSJ
q9mUUwEVXlbW6Dst8gAKsDDtRvEWjlUpsL8COP88YRHB+0FEDgKQhPggxa+A+WzMjV+aevlKUBn4
OOOqJW7lGADG7+wIVTIsEOERNvMCWvqiKF2zww2pF3dBparqMwW6qnyoEISALbfEPPyaDQZzclcJ
uK3RehQqhgbNkL+5VAfqEfaI3uPyBKGROLcEFKArJKFj+6RravNvs+pjfH0s9dX8AHFN3WC21bNt
7zIo/caEZvnUvjDoGPFLd5EkV2WXdea2J7lnJzcWVfUkRJcDCO+qmTZncPU1JPA40z2PKPXqHi5K
3uo0lDYITALjTxw85fCJ07eqttN4ws5nPIR0dA4TbIsSozIs6bAn1pXktudjqp7brq051uxYwJ5V
jHH30bcc8cgL1h+TYFikRcvYGOFI9ggyv0XoeYRSqTw4YYJq72Jn5fsAmgl63buMy3O5THWNRjOv
6ntWLxUM3w3EPtGTV7MXOw1RgMZuk6UDlMHlMN4QMuXRe0ACYW3cwWJX2+wQhzCMvUcYTgzH0jso
zHYTBybuyKFqIaduaGJ5IN3gsmGPDmU+HUCByNtbHD6h/JNxFkaHZhgzOBsYZuh1s7RRehB8KXHZ
lUVoblNXkQvpdNRFdVM0fKpRaBJOlb0isx1j4KpdW987VHYNV2O+IMca5bVuYJHCJ4zOss2K6N6L
OGa3DUFKZA9/Xtnhw6LHSSYsixdyk/YR3ERZ1MTDC7TvJnwIa5yicYFDH04EN+ZQ9Yd+sL27jSYa
dVc8NRZrfjiCfl7wPvS3aE+9+Dii0nL1pdLQR0G2ubj2qcIsBtWhXEJz6hkuNQ+Rg+4ER6sYbi6H
iBFVzV0NifZy7yK86LbejYEntLwScwYp0R61gsXF/BTMkOMcahpBurUtyLGKyovGhAH839mVx44I
NEyjDUpskDf+su35q9CeoSnmlevzq9oTc4P0OrmvoOTeliwSq8gebewocU5aroSG0n0aQvM0Q6/5
uOmzr5tUpVh608IWeGXgsL2meV1+upyYf/HZfwcb/kX8Z92lmk0w7MyQR1/Vus678sCjBTDIkPfp
FRwRPfqzQIrMLgblAMN+blAkSQDsfitUhbtWqTNxX2AgQU1CcfRa/I5fPPIJ1KAzw0YUo8duz8cm
xv8wdDxLT9Ro1SVl1VGZ1DUKaO8CJdvhOnNFmGNYD8iJkWWuf4WJ/Zu0xn81ykqcFbPST1ewIxro
X3pl/XlIw+mHBta/2lcgtPwqF/w3GZp12yz0xCxwwzxcOUD1guu60CoQe1aERO+VXhCGSQS0amKP
aEIQj7sc1SVzgvq7MBAIiS3wwGHHmIZDKOC+Pfo6HfqzahgVt5FLg2p38UxO44HbKlAjAgJ93Q73
BVyqOJBZ240xJJTZMHT9A6oRp/EepJgcl4chj831pXhNB3t4NnGrPhQllDjiUHtdyj2FSAj+wAnr
Dj1VEdTWJ9huwump0QNyG0kduSb30LBBCgnHdIr7O0D3TIQIxJglG2BPS2ej9xQujObQZIEf3DWP
vXL3TRxlgI1VMPK0f8gZ/hEM/674jpI1/cOuUfc/0fEf3Ftvx/7tX3dfu+Ffx7F9/YpDebv+m/+N
ePzLcvL3fPy7ryiIbQszvv0EyL/80R+E/Ij8BtCQxH+K0liEl+D3H4T8KPwNizoI+Ai6KigmLrms
Pwj5If8tlkDnK4ZrkWSXvqA/+Pj4F8TK8E8xyjxiytCG8A/w+L8X1fzPuoOGYXygUKIiGeV3FED+
y7T9U0KqholclzpvEdAyPk9QzJyeEYb0YxKhyOcJDhZ+xUbUjXpg4/d5NiK0swz8rYny9GsXyPPI
Z8iaUVSKLg7uqfmE+N+p7Tv9zlU++MCh37pdyl49FSUzOwlG3Wmkk9r7qmu/mHEgT3oqxrehE4+g
FJkomRlxe7DezU2JM8LDABXqNbq78h2E55IldB74fQxpFA7xyraJd3H4GjWjeGGR7N/NYG7hoOKH
D1lHBxjcbAOp6lIw+6HEbcUnoqt/zN2gYKyeQyDFipaT55Aa9rqUjUQ0WYnyEernEREyFAgl1HNo
7mjNIJXVAuEFVOoKfWRuiLFmh/MhZdnyAtI25O5xre+0Ie5L2kAEqvrJi4Qg2oZ8NPqPk8oOORxb
FX1FGXF2MpU6ljjkdumEypV26F4Z7ODPuIAgjilwaj+l0g/XC/Az/a6G8wgR2dJcRX3E6kSquXmJ
HUIguPrCypQjR/z9TyP53b8Hwd8LDi5DIyLqMmqJApRcriFjbQVraZupFielQe0LgfMumYM/mlH+
0SLy/7g8/LykdG/tB9u/vVmsKf8fLCT0ktr5+4XkGQvi96/tv3bwfvx5Kfn9z/69lIT0Nw7mk1KK
xOil+X25+PdKcvkXLiRVFOQC+Tvx+Y91hIe/KSJRqQehRhTCBIU6nT8Wkt//idAY/38cou4C//QP
FpLfrUj/s5BIGoJCRxEyYCFQ8BHi3T8vJLYLaAY9Z5gokif9+Fjwx9R+TVOTSLsf2vMMG6L/QKKk
VOeHY9PBsgz1dHZIc7oXCMsHMM+yLEoCzMy4f2rNM+uexfwxnz6S5T4370aL885JmTYpPXRRuzl+
jPT3WN5n/hY3JRF++P39/6OB+fRr1cvfboD/GzezC6vo78fgfZG99X8efBgW/9nHQvGbUlGEbpZI
YcxA+fKfbYz8FkaxwlYVxzG2M4Zsz//dxigcMPB4Y+1AoTsDMg83i//sY+FvMMNghaEYLnDAoD77
Hww/+XuW90/jj4UKqYIYzhRFOFJh6xaEojdzkRkNdmZN3U1TLppBrrdUSFyYXrxSBnH7bhjRln0O
OqQrdijEt+SaNTqFfi5kIWyDlUMJXhooV1+nERP8NY/nwrybYhbcI0q7VKe07NplzyeTfqq7OJ4S
H/n2uwAN6tuAYM0ddqQwRoav7rBfDYZdj6TX2beJwsl7Cy3Ocg0ciD5RglLRuoXB/GYmLamPadgQ
P0ERi85FcVAXcdzVjPByfzfjtjnAkz7Yj33bRy6p+7RHfL9EAcMBTr0KIZEM0sMf8wIXHs6piB1Q
RJa7c1wC0nxAeyV4ID4qg2nZlzUyBacZJ48+McgFkrfW1JhSR0inHY8TRMVipCbhRFH83ICjzw62
TH36JbZ01shFIul3H+mRhbvUwV6KmBWch1GyuJ7hJouE3ysCqeMnU83TjA0WuN5kjltyHJ1DdHWK
YvceW+FU7YiZObyt45S/q0aoQPZsDLpbrXnR73GKwP2zG4s0RTs3Gbtdqodw36Mo8H3Xzw2ygRm/
SVFTgPzBXL+g6YrJBAGe8h7q7pjs2Bw13zXyR9PO+jb/oAbcs9G7qchFGuuQGhXll4ZliN5PNWDC
+1AXTQqxcN9fpSZA6rdSNPfQfBLoBEKEBu+rOh+6faEYC/e8HD+H02SHnYuXh4GiZw0Jb38qNGXH
PqfR+6Lj3XdOUVOf9GYqwqQK25cZrYTnBfOrBWhdLs9L3YhXGB0U2kLyKdLgzZEA8l+eheMOxjn4
EsKcfmgYogvQLmq9pOeJZnhX0ZTaao/seqafamdZt8fmIMcvmel9ddsAnRjfttzG8EOMIoIJ9rRk
0cC+TmXbKAS4QjUs990CW+Wxx7Ul2/UFhBP3AV0QDsW8qPSRwO3xBDpqecNNr/aiim6d9neLsj9G
DbuF6hA7nFMklfO6uMpcPe/aAGegvhDjnhhlD1Cp3tbDRJI+r9tvpeifwGtHwjfLyH7siMoSL+Pv
U9+Z/cWVnihT6iREQ8i5mpb42At/ymjX42RTu3OZ+WXX5cEzeMfPFU/ZSeNkCUPA70Hvrj4RM976
Tu3DqaiOFt8ZjuHuRAf5DIH6QbeQ2MYyQG5HqKSakacKcEUEe5S8Dr59Webom4nqG9SuHRYfZUc+
8fhtQVIV1jyktNJ3uB3SD21P5I5P0JQXusLcT5sDZJ90jwxiuZuRj0LOUL4iIzXg9JyGSU6nbI/e
pX0lOnOKx/ABCbByl6fQe2t4i5PFTsU3h9/7xqfqFDUZ2jAMBs0k6KdWZ5+szq6Vyr7A9PNhunRV
TUX9RQkY5+GkjvcuGO87WWafEXN8xO3jaikdO5dhifPi2F8vEqUY2JgfMphfy7T+lGcggDbZ0u5D
4G6hkSbpR9y/o/dD130U3fQ5aOzDtFS7arA3BByOs9DjnU918xGrutnFo9U/ojIMjgidZjuKMyEy
ENLP11MH0ve0jAjoO33IMw86RWaQO6pHt+trju7CpfHIwbdiQOBzQU4nQsNb6h3d9VC3HeNIE2TH
xu6MoPkXRHzdsRTRa1z21Z1ZSH3fqv5d1l5U8I4FiDBH6nboHd6IpHDHiyG+J2DP7BB4ft8P4ad6
QkULFM+Jynn1aJU9lyW1CdPiaiDqUPr0cx7xb60y9Q53F7Kvuf9kfWqxTqDQPluIOERsAGO8QE69
sghGRqQ8Z851Caxo+7E3/TVijRxvgd2xQvU3GaCz16OEKFjmtDtElbuJq+GDHId3XVBiCemQMR/l
8l2w+H0TCnMdubo/TXJ6qeus+dBrhlTw5M1+IrXZF5bSc5jaMw2dx42nZvtMFhmSBWRfMHNrPT9Y
2ujDACreZ1AwTj3PviF5xJ+QJ3tA4mOv7ah1QjFMSwOle5MX8T63rjuLCVl5P742EQypVXGDbHqJ
5Xp8bjT7PMRBvMNiE9x7O8sEQw7FIsgnQrDnk4L6j5Z4uE15eE0mmMQuC/1Un+SY0h3so3DVw4uW
Y0YBS5Ce0BV+qsZQn1G+cLTauR38ySctFIhGAN1aE7xzo3vVpLmeM3PPQgNzPQmu0A32iPWtuZcL
vrONbQHXGtruEV9/xfX0I3pRftBhvo6AG5xhTdp7rW9dMasT0hlQ6bbBY31Jy0nVY6774P9Qd17N
kRtrmv5FUMCby4UpXySLnrxBkE0S3nv8+n3QZzTTrNZpLs/VTkghdavFyspEIvMzr9niTL/DyrZ9
DfvBK/1sdLJiCBxJBgWipqnhYIn8oyimK9q92JqX7Q8jUCfXDKN8r9aRYJtDVdhtI68SMbieO0tx
jUZ3s956E8b5sm1T9VTE2k4fjOMsmfFc26ZvYkjM1Z5EFK7llOMuF0GXfIitmNy2BZvRroK0EFVI
QHSQbAspk5VSzOi4F4YoFD9GaWxVrhRDaXBUb2fpXg2zCUKq0UqtHUr490arpmir8Yeh1DPWoWkr
S3XuzVKGm6gSGEpXutDSouUeG8zUNG7NLkmGQ5tBnpItKRM0JwcKE+kn2cwKq1qJAjdO8UFR2yiy
bcWRIc9el1qhLjp+E4P3icJgiN2YL9sQOdGLlfcR+JL5WRUrkEOeX+ejKa1HalWpjN2jMAAL8hW8
7HP49O0orMOAjMCq1V6+4+Eh6X0x0UXbiXgmX41TNZ6aJhJfK5H3yC25K2SH+EELx5va0JJC2xhC
qGOAlPXKqqqpgGkPCe0a3VGCZJRCO1fZQ6dU5j0UcE9QBrHdqtRK6R9w82qCp5Prx6WL2n8ZZI/+
BFrCNYviDoEgOlWXmJhHjbTtzER8GnNwIKBdcdxGljm3NTmf28KdOjrB4yGOBxMAnR9VoXotS7rv
RpEGJDxJhKCK12WKo33IcxiatWzFcxI6GF+nWNj5Sj0dM1nsKhmNvJQSvJtmpWGyvMqca4rth6Uh
eWaBW6atJRicOI2ZGpwL9FbC9CL00Te9anyx5pCtia5PUzZNhoMbXLYeqbim6I3jEfeUS/Vzy0UQ
3UlBUxg3oxS3WBtgXly8Riob1SOEuqqFLuY+mWXfqFd+3QbHsBGUws2suh8Mrp15WNpacViGeb9u
+raaOQoW92Q7rzW/e+8HcYquhsQc28e2yNAj8XtxXEAShGXOiD2vpwL0T1yhSMf51gw0VV/1jTDE
lzOqxpPpRbi5GKsWfWo7j3ofD+8BB3o7NsB6PeDH0lz7mRYYdtDoUo3Cd5nKNJitSr0I+zGk1g3W
Y1jnYyqWdmvFbbNTUkHf+FZaGesQtI7I662iyUzInHlCBhzCnfF/pawC6MkZQiIalzc9y9xSsYSW
lBQ/qKCxq7xpqwxDlUIKp8t6QtNiBY4vSbcS9WD1Phzazrfzgea1izNrY3mg54qCRetNPOEVrNaH
Iko5X+e2dWpBrx8lE1SDPOLS0phJustauVl12tSu67GcH2B5lE9dGnfEahCaaivyxgaczZDEPo1/
mnduSYEKM/Ox3VpxozlkB8JhtIxiiyuTCsioGzazStFdaIzqukg57TD27jS7wZi9Zbl3+jwbByhq
4KtSLdyJJscWsxQ8CzSPa9Q6gLfCb5KNXvncY2AE9mbaZY7hpw0NWb24BXTXOg01LwevNvrgfZm+
tABgdnEoxPfgw8SD0AX1Rz5VRIkGMf57ipbXR13OY2KLhiy8mrhrUWHjLb8YdYxOpAzAY2wmnYsr
fSWtpMLsiHsieRUaWbyqLM38YUZJadn66APw8OuTrhBnpVL2yrXyWpq6aWOn6jsCqilXlaQnr6Ss
GEHUQmtXRRJvxrHAQ73hqtzWWA+utHB6BQYzbOskmzZabcWRE9HTxzJ8jL2IpuFJCBJ9G5iquJqq
3nTgsj1y66SOio7rI9XPwLMSYXAyav33JXoz+Km3e6trWldJRWBvSUl2YnS6tLI6jhs7R6LmwWr8
2q1BRLjo1YMemnR1A8TpHZhZsGq0sDgNQ3WV5X12CCJ2/TwohpOYXOUJDSJk7Q1wBmlmyRT9K/Vu
jLo7f1DDbSyqgmcuGi+BkbOMve4FpSjtpMCa7BjzlB9ZveSxRlYcs1xKbKmTYhel1/SmouVgI7E5
2oPalw/MhAh1srp+XWT9RCIZ61vDl+aLIWvKbefXBhPvx7UiT6PLTNr/EsX6VgXm35ZX/lcXA6mQ
/PsyzP+pu9eXT2WYv4sw8I7/osQBxJ0an6riKPY/zQRD/EvUFdE0VFI1eKzLH/3dTJD/0mWyQWg9
omSgDc7wf1dhqBxK4Dksk6bCT8Pd71RhfooU/U8Rhq+lSybVINRCQLgbyjl5RjBjIkYhMdx8kLKT
Jg5LbWAONgMVm3CbSUO21Ycou4ViHeykqcIHXcuM3CmFObmNmrLfiaB/3KAWPTAqNEKjkSZ8GcVl
51Jl0nbU/aMLGvfGtTyY+U1vNmaxknUkXb5f/PtPqtL/drv+f1gNXCwm/v0uXEev9UvavnwqCC4/
8rfz819sM43iEbBo9NkoIP9dEBS0vxSQxJKF57NCa8tY3H3+aysq+l+SRpEYwrICdfbXrbj8kYh0
JKbQAM8shNm/sxUlfoqK8y+bkbaZqvCJfENeGVk/l97AczKMtbL4kEjEt/O2vM2uJWIT28Kna7RL
V/fekl22C535IG26yi7WwzrZGHtrP71rh/6t3ZZXzUV+m26Fy/QtfpNcbZPe4pll/BjuW9+uXhpP
dJDEdSrP2shOuQ02qmft523/Fg4wLezKCXapW53I9F7CK/Uj2hRH7SC/WOSB6Qbqgnxf37aHZies
Gs+6bN10RSPOAcxzL5/Kw+D5p3irrIpr2ZG99GryqlPNtdy55m3mRRs1cKxVfslVcTeMQNnt5jQf
zPV46O7bbXUtXCo/5J3qhKth3R70dXKhrao1JbUNJtA7Y0WF8iO+KnZ8ywtlb2z8++waton1w/wA
WBiQKvZOsOl0WyV2IZtrXHNX7XwGbe36EmWKjXgXjJfVrrSuXrtjtMv42OAivJp21uV0zxIemMOH
7OUrf0u4uNMd0dP2+SW3oV2u0hv/Vt4Wa76g0zi3hBZe5pUHSrKH0O0dcRVemLf+Ll8lXuGoLon5
enhHHaDuvPBR2xQ77tOV4LWb7uifampHwt5/NjbJWr2ZU3c8halNe89fRTbVlrJ1It1NRA8kaxce
CUiC11TaK7kz7LVt5+hOvhr33NPleEB9KnPMp/ZmoiqpUrS0sYk9ZJvoVO6rNaoQ8bbaaC6a4syr
tVOWJd6GW2OFuNQ62Mu7/LZ5Fi6yo3nFCA/WSqK06IU0z2yTZU/W0Vp3jWtlUzV2/BZYjvCQ7PvL
YW1+TMcakOaDdU1x7EHZtzcACXSAhusZloy4sfiiABU24kW0kjzRLdcUClfdi7mbQP45rgWIai9d
Cjfsz540Lb+Mso2xkuziyM+7kSPbwUrfpwhbrKAAAFh3yyfSD7s69VfkqCEFkgsWLcsd3R03YWfX
oivdjlBe85WQrcTIKQ/9anDA+IGGdke3WocuCKjgeJU5tuoU1/FqtgGsb9K3VXsbAIu9l3M3iI+D
yTI9Fx7NWNPznc5pPNkTnN7gW1TP2XHe56v2sgBUmtkJH/EWs41EZ9yOho0ujF4FdpIfEmcMaC6t
JB18Vs2b/CEAY5msj9Tfa6CuNGdUNqNybO2rH83KIO/w0r1qG47tQ76gMHzXn6Yb7Y5oHix0me35
b9oCm3WK1Gl+dC5o1ruUuquzqQsqgc4kOzp7MT2Qn+V9RzvZzomilzbxLhXtdtqIP0YV3DB7V/T8
Nc6I00u1mx9yTJ+sXeBVruTE8c7/Udx2V8S9Ye7pwObGXbXNvcR4SXfRpXZbfVDb2EzGjX9hcC61
K1gfB3XdrhTxXburPDCAzWV3U7q54UjKqrnsj0CEE3s+avfqiozcSakzQrFiGxfSKjdaO64hGZR2
pLqCSuIGxC3cBjRDsLpKjjqUkNJw+7VyW+94hW39TqR6A1i0OPW9a7S0GVLbhNdwLK7UN1O2dW9E
LMaRd1W0CsetkR7Tl+hG2OprS17lMAPW44fgTtT1vQdyHyRrYjs5CR4vNVBeW2u8VnlhfcXHpnZl
9UF3Ld/J3sv6QfAS1U3W5UTZM7bnjap7snlUUi9/HQQ7ArpnOWnk2/V+BNv/NDqjnXnDNdVIN5Dg
QO4VaWPNuNTZ7IiW5euptj9MmeYkxXNIgJs7yUDC/cOPKK6vlJtuphJ2NUp22+9kL0GGxZae1L0h
H/O7KttmD90DcGkbsLe5KQdHrO1hLR5rTASeDX1tRHZzn4QrXb8n4LXEB4LkYjPANWodMfKa1IVd
Oj921MzndQEUdTtZL6w1sNuEDxxuhhvjnj3l5Ozui/Za7B1Q3/hr1bv2lLg3xlbSnA7qj1OYq2mg
BXUIrFMguMND8wDQGHQ3UHqvE1akFmt8RzYKrKw74cq8bjZvlkt/NKOaCdoLEuCLcRSFzukeq8uO
fKFZaf5wlILrfKVcdoEDPCF/Nrq7LhvsiCxZ1mOn6AVn/EE5ew3LBHrZNnIp/7nR9eBNnu5PjnGM
3YqNfMvnPKZOeAoNDRTxipdDcoVwV3tdeZSto/6a2XysC/IUrl245dyAi+fk+oMSRbayxhXDk+BT
QWCMbPM4ZKrL+ZbRL+5d4T7V7ezJUm29teXsGD2K+aN0WbfPUrA1WqcLDs2H0o52Vf7Q6jvrUkv2
3S6zDnS33MrrbF6qzu1H5673vOFH1mD/CTfMiW3oRepDML/1Rwk8PBKGbsBB6ZVHMjsOd4dtD5ew
XCf8walDsFi2IWnrdhSJV9xY2Kj/AJaO2tk9MO6VnmQPghsOx7xzkxs/doQS9pCXr4XBpha8HdzS
qV7Na/MCIkbktscqcSDYya/8oz2mu+ngX2pO5lavg61tGYqHWjq6lx6oHDSwczblVud2UZ/Dbfda
UkjYd6/K1bBR95pqDz3tRzu5Kg5m5VaPg3YlbXS3c+UVc0VCUVoZ45pfhKotbsAGU1KijbTKww17
tSTPBcI2bDTTM5J1VW7jaOfPLmDfVnsYsKt7g+FAM252DMHLs50vu8m4Koz1LtyxydjN8DSoTcGA
2UTui7kBoYbcuG6uBn3nt1cixLDBGVv3TawdUf2XeMe3csP/h+78+r24eMnem/8NAJEFWvrv4/H7
9/x97t7TT5mhvPzM3wE5uaFI3K0DNwM1RvT73wG5ofylqIaqgB2hcW7+9Av8OzfU/sI/ms+hRw/6
Cx7Ff+eG4l86OLOfeBN+SJeBd3wnIj+DuJIcknnKlMzosYmGRHLwGSEi5tSPhGLy3fvLmZPl7Tmy
ryL7MrAvQvvi6n19t/t4fNv9C8VB9h+8F/8EYiJD+TUL+G3UM2b7nPm+lvXQtZ4r+/5U2LeBXdmP
/Ob1/UCUtfz+fe09Pbxc7O8vDi93Hzd3+7fTYH/1Pb74Gizzrzg7MZNHclwmXxT3kvhah6dfNsM/
zNNaVu+XbOe3ebIxfh0AmFora8s8C/vx/pTZhf18/3i/f32P+OUjfz9n9mzfvl5eby+fb7eBvb22
r7bX19vDxfX1wbnwDuvr7fr6erf8ytvtvP3zzcXB2d3snKebC+fmZn95cnYf+5uL3cnd7z+++P4/
fSH+8P3P9RnICwsMj/n+x+fj42m3OT5fPu8fH9fr2/3xMbC9w/XBW+8O3vX15fXl6nL5irvTzWl/
413sNl+s5bJWf/ou1Et+XcuC7m7ZKD/X8nXZNqzl6+vt+1Vg30KYYRmv328j1jKyI35J6dm+Xr/f
vrO8t+Oymx/4Px9K++optD9eni4+3p5eTqG9ezmxu56uPthdp5uP+483siz+uj993NOYsB9Ph8PT
y9v+4ya0T29frO9Pjf0/zQkkzq9zUpNW1jWNObmro7s5usu/V7btbVertWM7tufwG3vjbtw/L6ay
LNafBqYY8OvAKL6OhG+0Apgh2/D09rF/vSR/sF+v3wP7+oK1yu3D0+7+5erl4osnubxVfxp7AYr/
gm5tBzVIzIlJ0wio9IdIfA6SK/IiG6w2NOP7P0/1pz70+XA64BkKIqpEheNsjbVE7NKAIr07l9Ux
Gg5do2wyQEK9+lEZBK1K8jyPL5GgeHl/rfYPKvdnr+6E+WVKSOFxwLsNlOgLGfp/PHd1U9OADFIW
FM9dUZN0zkVjCJeT4fa14PS7juzX16uXw9XL09XF241o37999TpL/3Ts/jro2VLMYV2Zes+gjQgf
VXswDPCv0n6cbkyLFA4EQ27upfYLYcKzkg/1R0qfIjRh2o5caecChVjidtgcV7NbVDRJDClaurAZ
IIwJed0ff37a52MBmtZUiSoTd6Ssmue29fTFoCu2S5lkNvpjM0zKS68O8nUdR9nVfzCUvpR7udg1
5VwotYgU6Kg9Dbq0aucbbQ5IuaGqp7aeztndn8daXolf9/AyLWRqWUgAfTLBwudXxijQ81Brw3DV
ttAurUbzPap16Reb8p9G0XlPKBODYJfP/b/7usYhHti8a2nUgP0B6WZYjNYXZ89vu3CZjG4S+qD3
A5r53Lyj1CIlMSYZhkWD20OoKsrDgFyu4uSa4e8i5AVKulztktCYmiuDc/wRL+5F9vfXlBK7uqDs
dVCUZ0eg0YWVmhSYfsXCrLsh6iLQlObW+eYoiM6askV4B3wQGNlZpEPTqDZyvwOb0tTROjFnmbSs
DP8VeP/7gOp8f4A9puEONRjFEdTazl5sOv899D9jdMdKFJ3aymUQWlbwxZP77eViFIjQBuhk6vrK
uVa+3uhNrPX6uDQSrF0IesXpWiV0pYC+5J+XTV6+8acdfzbWWeRkWSnSkSZjTUBFlDC5hqvoVA2F
ws7fxkbjpUL2UEDtwVnNCeZywz7zFl1zaew2kj7QQR09ZFReFF11DVGGwghTGqDg3Rh/8yAA22rR
XOF60YnWZeNs8UPJGrqgbTsXfYimpPFajKdYhem1EWnWfuWr+48PQRF13MsJDazz01SUfCWG5ji6
Sh4Xq9ZUHhUzpCQT1/kXj/u342B5BCobi4mJFrnK50Mnac0sVYA/ub6S6cdEU+kdazQ8//ykz0Nk
g1F4NUg/mItlnduqFX4S1WOljm5k9gYVgWhYge2QL/SJ8mpphtr2z+P9trOARZNRiXQ6yHg0+dwq
K0L9kZuqnlzpUF9pl919fqwfrTf1Yozs9qHex/fTFdj2l/kjurJ2vle7wxcBkHwefZ1/hWXlf4mA
QJOlQjrwFYp75Ua8Ni7VCyB862CnnKi2DVdmZwt34lUMiGvbbJRL5Vb94qg/X/Xzb3B2ofThYs8k
VJMLIMY22xy3PHUla8OuqIzVnxf8fBvxeiiwfCwLMDhxzoJR/3WyAu0esW3aBSOYgRE05/qmDnLx
8YtR/mEYFa8wjkB2KvfK2ZoGJZiDEgqeCxgLVZNycKdeejRHlEZQSwcQIyG8tQvLO0UawOKodocU
RoaoUOnLNs6BUH73mlU9zhTNtIjy/j6th02mItYnHGVqhpI426Yl2EpMq2iyp+a1HZ4k6Wmkxu2X
W2ma1gBXZR6gKDwYsIESvfUMekBJ9Fa05TP39Uqrk+85g3MCiKouiToNZgkKAHD/z8sLQ9hKMZAZ
3KyYrdcxCdTnIku9L1aXD/n1NGYQIjhV0Tj9aXKfK93Fkt4BfJwGV50yEbpofzLSYvyWQOjPmTAI
0YHJgbPUNj7PZNSnuhFUsDBam0+2ldAMSFugUN+fCuslLYydpcl+lkbq1qD5hhwPbpI2ygF2xARm
pDO/OGWWs/F8wSTKKTRTafLL5/ZngNt0KawAxo4J2hQtgPYbS4nb41jN3boIIgXpoVH+Qn3zPLFa
nhLEDpX1Yx053D4voB9kgIpStgI0uGJn1PVLlctK5MypIIh2s7DIJfDllN076Yv7+h/ePoYmxodq
QgT+89D95URDkV3IsyRnVaENuW0t+O406PIXB+c/jcJZotJXJmwjbfo8QQXiB0LzQu8iYGQARU67
ncQd/4UYpXR+OC7rqC7FN3IzDZLM2ToKEAGh12aDG6uyglxRqTkVYj9X/TCZu8Sf0PVIxmzV6LnM
/6Ig9DIUzZM1phu1R45HnQZ6NGl2Ww6GB5rvC0XFn8Hc+d6C9EM2sHTypXNSVyB3mBxzW7oSxoyy
47d1/qqNUnlZR8VyFqHLp+t9vpnJhknjQRiemjFDQVLUUzlxFs22b2ZdLJiF4B0nEbE03+rsiK/V
WC+R/+9c6NULRYWWLYFCuEq74avXd/moz5PnZDAAtFg8IeL2s9dXK82glNSePgI0elDUkEfbaEo2
vV7mjl/m2MEoIlVvSCmiOH4RqywP/tPgEgI44Cuoe5nGstE/778Wkg++gFD8ASiCRjPUlHuhNnoA
tUOY1pL356Pqt33IPpfFRS+SRIlBz640UUohlaJh5k5xdQmw77FUBgjnxvScNtVXHsu/HR4SR4cG
rVTln+CSzqI9QUBXEKxn4vqx0XpwSnv6J3O31dumv26MCIJOAaLcjwPziwDht7Py58hLRMLy8uqd
jZzC2u/rxkpcHd0vW4ZxVAPJA9cbPtdWucmL/Ht+OwuJFmgM6Zgkg0NhE50tbKQ0I3V1nYOqqkWn
nAJQCTMi9d96fGBbeEO5lHkpAL0g4vR5t2SwhdPWmEsXvRgNgRNkIJtrPdNHhYY5kf26wK38K9P5
sy3KoAZVLpA8jGiaFJY+D5prJUpibZ25Rlk2P6K0TdYZdw7iM1qovPx5gmfH8TIWPl1L74K7RuVG
/TxWT1qAdqOUuW0bSSdYeP5tNGflFy/dP42CYJ6qgBaCYXtuGeMjVQGlY8hcpVaS9SyF8UutKOEX
d+dv68Z+gFfNfW9oEqfY2asNpC3Qi5l100qEOVaZ0uQPsjiV6QpSSfNF9H2eAFD0gItrcZGxy0Sm
dLYBoS11KZqBmRsZpmJuUSemEpIHihU5Zq1BWgC3rSFmkQNP1i/Loc6f5tJcVLu0boo9zCCLFo6L
YYTPWZ3Wr6Bh8/jdxLvgiGJJPnhhHrW0v9VIVmN39E292YMjB0QcxIl1+uY2IOyGd2kQdVOjQvDw
8zYQmq6r69A3HbENw5WJOYDtS3T3/zzK2Smhk61xX2nQU0GhGcp5CBoERQWZUDEd9KnyaxkvwOdK
MPsnCTJLaAOkpQssq/rtn0f9bfPxoCDWUhEDrMZde7YtqsECd1zyoJQ5tsCjICmChbb/RVxzdtAv
28Hi4uTMQXZCkn+LSSer6iehTl0LES967CoESRdjDig/rVgJzxKFBe170TZjSrDDLRIzkRX9bWYt
a9fOGlqIlBsrb4hBIqNtU3zx8koKD/+XK/PnMLrE1CAhU0s4d29E4hR5LSugmz7OUFnNMLgYzBiq
aV/NO2kwy5sqnelrhxEI624MPfQRaVlL1bg2kHfbzNYkPXz3mS6R+YI/1GWuG/MsikR2R42yOMxc
KyVki2JtWOF5/z2beHhnrC+lSSJV9irJzLIwv0TE4zhBWqgYJa616MYMw/BqiBEY+/5cOBqX0glK
44REn0cRoIXlSq0CGYvkeR91QreWIyn/D/YK0Y4MV4a3gNj48yhJWGhCWlopMX0fr8wRIWPNEKb/
ZC7MhLIWA2k/68a/rNgsoFFJzApM0JfSD2iCg9cE2Cx8McxvBwkPxmSteDJUm0hmP0+GmKAR2mWY
tCmEk4DoEtSWGUhYG7Zrao7J1oiSrzKX368XBlUJjamaSkztbAXnqA2KiHjANU0f1DQmMBs1EQQH
EZbs20cWBwjxMbEcs2SXf55fomnQUqwxRMBBIQ2T8io/xHOafOXw+PuU2As6rzShPOD382rw0Eyq
2BQUmXOoGI/lQMpRQWUBM+dBhpWV9z/v9N8fG5o7RKbk0hpJ5vm0UqnWG0IRhit6Y1dzSuBMOkwW
iMHch844DclG5NGuvzvs8h6rSPZScjUpVH5eTVR3YkWYUsFBTaoaPF1qQNUh2ldctl09IWfImRW7
QZbVX1SVzxIdzo9ln7IbFQvhBGLyzwOPtdS3I0qdnJSDvw8LI9smRhCv53GaHNxGq7WQJsJFJSmx
K6Lk+8W8f7+SqCfBOUeOcmnenXcUQKzUqG4KPjriUQQm2prDbJWhJdzbEzbao1vK0OLcPy/2sjU/
XxYMCtlbX3RLEKdY9sAvJ4DZi0Wm6r7v+BqefWhxga2K4/GLUX7fuIzC+qLHT2mGLfV5FFhocUNd
0HfGup+HQ40qtbroYAsFlBs21hdX4G/DEVEueHv6M8u5du5QE3SIl3fo4y8cdXHdZQi6KqK6wQvu
ex7PXDnsE26Bn6kpu+Z8JDqSllJ3sukkqL7vch2J5KaXktNQ119ZXpxli8tQSBBxv0lkbWjcnB0y
OI5Y6qwWEHRlo743LHnsT3qXChF8pkQRgyMZrQFWFlpjZtlKj0jydwN2ko6lPkOpl0+C0fD5Kaa4
pS6ivZqjDFxHQqnkIyo3WXsPyUz9bqKzjKXJWN4vmZx8DpKCpBdnhQl4NYy7ctclQnGU1eirfPG3
jcIo7HkqrShjaxzen2cUI9mVCVT24ECLSeUJqoDaPUzkUXQqKTC+Ktn9PtzyFgD6kjm7l63zebhR
relZc4M4caf3+ziRG3RDR+nSyNTM+/N7/Y9DLcUauv8U1BYBm1/f6yBR8hDJVmYmVOLkInqqPk2V
oJWrqpOFL4Lp3w4RjXn9MtjZ1pSiMvGRR1edAKn4VYmGvN3m8G+/PyVK4dzpNOZ57ZYp/3JUcVBN
8iT3Kqh7w0CuuK2N6yA0zIOCCGz7H6yfwaEFmQpJHCoWnwebo5TudMf6hQq+0CpyGyCrVeGAB+z8
xbx+O/eR1l+6JzrkLypP50X42Z+aWI4ZSkIi4YQRA3xcGNe7DiavWxd59sVr/A9Pi2qFSN1JVg3q
5WfriAJvrUQFig1F1Bq3fSYGGwsapPvnp/WPo+gYD8C5Xk6eswVsJKsshjhRnShS48s8TuVthiPB
txNh1o76O614qtSk958f0xgi8msZKdvcKMD9N3kI0HeevtgM//CE0BikyrOoN8HnOntv+ei5UXNR
cbBFMN54gqW3CAvbSdXQwUQmv/9i8ZZH8OlW1tjeFD5F6i+E59rZgCVuEQLlffAZeOvmjjg3BjBn
KpDvFLppVf75US13/PloACVEGGwSZ8V5jT/qU0OrAkbTRsVy9Dhs0aXvB+sY4Djo1rp12eNU8EVB
htR3mcWncU0NT3hUF8lyiI/Pq5CIOc/ynMg9/fuqvS0lvxo2rRLB0UpnpXHlUkNpIpcb4UnJi/Qo
6hlwbH8qTS/DCwUGkZXXcKiKNroOYrRn7EZFebhrYnV28B8w4eco6IkkpV8pKBGjNOO0eq3gIJwm
ben0lRre4DuB+oTWtsXeLIW0dgIT3RpUWXSNAp4wyndypTVPWRvPuLcEZdk7iL/Iq8CYfZA0rar+
UPnhY1Kqs+kmigEBC3UJmG1qUCZ0JDtIJKvQLyY0JHtpW4cLwqJAsWgHE994twRL2uYItrd4T/jx
QYumgPqh4luBEzZafAmUBRpSgLTIphaGJPDaStRfC5Vilo2PQNugxZEUB7RWK4hLUSUYq6k25Aoj
GARxKl+EMqoFDXNqxBinGl2c0t3gdyaVsL43S6ec4uIhwfYUklLsd7ckhMlT17d+amdcjzD3BUm6
Ruwonlz8CRB8pyIVPWqyiTU7FURcdyR0Jt8wbCgQBxia5NYyU2Xa5nlrPtTCnJ9ANMG9ySIBSRal
iB7GJm2jfVcir+7EvdEjwtWA3cDJMbEQs0Y8wJH9duxRokIXRWvmGO13yk1OG8KE9yodow3HiJEb
o40szSmiecJwnBs9q9YGCt0lgDBlmBdHJBwDMfMYNgISSqNthqoyeIEeRk+TpIdP+HssjBNEwLWt
kJi8xx34h/cG7Bek/YRFm5q6OIpaNeJQJM5olwVDiyFObJgvUMyRXkhQ68yclvxTcdImMhK7VdP2
1SgHKF5ZlKgPfT3VL8PUaMfUb/Xnis62sS/6Em5k1xvVVSJ3AyIelt5LSGe2zXXgCyiyyIhqo6nd
TOXozTqEc7soqzl2janPTK9Hygtl5DkU4J3VSy9dVGrNwR13wgsiMZVtg1b3ayKP6ZWFIc5bh1/g
Q4gbyejMFHj3QVlnz1KpNg900oS7qJLUH0EOAM32F4V9R19E6T3DQNE7jFQCMT3q1clTO/zQbFHp
0OjJw168xOx70J0Gauyt2U49FJjcaq+aPioNhwAP3/FKwuPBLkN0pRQ20AeyCEBDx0BoRBsFr4Kn
lSjBTc8Jf9tP1vSIdFmHDlbTTegoTeNQwuAycT0JjQr9pCnWshXZYxCvcJHGNaDrw/kxpdQ8rKZZ
aCBiTdBOUD2DUK2gWN46g6rO91mKlGpANhl5glKqb5PRF7FjSKOBuIPVV16tjJrv1MRuKsVNfxpt
PaitayG05g5hiDB8oJqE7jS6BcKxKlL9WchjlCfALuR7NNjKyJ10pT1Fppmqq8ZHXiSZqzh2aQWa
rYMgR5esBNA9/XaQiShWczOnx8botfdUN8drvcpn3TbjvpZtLFC6xlazFuKhLM/prVCZ4b3Qq+ql
jO0HL+WUoepjtrjPOm0amc+zNFYXWcz7aE9pFlgePctCW2W1lO16ZRwNp2yEyfIi5f9Sd2ZLlhpb
tv0iZPTNK7D76PuMFyyaDHpwHJzu6+/YSt06yrznSFf1VGWmB5mUkTtgg/vyteacw2ShsrzZwzfl
kp5ChtfYFLFBMwGxI3UI984ZnfdxTSdSx4oVnEjTu95O9cvZ+Wdozbw1QHKtpIjVM35RvyxuzCXz
9XhSjvOgjLFfYwEAo8cnKNVVv9ZEwYw2pI9ImMQJRcTC9GdQhdUa0SRWZqYT2etkz3SDPHl6ln7m
wzlj1quy4Zvq+/5mtUR62zaN9mpyEP8igZ9ovG6uFB04A6s8D06Jnbfq5RLldtJ8z/POtkLZrlV2
3emoYZk3Lct9UdfoQQZRpB8CB/6X4NFaYuLl7XFvLIS6hHPmBlz3MD6ZgyIP3NEI1ir6uXiwu959
o4DH+mdhFbti+m98JXPdXGtF4Mwbf1nat6njpQY10FvvQd2KGUf1kIuwnMrqNQM3oyNuCcCxzBy7
z/lVbX0c8lx9WIkNKEis2vyOVmnWCcnol0unaAMIE3bNU+uipt5C7zAwWM6Sv9NINcJ4fS2Yyp1Z
5+Mt5BHtlqms9rbo63R1Hg68Tm0yskfUlvHUjD5pKUGdKyYZ7pqBhcphZ4SZMzMFAUrErLEqM/tI
1o76oJgaHqZZ8bC5fjPe63lhf2QZfMRwnibJC1oZ3VvqjgtLY5GwkzjklrA1N/jYNB/+bDTqyjEi
zsfJE9llQaOf1iZnH94BCqpvLX0gxqNdegsM5VyJIiLtsbyRdj98jlaTHOZ56D8yWSYQABq+OJ43
Ht5QSHN4YGNz34PMcvDm9sb8lML1+CYqV0jSU3lEIy916i9tlu5rUEFq2gJ3kWNoKVvkTMq18dUo
cwsAn6a7G96rFQW6bKuLkhi5NMy8iVwpKLSSuwNEkbQTKEWP5eqz3gSDloMTQmyLn7lj5YvMzFZP
VTZ7kJlATGAGW0k334I4wukq5Jp2xylbOkKQ53Ns5kIxC1zFTVtMwN5qj+FaGnxqkBP0vLVdUU8R
67vzlPirs+xdTal7YJ2Bv0m1rCV9CoXdipS/TYnTmpLUCq2uH18tv+MqpE/mzq5baq+P7BEsOIuu
7T/3feLzGKRZIGPVjFyAjUa2CJd8rIfIph4hdq4L1ONcrt5nz1xYxlrqGxa3pQ/mKCDg6aOaGvO5
62bvZI9L8UpnSl5rfbp+zFMrPrTMSGXEkAPCGIr3M75xDYrLjjxERbacKLVQLll2ldg5JZAJTZkE
r3LMgy00nULHLCDKh5IJLWBBqQmHSoCkHyL8W+1dDZX5LgYDzz/siaLnxs8+i05lP4MXoxTqhypZ
dmTNTTyHPRjBbVWVBHmj0zISP84p+AqudhqJHzaD0vbCgJh8bQsOrW2/BZy/8lhjf2ljHcXtPbil
MyCN0Cp+KDOcMrJy7v1uaCAUTb4uUbeuvrZuwbzUL5SdOJo4IFQrwV4lb4yxMtoijrfNkz2AMpfX
rjuvh4SCZstmtmxxzmD05UcxOrraMmOsVqh/AlxaVhdEjOZ5rRXHkQ6sHc8TIjiqM5ZRj8ZEXzlH
GomYr/uq0IuT6tO8zpHbTUWmCO1RIrjzBXn5G3saGu9l7ur0wStncIW0T2WZxq2QbnpgxqGtT74m
O/d6YOZGNARZqtXRgz2FdzhXVBdRHvhmddIqt9U2RJoO2W4moq28zaxsPKaFtgxxaulklo3U2ubR
qZ1y+LQziswxNKRG7CwJf3q1UW2tiMZUQ7HsJuXnKAAZkgXJRtNzPSViQYz50S5xqXxL11Uk855B
SydEaFvJEhyR39T9BZF2FH4sJ7a6J7FdEBc5ZgsBeQP7pI5HujIJ1syR625hDU3BI0gdxGaTM/rB
HkKdZd9ZlDwJWQZeUNy3IpX1oz+B3SJJyNPL9NlT/oyd3SOC9KUAoo1b1m5Uhd+/dzgy8Ccd/9Db
3diFTZ3hmjdSFENhKWrAEhb7qBG5Zgn7jCKt1jkgqtHZ5h7b5U7WrNMPRscXd6HWOnOPXk5y466A
hajHS5d746NhlOt6Y2d0AEnRqGaBIG9Ck58T99VAR/nuJ0mjSAAUU7PtLA2HczMNxIF6Zp9X1x3i
4nrjyVQ5UHHBUelHDsNWsB1V2uevg2D+TUrbxLEFWqWthow4rFQ+tZNdg9ZUiA9IJLNwSqOqGu24
q4BB3RMuJuwunNMR0MqYtu1LrwxerdHJjHJrJauk0nOd84GsH1jSLAGI9Mii2eUHIZRGORV4SWdA
8yiG/krozcjiisGj6rYjkUrraUjoIXwFerBUGws+kvnmNo30L1u3HsY74VeOtRtkXp2rxr4bn/BS
wJwgbrGulmfS68dmCD2CF+U1vBxa9qDKihYgaZVJjnxB3g6feumXlGoDo346Ek52Rdp/VUdNa1WH
dszH9WAWGpl20Wj09RJnWtdU25yMtIIo0iwHHTqRwHZj6HOLu9611TdYK+1ybUka56Elpa4+MXI4
zcZ3xvF5LkyWaN+bbECQvqz78Azlu2NIZDQbayE3jFBdBMGbTi+mZqe6zDCBqhFQB3bRdqS+XWc5
E19g5PCaN4VMOkFJ162j95W0npFczT1xXdtxWa3HZB7zKWqo6petGso8vavN2rPiwVxnjcyyFYuF
XlsgVwMNqiyyxGI0Hwa+xAYq41IbcZIUjf5uBJVNzECXThbJJsPgtbu1m9vqdul9g0AHpx/qy5IU
2Pxy7ciKYyMzy3EzkKgs7unlz903Bbm6PDmjKIbHyW6bAl92xvktrKAEGrsAjT4puapkncutydLI
uZPiK4Gw92J4K2zGRJPKO7gLkZehnhJKuQevld4FxLHVcC4Z3kWdbk3VKdWI541ykeJiU/S8j4xk
rSEKasUxik6aZtz0DYOb0DBnzqzCz2eWnGZKcIa7VEf8Fy7xUA3tmVS4pOfYj6BwKTIcs8glubTL
+D4vZRPclKj+kvd8NZrsWHCy9E/9uPjl81zS1Djlhb40F5nVmw7AosVZrzTbnKZLmCUOp8+gkqrZ
UNPaJKVlqDb3Qp95/vtJ2O5NVjseCRVzMcMndusVRJijMk28rkU3f8/nyXGafZPwOXdeOiwJ5JXc
AG1CTPbR8+XKwkUN5C+PKrPa7mtJdatM9/kQ9MYN+Pn6yYD45W1mpSc3tmg4q+eqSUgmKPBtcMOK
r5RXihzYtoASmjWzkKS2DkRBc+n+idw2nww3qXN8r0jOOiZzURAcPDvqwnWkw6vQN36z6ZyMeEek
GubXMBnIumgwsDP0peg+nDH1OYj13nxTeCjpeHsqmKWtWyYOHbs2zbb8fajsTC11XjjiQutd1Vw9
kuKfrZt6gacZwXsFemo7g32xFGlLkvHYmv2uP/udQg4gldr1Gi8PohHPzDZyLL2vVRa7cTFb0mFc
MV60CjRwKKCDvrI3k/SwGlPSbxY6KVo4l0V58hoAa7ECKTRtclN0G6Mb9Xerzxtz3xbn91zqHfFC
gKqCfMuEcolzLFsPzCnoIlA2JHdDVtGvy5zJlFHRLeMH+Gj3c/ZSKFbaOK93YqgXemy60V160iLC
IVhN53mQhXI4LiP+6+aaCPYhN/O3LqFNu+3ycfZ3nCkbcSU1XbiQAfVZT8Hg5Mun5/XoXalOEjIr
NNcp35y1JlspSKBLB7MKiBrSi/GeDklnbOzCkPeVb612DIMW4upkCPW0alaF6HZC3BtPCOi+kaPp
pZE72dKMYDL1XWhYQv+CAbzYm9lgZhEtZImu+0IzaLtqJJJ/54uD/7osWjtGWM3SV98hdjJiZkQ8
A6b74sXIa1NEnjmweaYB1BPCzEtrK8DrJaHpjtq3qVkLLSOvpDQM0heUaWwWqCJZVHBIJCqnbwyA
cDM4yiibe5sOdtOKd88q2jpOtCTbQNMmBMHMe86wrXoxpkx5ETxvjV/Y0ijMM44Mj/j4JjJIepqh
cd/YPLnB7OYPei5BJQPs9p3IXMavrKHBEy2iXMUuKFL7U1oEzEeELE7XVjKjYIQHAtHW9wfSt2lG
qtNiO8an5hSK7MDAUw/GhLBsBj5OfdHR7ttXSg/WyFG1gKFVTfBmgiltPxvwby2HVZm/ALXySs47
FP2xVujkn9j0XciSlsH4LfFLowMNGVBv2Dm6Y3/EVUHA62m1pCVI4k6LnKhNg94ZC8vAAbgO2m+z
aUiyoxJNMDzJq5TzmTUQ4EwAqLvGctJYbI2ZqjbkPSbkJrUnh2amXCYZYUnK3SiHw/g5q471fExs
EDdlVpwzPog4u6EYopqt/GReodDo/fcun/lkG+hcHeU++zaiOIlqYRiMtDyUNuT20K3zwt1IkeRf
Wq1MJ3J8IIlE00OHTmrV8bKXatKI4TBoEHcd1LSrcUzycpOwpE2XuV9VrD61T7ZGKYVJ3VUKcUGt
2GVRVgPDiQrIy8+21TGJ9RZJ/nbOoschc1CdIjInsfxzd8n7nqpkyiIG7bW5B3pTWuQcS6xtedr2
b8vaz/Qaxx+M3gECTTNY/RCWDNcmDCoTuSAZnRY6Mo5d3Qu9WuorTcv8cmNmQf7Kw0iqks+We87o
SZKdBd0MOjosUPIpafQ3LBzUEOhTjdSMvVbU6W4KWrFuksRP5Fb1NjHqDBUbcF3DLMjKsromY4vz
RpaiJqBloYBoZ1SwrXEVSMJ0SVMepA1nx6zmWDFKA8mtyXyIvWBwrbAt7UzutaSxg4NqNee7ygeN
k3tGoyoOCKa/myDh3gd1faQN1YmYvx5NY5cnPTbRQFZGaCtnMWMIzrXcCDMYl9hUrUxis7PHJPbL
1dU3o7PkX/XY+Tn5UyuxSxUGu9SNOa2MJBgnZa+iESkcbaPe8q4SnxNMhCxQ/+7XCXHzgnLxJOBB
kK68DgkhLZy+DGJbzfFuUJ71yOshCZJlSnxRytYgr0ur1BW2VvoYWl2ODLg0fdM60Clj8vB5feh6
PRZma8JdLXz9W4JfKd8EcC4xb1rIkqI+KKpqlxszPz0XjcdMZCUxnkAXj9BvmeW6RqxpckYpYSi7
l0Wdp2zurf5hJDmhqxqdGUL2pqECg8D0ww/NsRHXc0MX4JKhr05QWaoW4g7MMTgVKx7tUz1RkEcc
fvUGvqRTp9HStKxVqd/7j74INLY/6qk8XlHsDekdg42svpGcNq5yj+o/9myNTlGytB+AqAjDq4eu
+gq6bn1wmFKtkB97aA2U49VFDuMN3dVsn632TvZCRw9jc6lks/cSgNlsaNxkekpLfz0rtVohaz4F
kj5n5UkOVRdsIKlR9jqzd2TlXF86By9buKYCqzQ13jTuaKlq+2G2FBF9cyBpXGmTzH7o4/5R7s31
X6GPfs5F/V/LXTPPVpn/nIZz39ZvVf7255TU33/iRxaOY5BqyrScCSKyU7pKaEp+kJJs/TfmiqwR
jAV8FNhn99D/TcIBlYQWAtIVxkH+7WwW/yMlVYNVg4ATxg2iGvrgDiO7fwCr+XlEDM3t7JzClYUY
FhMd0lDmg38a6LttwCHRYL/xskW+55PF2qZ0YLN/uiM3PwaKf+Z3/Ty9/eNjmA4jUWCaj1rn548x
86JPoB2S3VYV/QWdSSKPp8GIRz0VmwxG9v1ffx66xp8Gmz7SXgKGkCmgrGKkb59v+58vLCmHdUqk
BjU3aAt9iJN+WWkr6Mz5cvo7RBZozGs6Rf9uqs99Kb8XWXfMmfL4ZWQPQcsm1tTucCvtpvaP9Jfs
YGvTdGt9DO1wE02OtYDJZDQOWqKxteXFNDgYeoP03MiyM0vnsOwBnsH2lmKrDMJJaJg+dvgGCoIs
l1XZBkgKS3kkuXkkBHjTibJ5mT4MQ7DThjOPCCl5Nb63YKSVy9zCjCsWS2+NaEjVrvVNNjVZ42wM
OinL0ayTsZYQcVcFLullqNelEZlB7tfBnvT4FOxFBmY4eXGWaVifvM6okADPPRP+Pad7/lwkh15P
d7rduRbTiXH1qDSa0iLsNhynZqEziAh2ptWsJ4ULerlt6WutoePMlQOuGT75oVpd7Oe6tLCKbbK5
gl8MErR2yHjjdyFB39doKdH+zKQib6/sTJ8RoV9p8pZSRc+OHCBJ/6xKLjxhgNfK+lQ7RvVs11VH
/jUt6nxTQN9uRczhzUhf+1Sv+wPukgXjq8f+234tiFMejHpozIMGHShnUrGakiaPlRkEJxpTEKGP
8c0H2+jFTG8nbdSm8Ny8+ISRDb7D1TVP33HPNY43OPPkViQcXT6m0vSt702LECxnf2foE0FAsghw
7CxDi1frrAkPrcYe/fcSiSGc8HwZaCqb9VJKoiPbbkJYicIpuMjtyXNC6ZVJcprteazvmD5o7dH1
MDUwrtVH0RCJmXZadWHNDU1o+mW6e1kJ1XR3SwFuKC4ZpetXQEYm69QaBvnxvZNrMzmMdEHZFlZU
YuwYveWu4WLSU4I/5Oh5u837IHFP7pDSfJxTMueNqK8b0Z7o3AQMXHKHmfzBWEqdqeZY1S0Hj4lz
nNzYKS1rBoOFKWjOVl3ltdtUzv36LRgtrEyhLG2l39Vl75bRIH0bcApU7uCGA7IZXMl0oFrVWr+s
7zUCRdQV7jeGl7ZkfFxGJo6Og5as9Z5JuR86rgiizBiYuzejTUV4nlhWbLyMUvJLOBvUMyuoecG5
zavT7hKU9KSIz5N60MnIm3K94uwGkurQ1Y5Fhp3LGOpqWW14qMoTrkHxo0YlQoe2J+Ccteumwtjl
klHyXhjCld+Cru+n23TUE9AnayCZxchyBl2O67lrCxVmqipfKXPq4aSNtFAfMYy5HqvPCjYliZWl
AwkIF7cwS1ivysaddDeNM3P1NcQAAND+3q5tTYr7JUB/EVyxZlHMRRLKUqVuEy2Ag3nqBFW0/74O
3eCsB4D3iXxQoqX2uO/amYjNMbdILoBOKSCkM9ZPCyb1q57hxgow9Gy8wi2msPcIzhAh2RmZS7NN
TBYZXSylwbXjGwxAQlwZZUDbvw6YYPRARsi5pDOeblfZJXLn9YOnXwdeQXt81RpN21CO+0mMBizR
9hAfQEPI4qyKpCutiA1k4TAetVLrnB2TKa8Kle8l9pGBgDw1qQ6soERXmUHtgjUVVUQnLH68JOvA
SZRO9JkA1lpFOqKpRChwjqBvU1sW31LE8zI4MXgc0+o2aHw5JZfpWCewhMFpefTi/3pf+Xm7ZFfx
8Z6yiUNQdfA5WL/IL12TuZ3lQxW0lJPKTV2rc2aku+bP/43PQTKP0hzFKSnrP+9e7Ps6EBfwIaR/
ETcrKjHe004N/tG2/McmyZCMPHZ2S0//ZZP0itzvUDVkZKZqgXsAi3TqdMIX6Cpd2Jk9mtu/vqzz
3/cvtdH59iEahHGPnQkK2Jmz9/Om3Hqws1yT27fO5IrmjSIIzmlbsmSNHjl5qoetvehvJc7+v/nm
fpZz/f7R1ASsImfxM/LdX765Vl9glnPoIgAqqTYFo+Dt0LX6Vtfl33m2/t1HmcQxkMTks0H/qrRm
syblz+Gj1rJ1ryejzC4AG3CkT/vXf3o/zxdjnvPyqQbxJP58P9WyVL1nrTjeAIFBkZ0FFwSa5MW2
yWD2W8lOBwtsP1pV/eOr/EfF/39MmP+58P+rI8L/wCx6C23ef672iXRGuPDnYv/853/U+ujrfuNV
wvBC7A4w43P82R9UVFDJuEX9M7UyMA3c1P9V6zu/4e/E4HfW7iLDs8/Kxj9qfX7m7JGj1Pexf9h8
wf+k1P/FlIbIGskp1TBJIWQmIaj9Rai5Co0O+Jl7QNfRBQT0yCrPyIlWYugGyxOYOaYTBcSWA+gQ
/EBqzPesvlcQ5f7muf3lOPDjN+Hwg1XYQd5LvP5P64A6oyKTJK8PopwO5PhyukdZ/s0JxN/Jvf/t
RXMPeR+xCOMw+OUV6frC0rNa1YdBT54zujDmbF7MIDX3lswMSroEzWo6VVfaeXK+5i3JwrIiOtw0
872h6Mv/6Wn5Nyehn5fA378EnK+4D/XfY5PcX5ZALyB2lIiH6pC0U7DBEP0CtSmnC2cfMnfysJuX
xJjr7uNff+z5Mv+18v6/H/urYw55F4yLpTpADqN/hs8lNNDHRJwKb//6k/7Nd/vnC/zVjqFQ8FSl
NCqiticcujne+ZH2GIqGKv/bq/pdrv+v6+IpNlGjI9E930y+3l+N34lkMNI7bXnQAPogCCm9eLIT
QAfoKoR0nkzyaeBMfsnk4DA+T8ujyCAA0mB+MZc+29UYLh1/i3TG2HAWCYw2PQzTDm3kwu7elFcZ
wmPmz2YsUpo2NHgg4mntHVu3cUMN3oeEt7w7BQKnlV5gWxgvCV8+3yD58aaxz7IRyYrdEZvRPxYa
fbhxVDN9PkmQBV0kBCfJNxaI8dadqtDBSRAVBra82fSvkmIxCWpM2ic5nCUzamy+ocS9WlTRHhcr
e9AXJbdOMT4jniF/I/c20jTvjdUkR8ZPs0tOGJfBbO966hQSlxd4i85El7k8GmR2+/hQATQaQSjm
mkCHlBexz9SjW2VJOLT1tGnrxCDARZzstCmvp9JBnzf4W9quqCgy0qslPe7KabZ9PmDDTj87RBjo
SKvdgKCG9wsNsJZ981dvu44KUCNiQ3htMSo/JALiUZ/qF6PpSda2jTDVd23/4ZqTFq4akg1oiy2t
USHiVO/Ffu6Dfd+ae9aJl3EZrjErfi8L+AjScdudv8wMY1p0Bp2tQtThNu1RtWdS54fFZD2mxrzj
QXlnQKExe235xapXIsv8MO38cBq6HULAIKYLjmA0ZTlCnFFfOCp9QSCl78ae90UOKGEkeg+Oqva9
lAOba95d9SkjrbPTZDOWQ7rR++QGXR6jWps/0LpPnsFzESyKUP689p8G5YIbQLljtjqK08RlBNAs
Oy8QrDmrNcTc9BLpAkVyQJP0OGMOj3gPniCivpORHDyXxfTocOoMG80lkKl2qriAyQcSYOMHIypP
b96vlgVn175Ni3MwuT5vmo74uO4DjtQScOopl9sKDZuWnXVWHOFQqVkEpg9HrU6NUHT5KTOaNPRQ
Raz+dJdo5u2ccUJSvXdd9/4tshBUGZVG+3kweWvqzYoCfEV6scx0I3QcxvD2ntxUfygScWR1jqxR
F2GnNnPxTJf51Bv3ZtAc0vkzzcyLypwj9Ge7atwI5cQVfZuhedftNXZGeaAHf2laM6LKV5GWUQ48
c9S1fWrcpyzoKCc2DWdbR6P/gFhkRm6D5bRTLcP6hF6CHi2V2qDVwf7GuEQ8zyyvoHmV4PVL25u8
2bpGqDvuse7LHecnU7v0yRJ31c6yyytVNRei9DdudpWqXerfpXl5gHC40ddYH8iXmV/TfqcGrq5U
F6q7LsW4bVE6r90rY+E3O3sT6pNubqSYBxLo6BWfpLERZ3CTGo8riehwumZCYHXzptF7/hWplyag
VMZT+lk0EpzK17wiP8m3YvjMpznOVLzW2mkwx60vjnN916DVTwJjw5xvFMAL0ApjX7Td4Qok3sbS
POYHnOdKM8oyucVsutGCF6awzCY8C7WqKY8MsqL8mdsb9PPdbDfE09dhPl0J5ipJZW8MslKzciNb
Mzay6rAu91oXt6Z+stFakb4DNNc+5noQ45k+FtbErsojPNbbtkevz2zEYg5dr0wTkWb2O/J4Yp/0
Nb/Ors1xjIqGOzwFMWLVzfle1m0T55MLFJj2CsKes5TnrCZVvKZn8HpZbK3avHNQ9Mn0XnjtZvR9
BDdiN+lmPFvZloHVViwgDSrigJIXRrobBaY6KDa2u26NDMpnAHAkJ0teuohil5NvvuXypECjFkA2
mdteDJmx73T55KJ/9Bv70syqb1Cfw4bZiqNfLLXcOQSkwdELay+PCDMIG30D3yDupbbP8jpCPL8W
G0z5d3ZLA1AvIwTCEGgVXN8O0d/bOt27mXNeUy4bEthc+7owXw0jP0/D+FsIYSvvijxjqvQ2NdfI
w2n0fzgAGQJXEow6REXrhc0M40HPY0yzYPGuBmbxZg2fAX2AxYIM36I7/9qdUwElVQ1fWAH21JKQ
fwr9MLl9B6sjf23IwwtzIk0Qmlj9VjBIj2lkvOhp6jLSMBYyKRf0euPlVNP4RPAQr4thbOe6fapl
+tXVw+XEROKYV9P9bKfBKTEYQ7Z08gCeeltvfFgS/4vp0Y2EXR24O80mtTbX5KnVUQAM/k5MNcgd
rfqerCxAhRRX7Fknu6g+iacyyC1Qt2ZXXmAhuTD6rtoMNCv/uoD50Y3+uaggZfIc6YTdyKDP/kux
lBsIzQgiYYLSwbrIl+6uSPa08oF8MdLalNl6KlHRxRInMe0qJFt23HL0PQXu1O0MchZOy9xNIFrn
5trHRxnW3WEEVmj0PXvluEmC4m0ZTAO2Kizaz2TtECL7rD6hpp7q0bMe8EQ8D0nBOJ331hCfovK3
7UKoCWtfVTzMGBwiVJ3zVVIB0Yta89IuDsGi5V+GOXk3Luq2N+6O15Ggck122CYf2qjVW36VHvO4
3WtmrNL1YhWRkafPZLBgu1ETw3kmpxZNIf1isj0ZFmAxxBo8o+nKQjNlO8XtTyP4qVzhRo8EJXlD
8o7Cmy2rGu8NILEnxKLdDR1noq1xeNwwkSoulzNZUB9RmWdIqGM9k8t7dna95Eu7nZrucuiHK2L4
ytvB9YG3LPULiXUmD7R/tjpMYZ2BXCHrb1P4LK3puf88jczV1vYdg8PGKCp1k3jicbIye+MscsGd
6OlTVCCeyJAkYSTVzeXaDNC9NHXf0VnLJAig2UcRGSQnT+LjZ4qjYTwKyhU3ase+O1bk/lXra5Gk
DrDoLmn206Q5kYb7NgzM/tgofbltB+O5NVtYKVJHAyW0S02uPK9+euUlot2g+P1EEbhAa4b203TI
rGeTIxjt23lXN3m7C84ZaxRe6P2SlpO71NK4Ji88YglhbQo66FTtuAeJLK/7ahSgVdrd3AwfRSCu
WAcv5tV5XFbjiF7iYJmM6Je6fqWN9SSz4SU9iw56pGkhbMf+YCEYikvT7Hbo6IlloGjF2AXot55A
Pi0yl68JbQckDrPBN0BTAeoxto7bisjXj6GkV9lYAc14U6Ndw0Yp7JeUpLSwHtKbcjAuZuesZanG
NywCzKl7UZzmdqYVOybXBEZHdk0ZwjQ6NEtnp6texJmsGKDgJwkHM+tibWjiofee50pSYVjji19U
HWIVEn2WeJ1J1A7ppQdHZjoG7jPWEwD1ml6Fo232MLlMB2QqMoSgv9XKYeiYv0yI6V12NNOrp++V
aV26qsnuV2FoPAqdmcQFT4zu4Cg6FuXO6LKPkrlpQMc0fVCDEm+NPrw5s7jOGmKzNBEcEPqk+6I7
0zzrMeeqlH1w+tdmYn2IFmUt4eQM7ZUkK+HZm43jMJoeOjYMNVlnYM5YxzpSkG+06oTvGRlNilB9
OYixyY9NcqEWfz+T5os5+tLQaOmkGlI2ApI8PHZYnEzMQbFvv5p4j/Cdu1RNatloSao2lT1EVXdp
y6aJzhvaGuwIzzvnPPsxSryQF/uAlK9K2mMfiEvm/WHLfgnSdxNYp5p3P3C+jAJrAg8H9/TdUlBk
yiYKuufReG97/jv+k6DGHdbszLnd4KAOne7BLieY28azsLBVALNtxX3rwAqtskOQ33TrErapderX
7saU9aXhXUziuRtPLtkOZ8W2bb75042+dtvKH7eBQ55zn7+VA2//0MeO+lBT44WU2WgitYeOF7ZR
/UWKIDc0yV9MTQSCzbHN1DnIlCE8OyODJ1e4+x7pa5dZEV6hOtKLYN23OXiovrS3OvMtX+ibIEeP
NHFGql7U9L3uT9aQQV2VwIu7s8ctpeZUp9RXUdm4dNWno6oklNY22J1rKsroGMNvKLRD57JWDnXh
xVrNVCgnINF+qg0vTsD02GQrTolNx9Wm9AY0i6R8iNd1Vy0PHkuEKq4LYaP6QxE5PlRZ/m753xV0
54Zc3AoS5Q6VtoiTrLiS86WWUIbNHQnCgVZhpNJuMvhcK3aeS8Sp6IUZh7UJbCuEbiyYE2ifybqS
jYG+JvvRYf1HHcGHtuafXwk3P7UD//+ahv+LYDmGzTT7PzcML/L37/JnecDvP/GjZah5ACpJWQg8
WlM0xH8fVP/oGWLp/I1OHeME/rx5LkRo2P0hEPB/c2yEAfwUgUseXRDaSP/VNDx781Ev6rrj/Min
+wf6ANrWP3WOHM8lnoG/j6k9OgYqovP//5NCwMffoYxhjSQCoXbrwYXteaF9V4uSs8iMBVsnZ8+c
GixXmpcgoe4Yct0gh8A+Ymfd4G59a5JbUvOSepuoVR8526UW69Ga9DoMcZFxCllL/aIhSgCnU+up
u8ysYaEtTZ+luLBSckQ06/8wd15LkhvZlv0VfsCA5tCOxwmEThEpS73AskRCAw449NfPQpHdtyqH
l9WcebkPLazbmBEB4e7nnL3XTtsDSto02WuVetGmMPI62A5yaL1NFEvj2xRF5LOpPi6v6gQhH6q8
ZTyLsWfubzdkAvM/mAwnfT2oNmT3Cq5GaADv0Swb7xHscNZ3VJw9Sc5U37yq9k9gpnxOTBRrJTZs
0vyKad4FlSNDr+sWvIYqyh5boaqnMcXat0FJMX7s8sI6D7kiJ84DnMEZL/KHT3HqsNY7SHr7AzIl
BwPZXLVU68CEXiNtD8+Tb7juFcNhZ99DyV447Xir7A+RLc0HTAKAuoWWj76uU45R1cTxyCjt9oEB
rf1SsZKfdICJ5+yuHrh8sgxOMXlhXFfjTHWJpc5iQ+3T6pDqQtaoSk3Zbmy8gBRkcOKv4qYlvKvr
rf5jZsUju1JbeaFhJnLZdoOv7pZRFdWmLpexDxe/zw6Z8kcZKm1ubXhiDwzs5FW8+N1H+DyqwVcs
OeJqmaaw8WQnmVCki0del3KtG3ZP87YJ0lXfheMUl8lctBePaYa7HTO7wzNl5h98qwIQ50KUrM8D
P+6xc8q1x9TZaFT6ec2wpho10Xg5Sk8cF/V0KfgTmDhd7XzzpuClQvpJeynPGIngkRipKqqCuYzC
hbeNzFY/TTIghU3M0z2ebKc/lLUblFdprDp1sMYy3nkybkJbtSmnmTIt7IcIv+m3Ss/118Toxug0
sAEfVDQAPuu8ObusxrB+11JXEyiaOZN1xABnH6OqyJhy6si7sRdG+KdZGS0BegUOFoxR7vwe/5mr
2I9SnNbCLKv3uG2sOrQaw+r2pJPHz7pL2nYfg814KruJyGHlTizuajLmj+ZS90so8NkZBDBSO9lW
naLzBuNSh6Iy64tbRvQHYpQPmsPvIj/NQgtiPysfwTUQLY80R5NxUVilPh7YnvPKeu7tG2rrln2c
rM4RyM449rQe0PzWlBjBQvSe8nA1W0wy1v7MkASbOVvY5kTvQ4xpco1iVpR+9DThgXg1RWYRf+jb
c4PDoDc+dF1QGuE4wfCmXO04rHe9a9V7XMTBh9rKSzbLueq9jTBHk+ew0Q91O5s3bRX4HyPkzHTD
cDJxgstbo99HkZpe27ihm1IuxdJtXKs07nQjiJmDstaHncN5HiH/2sCtjdr0tug4YNuanWG8ZAnt
qqqxEJeKHMtfuLiFdyMbCV0sihgAHRXm2Sqk0Y14g4bjcUnGpdy2jlerPU6M+inAheyia9dKn+3W
zF493UaXbKXdEisY0WkNACeLh8CKkxcZWaw+GBZdXW8SKRaCI5llIpQf8lQ/DB3c431XS9XfdYnl
3DYz6/S99IgQCIN2luQgsq7gR3d0tO+QpRB36bcN7OukyKqwkbr9UJZxe/ZIhuHdqavxMvcNya1t
1WLWMhIXmUgg089Rr7qPGBY172vP7eeu1cCtvQmxZe+N4osE2Ojvxomz9UNq4bLaZolY3hXFID6U
WcHiOkR9UD82Zt6kBH9Wucou49jZ86UkJGbeF2NTpJzUfFywXeaby16TGyPJ5iuCSxsZEAVCu46V
3lVYFtJ726gRfASzpimzoFsoMPgP2Xy9oLXEBKtbdaN05ckw5iX7pGuuFdVD5gICR6f/TmEnJlO4
cWnJ2YatuTKAknqaUQNCaBRYWLNDy0WZvy21H+FU0ZMvTn489g49PHKGtT93+YmSsP7YBom4jwpo
3FdVOlXmNtFpy8saISKas8Erjxnr1s08Y8e8q+ibtoegHnJ8xsBpN5mq2PMYrKGFbuscr/k0TZp2
0WDRu4ZeGhFCBIlwuvgdPeeT8KcU0Vev0a66y9KO+6SoHLHtZa7vDG5kAR+AJW1GvBZtsUf1HNJN
isTvh5V/dKr7z45sfysF/R845+VI9XfntscXCGi/Hb8V36qX//Xb/9ZfWM/Tuvrtpfr621Ob6u6l
+u3ry2/YAJKXH8fB3//sn4c753c0HJzU0HKSVIDgh5Pivw53zu9IIMDhwnxEJPAdOfTn4Y4zIfs/
DSgOXi4TW8tjxvbn6Q4S1u+Mkb8Pg/+YMP+Dw535s0jSA/2ANBKWDlAd3H2MSX8+2y1TOaVlnZwF
7JFir31GEsW2WqKGZIyK4IpnCIiq/hznzqSiTWLY7fDZNnur3mWWz8jgF3IUk8vxw5QSRyV9UItT
q00O00qNezOshbyI4ynASVgkPiu6bHokUEOmSjY4z57r9IsxaImWrkZh0dsbvbiBZjS02EYBVLiO
KoOxxwJMlsGg/ysC/TqV/q+2oMfQiCYGwZSS5BZSPd6OkuOgLAJ/sElr6zILz4HCI2EhYvKT4jDD
3aDPVyWtk2QhxnQLAE7nFrK547QxkVDu04W/x2Iuxa++188jZY/TvsPDgrgRWBFy12C9qj+c0C27
sRkFpee2cgvG14vonenayIN10gSzxiA7ufWsRWBTEXnVvJtG2xlOucnZS4bmkEUsn/ZozIwYkqBq
aMx64LCeSrPw35tDXkwkD5AkljhhO7i93qjInEXx/1A9/mfrzP9Pjfk/cRlyeLv/+/Lxue3j/mX+
aYVZ/4k/VxjXXnUlVGkkbrBQoDn59wrjSspHmzgH2g7ISmAt/7t8NGzxOwhzzN0eSxC6obWq+9cK
Yzu/888gXfrXH/X+ierkZ+EB8LFV3oEcxjN5OgWxZT8/nLXXAUwZsbYsZSU+4pvX+x4Yw1OHnaH9
hcbrzYvwx2etlB9+MSvrW5r5LARi0ia3d37l620eeekdPTe5h77QH9Y0vsc8q/vQZTD9i5XrZ13g
n7+SzzQRtXlk1a1Lxw+voJxseoBWau/yGF4Wq1NCovuvlse/vJQYmJGVQcz+viv8+CGlg/YwB3e5
S135CMuTqdZwky/bHx6vvxCorLvgj8vcH1fxh495c8fMoYZ3FPAxYzuktz3nMPzvrfGknLUBqSJN
lMtEgMwGklG9cYuciPL5Ppn6+BcJimsT4y++icPoC7GS+333/PEHjwXmQTlyPzmIh/aWgcONEaaH
IXQPJv9utuFI4DyknnCNBZf3YyjD8nMWcuYmLFz+4un6y3sMzftf32b9/3+4x1UlKNuNwt4N2AW3
jeteG9Pk/OJBenuPfSg3eCTINwIvCg32TbfFIUUF325l7wDcuXuwN8WtSrWNNWqqj39/o9/+nlUM
uU63HEGUwZq58fPvcYhRKWker3H1Lt3RHNVI0hFa//efgpXlzV3kc3zfhjHHQkUH6W1eguhByYOb
WnZ5O2V4Co05WY5W3VNYOkkSVQdyTZLkoFKbRrM1BjCNCFhQnzrEUTSFUa12w4l9GaGWO45ob3Hj
R+qAznHK7/OhaZhZAoV2LphdcxLU7dUnyFkdD5VwMJiGMxM6fdUWKSyJjQYaBahDefV9TzSRi26G
zQzhDhsd6eKFJW9KDvDlCSuaS4hVPd/KxL8vA/c6sxYGFAVVJObNvPFxqsWTyfTKh9Mwyn5+9sdu
jUaBaie3k0PBc4RX2dGypY4Ljkk7qezRtioVYrNrwO9iqaaFZSBwfhc1fRRderuPadYHyIsoeN0B
QomRGtkXglccselHZX6kXRwZvHtK5Gj3XJPedKmMd7SevJo8R5og5IzpDAkOjk8cLDLWCEvcxApF
2aIFMvya2X62KqSVWZp7e9ISnXoS2R+mBIve1pZpd5rKouyP9N2Mm2Lx6xxDcCe/OvWkzEtQxH0T
Bl3cWZhNoxpeSmGm/c7thXGTQnBsDiMct3k3wuL9GgiM9RKBy0RvyJj5vYE/U6gatmzELqfwe7Ez
GEK7FgzFvKeywqFMSlWzUoaais6brgyYPrHJ0MBam2reLO8amIx33Wj7962Ze59d3pE6LIqueAiG
xBzQtgedu0lzm2z5CF7osIVnrV+TyW5h8bkpKRPtVMIzUk4yPpHyh7Vw9sYFA2NCVNcmMWEloKWw
ii/sn16xGc2h+Zg6FfMDnVjJUxkbgEHYRZ0vzFzS29gpjWjDC4uhKFHJ7O+UH6OA6FDDf3SCCsNm
j5UkDnHeqtfca+cbvOXRl5haFwTBsuBDSickiBa6ywsdO1o/0MqIZVZxfEHWjyTGr3J5T4/PBPoH
8BIjd2oMj9PQNV9HeqLqNEe0UNA3GThPC89I3i/NFGXbUuga9UuKBXDjmG1x26mUbujUyO66t4e0
CAdPD/dWb+Pnre15vLVjGwOJM6T9Y2vl2JliS+hnWeTBqe29ljFa4WOCH+lBsy8IY9mkc+mQspQO
4n5Gb+luwESoKExx1SCExt5uhjkP+sXCBLtsmDUZRwHrERFZn3Kk1gAevmJVG8RVHZTixnDk8slS
dmMeeMzkZWwAu3AxO+xQvV8IcuVoWdFeSgnPqSvlPATRwHsZKad+rSfDe8HjgWUpaHF/MYs04Z9G
an7mkSq+AkpAIAR2A+IBQ2gFqJGF8jaLKZ83mROZD5o1hF7fwm0Im2DmpV5q7d1EbsncnQl4h2tT
ljeqm1fHF0/MAzlCcCmXvC2/VXYiscBkds5zO9NQ5OIIxb5FT8k7Ok1WXsG3Qz8hkTW4x9zi5d64
kAXzrWlhJNqBzVuc3dyOmgmh1a+gDmyfJI4udI8hXan6kz3iwuIpdYe7iVnXtC2kbL6t7q9+4zEA
prdhAOJ0+6pwcZw2KPaKBCnD3k9pte91EwfObnSDVDDKilwH2Cj9tg2DYne6BxSFRCTF26CPSaka
PMWANOQZ7zGsusVtoHhF3iScg7M07XJttob/LlhQz4ULzqDHRDsiOeB4FUkYYf1vIDnbbrFL6gwL
Li324W4xEsvamLPJpBh468WN+0ztXBNExRFpME3RRWm3gUGJ4f0o5rkZQ+Qqk30Ev73eMNFVOMg9
ur4hRDDJ0xwkweOAx7vc5lAum7ASFU1ZDyQTy2DrGQyrS3MaDlZAi3rjdHY0hjE1ZbkZYyvpdpPs
CUXAmMMOpH1ytBiFexUkIiCOai9z36dDmmLGPuadHJl1MolFQlqMD16rUhEmEcOEq8XiOm/Ba0A6
bYekkMfK6Tmk4Xhw7yYL1EqIQI/mYCJyGGPA2Bp0pTVffl+6tWVcUV4jNiRuZVi2jc+KCi9CPXPA
jJ2dTIbhlsmP4aFkzQq5o1p18PZIGgy7ohM9pngzDZIwxuff4GDLPOvazWvZ7urYLSoUIIld7FSd
gW/zcqzzWzZO+707YZ06OtM4wVr0Ii6YQWt02ieWaKdwICwSpVw0uDWJJSYdZsW+PZz6NLUhUtVU
GxtSnyrEVEGX3bCswieRWJBODuiPo1Dx8mj6irTcYIjcxwIiMWybyKo4NM5Ny2BXBR5amcRFY2Fa
RZtdSzmMr0rnfrFty6xRYcl+bm7kUunu4Keto8+FGSCXWJcdhXavYBg8V771PuF3XjCTe/SUKzVf
G4mh4S4MBtLyiNi668bWyRoRxDxojwHe+UPa/o/6ZZf/zOr8n41F/yeWrBbH0v++ZH1KXtKCNtlP
Nev6j/xRs0Jg+p2IMElVSJlm/zDxDBiGcs6nSKT8oBW0pnr+2ROzxO900AhmEAQT2Sul+98FK3+N
WacIPM7Org/s2vkn9eqbHpSPgtYiys+x1u+H2Yu/9tMxXyieRphN3THP0vnOtYb+xnAx/IYlc0R7
q5RtxIfOje0+pO2HpRXxtlseHN4FsB/dLO0tMhrZ/uIcvbbi/qv5tH4tqlrKctMheMBhZPzz13Jz
lQzAtPhaJQfFKytNFmgWcIqQq85lcq142m+MJEr1rm3s/K6yxNjsfriNf1Ea/nyS58ITfyBIPTF9
18Kz/tZA4qP38ocedmTM3JHgXjvWRB56RY4MWQl+/t9/3Jv25Pp5dALpan3vHmAbe1OJ5kEwW1WT
+AdnourcoYv7AEzXTLZFaopPoEPHSxEF1KQVdN0wcHOsix0gjuIXldJbE8n6RTBtoa5GaI35/m3q
gspNCWtDuIci7sAfZv5k3Tlijr/i7YT3Uax4JPyJBHeQ1Dl9Ehx0Hgt7iVkdUfmVoYE/MdrCS/XT
XzwW69P442Phe7i/mP8LskMgvH/3R/xQlMaNw7Yt8+HgyGCM9hRUnnNsScWOfnEz3j5/fBBREDx8
SCPJLHx7782gIqFUNf3BLPjAHbM1x9x3SlqcMUf31VpBjzDAesiGhlNGGxgWUfuL5++NtYQAdttE
jkDmJoGrVMjr///Dj7WYFkdIKodDvUjiSDPDynY+42BrS4PCjq/FiJj375/B9bX6+fp+h82v9WMA
/E6+aewAkG6tPhH9OjNXH7OxYGZc+hPYM4n07Yp/FclWJnY7/TOLFL+VlYyMD0FHiSXy7ftOjBYq
HvwdB7vDBc7BTLDg5AZg0tAuooi6II2W4Rc3+f/+tdxca9WPIENy3LcUeiQPizPaoj008E2OOmA6
hos4H79WQau+wjXmJJfnw5+9X/a3+Fv9F+vK+h7/fJHBsNCK5Ffyn+TP/nxfY4YkJnra7hBjmrBD
2EPtq1/yRB0AjaU9fmOFsGPumQjuA7+zvMPf32SLHtpPXwHwBbmYXHDmDjzfNGDeLDXJCMzWlvVw
mIG70VjrPpgDE1N7qMVN0rlPamwYfcMbwJttH6esic90ITIKo9mdrkiagc/lAdG1KHbvnbbRp7gz
g2PDlPcpT3LzghZAHfSYfylRFO7syk6PyUJkoeVRUeKFA9rQFt3WIHXsEs9zBP4Ya8fZqCP4/7Jb
mmMyG3D2cFEEDUVqarwsRGCHA/FMcbM0r1ZTW1Spy1U12f5Jm/F8BhoB9DCP0yOtkuiK1DS5rbuq
/JCoKTlZk/0K6Q1EKil/SPt5o7osk4+5QB7vgZO7FBM/XMTJXWyTGM/7eEplHJxTPZT1anyvAPgG
Hzowylsdc9LMFWaFavSqZmtpsRYiA3qWvjsGtLTkxi8pf+Uo1oF1bhWIyYPscZjwpWysVAwrvmj8
MC1pS0cKb0XhMvaeEIA0e2NBFPlYdXiw4DghsEZ+gk4CPo9LbBZtwKprCN6tTdIuGK1XeGg2gzOa
WMM7uQT7mUkSzpgCSB0UDhN5BFs1s9oyI/e1StHjphXQXWfXt9oJ7uCxzghSxkwmneR7dNDIPL9Z
+DquBYlnihr1MecvqmvhgC6FAdVlkk6Jb0QkAIggrpa7upxYAFXtDvn7WY8sy0WQo23H4Dzd6XIw
EYzUCf8++ipL7+Hq8d+tyoqnZ4620jszcKnzPZxeNnqrlwOMEs8mBazdwE7sOE3Deud6N5Ksru0f
O/Jk9mV1cNtROK9dbPJnTa92Bvw7Jn9kCSb1MUY8YGJf9wE0bMzSldGVWwgWsYKAAqrfKBMmStKA
bx0zeEu22oKyitQ9o/eVNDSyQoNniMDcUvL1gmoUfLGGudGE1CcGR3K7AOhVIVIBKPU5PA0ZUiz6
1Xkym8H5aHvwaTeRZWvQfZB/j5Duu/7amQlP2KrWcOWtU/f86dHIRb0nqrbFLRSXE2JrMfAs08aS
83XRavWx6XNpnqhg1uqQ940LxXGBQKukuqZf2++9KovH0J/IWN+a5tzOJxel+INZIuXaBoHh+tdw
A/toPyIxsi5m3EzGI+D5Ir1Hr+V05DjkZfUlNcxvS5rNMciXxflqDinOuil31UV5rtUDt/d54rwl
6oKtrGOk3bM7iy8Q3sT1ADdh2zg6ee0012rjqTmNt27t0F4Ufbu4D0W2VPXRiGdE7SU4OX/DHAPD
ilXT3POy6qpFaj2E3lQYO5JRWyZwjbuuR4kn9Esfp0pcmXXrz8dCiOnJ94DTbCZ4+tG+FS6Wo6aT
oHasOkN/XKTu1vVKekoTzFVEwIG5pEc/61nLtBvRLsvKntSODMQI9OwAequSgFBrOsTeOB2yKOBh
AY+TAApDBQUATrlSHaNycO5s0uLUPrdXYBmj1PkTnIalOpJohp49z0e2MGX3bFtZ6lqhckbQD/Du
ZlZ0txPBiEQ5DQ5VWXKU6amvoysyPmwXlUsUxVveTWvX+jBgDrX0tbs1J/Q81bKwS+GduKk6vzoO
Iu2q65JyAUC+jB7yQBhIievqYpqGdx6mYswYzJrla1XohOZOkF8s7YzXS4C4DmXUknwdcJyaz7XC
prHlokVhFdNow75gcnnSrtPH2lPxJYoLDDA6S7HX9BCBdt6YFtz6AmDNKoUMvLDWo71vEsf9PI/V
+i415bSnUzLvzD5yLtMYxFdFRbeudFPycK32loCQ4DCpBUqRZcTGUTlTH4X5FPm7EqTQc29bHhEf
1nLPPqqP0hmzQ0UHEAxtExUnJvnuqSQuHGHJkh0DrzLORZ0i3fa9GivDOJ503syfU9C3e6cK0qsM
4+ZNbS7vBZodDOB9C8DariD4AieZDyQbj6vtBUUQmiZALFUkuoMcOmD+6TLuIXZw8tMcjKYVsQfP
qDOG6sTal1e7fPRA68hOOPDtGLoZ2vNfctt6L7Q33DpqaU6JiyidSK7gNDW93AGryZutbp3OeCGH
jyVKd+OVLs062ck5wDAGWy6Ibumry8cKoMhdHi8s6U6udhIsYruD3ej1VwDo2UER3d3NtADhscFM
/dDCg03ORF7HVahhsVRhFcTZ9TjWyHYmqYMvJIT03xTHrp2kqavRnftypwxt7tFE5Ce3yzzJHacB
ZQfFfCprU3uhbQxjukklIqmoNtT92GfNkT3CvJ5tdcYOjAgbWVd2m9KqvUC3SzeC0OWQVFH3jmu4
Bil68a7XBRt1llZYbkFIM8b3zrOnxGfbBUa4oUPEoIMjg0EDHe+gXXX1txHb2m4e1rhQaw1EpUFV
lVaIUSM7gVMtH9NkLPaIU5ObFBn7iVzk1bCUB5wjOpysRa2vg5zJ7Y5lSn7zcofQkkabLNnQ3GmR
F/qSt/2Ik6836WZ6OC+soSZmLO0T9YymERtmh0yJTlN+15KXmO4i7STvxCi8o0u2+s5tsvjgas4J
zmJvE+xOoIrH7cLbeRFdNl0Gad3j4U1D5BvjAUmKu2MBhmxYRhgsKcarnZfl8H6AHZ18pyq23liK
LxwG9fXEoWfbC1a8MOrB7bTzYF+QtZ4TX1dn06LTE0Fs3nQS86qMISxsqo7bHTZo6945s0sqShUk
9a1v5Tica+D6m7qNh46ThR731ZwEWGnA01obXPrbIInM01TZWJRnzA+00alKK6SQnSa4sWDqOwz5
xYmwQBAgau6MZnqyCvVcFONTJ1G+lkONLSpbMhdxXqRvl9lazmJq7LMroneU76/ZEOxaM/7qM2QE
ymbd9D3hKLSC010q5xtg6y9gipBdluAJHSd+TvEjbYZF8b7K5dlr+ovMonIrcP3iI1K3WeVYNxq4
asj86Ti4QXFjef2TQz9uH6fdHNbdsK1nhhnmFA97a+yL1z7vZiCvwIOWLsGBkhCS56/K1daqds4a
b5R43SlIFEEIPhphh77ubao9IoWDhk7osGTvnFK+dlDmT21RfETZbJzXjm3llRy2fEg2w5C8h1b8
gm3U2qR45kNUlHrrBeX4DuD1Z5bgG1b1u9JuxDajN4shs2f8GyBhBOjo7he7+JbMw/u0IJ3XReS8
ZZe/WbKk2WEmQcviDbg5OFvsE9fZr6Q22jPxoW3R7LEOwbZIpy8qwhfn0WZAG2Pm22Dusp30GVNy
TxgcRd3W1ugx8UcHtJLZvgGtxLcTJcqxFuYMzTN6LElRYvIRHMfavB0M/KDMI5ieGKo8RiSIMObL
8m9EatOinJXc0McgUwtz84dcY/OQg/ZvJvoWR7oQ96QYqCsWTxvTLe3QpRzEE2viczY70S7J4oBO
9FxsRTDQ82bZnJ7dpgOJpYsujOjdhoFTZCFie0x0EKoRVvovTdC6W7C+pynHtl2PFhjN2v9i5dad
WxmPLqTvDaFOGTe/MYmZiN4lgzA3vBJgsWvXu/PH6WivbBn03kc4rATW0N0/LPCq9t+t91OM74W5
yHnmUHI0PQWQgRnHRnfes54FAHE2fatpkiPDX8aGQYRRmBFwv83pfZ9IiLj1RwFMTs+caBeB3tdI
rYlCBwfvpqqS+Wgv/iUu9eMw29GttQzLWTFCxVnMdp8tQ7abelvtW899ZxKT9XXAc3AyWmE/+OwC
D2OXG+c8g/hBN4UIIDnFT0lTVY9VtizETVr2B4Dp7ZdUwLPbEEjCRCYelve09AX8BJ8ThlN9nqe8
bdg63PilrDwsrzXHKMH0xsSuwHxVDldlMcU3mUZSJUCI7HtcXdu4r5tyP0b4iCDhfphdv1ybCE6o
2pE2BrzmreeVpIqOiTjm5gCnwmo/WGNh31alqR50J9DAJ83BQa8MIaTM3vsY4OONLq10M1pOeUsL
qLpUZr/Hsmrf5k1FeFXf4YgWifBO05iNc1j0qMCzlnO/MFPBo2Wid6+3ThH0l0Bm7bYT+WtLEetV
7W5MVog/k/3iQtkMDMy3CFrZpA1zhSbGQE55zji9seMk7OIcZIQ9M3em75OaNarV3npakf3OWMK+
UPV87voqXVlw1C1m0F51SezdToiWrmrgkI/xuIIV8MTpGDf1XJ6TvI4/O2njYEgIwBLSO5v6dSyh
d2vawSkDGRyFtYv/GFcjA7pOY8ggZiv21hMleVVLmmK4yDPM4lMdOLAFqMGGaSo/FU2Je7VgP4nw
kps+5DKDi0Df1tDdGeKm2+yrRlg3ouiis5EzrIdCaKf3gzuSL+M5qYUJuK+fBlFm1SGa7YEUmESu
Tv7EpwSWenQPlmLiYyg7xmKfkNI8mJgBCIYZgQNKWV2iflJ3ucBqj5LcDagfeKpxlzRM88YIc33v
cHbZw616NzJ4jUIYuvosWq9h+Og05OYMcbNHqFPZh4JGhRuimvCZV5W1dSpMLcdDtDBMRwupRj5N
zvvWbYYCEnjuX8+JiF+kObQvALt7GAIy2OGQo9FkNTNT8XS5igZPXkfayE8c67gEeV5iIxbBazdn
zhbMM+pl9EgnCkFqtnk217mXuxgnHKRmFvKKEbw1RmSCKWOQ31wnT88WgtOPMm6/Ku3rF36WPHGk
WgneJOai6PGO66PKQy61ODIjdEMeRBLOQC/doSD3r5mE+x9kkTXs7Gw9Fw4vyYnS3LmBT2LxTQ3j
gBxF3rco00CCT3RHIWwsst+XcwFYwOs1G2ZbGsw2Ddzp26mIindpnE372pqyjwtCkx378rRv4sVx
NzR8rLvMksuNBxhzU6shfjZLmzC6fi7cD3WmzWtMFfUWnWr/ABlz/JrP+EWpIi8Ofa37RlfDsfLg
ZAxD0XKFTTXwCDrk7NTZo4lQ9Cx7233OU39+EhMof+iFCA66mLTD72AMztg7LazyMSAV95wlFNx9
VS4MQTVpjChy3BF/f9HlO9fS8NOXul2wCVrpKW8C9zwkQuKwFfACSJgBbBklFCjU/LAB/KVSIEXB
P24VuHR21pLRfet+GQeJwl9JWjWmhddqVtQtwZ2Crb1Z7JrOpxOgbmg9hPkcvDP6kf4jA8SIJU40
n1XUUuQ2aeZdmcEw3ruGJ88lawjD1uwl7VokDOUgQ0nhusEbMZeHqXEp2AOV9LtqXrxLsnBK8Cvo
KbHXVXAJLEs8Ibvq8HQ0Qxj0vtEdAmIhvvqJ1pdI+c4Zxt3nroWztbW8KdnbZWnvAsIh9nms0+NA
tsSESX9O9qYNV98DPr2DgPROAZjBcDIAlq8OZMwXx6pjPG0nXfDeNdHZZOPdyIJ7O002aNT+ejB8
0imKu9UgNca9c0SZ8GmuAeRD6bSu6NwCdzAcj/Q1l7uVQVII65EYd1S4FSzyzO2fE2liHxbRZy2x
FNBtMp8GvOvgrKfQBAA7hjAF4uKAyw6kCu0SX0POFDCDUHQF7dGsYHIi89BdRymqIyZRRKOLcGwR
Wof48yOaTQsd8ztY/IvaWHUXBOc5bspoaxaiQ5OMCy851AJty8mZOEJcklrofKvt3C+vlkT1+Sm1
M/kad8kwnut+ihi2u7Q6o8bbBDlO07alDqz8q574EAQs+fuxciBYG+6RqB2g446+cpT9OTeXpNtM
aSOGEBhmeZ3Qs5on8DaTsVXptMfW/M7IINMv4we9DN4VPEgy6npXX2+rdNThVGP16gbH26RmedFs
oww8sMiks3+ddVEcEmWGPQc5uJQZtu1k/jZ3wY1tkSLfinckMR+GMbnGeYF4y6iifaRrAmDckgP0
9EA6KeYwzP6R1T7apW6JJrFeckbPFCreHTCSGe+e8wgk6GQmGfkxMME5BBG3oLsIdUjkoTZi++ec
Xtwmpfe5VvKQTVmBJMvJDqLJHho8y53bs2LlNzC/ri2tcjpjwfK+SeaTn8dRqM0UBk31dfbamk5L
0l/XkuQgaTFmy0yLozp5ObPoIStodrSmrK80C85OtBA8EcvH1Agc5EVMtFM2rymOiDch+ap9LOnP
7asKC9A5UOOX1GzUhkj4TOxSc1JsyjK69osWOqpL/88hpT1IafREggtqIRbyfc7Rynyvs+ARSZJ1
sKLYehcTYezQGL4ZFrd7QAqQXQ224IQPaBXIrpe/oJ1AjLIk0vD+D3XntRw3dG7pV5kXgAs5XE4D
HcHYjOINSqIk5Jzx9PNBHtsUzGbX6bmaOq5zIZc30cCO/17rW44WEShgkyRkCesOA+PkUjyJXihu
5+NvKRZL62kkxu49V8LGd9is1sFNX3PWWMUt0iCXzHqwkSJxfDq2F78m9RTg689IKMJpY6h53t6p
+Naa74nSRpmjZVMiuGOhUq1YkSw3NFtiMngBviYFgt1EnIpWZSp6+Vpkx13s4254qur+mAXCnWS2
z5Tx7byKsIUmFdqcPggAU5Dp1WnmY1B0cw6DYWxElCuvbH7MjS/2z2wRkddUVBq73DgaAnDUUhWr
60Sor4LO1+70fkyUrT81nQiMiNwTL2WZIxauTe9JjcJ1P6iStW7lXnyhhMuIk62eYGov0KOdn3rV
VUTKwb4E7lBRqPGjo2/gmCCcQX7zeZXIoWKL61A9MZqj1tU5UVu+ah0QcJEdJcd+uxeDCHItUWXi
rkbdjxijDsudmuovjTzqo9vGXiAfrCZVn8TQ+0XRubuZuf0Hr1A01cbsJZcbrAyE6qAE4Ww4Gj61
XLF/NUXchQOT4dFQ2nbjK02xL4ZK4xsl/obyTHQzJUZ3NLKqPUZ9qW1qHCqY/6v3MY2giUB++uYx
33OrKOAmi9sYJEWNGAcxZ6yZWzG1/NukaA5lUo2Ud5GF0Y3rWEf8l6c3oR9ir9cikiPMLt21bR1/
k0R52hqt1DgB3kVHqpPcSbr8G/PjcBA4I+1SVqyVMPp+xGhv/CvZ62TAuCR8rFpuyW4z37dszJ/S
wQokSgpJlWZO2o3hYbLaYtOlirZHQyVScfIB8KSjoT9llL+fSzITN4XpEWwasPGVkpRNh0k6Ddzt
ctvwg7hGRJZDHgLsnpAkZieyapMOGvQHhRXOkZVMhS2Ani4rDC6FhDTJMpIL/CZbRyHUBV+BYoXs
Tr/SvC79NoRT+0A84PdyyJu1gEAUmatFTHY2+o9DHyINaqNjkg3wpKdsOEZJijnWIvPArlBZbImf
UH72w5AclMCQ6VV03anjvxVDKrvog7pDIgLMakPf/10TYOmSaFR8R9c5rYK8w3dSt+8dBdB7LxWu
iX91cTSxA7OAp1FMtdrgqDJJb0QuQ5yk4areTDkrxXoj4oDNZdR8EntkyRmk6NmXyqmnaBopa5S6
4zZhLb2RUW89N3i3sKXGBVG8ASTZDEoMLO+WZaIJX4eM2sfItofSBVAsKYl/pUEqoZvXg71a948z
Cn5X6JV+HwrWuJWbyfpJCm75IluF4Apa5m1zkjJQHekKFQmKpkVhQO4S2BZCilH0H4LuD/d4ZkWb
pODwiZsFbRN0Od8jzxvbRBBLeRQf0hS2FdJErM8sgOrvSi5NVFzlaEc10CBFFvo92yPTSdmqPGtT
V9yQG4eutEgGO7BydYviK3SaQp8vGZr4qdQ7kg2zqnsNOmXadtaQO0qqonwvgvTaKIPuKpaq+Dgm
5YPc6QFcMvJWNLjPa3juEGjY4L2hMYxu+dr90dRL5bGvoznjUTa7p46LHNUW0aEZNxVZFOuymlky
3EStihz69SrNvCFhWYfRQYBm/q7HLcflavaFl51GvIkeJuTcgBsBThUFHDZyeOjQWmAFgqnr6nd0
27DXhMrTb/oC2dkqKITix4CD6yWTrfCGJYqEnzJI38dSliuuNC35WHS56hObimLZIfAXrHmrFdG+
7SiZcp3nQ/zpG5Isy5zrNygzCfXhtSezV0JSKOytWMf3YWBE/9bJBYwTgYA1YdVzd5I65APFm2Qo
9fsixlruK0ZJFdKQr0N+dwow0weSjnlkG085PJE4M9ttNkr+E8uUAKMMHkyqcPc6amX5zI3GeJRI
qndEAY0xJYHmKcr7eC/qrXCtKWq0iXSszTjhW3OjQDyyB5ynrKbjj1EeOSEbc/I7Vc+rokCeqvSj
stWSatooZj3aUjH2K7lXQVKGJLXJXp7vMWjJBxNDLIVHbkyzopUeal66HaeCcUstWQVi0zVYb61w
p1o9sUBawMW16AlrRrDhtFX6MphR+C7Sy0N7hB6+CvpCZZY0YqfHfLonDMa/k3Mr3+gdsCXC69Bh
thQYM09hi+i3O6o1ukPEgGFzqqYq2hHPFQrJjLOMuteiytprPVTFA27fYUtBQbBljk+OJcTxLrQ4
w0GY4gznGxS4Os+8Rwk12arRhVfcHATXmCwNJ/G68aUORNBHpl7PJVQzfzU6HbM5cBj2VQDsifV7
jbS6lrjtbW7NYpJuOF5qv6NgbDC1g8kBcd7s0F3QCfXW/N5KYCPTsX2OesNYZ2ZAenNPT9gmHll2
QHEfE1OkFGum3xQoUptxHNJtOOo/ucjKEBFzcB8svbBRCSO6HlNkYULwqGrZfM1UmtvKzNtX8kE5
T3Ix7CYy2+KpYcHhdi96xNcBT0NIqJqliYIzPsLXkyccYutQS/aEX7Lp0Mh25WgiZRv0H4RJmLmM
5Tuv2v0wTdFTQpkEraiU+hwz9XInNd54N7aIachNbbqSHxHVa7BUSbqWAo3Lj6moEoyVcZbtWy8t
3gj5TSnjIEoJ10YjXndhNUF3GFJCmeZS21XaTqgiyBxmpEnBK1aket/UNbEVwDm82zAtOYdW7Xiv
UfjZi0XdPBdxy4+UyeGZ1hzIcINzAaCv0hIpuaP7HPJ/R7Dl/J3Vmhp5SxBYWWRJSlbnipZqN13e
u62iBG5jQolM+tqi8IS7a2/Sj3K7B5yzKvx2ZFUazN+i6I9PeaCFttJq0kHyZpgUU666DwU+yoo4
SvG1QRTnrYnm8b/n8cwuyH35NlMNkSzV1FtXDTZvd9SJZ238YjqCc4MdgDJsgJpKeDrDosYan1qJ
wQRbcxOvoKkvVkrdBruBLvqqE1/2TrpWsZa5HccI1n0HDPQ+GhK16JEk2ztDQ49eKzpLt+y3AnMi
OethJAyHvjIbDmmhVm7lsZddP46tJ5LevRxfiqJ9y6TCvAuatO7dIijUQ0cChesR8LYKg9T4oaBA
3ykQXneDEI0c57u2ue6ZYYgNDNTWlctK3hHnqG+bxOeSQilBocpTrr8YZS3abCYIvAdS5z1IsFIe
FdTrd2IMk7OS/RgsWEaUBpfsxrSHyQKxiHcXrMAgtJIdzKUgzDXKTsqFjuKq2XBuIirKzpkECVFF
FUAZL7HcypQCu0p6rFsqW62XcA6t5jLFSG+z2q+pxI9w4vR4rPzdIOVZyMi2eleaI5s9w3Qy/BW4
flNpa4ZUTrag7VOYS9zqKuspFhR1Vcp1/GwQLJrZZIcFB841xq6aGRClLnc79ulCbYumzGfTR11m
P9S1uYd4Z4JcIXLRuVVBMIkB/N8kMzsHskyyVr3JB6YUFA+mabHDxfqBB6MmPuR+svzWv6ECJri1
IUH1FSmrPLQ94GM5TSu290jG7TZt08canp+3MlQ12FCGHJy85sTGXENu04oV2Zpu0Qcw0MMGrit6
PiCVrEUl8SEigAZifoenLjSUjoMNiBeuKcrwYMhKMm4VLhG5GSfC5NB43DJCyxxluyYF5oEkaG5+
SpkidSUxRTnmxKJWMNnUDrYQhXv2kksRICP7PFN1oruDzJSOHb6DH0JWhffRoBujw8nQmDeBDcSL
sVfCW3K9MFPF+bQWuDVAvSR0XJRXXib39lg2MOnLriA1dULQFclcFgA7mI5CWg87WFUDSI4E1b3d
jVmP+EaUt2U06nuZgxOx0YpOekWuwAk0CcEGeCg0MWWDhhQ4ADY3dYdUgAh4b1vHDb8rFhNgYs1L
3Pfat5QgwWA1Gj3HMPi2O7YqkxtYZAvY5HVMukMyINHbITZzRgJVE1+Z5NdJGqP1BBbOFCis0e0z
O+618KbkRMNJlLWEokdnlPAYtdnQwvbernXlqKdp7eC79p8NT082ZBNzzLEiNCe5NN6n4hRspl75
SX5fQ+0Xjik3lrVTDHWwgYLOJtt8iEyJgOqxo36joMYqpmZTNtW7MYicBor0QdPH8Klgs3sfEcy7
FiWlPcqqyV19EOt4YKS0FMLt5Cf9eODAy1WFkLf6cID4gXWScwAVvlWXNAOiQb1T0WBUGZuCnTVo
CJTI50W6Am8tlJyQMIj+2BMSyfc0S0Pdt1ku9E8DOKL45Z//kgYj5S6JUJDsybfEsrsjw1rFAzaw
3aR+WCboh2Qxpmm8+shQhQR/jx3HxJDhAe70X5JKHjhuCfw6vMiUsvm+mDVRUljOXGuN8UgWKMbF
rTgyKwOLVcvhjbGtlD+EgJi/jW4IxTdTjoVqHQiAIZ8EBkt9Q4RiTZwmwAzNLbqamW5SCt1z/6kn
SazIUHd1y47AMQbi+5xOTGpuFiQtIox9xYWWzmIRc3A8ShHso1WfAS2CRjKLkcRB77Jt6uPsso1Z
nrfOJBMVWWoA0cf3MIztXuBiubxNWZPkW0gmUP6Q0cgFgbw6ixbIIrw7ZSBSgzbTgW47yXNl3M9Q
mtc68HLuhq76RtPeczbk1DykwdqRBM0s6lsNAdeScaP0BQTJomiwy0015T9Ui/INrBbxCD2+tlCI
BT0Aug6zREGK8DtRov0jp8nrhlsVLoJa6NHrqgK0YFtBQ6pfnYmvRShbx7pvwpswYu3z2LY85iFQ
dZUgIQhbU3ADFwW8bcD2GjZR8qsYyAlnDys1WO1ytuNgo8V92BXjBjWA+r1vtfhHzs72qU1Djui1
bMxHz4zrEe7FJvVHH8nRndd5ya1KXB5bvjFy40jub/QuJZ7WbIYXn3ztwjMleAvgbboVl5/ZrmyF
Y5DH+IfmdB1DikpABtVE5ZZMoWfYHK9NSnE4VIfyqmuoCA+jqtzimGR+HCUqQ1H1ivfA2xpdaj72
Cs5Nwejix7Hv9Wcuu+U1h07cm5pR7EJ2lW8t5tE1CS8YVApJyx1mzvpKbkw0TDLMhTAU8ut04OAe
5tYxDgyRuwMUaObQVN+o0H5P2jZ1yziJrxJG9rcgDe5NdnZXSFRfa8+ffAJhsUnV+IYcNRaRQA3I
4/QwN4ACskkTAYxuYqtwSU6THAuJ9kbrEhkzalrZgWhBUBNyYfgnU+J/5GL5f+Es/GVt+f+J5TcL
g087W3Z55v8vd/5/D//7+NHe8kdQ/H/tLUR9qKrO/2n/jvX7J/NFkpR/mKqIj4HPZJiSjL/iX/YW
+R8aAn5YLKLOlgwZ8r/tLbL8D6QiOrpoS2aN5X/3P7G3/G3hEDBRGPhqkND/LbFGxMtevsJdia6F
u4EDhlRbFs6I5U81vhBPdyOxYSX1Srfn7MT92jMl331nyWfk/39rtP/z7AvrS2c0oxEjlXCtOVCL
HZV4zmnytwD9Py0vDAWs7RHq/lZ0uepbc9WG5oX8wynfjsO1rCE26X596C6fKN1P/YT5zX1wLmSK
BGJ24g9V5rVUXRlqeUa5f+rVz3/wQ8N5K09yKKui2wLjHSilQjXk3mg6XPbcyt/Nh4rZCX05vyBS
xYono/j+dbvyLO3/j/T/P29+/vcPzy1EoYcntpBcjLAbVfEPgPhXXSpseiPfYeS5bWPs/sPAfZq/
E+TyDqCZbTbWzO+/GiztlvBgFFemy7p6HaGLl8WDrnPkGvpi9/Uz/m2K+M8jLqwfObLWDiKS6HKF
9zoiRSwiGGTxb0tND/huz3gQTvWMRS6VlHQc13PesJS9KbC+2eF9/fgneoa0GPE+AYI1rDTRNcTn
kcVaHzapef112yfGjbQY8D4050ZnZXLTVlmTLogzgjrPuxHcihwyuU/5+s/8MYB80kukxcjHbCUb
eTKJrqaAcqxd2HG2gBJuTHp2qF66BW50UFgqybs/5KIGFrF9ShGeAoe2fbNe96OINJ7EEVKf2ww4
nzHdlgQrUNV0qIRscPGvMfVfR17vmCaMQq+vdqhS7E5O1l0hbGTCPSZV4IBkwYzjNq96HsaXom02
waC5XnFNXZ3SaWxrXXAzitltK+TovSa0BAnXl8NNP8Q8CTIC7ZDn8iYp47XkN2sjrrZMPA414n1N
NaOO+xuhfeusDs7iT2IViPIb12oFycr4OUyRY3gRpgdQxeoxmpRVo1T3X7/kU/1kMQdmfaQB+IxE
d8weyupNja44xJ+ZneR5nvjsA85/9MMwj6KuSltU6a5ekmZJwUZtUL+mvWFPNTzVcT829dpX70I1
sMle2RQZaRVk/3FR4RYD2nAo2uSCPirUA8ymPZDwzg02lE3BjzAEdWc62t8mt38P9Rm0+/ExKT2U
bYEwyu26Yt3LrzGwhWp8k0LUkdXrNJmrWDXOvBNtnj8+eyeLOZVhiaNDaERXMb2XMZI2tXmn15XN
Vh4Ko7Afk19SZDC0tNsGc9Cq4UDl64bLpSjVCDDUHIPJsH/xE2ohQY48gg5fSZx5dHbnCgmjSUGS
NFxDS7W7cA4HoAobHSxlToT9hrWTtErhSqplWyt+SzRSdcSok5zNqQeRTws0JN/OgLOGmxlffOil
5zy/9uC1696jGf9C9Iww+lxA34kJcImh8QSz7SmPiK7MTULExU3onQH3yKeaXs7gUjINqSDxWX2N
4JMElp9MjPY6ADsRS+tBEFAcse7PqNU3c9xBRrBHScVtM5K5wmFqehnmgrhEbq0oXWGnyXTfbiV9
nc2RJF+Pv1MPuVgA9DyCTaxbo4sWd+errGbC+9ctn1jAlnQ/i6wMr8AH7ErBlWYpawHVNqUICsSp
dGZ/cGLyWAZIFoh5QjR3otsIrNjPXf9dEX59/fQn3ou4mPvjIu3ieqRfWBalpN2onVlwT72VxXxH
lGYWFRLt6kwjHrgMjrZolvZgBXdq9fD1w596L/O/f5j39AQ8i1TzR3rvLtdvovJdj87QsU69l/nf
PzSd6xS+c38UkbU4mbKDP/L1I6sn5iVxMS+VVgl2rBtEt6BGm0bVFhfkWkdrnIkW8hNzb4TfMF2t
5OopjDAYIkjM1ce+aRyjALsk4LACjkJ016qv4h3Xlhur1g6hmjqY5ja+p2y6qdwKQC/KWFoFFW7C
9q4Oh/vOuJHxTtTpd+7N1sK457oZ9PI+9NeWuCn8F9WPzuzpTr285bazM4Z09Aw2RZWwUcpNRcjL
mdf3+ay+NGLj6qrJz07nQ8oRPq1CRezrhk/118X8UARekqqUp920blY9VU2xC9aBfj94OCoT8dzX
//Tx/wvSRcF2EmQvZqoMtoK8r9QzA+Hzp9eXia9Uf9C+Id9wYxjgk381RS/T+Hv021Wcnst6/Pyj
Yt79e0Soat5oXCRMbuK/t5KLU8f++tWfang5VUAw6kEzc2oL1h1c++LMJ/18dgCt//cD93C2DEj5
k6vXxUZHNjtmwa3gn5mTTz31/O8fJgjc3VWtYA53U7hNDdzj3DrzPk4992KG8GOkUmJsTW7uPdS1
sFIJ3tCIOfr6bZ/qKouxiQOfTOexYrOPsNSIHwfxLsBGEbFmy/3Pr//GqV+w2BGEFJRbY5j/RrVr
1CcjRtHe6Gd+wKkXvxipYZ5wA9oyUokuKxmj5874J9o1Fye5gKCYBpXM5LaUL2313PboVLOLQ1zR
UL9GHjy5vYi3HFW98/U7PtXuYjhS5/dBcPC4DRHIPVoE/czKd+LjmYvhKMhFobVzw5hXO/Fe4gym
3Fz2zIsRSXJO2HcoHdys2AudE+THy9qd39GHsShbNRnp86ezONdMGHzOjMRT73g5ElOuHfHd8rzB
1jjm7fqyx10MQdniHFKWNBuH1yEpYNP2snYXww4WvNVXNe2m/v2gvJX9r8vaXYy4Zg7ZYC1j5je+
D/F1ALjqooaNxZATh56knZw51BwchEdBfNmLWGImErLxvKRTJ1fVH+TpoTl3gD0xdy5pIUHYA7/C
m+5Gxb0eN/ct8U7c5ztiZeJXNC58K4sBiArcC6OcvxJA4RyFQw64/rL3vRh/3NaV3YTME9H5uhn3
w3DZWmgsxh+YjJj/KHToZIdBBmH4Zc+7GH+tUEQtaZSTO3JoIE7Cv2gX+V/EW2WSsG/FzBd9ekD4
6V12aNCNxQDsmxRsGzASN+1RD+xG4UyP+LxwAoHr7/nNDLLcLHPew2R976vfagsJva1txasdq3pU
8SeFzd1Fr3wZysgtHxfwlTFxTqaU1D5K2Y+vG5772H/XY/QloTot+8JoCsYkjEbO+SLqG5YBbfN1
6ydman2xGpJzbiWobiZ3QFIsJaodvF3W8GIwEmuuFBnoFrer1rqB0fTCB14MxSbTSzSeJptTw1xN
8m146QMvxuKoyLrERoa5r7hT0n3bupe9iMVYrJSWqLWA75cFboI2A6Lnmd59qmcslsNK9WvFmmcP
S61WBgfbloRe/9xs+qda/lnHWwxKQFe9b84bMCl6w+VwF1jk6LQY/rBiS8ba0p5yicikuLZ9IUPR
ArNGOibSdlTJMiG3E1/tbHH8+i0uoGv/qoHq+mIoh20IyLHiaerOAMFEGh+hUcQWtihsLEZGE4WQ
V49DZ14252uLNRZdEn8hTUY0bMFdWeS31ZlJ/8Rn0xYb26GrtKDAiOga7TaSUOF5t0HUnHnqU40v
xjNG/wj0Ab2tgWhbJvHGFB9CQT7zFf4A4z/pE9piVEPVVaq6QmUuEzwoEGvUlv4mQ/0d5G8euYsC
+ABfFg7y2LrQ6OGGRE6hhE6vktGJjkzDc0yS702eCU4SISIxxAPRFGce78Rkpi3mhkkHd5H2DOEA
aacW7Yfx3OHvVMuLyYF4a4RD1TzrIHLO95lxZjY79bmUvxcodcohB8a0G0oHckNXKtI6EQ3P14Nm
hll+tnZoixmijKoRZyfNY19GxTkLwMgDhxtezIbpaTtEym8rehGBOkTdj8x4VOUtHuKVlulOViJq
Vd1O3YzFizql6xrrnY4AsZARqU1QbxJlX9TPmnD8+mnnPvRZ31rMN9ALaqvu09GdA13j8L7uwd1K
BJdK55IKTn3FxRzCdU9b1oo44g7NV1Hye2wum+PVxVyREEMThGI2uiJ3exxMLjxaLwmTk5TH/lhQ
teu5JxGQVuG82379tk+8C3UxUYRJMUhDxNsec1eL7aw78xVPtbuYIRRJm02XcN4aQ+dmEecHXpPL
HnkxvMskBT+KFw+t0QpaRvtyWbOLsY0eDO5Poo3uVDvynX+OCnnqRSyGNllXOPhNdXQxdWk3Fze7
GNJWFDddXHqD2z1OYfcD5+7716/hxFT0p+7+oRZQaIXfVA0XrV21i4RvgwkqRzmHKj31MhYjDwti
iMpvGF1iYLkzrC7bZCqLcdeNbI3zjGYHAEeYVi475ijLFdprfD4fzSpX2jEaLuu+ymLEYdAOi0ql
Q2TBnWYYb4mQnbuk0+b3+MncqSxGXUUu5T9HHbZhW+q+WSzNWmOXubfRp70w4Ruq/XsxwqEHIBC6
2wr38Towf9VeZjd5sY69BwyNmzx3LfOejouBdR/Kj3H1ooMyGNFR1tizRrIZQqhYQzSss+i9rwSA
dePO9HZae2z6g27uCmvvRciRqTSuE6mAcK8iuFZWor4mJRnUvrhKcSLiVESv+VSJr1/33hMdTFnM
DQ3Mkgoo9+iq5F7otneOb7xg7P5736ksZgfDCsNy9MXBJUHhoBsPfuDbkMk3af/qCfdi+DNJfgnp
Q9m/aKSosv257PcsZo9gEBsvKzlpm8I6y3bqeCaV69R7WkwfcdiLmWoJVBy+d/luvHA1URZrN+kZ
+MO1udnfZBtCnPr6LZzYEiiLaYMVTxqT+at60YvOZi6Zjrr+7vWXXe7rS9mhkk4+TGUeO/eeFYwq
6plS8DykPxmOf5KDPsylulpkulxNA1fbMxIV2ifiCTU6atm3Dv7Z1y/nxKf8s+n78EespIHsNlAE
lLqtT+JB4Xzd7omFQF7MJaUh1l2lzt8y3eqiSEqmZav+uculU0+9GKhgXFuik3nqHAFHvu+L/ddP
rcwj47N3Pv/BD6/DSwo0ZU3L5s67knzlXh4Pfj9zYB7F4ClAjAU72BE7bZPk0R1maUAnN5IlbLDv
raK63IFS3mnqSLa9uVL8eF0WrSPmxr0kaI4AHQxmT579aotdFT6KQL4zqca5hlnOr5wkHs58VETd
J37HYuSrnQRQQeFUn9a6M/n9usXqaHLn3Jc/I08CskBArk88bZkisDbXKcCLiejXeNh3iUnSgbEf
2O3X1U1X9EjSMsdUW5x5yS5mYa/0tSxOiHl8VGo4fJFuFXJ2pWdXGMTsPGfCjpO1JT0N6k8FMGBE
xnEhPKhStyGk9jaPf4jNs9HK65okF8IMVrqgbxSATLNHYVTfi/AqCAQULTqRsHcBDLVoY6rltURc
BGyjlantCb4ACHffJTwkaLAceFOlQUkyn5SClNrhe0ICbid+SzI8QmLDVbzImZLMh1FdDUZtm6aw
8tOnSbszMBp6sbHV8AdnpodVFizhkzcSs0UaRSxqN7r5bCpXBHGDNiPZZ4S80W8Fz7SDSLwzI90e
dGFdyRLZG79FndSL6E1p4rsaL4RS1pfNueJiQE2q5+elNt+yKDY3ZMAPvu7y0jy7ftLl/3ShD11+
dqclxsxULorH3Lwyf+ZXOLZMIKDTppB2frz38jPD60Sv/AOo/vinND9AUchJ0ksOXevhbd3qQFa+
/iF/Dh2f/ZBFn+8koc2Bm1PjFKSVXn3HxxyOvxPlqkgek3yPSc9T7vEFggl9r/2HvOgPSf0gxGSS
9CuQunanVzb+5pWlXnNo2pnYy8W23QUSpQcjwH0OZso8Vn7+HFSbJCGbttY3qUw6G4pqwVqnRbxF
g4Yxsm/XIJ0Rp/WOKh+C6Dk07jMSFYytQGr1md974rstFuFGNQZvBMTnWiKoYYFb8PvLGl4sw14C
2qoHpuwCqyIdouoev273xNf/I5P+8PWnQMf9NBdWzPoqqg5DtBOGM1rdeav+yaf/U2n62LQcltqY
slR2sYpU8Gfp44NucPMG0QZGtjPq5aE3z+USnNhQLJMSPAIKx94bBzf27rT6sYqvZwhS0535MSea
X4qasW6DiIMb6OJyXFVCuC7Gt9oKbb2PznSdEzuLpbS5bjsxbucdi5i5agYP19x79YGuq8dnfsOJ
BXopapazRmjhyk3zUU1pseWvv+5Dp9pdzIJSEiZKXNBurG1gX6XNmVnwVLtzn/3QgbAQtxrWOEpz
8X6Ad6GdOQSe+pbz3/vQblYUFSALf3QpqDpGlSGfJltNvWupo535mCf6/p8zx4c/QRR8B/yHR+/L
56R8U4WbKu5Xilhzz0MePRywIju3sTj1mhZzTg4JQ8giSlQDvme5NbcIzS6bdf4sTx9+RjsS2a4G
9ehCzvchNp+7bTzV1xe7fwl87xjMt4JhU19L/bjP8QqXLc50MTmIgup83TGV+RV8MgUthaiwfRss
a8xuhnKVkcM1KFeWUdqTeDcBSxmTfFtYP5rxDgQPi+tOUYeVSCRYhxkOdi+A6lUzbrxKWolT6fSY
XavQsmFkPxYlBvlmC5p9ZWa/4vRaADUjhBXUeJswl83Xz3+qyrtUuQ46yF+zYmRlzWsy1qsSXmHU
csZOu3UW/IjSmG0O4GAuGcrivgA/ot8b5o+qgGXKUhdhURdxCMpx6cLfYzm0gAVuoGayyt9L8XM6
ggM9NwOfWEqWulmAamZlNVw4qrA7GqfbKtFlRVhx0V3MQIqEdl6k/OoHzEgHlOiZcfr52NGWEaFe
gy8uKOcOYr5nOen2377+clj/P+16ZGT/PckA2gjayeKAW3FZIkOx96tj3L+lBHJk1MlG/83nRiAp
3u5hQraag2M0KZ4l/02B0dPKkV1S7DAmcavKIWlxv/uRvhm9JuD9cA0gU/sm9eCkknVdbvGnkm4K
ItjobLnRyCtSV7ovAQ7AWDKMvzyB1AI3iK7E9CgV11oKO+lanK4TzW3GX00F630jCd/0+CGc7oS6
DjdJ81iLqM9FYbw2Jf9oVHCOzEp6idWY892h0r+N/S1RcI5mvjXVVaU7fveSJSWhl/DoidBbp9Nv
OGBqA6c/uJ7w1YMYlEUYP5JmwxBzFNUiXLYm5ERECvcIgjIs7uT+seyPU9s6rX8nZg9TdlV6e1G4
iTMQZFdFeTuWD5HqAvydQtiSE4zTwI3KaGX1t7EM7616ilW3UH7WarLSpUM4etsw6hyz/okheS2q
xq1Z1i8jpqdAfwn6zq6Fex5dbX9+/eVPffdFLbDzlb4E0MwoCOyouQmFi8aAZi0WWTWFT50PtNuT
/G5dT+em4kXm8b/KYNpSE1piBiGWcqBhkeyDNFkJreUE3r2fEvOoEQniKPFr9PLN22jTlWBA1H73
4mk1mXvLfNHDX9qQHqG6ANrckTiyC4wHKaoIcMic3Mdgd5kwSpszxT8u2rD/+yKUUGF4wNE0wxX9
M0N1HpD/vUZgR/i7YQiuSgSQDyVJonHX7kA7hsanDIdOdGZew2XdYrFIhySjtVXdsH8vuT93OJ9c
1u7iXADaHYpMMSsF4qsIUFHnfN3uibozFuG/X0uc6Nk/BTbdDO0GPGkZ3wMo7SwpmQATQzoO/rti
vJfjAV/+aqqhGOeHNIP1W+2MAb9sDfhK4XKyA3Iy/ajGG0oaCZChphRxNTlqdiPUN/CcK2ndyMFK
9JJ1KP+G+LzL0l9k1cKAyG6KCkaEdIgHwfbMCW58t5qKp7oif23dtNeGf6spN5pG0IZ22Zdail4t
XQBf7nGmL8tjTEYRBYyvX+mJmWHOGPzYg6NukGKVWBFXktf6O8Csy5pdTDhE2ClCOtcgRAEMoP7q
Ubm6rOXFlDOaSSG0gsdlybvgSzeDUZ0RvX6+UyAE/O83kbUDwMp6RPFhzjz6mMd+7IDHfP3Yf84z
n4zoZZBikAXkv2oqR0HA91VguGqPmSoRZapSDWjIX+CmbC8jJ1WDipzGJPI2YrqCAkI+MTg1X3gz
svCXJYiXzd3mYoqZkK6nmBxGN9Wbn8pLoKg/v/6pp7rUYlaB+RgTmthPKNdXwMTlc1u5U+0uZhXf
lMNCqWi3ZTsbOMGvyx53MaeEAtdVUYw+RtZfKvFwoSgZvPbf/SlXUr0Uch431clo35Bdd+Z55wf7
pCctVbOdGLVQoXngBs60YUwrS38yU4Xcx6vY6FZ+9zsbOVg0TlQKthrcU8i0IxXn6HDMzPeAsA2P
dIhAk28Jvl1NySuhAg/wtW34Pw6rjJfi6JOAykkrscl3NaK37nWSb6b8zi+3SbJrpf/D2ZnsNo4F
UfZXGr1uApyHRW84iJolW543hNOZ5jzP/Po+qu5FtVBOAy6ghqzKoimKL168iBv3+AvUO6U7je2L
Eoqbbz7YF5/rJmYkciYqdcUDU98AxdTjz0LRLSaxnadkiRcel5CewsEX22/Wz/W2/utruIkXGE4m
Uicp9PHV06jN2KqX1EcivJRUzE276Ger6VazG47K3DOMR1iSC3cwulVrPPzsed8EgLJdNBGCBetp
Wveti5X/z657s/5h9EFkMbmuJO77l/G7eYevnvfN8p8UrOHg3KFubx7w9bOLkh7pYx96ZXv52Y3f
RAJcKytdDHtqg11+6LGhFPpv0rkv9pZbta5Wz9ioy9y7rrzWxWLLyr4xrW+2li/i4q1iV9EK1Wyv
F180D/+/Vvzmul/d9M16lCs17HBbJ44nr7r1mdFOaYzI+9Gz1m+28TgosRGUeUlqprEDXLO/uemv
HsbNqjRE8mYDqOCuW6nTuqj8n93u9cf9q+Y0WXOGZSm3awTvobRXwx/1asiK/v/rgoxprFruiXkZ
hTivr394vzdrEEQdlSAxJehhP9biLveNmPSrx3uzCGeDwU7FSKg4+8F5ePzZw71Zd3GvNeKic9Fh
33jfGX58cae3etrRUq0lU//vnVL2+fud/pOt/UfQvxXTBm3BGUCapt2oVU6Smlckkf5rlHqnVIGw
561TBLtOl1ZJhjMpJjSAa8nqAH2a5wozJFBLpV9ywkjuBMRqRXGoi6e8esnUcD0W2IZrixuH4wdi
Oa/GJMLAmbwJekeD5+JkirxtsTzQ4kczPidMnDQbbTgqMiWUUykPfg9E0Wies6He5Arl6eQVhYgD
+k7ZAMJD/qpnkiMyGuNMIj7FYbUJ0nwzlO02inCXmObq0HbHUS62Jm6Awf00UVDZ4RrYZjjctz08
+klG6qqFLoVLtwri8zKWu1jwZn1cy+wodosjr5ovG6vEytkqfDXEnJK55WK0Hiz8Zu0K0s26VL6D
5n7xNd9qpwAqxrj0lbSKYHBiy6x+E0e+CH636qla5C2fDE4Dcbdv5Zers2An/kyUQLvg/1/1eGTG
VaGwOivtdy9f5vzh76/nVzd9E/wgKIhJly1MV8xgEiRP7V8aXqq/X/yrJ3399/8KgW3ejLOG3ThD
SZjlu7H6TePjq5u+CYFNPjfVIPGko8EnE8esc3XNov5+09L1kf7Hgv2nCP+vu27w3+4wUGKfmcDU
KZLbFRaR9qmJyqttpdP0kw0d2M1zyHnmp6C/XC0F0zbw1WG4U7/1Ofnq6d0EzsQM8TfWCfSi+SKU
T/kPc5ZbyVIsxpIVonbYydVTa56U/mfftnaz+Us91vfJSPhUVuHj/Ovv38YXD+FWzl+KcO0iK6Yp
tAoP8zfvzxffsHbz0qstBOh+iOadsViuSk176VDI4AO8fDevef3M//EOaTdvvtYFSj3WjGYogY6h
uLAStcmFr2DH7UM2v/zs2dwsA1geszolPHBgFoef9Sg07SYNSKVAV9OrBhSjh8eaP8Ofpcr/uPn8
a1kJkPp0lTr8LlE7L1fuK4Yr/v4cvggH/5T+/nXluh+bSWQCedc1mx5f0BotRZ58N6LwxRt4q5xH
3ydDhea+ixZRzkVkCu1Ht30rnZeNZY7CieiYGG+1sNyZGUadMpakf7/8V/d9sxzzoG7HAuTyrl5O
7XysvtP0XIsR//Fqqzc7EaCKKRUCeqmBGTgVKjWaQk7KFE0epI4gim4jx17z3fz3F+pWTb1Zq5D/
Fh0bXFZS5C+V5XblG76+tiZO/pi1vprDdVZ1r2pqirJ0ZfpzGrg/e4I3i1jRyxEaEbEnvadl800+
+M+O/V/P72bVNgkiMxhdvE9muAPV1aWljYH7qaCiDjbbredmXaiaV5E7zVisi6JApRqHX1QnReHP
psnMyStXANrup+ZTLp6WcpsCd5qGJzCfm5CplAAFYSANv8bhPW0vabsWl01fD9DgTaexfgvGd9aS
/zh8/dfHuYkXSa7MhaI1y06RqPVsVRTjZZV7IxZoYJZ2qHDUdDOnJ6YX8ha8gHQXy/d//36+CLK3
8wBJpDHynHDazKMDIAo7wFldfsYkfTR/2FdVb84Zs2bqHe8BkpCn5T5d/f2+v1iZtzMBDQilLFPM
aZelfJeGN0CE+/uVZf747+V5KxhWRzQ3WVmQ3WrwdTFMLn/p4z4UX8z2Y0RdmCvrcDilleUUxvsQ
weNLtmhI8ARtnD41oMquo3BvQp3Wg+fReDb17Si98MaC4hB8aHNui2tzh92aJZ6ldm8oG4X/pT/j
VD33mtMrjb+UvS8g8CshGF8tozFD6yJwSNE20+8nNdhW2PFKOHRbgx3D8LqCFoIJrxX1T6m1G9l4
EBrzWHaoKNUjJXbPBFw0iZUvx7hAXEk/MEIgM7pphV37eYQ5B8/CDYrAFQU81IV1YHC0gtqF0N/u
leJQWrULIdOj5ewwKu82yX1OYSJfKmfCvWwIx3tYvCtNeCqqP5UB++L6K8uH6Odk+NfLwaUIt0CV
d8EYryblvCx7hM1OUbvYtdqGcCjL7aDiyj0qgBc+Z2EvRwCZIV8l4Qr8PE9ztMuy9Orgjzi+jxNY
MQPNp5R8gt1b60MPV2j0BPFo5WvxakZfl5BMQTDMzWRX8DOGWYRW0fqziKWh8GfMp/NM1K2Lz1rc
piDVFfMNSCsYwZIS7kqjl5bIz3m1s8Y/sbhp4yf49Y6YVxQawXAJx8kc/DbRnloY72j4mya/17BE
n1nAFq3scMSJenHHFOxY/zmWlVtgvK0lsi9qZyvp7Vg51hlIcsKSPUISg6ybhSLGz42jEI2EoHE6
C8jQ/JEmB7WSfNlUQNbDN5kq14wXVzUuVM2oGNkw2ICAdk4fZ45Fn06Wdw2u4EP6B4v+owqfXGOa
c1SOCw6IZqs5aDEBiL9nE7btI9hRnMojyTb63GMjRQ2CqXNtebAA1Ysmn1vrIZwehmQ/ZOdhXk38
srv+syZc7SSdusZZ8rFKj/y14K/Dg+X3HoAeOqeN5Tlp5CbUzfOxo3but3KDSTs3NxwHdCgR/Tv9
mDe7Wn7p5hpVDYG4+DTl1zb9UNo30/SH4HUOXqX+M+O/GZKfYn0XGznALeGQJV6SHYLlLZDXiYZO
OIencJ6yU5Ud5WxDOu0IPFAJSEooocZ0g/GQ54cm9kbx3oJ6qDPJUgvHAC1FElWeOJ+o46xCoV7X
0BLb/GVIYP2YTEqRXTRvebIp+uYQZBCt0mklygXAW8QVDL1EgrU2QWDk6glBMBT6ozYcRmz3u84b
c0aq83dTeyjm0jXaDFR0/wCnzAUR5OCSdyBP8jrplIfccLttFsHJ0+elhPg+rYZw14MZ18PajrVt
UwzAd0pHSC17IuoIUmBb18ZsvZIJRAazfglUQDVFks0jHxPA1aBLUhhvDCw4pty6UGGUILVj1lSU
9QcrPmvqyRDPuYku20WQTk9M6iO8E96N5k6Sp32oyvdThgoFwoWQPiXUVReUTgW9Xc7pZnFJu3ht
NYKLfYSHQWoh0B9GhZv193n1u5nSs25q2yQr7UBJfEW5D0zQkeCdSwGTEBokU6ugNIctBP4zz3tA
ug8W2LCqBR5Uv+pNymQr+vPqSkaZHjOKKX3ZuIl0wZfX1tTRbqzHHjbKde2ZoQopfYK3dEx5Alb+
HmsIb2rDAWewpsfvCDh99AwzK9peR+lfNo+qhC4PROeUbTTmzg3AG1mF0Cp1G+XJ0i+B/NTHzVHG
ejJk3tFC1iGDe0Za71XtW4g3v1q0L404/ZJQ9BmWcJhaNgEIgFfvTKfUscpv+nUiZg5Quk3DiWlI
mUEQq9cSCTz4J1tEJNGDJKrMq3dTulLbhxl2sNUHK9z93Qa8sAF2PJk3sLZ3VbaKwlUnUCLW/WK6
LANjqYlX9LusfRnVU18/6TID/HdC8UwJVai2GgnPFVNt5bYivBXR3cgbVAcWx7erZWxuJ0jqU/D1
vDFyfwlLevJyCHDJjxrPLE/JSKHqKYkvKoslgn8mBttAtnY0x5zCSlw9fZvKakuwtpg5E5SICp2I
/lryKvF+kGQ/YecblEfFuAeWMIOUzkYmz+rnMmDW0wKrMGzG8FAWpafWKmW1yDPk6SFW3opmKwmU
a6PKzaFOa4yXodLCgVYY39rqtyZvlJakr9qU2l0Fc2BpWRF7THTWSb3usl9St024pTLcIpba6ENH
RrgbNNkOkodx9oWhd+fgCQWRBPjNUgG6VCvRQHsVf0wM2VngY1s3bC9W/dKYq3w6CcO2h24LZpBi
D1toNo8fiyqBq0s8GXZStvAWverFe8tZKpIgzM4GGFwJECuGCslGTpiqPhRAEvDqJ/lq1mEJK75c
ZfOx7KFaF0SvyG2ls5SWfoEbbN0uq8BIbKiHYOTODANusvC4UMHO2vUo/NHxMES0I5asfonCZ+NQ
JuRkpOHQFzLgVwAQrXLLvsabpQSZ2HYPPZt8e5enqzkEx+NO6T5izNKIfVHx2YzRjjlpXNkxtHfp
XRTXk7zT1MelP0nqk5SdlaynPXZXCwi4GGDuVTuQT4NpriR6UPhgJGyHY/QMSbMp1rSSMHW4j4dH
gb2vMXFS7yr8jxdI3HCNYkY/rCI8hSFa6kTYNd17OAgsTGBMQ7OR+8BNEJaVojdYJGTD2ij7g5m1
dtPljmqSFyz1SW6CjBf6mOX0Icha8jR1sRd2wm5DeD4a1a4nOpVV5QAPhG7X+sKoObIBBaPEVrUY
PJnR+L66WEK4SodDMra+VQg45PXASFfMkZ0jildRS3mWtm8cfYrzIZV3efkHq0hBOmfRtusvAbQn
rX7tlsAL23NcE4OnQxU/LTGWuEvjmooHRMlR49c2f07kVQpGFrhpz3yNmRLBQrZ3MJwGXi3leOXy
fjbJmkElMDUxL5HhtpxhFiLA9GxZD5mxXrpjDRmijjU/63ellR+B9x7TEJ0WxkCTEO9rPMU69PZC
zP6iw7yb8z9MLvtT2d5Xde1UQeDGSwbsr/ropno99Z7Bhw6sximDep+P4HDEO5JDQoG5Qm2jZ+9y
XtpxHLtzJ7ht2a4k+QH1j12EKYze/aD9kiWwbdfnqpxbeLADa6jt0l3HI9A5YcSCrycDftJ+IVar
Iv1Y2N9yspeFnF6BypTzEitk2LUSrWBru/L8S2CD03ED7pvjDEKLZFrEocKI1gtPGTY9PN3l1Gui
VwDwYgFYUb8OW+vQMeikaL+Npl2lhumFAlNhQbHpZtFWGrBevDdJVa4z6W0qKiDiHYmAIx2kTrED
TYbLFa+kWPeGdt009RXY/aQIVy+MbdofUr2/JPqnrp4D/T7NzySgkMn8phwhQu0soFIayPoyWWMS
4+g92IOlJ74zjZIfMkm7UgrtXNcOagn4uCY3LOV1Xs1XyhQQSDa2OvPbmnEwTWJplI5MeAYr5he9
zFiV6g/a79HC62+m8TAY1bMCpWV6rOYXcoY1TNQ3YBD8eGUXSqnDXArBbUS/9TFXvhhqXkIpdtGP
02DYkkw63/MykpZXgHXiPHNa+a4YW9fUKhZG50D2cmD7INIeORBMvmQ8R7myWvpiPxSQmaIJe6f6
rsGtMmqkMxQ6qMc9pKp0B0mUs4ABy3oX125ALcLKLKeFwQ3GajPpKhXh0rYWspvGhKNnOIa4qRuy
xZQL5DyUpnW1dLUYE67SFYC5U11BaEnbQ2wUTm5Ga2TkjoD7hclFDfQZSYVRtL7Q5DPXSpXuBwy/
FR7zIix7q0A/pmqvGQG1wV5HIila5M+OQT89MGyrzDftuNGATdZMEE0QgxuMaGQt85R8ugcT7Rcs
TrMcMGHpwRstMIOisylNh6XDfEPRRKcrfutGeZLjXVO+t0rg6abM5gWlfm7XBhRWOTq2sH1yc1el
go0JtYeTHmdb5txKH2tjO/gcgtgNuqdet9ZiXaywL98pFlCZTSY9R1rkR/PKmjxFmbwA26FB8efc
/JMMWOVYhZcakxuFbnWdmN73ACpL8DjGyVC4cab6ihGhet8f68rw9PFelme/owZUiqaNE99qiuW7
psr3dYcgskHCanJwrACbRzTHHjuOiKH+FEalUyOOJ3NMwsAzw9KLF4Nx1XEzmPWngTe4PXaENqNv
D1V1wb3F1uW7vox/5Wp0nok0TEEWtR8vsYN8Ic/xRZ72hTSQ3GEHLhG143YqNjnGMp1SHi1zB+3K
wWDHHvWCma0SdbK5Dqr7tgHfqBMdX2LrF8Z8lV1h5JkCeTJiTkAxfM6GKI4nsNJLx9GkzrM0oSPV
00oSSzdtlMOIx4AhKS5ry6+WR8iyjNUvK228YKPoVSZW5UH5MGrTA6xHr89Sh6YPg41+K/mZyg9c
BNhd894SRm8YjRWsCIQCTg/0r456W08epDBzoaM488x5goPkmCzOyBKcgsLrlyejJSXIVSfX9bWV
SGzoluAXiCBzQiWssfukmc6Wwu4qwROuteBpaVIn16LjolpgrzZimp6t+tOsVVtlgLNVJpDvAdsF
x6oJqCGHhdlsj+r8sCinYgx2Syd7csV61HZWcLdwKI+izg8sTsFh7codfG1N8YvIAD8x7KtS/VRx
pcelvy7PnbIyimMobfGEti3pVY6fhuhusCJwu3viFmr2Jj7UCWWNukcJvdKx1tfF+UGIEicIZCct
szNtLvKHCqZd5euzdack0TqYrU2Xhgc1H4HEy79TMlR9iPaj8TQPkF8jMgYrpwSz2HGjrKw8dgpG
Y4uU4KELvmJFWxEpVjvMHMgpMODbhjm0bCsKDjx5aFecJWjyrvRA2MGBvQKKW4Nm8vjQGwt8Go79
xgIkWzkMOgO4Vy/7cgJ133iyVYImq5yUaCer0ikWosN4hVmLrsoomECmk4fMKMmuIAMamPU32JBW
Fu3qFkxX/Ksr4ke6MieqIpg3SNsiYofLeuNoqs0DKHcfuR2nhbNZlqcqAn53fz2YOjnJcHwl2Y0H
+Mt8cPmgj7Njqh3p2cK5aBfqzbEK2AaWd2wRHaOAtV0I3mK+JdQUR1YRdSP0uFlEi3xYbFjzRfFW
ZoytXys50X3XvCeUa3RVJTPL3Dr8hH5BXSt0WtZai1H9rLxPCCOBvtq69REY0cUceINnX+vNtQ4U
3qqVfZQqbqUDtLmO0sBHyzU/t7yGOzPGz9LQbaE11hqYYTI9ia8eK3E/NNdRYdh6NjiWEK90Sm/q
AOc7Y02ABehMZrSna+DZKGG7xq1I654DHfql9gl0kYJMs0qC8JgLwzokac0UzhNSigI5ceQ4+5yq
1kGaDnzg7loWkdjHYBlfEnlt1keabkzBYG1W/Inrd6sNdrHY+RL4NVmaz2CAPSP7FBZfy7WVHGwy
E5JgZDnR0vgib22ikH9O2loje+BsLCmLF80AlEdR2dSGybm2dBPAqHk2nAvrrZD6Y0k1StMUux/I
1UPxuHBrHeOtLSiG2HjJl61oPA9IdELhTzmfKWvM5kVzU2+MfzeyubeoCqXGcW6tVUpOVYwpU95v
svaeB9uRSnuzHrvCb9VVyyyykB5SMrmhfUmKTUkRQ+09TTwEVxwqstgx+lVgpJxEOri2xW5idbUs
nxMJy8LpcsKMW2kBOo9eTYE4wVRJY9yJ+hqy7fGUj8Jzg7FlnxbHhDhdw4wmZ9hENRMt1mJLCXK0
6q4YJjcFi15yLl0mN+ekjfZ7Hw7m3oiUdU4Kl+uhbU1vedfvxOBUxTGT+KcyNF2h7t3OeldbFdes
+JDQugAjb4cicD5x2HRqehK0msz4MzcHpwsGb6jJ/kAcpsPgDmEM1yegXPkYLMHaMn2THpcO1Sc2
sl3ePFVF4FgLuVWp7XqTkRqRSm53PUdqhzqat6BxmQtwGgNtup6DyUVa0ubOjE7dStV9NRHErcbW
o9Yry4lSk8Tww+jkZAVTrVKxQ4gKcKUeeAFribkXJpXJnJryT9sXT0Z4taZPTuFseKJG1NAtV6sD
N69GfmvvRkntRPK4HyGDMuO1D+fjJGf3ST2dmwlGt0YQS4SVKsX+AEK04RxlFeM6JVQ1xpuhA8hD
/6LyusgiaYgAh1MmbujPHXNZkiDd1ar1pOHqQnXikSldB6/3Q71Yj2kxgimXDp06HOZg8uGE+iKV
bVnY5CDhEgqQ19+eqALZeOEZU2Jng7BhO5TnJuKMSToWDodu/jXdm52y67ruVR6RosicQvtgXIVy
QEm3hH2ZCpeop8TWoEeTKI5okXwWG5Pst1nY4PFkAMG8HufmQ7QqP5fhDIuM7OXqNpcErys1wR/z
tyVQdxpyg1kDXZJ6cpyGTEAx/C+G7ly+Ti2i6Ho+yoHkFsO+xKRjelWMyU6DBy18CRtr21fpDm+7
12ghcluj3yyzoyUsEP3ZHMDdSJ/18FzD51Ajw1sEIDpd4EVp5eXyeGqbbLINPbrnUII6wB0KDurW
S9SZ2zEq3qcR6a5eHuZa20hpg6OEKKR2YnS0pOhDcRAaCURpgg5+5P2avVEVHKPeC9K4Vxqe8XwJ
570pnKaEr2zdwvBzxPAxMbxSJ823OjAFJl4Vcqm7qtYAc1lEp27uNDzceiEJSaI0ZwmO93W8fFaq
XzUVKBWB6lvLOcNqOgjGsR1Zj2JzD7n2TqjBjKbytmhn6tf1qsXWB0ipk00Xi3S1ra1tU8FbjnjD
zMHCMAiWbfw2tpecwkVgyVuxM6hs1qXdNRo501K6gnpM0k1oqpgTqbwATbmW5Tt1OUZo8c1xdEsg
DZ6S1Rly6nstZIxlKN7N62Rj2q8iS6YJ1q+uvwYWs1LoVdX8vaNJcP31dVY0AAULklwcJdOuGFPr
4uJ67sEtiQvnvUSKmOEpqV712BsRuxal3nckDO0S3RlybwtaRC1V+wRTirsQVjRtbjp6x0yLfmac
0U1p66S7MacI05BKT0pzaUvDh01qj1cQ5iSuwp76k3UKY8UVEb3An3a6ub+AcnmvLOYPmgIQ71tA
y3X61JoHI/hYgC+bgrHqtMqvVcrBeH0M1W+jeqiNbW4N7Lmt14yHKSpWbR97Sn/STWFl8Nur5Q+n
Y2/Qqm3f9n5rqS5mr8xQWDYJwK7r4Ugd6ibxw/mtmDeRtsvl3M6LvaU/1WLrVaNkhwv0RqoGieiZ
IrOakuzEQFSL6L3l3a8o8Ur02GSLPLykYDwzSyGh+pIiPxaal3iQn6pRy1iOo0/p6z43t0K1To3Q
G7vNrC3vImlnM3UYTTEAGW6CcR3U9boXMPYsxFUUU6Xq+1UgaSuRhTDzsPvo95QW73ELKrzLXEEf
2Wp/m/PklJP5FCvYTFpGejETyZHgddoC+rMlkQ8YwqzCFLKqvB3GHdvGhhfc7xpx00jEgXT41IlS
ZVutF+khBF2ic/81T3+Oe0qMgeHOpvredQNKufjOCnVbGdijtQI3rZIC0rIU62Iwc9cQVXda7gAF
SY5FuW+aZq9Q4j2uLXcwY/Zjm+5NfVlHsbwJBHEtFianOnUfxcWdhJCrA3oacCYYcnVVp2DsB8gj
tC2k7BAqj+n8XCYfVvKRjO8hW4CEt0m675T3cqTU3p1C7TjqdwNnNtDUckglkoKJIGReunwk7bM1
P6f958S4VTEf1WFNDR+ZoGiuqKAqkebpKWMKh2v7upFCRjDPNBSlBrazcA7lO5OqjCVuhG47jXdp
cwirowrYODrE0kGcPyb56ud94TV0hypd9YJwhyloQWhaxMTJAgaT03F+iRjsbI3joJ2y6w74UEfp
/axzIK1zLwONysP4XZYfjbaqFOSNLTvu5E2B5QF4JRKZOLhEF518V6MIX0R4fIZurVTOgjQFg8Ct
oXIAY1ZW2SrZ8Xq8nK1zKpyanupRcRAC5X5Rmr3GlhaqtALX2JLTevNbjbFhsv/lrI2bIP/EpBS5
xb4XPyQhXCsKC2o8JInXCk9T/NhMjixtKRUUuEal49Wnpt3Jml8plpuXcI5HPzOv3/euN5SjABK6
O2kq1iV0e2mmhVQvd2O6LXpTeU0W2We6aJeVb/Jk7aEnq+2EF3Mh4kZjvfdlf9IgDbrW8K6JT10k
rThprUIrhngI7qrziu4XMf9uCa21KiiHqz1O1t+Z0XPeI2zvH4X4Kadf1F3MCmCzuVWhjpOar1Xj
tzBeALcnG6FpvXZW/VY8SvmJUX7aGk7rmwNy09ALAwx7WuVhziUnIx6PQc17e1Sy4S5Oj0YbeRik
+5kcvOrRXUREEDUMfsgRaRhw8DOBFxt+s+E4k+uq05uXXsg2gsL5R+QHVZCZHlBKemJPVVK4VOHv
PMw/rLr0lsHai0q40+VlL1e0nttWcWoDbS8GrBl5uBWbnkb4juuVTvMREkpMFeCSciRVi2Q1diB0
OhMYcYRuKVJceXiEC4hPcEvPeSd2H3IzrtBNwbWfmWZm88lFt5OEy1T9ZvyqbqllwAzOiuSxH8uL
2V8kUfD+rib4Qqdw6xGmRmHb9CNCwax1hYL+/TfeY19d90aZlEx5yf7Hdc12VVuHyviZMv7WFkyM
Y7HUZq6b0Mjs1+IPBZNX6uy/ZawFCDO5MlGAzQ1m0nxF3wjAvhrw+2fm/uP9Pi7C9n//T+l/hXmt
TF0usCkp+iaJ3wZh8CQd6DUnfFCk/pTWTpjJq9z6YwbTJYtau6L+GlqNGzLyXvzS0/Sbe/nqO7lR
JTHlr2XJ9TPWGq0pN/3hV32jDhrSUTfTkq9EzI8zrSwa4D97N2/EseaiW0Oc50wMSW6fePF3gp8v
pKG39jux0phpIDPfzGZTaLmvmEeO7XaQLd+If74wqNZuHXhiMeyEIRZGXEwp19VOv3R+WJFj0xwf
pI2RiPYkwCBUlA0nxl2saZ4qPwdzRhp6Kix6KwNxmMqIFJRHsRlOXf7NpMaXt3Yz2ZsN6SJGIYrj
nKo3uFhm1dd4D4RVtU/73/SgN3W/LrpH1D6qfqiwUNdxsRBqAxuH1M44Q3ASggq4D/IHWfvh+O6t
3Q9fR0kxwcKmNnepOUNK/dErJN0IGWsz79tWROna0Zqd5T/9z3zZNekmXoxlUxrNwoVVX+hsGD4/
u9/r0v1XtDDGVFIFS8eyUXZEhWOo+7Pr3ix9o1HTeowbbneW3RD1oUYZ5GeXvln+EPHkYumZRCy6
nZit4v9HWQd+Hv4pz/9XXvg/ij4/l3HRERO/iFa3fj4ROIEiHOZ5J30sz+Xvv9+s8oWe8B9j/389
YCmWBUObDcKxijoLmcegXd1oKZ9MS0zjOjvFuUIKGNxZwrVnjTFIQ39xzPaV+koLQhD2arKNySaq
BCyWrG7oRKxSSLn18rsYsJUdp+O1Ox+Llj9IL2LwPtT3liz6uvAQhQOCqK206NgPs5hy6f7vH+u6
eP9DoHnrHWTISSTJVPx32XiZ8SoZmwEWQzu+KlX9Hld8xCiYfvaK3vr8zKmW61nNq2Qkp6VZGebT
3z/DF9/3rSWPUqh9Iakx0T7cl8n1rPD3634R7W99D3W1r/Da5NkMQkkghsIoBBSWTAjg3xnE/kMQ
+q/nfxMNhkRUxFpjDSRy5CzFXVHuRfWhHN66zKLKGNBA3gzKvi33RvZWtCe29bJ4rgUBoVtqU8Wk
dJ05Zf2RD2+WcAmM51h+Ba+uzxRsIWpAQm+vXUsBm52Q0k6Zrcr6j0KfFBK2Llds549x+qTFLlpm
26Rlk1i+hPmSUUdOZxzk3jfGs0gdUfwVJ3ea9GEtr1SfnSE6SdN50a8stnPeWEeh2U3JMS6RHZQ1
Tca3ivqOXjfnsFDQRaLgCe+xMzSbBcZueZlU0a3ypyHY1uizrW3YfzP1/ZUm/NbqUWcorEt6PImu
3hwcBhE+0arBW3OeKPTriB8tRwsliBulW3ESVim+W2H0I/s5TbyJl+1klcLIoNduqg9hsB6/k1J/
9ZLfBEu5DNVIQD+w6z/Nh+qbPf2roCbeJEpzLJTmUCPXL4ZnDbwoUlDKYw6uW2rI5G9LOa5vVlMo
udKs26K4QJimIxEabtVuonTDaX/sfC2bKRrysOlqGJp8CMvlRYzbk6UWqA30O7OIXJwFfYni8hTr
m3BZ56HiRHm8n6knp8o+/z+cnVdz3LqW77/KrfPOMwwgSFTNzEPnVrKC5fTCkm2ZOWd++vlR59x7
LbqtHrtq167tLavRBIGFhbX+AW+W0DrH7P7dXC1w2Y1I+myKDXKCCxQI+r9ToRFLGa2upptdBXxs
eEM3LjynmDJv9V9DgFhqaM1mA3GasmI8m7bcd4gTB1n93VkoluadYd23VYn23GU4ocGwTaMzierv
vvQiPTK0FMZ1wecGfrpWHZUOwCT933kniqVak45dR6q3iJYb3+iO/tVtQyy1lWrNzOpkgCvifPLe
y69vnxGnl5pQi+0eS7/WOmA6szZJHW3qv7txCbXY7rKvc6+fZ2D6NN2cU/o4faAJtdjtaesqJbyU
XE6V+0qBRweD5OjAJNxm83fzsdh6IiKg9Ik1XOZf2k32/FcfuhQrilBj1kOXxVZ9Kp0tVZy/+9jF
hSatQkfpOXkiKEbaXOqMNsNvZtldFDBM26+03jS5wlntwQEAnPrF2qmtvZWcE+D93RCL3RebaGu6
IHHRlacp8dzJuwijehWfUS46neoKd5GUtHoUWJrRED/H/mrwu5VK+kuXcuZo3kLm+auCjFgKGEWJ
6OUQo5xrpsDMD6rxd3/3Xhd70ixF1461Aaf+g/9e+7uF7S43pMhp2Oq0CGzDO1LUh9P+9rf9TSR1
F5tSej7Sm/NtJYwPMSAn8qs8yLZvf/hvwpO72I6mwlI4he04V2v77jhafzcbSy2iYoxsKuNMcV3v
xhkvvnr7+/5m5S2liJAwKE30w0Ys4QAFNwjXx2Dm7sox2npiOjPIb3bP0s3TlLHrNxGDUBadcR30
FwSoL6v+u4NmKRBk2fiF+DWaDrKsw5UUxiYHbvj2BP3mhTqLrenbrhG3Li/U9lCDQ/nhTNb8u8+d
//9Pt1sXPfF0HPnOpr3pv2nR/u2v+/LMJ5IbZ7EXRdPbKlb9cKnDCRvRBIzApA3+VYQ6qzZ8n/wO
xCO8ohquxlhutEGHwnWUYC51cyVpZyU5aK530nQBAEPzKIN9VFg0PdN9Pz2KbJw7/ZeBa64BS87q
oFYRPKpUbN1R7vOJqqy1N2S3oWC2FkhoeNnXmR2hxTpQhS8TlyzcHK4kgn3DlFwKvQGq+VAD7Q4l
/XPUZFPniRb91uCW5VPqk7RcgiTbT8lwNJtq26Dv52YbbZJXiT8eVcSP22ebZmrzOBn+LoCZ1KW3
NXr+nrh3TZAJqQkf9REBO9AFX9+eZtuZo8WpeV6EJ6jChkFu2qPc3cC1/eANjzZ4Iw0AZe4+5CPz
433pI21vKus4qmbXxNXFWEt6GBdOM9KX7w+pc515KJeDTxUolw+KVnmx6tzvc1Uizi8qBzKRme9n
CZLB2sbAAHz9Aqjg3hcQdvjpOL0r4++R+QT1AYbD+4zGYSYOE73nod0NAhzL5CNvuOnLdBOC8w77
bzm8LySM1qKuVwlgYWcY4AEdhBHtYrobE6CkhEa9/R3XaNlfWu3nLlH71O33dkCRBIT2+DU3v0Y4
lQz9MQKXYbxrkp2mwN3Qsy2NdVUcB/MHZfp1L9vHuM7eFVpzOcY0lTo6lZCUaytfV0DKPDAmsYUG
bP9hrEFKd7cjkHk/ZSaiG4eeHAQ1MFKooIXI7mvtfR2UYMDEIQnEehi1+7wB8/lkGOOq5bJZBPku
nuIPA/7fSfghn4ZtXl1acpfr9OrRc2yNauPwwz79MGGF3Nv9nQaDvBT8shl2IGQ1fWMBGG9Hc8U2
KOQNOliroTjIollV9R0GGussbLeW+JaUV/ZobyKZra3e+JjVJTRFMOl8qy60vkpk3LGaOoQK1fW+
a3f6hLM1nJQ0qO+HspjRX5Zd349ds3FhUrSmtgG3sR/CW3DTTpptEwTKHc1Y92F37EDh+06yxlZy
KrCdCKajBsFK3GCwt0mAoys7xijDXRt8BZuhS5AsnQ8Ua24wbk3hbYRXHQ2v3nW9ROlUXRhQPZU3
wKlKt4HTHFp6bU0YbBPACnE17Ev5o+m8XRiqQ4a2phlY3zIf6DQELZ8GrZvqWxmamyx5GCtrlohZ
Sw1p3yq5SczvoXM7QmWgSLqmHAI0VeGfl65dpz02gb0eZ97h5AEm+pSo4s6d0GSig2KvNPgImnat
oua6oPFbDttUfBqx353CKwf5u/bAReiWetk7d+qvDHVvBM+DD1vTAJJQgGy38/Ug3ut9f6HiPRUl
+qLe3gZvwdCrwd/RpXOUXCsw6MCCVI2Fw3Vv6MDFMkCY5bZPpvetCyGoBDaqi1XGGxPZx2r4qLMS
gUYNNAm8zlunXg5UKl3VvrauRjRIsH2ZlLOy+o/oHtdhsI4HKCYpyNQp3fXWhQ7MQTYBcDa6lgVo
3wQSwFMeW9AKj2VkrQLHwicRmb8UZmN1FY7DDhUopAe3UfwQpy7AgefOclc41Bj1hZZBTqdONHS8
8E6uLfSCLP3ehnUNcQf5cBP5rNr+UufpLqCb4Ubv0/G+1gGY+2rNywBjdWnCGFYZeHvFOqYY2cQf
tbRCmciCi2Eekt6982310DmXwLdSYM9FeNGjaF4MO1nJ65YA7dSftAROYAxXNKw3eoFYc0RqheIW
bRPQs0kQb5Pm02CzP1tgOjiOdNYzio1rU4eANYpNYT+VoFub4UMzZHs9dOi93sUuspnuAXCQ0cTr
NsA7ciY/dvFFPr0zOMKM8GPdgoqPnpQUh6KQwA2rg3J0qnPdKofKmdjdStPZdBB+3sn0Lo9ZxoO9
csH16+owqmvPwa6tdlCMztdd8+gaoDfB2G/yOHjWo+TCDx5S+uvspflA7G0AUM5H0WeEyGw7Nf5H
j25XAyw4Vem19L+4PlB4FlwDfq7HH2Y1Ahoq2KK6+yEC6ZFhoZPH060s9ccUTPyYQi8eMuJypL6k
GhExGOJqnwxyI5thXdnUnu0q/1x18tjpV4BSA9Ri0HiAOowCqcx2VnjZdF+N6jpMrk39s9sPuyjn
VB5oStazZG5/aQqO/e9jUx7rwtrH0T1Yw+3oZdfcANaC94YbTBU/2AWazNAAGwW+tqF55KUHw1HX
lXndVV9LOvJ+v24Qr5cNOoZ+sR3do10Nq9J5bNwv1JY2UdhtSvnBTn9Y8qGLPuMbthFQSXySjjb7
6sBjmHDeMWvnropuixq7FP8hqj6k4Y4dte89Ps1Owms/Hm97PMFC7SLuHbB0RGAwuGirrum4QMQD
1RRHNZxg96LO9HWfAh5I62jbRvde3lx2GTwNsDgSmHcJdlOSmXCZkkp99sZ7Pc7A4QJg8YP3/vTA
19jogI50t/tqdd5Vpd9p4rEP9w01YahUQ9gfE+3C8agJq+uYFlIBiH2WS0lH51ubc+J0zzncvHBM
dmk7XDUOVDfF/i0/eco4DgFd1hpkp8ZiTXQdvoy3smnSzZa2WjiQCvckavd2e05B7zeaFkIubjgB
5okehJj+Uo03TW1sQmJzXcEML3+IPtpnpFYNQJewyjCBgs4OfwD3360vtXUfwH0Lf0xmeh97HG7e
Q5Wmm9T2yfPMTc72jHLqju6xaTtAVxDew2ZdBdqhanNQ4Qqu5oNKQIZm+U42gKoABr+dcokXtZ5T
KdfisfImaOMi6Kj0duAVE1jviNeUd4HZHmqt3IQEY5jGh97al8V05RqfK/c7GNiVmciNk3erYIJ7
CRGrAOUxRDaM7Hc4jKwmaBH9BIFU25aivQRWGA53UZFsCyTnZXzbZpBWI/OynrGEBQkqrb5GwIp3
inWSvY+Nuwbhg6npN25ubXVv3HBX/Z5CQlXxtAt9VKloGox3GKbvcoic4bGHJxY2tzYoJmvEg0h/
7JBmdCCTRN51EnwDSmsX3UUv7yPOqajPtj53Sbd1rqMYRBrVfI/MCgIbfYY8xiaxhzpdX6AUZKzS
MoRSvqug3Pd0pytAQYSDqfoylZdo/pAJQVd28o+6hvQ1pcRZhrbVruzSv28IXCNMgKHeqfJa2TdV
tWnCOzOfDnp0HHnvNWwuzwdVrOUHy/TXgNPICy68Yu8lR7Ov11IGm4lwZjvgOSFbuAJwtlFshfsu
IyjrZbsym5woDuQTIpH1JNr7Pr0P4J9Rhc3nUnV4VwCUQzFDVWoXxiSg7l6T8NQs/SpMbibtC0cG
iMx+Y5E5Fd39GNEn9Xe6dz1xeFblgzu5G9/ca8Oqv3fq63KYVt7ca9Ev/enOzN47xq0dV1vMjleC
JnnYXrfOpxpeZnIcCGuSdBmcwOoFF4+eQMx7n8IvLmITMbT/+sHrP+j6XeB/7arLMProwa0OWQsp
68+ybwr/q6rgUvHB0fu8CmfHa3INAq4LdZ+WFv4Knu/eBrBwBgfcMkZo2xYiYpXq74fkLqev7uA8
ANB266bmUZnGzpXePabc21hdYoThxtWuKIDfm+ZVkwfHjNuPB0Q8TyTIKV6PGmkXlB/y+kvqPdTh
o5GqC0hCCAJa772h/aTpxWXCls6db5Mc7jq8P3FewOZtk2F8VlN/avP3oiFC6BAZgvzCA/1phUwA
bOlQ8x8AeK1raKKdziEw3uWph1XZsOq8mxH3zgKkW/nkGfedma8qiBjKQb9APNoI1KYhbFk9vhLF
Y5fs2+FTFI+bvL1Armw2CiVtBYUlCIyGdZ2xFa3iDtfhFZsMDjw8Zqwb2OxPRnTfkl7ovH31CL8L
35Gmf6q8S4uusHlLuYR0f2sCJG6ma1tchd2wd121QQGk0S9Hzo9UfIlgOgzqg3CfDSz9ZJhv/S6/
d4T/mEHWDpEZQQOlQQZ+03pA4wNOoJj7p4+2957/aSSIOozBPjW+ec24dQfSAFDh60ocRLAf+xIm
+6VBEzOR3H3rj3GUQ4iOwc21kNqRYejqR1erL/Uc05gyaLgzS+8wkV7nbf0pQCBbqhYOVrAXCiED
ukQSDmLXgPNMm60P66AW5XvZqiOa+jc9rH5nBNWabFKJfJoB8c5Q6x6LnWi+ivekQrD/W3lrQ/4P
vJuZRYN4iufumkHRmyOM+7CVERZIp2AHoankDtDPyRy2ekobdgFw38wfNi6kCae+CPUrM/8wUECz
khGiyLSOPTJyuByGdO+LCZ+Q+X2qcZ91h7o7zoeQmZQ/QpEcIs9aQzlfuxWECPEwUkJIqTZpULKm
xN9A+ECy4hi2wKDlYRgu6sh954gUYm14bVmI5CaACstmG/j7CNEVt07vPUPsG5gwftXeeMK6QDdt
PwZAp3rM3qrhMAn36LT6ZZ2wHolILkLMvf1Zg/bjZQSo+t4H4F9VX7rK2zkp+Ob3ePYUo3c1Zs5D
EvcHwwV5iBDOmePsN/WDRaEQ5hKTAWf6coRYCC86qJ7f/uAX5NKJY3IpVdwbneyFWQ6Xbts8Esxu
PGR6BkkeaiEMgUfUSP7vpoA+3WfkGshB5Bpy2eWkGe/iwT3q9fQhcH9Eyr9R3o+3v9Rvaq5LheNq
UiX4eYlsWCJWMUnQDFHui/xMdfQFy3PqmRctABG7XVcmtPQK3do0k/7Y+xeZiVVR/yPUHvzWoDF/
NHqQxs1Fz5nYjtFN4tyUZ+13X/zUTn2DRYcAgfJcsgZ5QuooEwx7c0zhg5RbkGQXXq9gXeAymb8b
8FEIYTrXnFWpySmTXTXFJVDXAVUF19T/rtYvF2XLACJYGNMYvwy0vdE/TuGZ+iKn6+mFKxeFS0dm
8Dc4ry4h369KPHapxsFLPACNeODyDDkkuyQBwsojWWd0/bPwW5kgVG9s9Kl+yDlRpkBsSkhqnAVb
AVV6gLeQZFx/77ris+WLnS3bnZjERVB020D7LECI55b7TuWf+qJbj364TdMP5eSs+xg2XHGs6ytv
/JA15QZ1IwUj1mjeVVG0ThEVqSg0l96t5V64RFNi2rqQVzD/yvJjrLeU19C2wUxogFBGdK9zCEHx
tHaKz0iFJB5stoumQ5Fb34ACaVOH5BGavNZ8DAiUA4yjIU/nSsLa0+rVrDJQtgVZxVMckCzGAHUR
0EgamKGBe93I4agJEP2zUsfWTa6UvoXEKiboiuVNkB/r0VvblAhN6hCDlR4ihLhirgV5A5neOIoi
XiHoBkc1Hx+jJt9UbXB0lIvS1mfHIm0Pj3F5UVBiw2op9J+m4UeW+5cFRJ8yAD8NixGFFtPa2/2V
Qq46x9eAFtnVNIU3VRhyGpO3c6r2RsReSTf+AAO8h87o772dbxuoTTm8aqivw+dImNdZ/sPKy0Pi
jpukndn9F0XwPqymz3FP8iPhDUpjy5VzXYScOND06ux9F1+b8TVAUcSdvGinxq9WamxHPbp3mmcV
fBNmsCl6xONSh8JHxF0rXlWmvh6yg1bcN06xmaziR19nh0abuLN9dsQlQHLors1Vallb9Ey4yIs1
qkqrTqa3E2TyHr5R1Q27PvcoICVXEN5eHMb9IPnsAiwIkhzP3E8xBeJ2plcipOhMEWUk5zI1boLp
uiF7rEb/0dY+jlF1qbJnJ4BVa6ebwSq3I7yCtlc3IrAuGt/6GlpUIABuKP1Z6yy4x9hq1TaytQVG
6x8jeFuoi7XFTqGvkaXiNnL0M32Q3zRz5OJMKeOoY8l4PVlHR9XwYfCDjeYCIQlgx03nEA6/ieVL
XW7UWjMTEaH+sokfU2yG7fpKQWt9+6D4TVtkKc+tpoxLCpnUZa4fIh/DvGE8d388HbfsxRHh+EYo
qOz2l0N93XYPnABnPvg33a2lJq5UVt5nDpXyFnmIzptQBkNEDrPjTD93vP2m2WAvorntZEkdTzYv
FiZHETd4CErKZRcRkiVh9Bjo+zFziTPhWgn3TLP+d695EeezydCdcX6sKniynDkzhNOHBMDb7/l3
k7ZoU7lxEKRTy3v2bR0n8svBbCCgIkLXf397gBeawYkD2TZZBz812CKvAUlrW5yAcpwj9TGswpu4
EF8NnyI91rwhkbUxvjndwPU2uUm9T27FlWR2woNwh8rSpi0QDvPHQ1xwo9Xzr0qmxwa+Jc27XdUZ
2yhKLjOy6TPf+DdvWS7mRJejr3vFQKsRhqEMaCvI/KpPHuLgc1988ocGlTX/84Qkl0D0Q8Vo+jga
kmbNSutBdRVQO2vISG6u01J6yrRvESLwb3+3+aWfmEy5mMzaiwzU5VxqieAOOURG6oNvf7I9P92J
j14KEZfcg41WsBKaLLpN7XFfpv5WNf3RlOM+h5amGcWqzpMNwvWo/KDGkeUfFAQhg6K2nx3cqF9H
8osRgaTMrQu6TSsvAJMarXPnqx8RueOHchYqoaxpGKQZeILqMIR7tKD8Gjkt5NKUFx9qt9lawefY
e4rtYgs/7lCM8Yd8HA4xcOMkvLVo5mfYrLbqi+eJda32WYj0wzR8FYO4xzWaKoF1ZlZ+tz0WkXyM
VeCXSPJfGklOESRZDwgGY/ZGJ/ff+PX/eIXarv/7P/nzt7wYq9APmsUf//s6/Fbldf6j+c/51/7f
X3v9S/9989RBfM+Xf+fVr/DJ/x5589Q8vfoDvLKwGe/a52q8h4+eNC8fD7J8/pv/2x/+n+eXT3k/
Fs//9Y9veZs186chopn9498/On7/r3/MXdr/+Pnj//2zm6eUX9tWYVM9Py1/4fmpbsC0W/80TEn/
y3SFlLSCEFrun+efWPKfwrIsidEqRHvDmglYWV41AeQg95+6oaSr66ZlKG6g/FKdty8/Mv+JmbCB
AaIrdGqZxj/+7/e6/dfq/9e7+N8A7B2GNAzDcaUwDcvlj4szLLS1JA00F0UNVzN3vW/ILRZ25zb5
60XHxyo5/8M4lqOEviTdBHWcm8AIBPJhSfmpUclwcLK8uwjSNuhWTkNq+NP0//sxf+YNvD5iXga0
FHPjCFdJqZby7MPklKkzxSTTJRtSDU5xbMK+uYgzGZ0Z6nUA+/dQ1LqkKZlAd4mBGscmSjKNvL0t
4+wLQtbF2tdIW99+IGOOh/8/mL0MIwwhHJYJK8l6ofT8dPgYhPLAGFp7ZcWquM0cL4de22vVA2p+
iDAkef7sNSlUXdGa1m4w0GtLjDr7VFvSoas4JV/e/kInZpi1C7TdYoKFKRYLp7bCPlct3ycSuBhR
uva0dc497slv8YT9i7FsYdm247KWlomWnwGuzSI4tbVUzrui7Nv3hRPbGzQytHMQ3hdW0HKiFTuP
LYkogb2E/sxEmTHv6f0FdWRdGJUCaWr7LornWn5td11+S95UXhDkh3VfGR4gJ91oEPjABaXTIrlO
9c5DdcOMukucN8adKLzmjL/YiTUnDZPFxiUacbSlw8nIi56MmMtWSYcP5VcfKryZn0sbTo1CE5L+
ppCWKZbEEh1UghO48GedUg5cOSbxPnbkWevx17yVl5XNCiKaSUuXpr0EuCGTVPVp7EtUt6ZmJxEc
OEauYX7LuRkdrXTUuE8ZQm1xyzIf3l5Yp3aVqwtXNx0CtGstmVymKPqo8aHm6ph/oJXTSOegfD11
dp3jGe/syDfIvjv06ZD5CcYVzEx0PKWDyGor+/wZycBzFacTs86qcwxJvc51CP+vs0zfzUqZxzGx
MrU9CNzxAFDfPWcHcyIio6ntCMe2bd0ksLweRQusPhMqIu6DAz9QazVw4A4rvE1Q+pt2gv387e25
PvVcrmkYpsHD0eVdjOiViV7moY+iyqx6xDxyrQZAs/nzUZQQLhVhU5m/4KN7c7be9QEzqljq22JK
qtWYa+d8zk89i1IMwM4g8i/RzBOgI2NIYdKGddHdGnkSbt1Z3/PtZzkRYkFzS4xRBUHa/QVJadJH
LFJOFhILsTcCpEC9Ucvxd0eP4+2hTjyQYhOY7ATdsH4Jek5mFFJrZmVjZ/Q27oDFQuahVfL2KOQs
yzMMNxdSFxacQsBkgdbWBzq/jQ7HPa1lS5ykkB4a8RYLFXRUzYdgDHE/tdzbLlBnAuaJqVSGrhzO
EMcS5jKUuaiLl1oR2iu61cGqsOt0105AXMwq084cVvPBtzg/CMm6NFxb1x1jSap30thpBo7yVReh
ltsCXFToSgaYCNJSNS9gNP1Z/eElgCrOAh2pfVtwKixSe1vlbtMkaD9ynxhXY51yG7WQH3n75Z2a
QkF4ti2DcK0v8xxTpuWE+qxAcYQaVO5RZ2ybtLpBH+UcJPnUOrF1gpLAztnVrfk6+1Ou4yOqR8dB
E6iHS/+ocHk9wiXp94rgchVZSEmYWpy8h4bWIcsCC+3Pn9Tm3LOYSxbqsh5N80xksjGJIbPql6Mh
MQL6okEL1S/OTOqpxWLbyrWlISTJ/Bymf3pSBDonXCA7Xl3Vv0Nh8X4MvQqhx+mH9KIr12//jIwy
rxVHJ0kypCVcqetcHl4N2GZESPjliBZ7qKJGcK8vQ5Sytm/P4K/hxCF14l5BfuJy57FejzLEom49
LxMwrAp6z3Vj7vLEOycD8euKZBSJg5EkDuv60q3YroNs8n3kdaq8lA+RHijAM33zPfHO2jwtagn/
mjdiF3m3MqRpOvMT//SizDioeFRuMOSGDvWl0KWSY4XWZIESQUlGgccc1oHbd/kqtTs0kWz+k75B
2SNbpIkuRAKMTwHHk8+Co3WHgpathuZHqCPNuqOn49TryGixLbesNKXiHSBop6P02+1QcAuvR0dZ
aFM0XQ+SLtLK7yrIQEOHgd4hQcaWHVbIIdrvsVkQGM9mLbYzWShS4FdhaH/1pNH8sDgUkXLJoo9Q
fCRC+XpHc6ECU9se68qmLR5kNjk9zNWs3vl848+BNoHmNLPQvlIwYXhGWWKU4bhBvGFdOyBdVK1N
q9gXCMS1lo3Nh56kwj3DrTixpAxDOCRqOpmiuSxYJkPkhIGPKFZXQ09M2+KLO0LjeHvdnlhRhoF+
JFuSy6q9PCbAAuW1YwAWiboYHyvLpBhUKNo9KU5Efz6Uxd1J6baa9+JiQUVlqFe5HaINNaTJPpYx
9rXeiIti2o3JOYv4E3muY3D2kcuz67k+Lo6ILDEDaOzcoDKncL71rW2EqzgpFDJ9RU9PvEwQAHRU
6q2NSse0JXLN8bsV1OHeH2I03WzVnJnqRWP1ZUcxk6ah25yRlr2sPLSFJZqcHJeGjJlcDFVCiTS0
ywau/RR/01FLvYZVzaxYNIncdV/7w03pZhlsX3eWVvVDG328wcq4hyVO4N2VA+SeP47PvG6oey5U
UcemVPN62+cuBpbZQMbilan5tS4NhCILzf7Bpd987kdD3vhB1D7/+dIg+ec2Yjkc6GrxspwgCfUg
H5mZ3IZXG7UIT+Pph4p6rJ3BCvx6/jiGS0FBpy6lXHNpJhQbuMtBfkB1KOAiq6O6ArRmuKvC/Bnv
mRsHF80zM3pqi7mOotoEKc2Vy0BqeamdRv5cLqEufqgL2/wAyz1dT+2AxN+fTyTlJsWa5xy3l3oP
WdYiLJLXpOlG0dKAhEFv91ZxpZXTOTmZU4/FCFAvFMU5ttrrheJy2k1dTsoyNQaKXqnO6ki4uTXi
XLZ3ciTWorD5l6nE4mztp3SMxo57lBh1a5dzrja0ct1ol3M5jc/M4KmoqxQP5diOPkfG148FflzZ
mUc86p0ivh4HMe24MP8Z8/YlFJgcrCZLkOKOtbzoGH5qdEZNdApKtL/iKs4Pk14DVH57OZx4GNPk
OZQtdUfZat4MP53hClXYWutZDgNljWMW4Lgtw0E//PkoZCUkJYqLrv4C5/hplELWVMB0iy3V1N3d
oMwRewtlntm4v97fuay5phBzUZna7eJZ7B4lrCaBHcFNnjNRpD88o701QucKv5o/81381/sh+ZkP
XpfDw1kEpGhq0Vi1GIzzxfpk5I67U3qABGlg/nlli1Iql3edm4aACTdfDX6avUForoxmIVZH992r
ehrcnRvU57Q6TsyeZXBb0ik4mfNOej2KjbtrHk3cZVx8eg6uVrXHIR3EQ9m4HCxWb54plr5EmteX
QmaR6v+88ni+pQ7JoGoH3VmuFDqCviHa17H50TZEA+dCRndTYUzfw3gyHowxzuWq89vu0PP99m8v
zVOPbc37i3UpXBbQ68eeLDl4HhneqkTK4VBGZrF1Is380OC8sR49xKD+fDwih+6abAfLWGYdKXsE
XS2e2q/07Fi5wJVVHwSPGI8AIVC2dvf2eCdCIx0R3ZJSpzZjLCFKIDIohr/UibUaKdZWoXkB8XxL
qe3TX4xE9YxwIh2bovTrmQwjoXtOAvEDXTU4aUhErRVysJdJ2/V/XLpwqLY51LRYqnMcfj2UjxiJ
4Qv2dKmL29rKnA+aX07X8B3PdWnm179YpBxcShn0lsiyl8EeYWMVmR4jVWYX33IqPLiOBhJHVDRp
Akemm06v5KHvAOC+PZ0nIjMlLmpcFlV+zB0Wux5uSB/TXEGzMRjcR+bAA2IfTGeWx4nlL+YmF9+c
xIP/ej2TlDSUq1nEFteBnOdq0yenJPn1IXzVXv/nAZr6BcGSAoJrWMsaRmlNXMxMYqb0I1z1GrCq
doDo8xhhd1hQTTmzTE5NIZ2WuZNIy4t23uuHw+Eb5rVEvDiuyuE+gdm3x+Lo3I4+NYrD4aUT6amm
LQ83kq0EQzHWfTIFj7En220fnb0anBzE1GnBkCMSLBcZTup5eV16XEPzJBivZdHCG9ANY/v2mjsV
LKj6U13laZxfTpost0pDK10IVVxm9yKUAsCkiAB0R+c0Hk4+EEHQov1JR3eJdQhEI8nNSOinApvB
2EdjNWo1+0y5eN4ky+1LFk9th24cNdbFKV0hbEheywoYwjw8+JUN2r928l1nTdOxL3N742gFZKSe
RZjLc0bYp6aT7I30gHOL+LGIiH5ojH6rd2zhNNY/QFtFaLxV5rtMWeckZX4dyiXtsaheEeqdXy4t
eoQzw1jbpIsdWHTcSruHIG+T/WB1/pkT89eQyFC03w2qcHP8nb/KT+kIUgbBFKJSvsK5ATWt3rIR
yC5L+ynUBme2vqRYDn9tbhnu3l6eJ0bm3kJCTABhkS4V8KpymqTm1hbeLba3j7kEP8S57T5yB3UD
ICdWuCXbCzfTaNLFeXvsXyeYCyEJGG0auuj0iF4/tcqSaEy5XaBQbiKLzMXs0MSRD2EHB4a3h/p1
ayid/qJrcSN0JP96PZTnuZWdC0pajtY6t8j6N0ev6f78fOFyQcuJTqnBnl+GLYqsRYQ5JE4iM1Id
jrW25rucAx2ceBaTd2bNSQF7/aUI89NicfNgJDCTjpuJ1hxkmU4rq4HT/PaMnXg5LH2iCH13ru3L
Joot89QyChdwcTqhtADxaQUvFg+UWkxnajTzgfg6oihLxyOGdo0zFyQWEWXE2iFF7tpa4QKWPSVt
RhUyaNon4YXjuz6G2dkFpvHHBxmD0pTkMKNRQ3BerAjfUYlfDRQ5fc//MoxApbJO87++PYsn3hVp
BpAUSXEH3OEiXBmjJkLHnFgRXKN3QOfFhqbQuPmbUQjJFHG48y1HwR851qKGUaos8ra8NiAMaTKd
GeXUiqBsydVs7qzSm3k9YzXTE8SNaSE/2U1bqpbT2lLutKby05+p3pyo2hENuQjiMUXtDn7r67F6
umbjSKEMjm4O+SfM9WyrOTFcK8oIUFM5AT6HPX7ttaFVm7430+9cVRU2noOAhawFyVZWdn8f1ZkJ
+3kUf1wmnqO1kpx/FOnVUoqnkvkoBvJlSPNtehC5o/NNwnNR69dMklHYDxR8aJcyma9nwa88L1Qx
e9B3fPkRLGsGSnCqcti4QbrmgAzPvOITy1XQzDbnhgq38GVJcHQb5Rclrxi1Qx07J2vaBXY0/hG1
Y77nEyJJgykocGuzlg0VU2uadgqlhXlPaj3yNT61Xntu552oRc+B2FaUVAFd0CV6PXkDS2bE04UN
nhfiOgV4fJRTVjzUVZPBAwv97CO+mMW6SrP8OoaW+32K4elu+i6qr20nSM9EuRPbh0rDjBSj9kSJ
d5E5j5Vrx4KTEC9yXdyLFHvRXJbNg2gm88yhfmIoDh9qd3M4UKTRrx9dJI6vVybYjihtgncpNvFX
ckzqXT951ZmNcGooylBAUUAJcqVaDGXlTvavFlyZu+VXF47Nfow8+CxdEv4ZTv1l3dhznk4xkKSM
Msfrx2p7bfQAwlDdMLzqUE7/Q92ZLMmJbN36ifgNcNppEE22ykwplY0mmFp6cKdxHJ7+fqj+QSlU
V2ka3ME1O1bnnErLJCDA2b73WusjRDS3wnhf6MA6Dkvx1oD2P54GZqY0Wlnztm3h2TcWe+xACFYA
56pS+JBdUVzAbOvfWOvOryDXzGfDbfNCDyiDxNlZzSPDiLDnKMvEHEiNeUDmQlY8lrX1txpCYTv2
pk6g3c9X5Z7fgsHC2G+oMLIZpnYQsWyoHcMo36i1nPPrth2GVrBNmeUwcT6P/CKBedWV5jBRBaMY
7lkFyVdAz10NcdM92bKxC4mEUAUf0hc5gx9X1Mlr1u8b961Q7t+vLp+FVzxdeZ/n6ryD4tbk+Nsh
w1u/rTt48h44bj1Gpy4WfxdkyDPNxIvrSxcFVUbA8vnr7QmEcayaAkVG1MjyKoaFdT249Vuj/N8v
LnojSorA+zlh984qClHXqil49HdqCMwnx1+GZ+W1L39XUHAq3JKBh9SUGpM789dTWdSUy4lMc9JB
wnafVy6UXr/427KFVp3Duhw77L5pPJ17KwMJns3MXLBKROoQUNde+21c7d84F2+78P+uL7fjIEIQ
7KxYfBnv/no27qCbmaE2XHXEzl87FI2fdENI8hp0pLGsxCH8GGVsPlYyjT+TiKQ+i4I05x2ivWnD
QZWe3qVO00Jt6MLlngXPBwsy1+FVrY0dPlbNQiJR0MqwPxVpY5Fa28nsIizkeD85Gkwr4apCXlID
tzdtWzaM540WX5e6stYDJGILok4nHLLBFjElQHQ2nrNru8PBNH0I8dyd1U3uz2RsqSAfX0WfUuc1
tZmyCzlr2Se8Q6KLusdgPkwxoTZaNyU5U25Q+MfWrivE97jdluwiIicqSDqK0uzOxFP1rl7C5Ul7
DiEJo9/5dzkP7nCsiexyj3XTY0R37GXtL22PwPLNNNg8d+ME8XAp5JLEwVrcNr0Sj3Y0Op/l7HrD
LqyVwTNXO01zMpQu0FB9M95SEFSf5mgEM5rlxnOOfWycGCompsuNEtSVlyXuQzfpqexw7kWlJ48i
gji7qzx3xWXtyLbZjwbX+F6Wfq5POJGt7GOuZoMJPJBY77JYA7QzzPFh3RRwdFM1ESMhLauHMhCo
+bO0pfMkcLnrpMpTiE5r28aPnm8CcoqxUX7NRYDkbojN5CYsb/2Dn9fVvaf7jf6YmuaFsqWowFH3
pFksve/haKpkqBK/6Gd7l0W1unUt4T25XTt0O+MH1ZPN/+Y+H3VACEDlkrBhIjUd17HU/V7HKct/
iaq53o/NWlEYrMiwCdyeZ8IFCCbC86Pc4EuKo50c7AJmWEa4R77TYYfNTIW++tZmPdA6lFWg2Rph
icfMrmxzcJsyfQ7VotOL0JH5+1BP0b1MyW4qFwz4BbmuV/aiAUwjm9vNaLE/LVYaPNHCx8+JBLVq
dpYY554wKEHUky4UPiNREnS+Q5bW4Aems/HNNmFVkNI9b0jBKCoIHW966wvvtuqlstNYJuUEHjiJ
UHyYJI7z+X3v61XulaTiJJpLqeaK7tlPrPXWHmP3S+bRkunwSQ94cHcrv/9Va1M3pzWNAOPGePAJ
fozLi9qWNalFrlfydZc9CRhtpMy30dThl3lE2XMojZ32RyHL/NnQbGj36Rx09wFCm2hf210vdiRU
RsB/6lZ60PNKOeUHxhXrTR8VYO6RUQSf877wa7JJWl+RiReM46EbAwQOnmqj4KZ08fPc+UMvxKNf
A7hKgmjJeBhUTXZG65WN2NdBDCTNCqqwfUAmMbzm24jqhHWicNHj+Dp9LcVgN7fFms860VZfvfRe
hDk3M8pficEplud6WFQH16rqyuiTguB8dOLCdDctgWrzhUR5SE4ls6zXPl9zYoTCpWZ9GFvtJPiD
8oFIH92/EBis32eODyIx5lpctqKEN7AMQ1RcSX8idmx0spCoIEn46s72fvr2IHNQfGH2IDGmzwqA
aG0/hjt71am+8XO7cS7KAgJ2p3qApnos+fLW2vvUNIH9gfV/+CTHhmlJJBSg0FbLTb4k5avUG8NT
WIGKcTK5dsS2qq96ADXzeFeSIOoDMBzIr0A6yg99jB1POWjDew1PiyxBqHTTLmNEDYGtjJbNVtb7
P+q4O2ZeWH/GP5nd42j3ISY0xPieUlNzTciCg023sD0gSCrNPQNeIeqypImNSg8j8DqQKMp192O9
zl0SL27r4pRa4nk/IvYFZRoO9ZIdzCgn95K+aJ2VyQp48nHpU/2QORNQvTDvI+9JYROLdqU/Op+w
2juf+oml4GpyfCM+B0FLaXGpU8GoU0Zxervw/M7J3Pbuq+Vo3bL+F26YoPisfEI4/Oqefhr3phI9
fumKxH4uthPBvFNxPTwUYV4OiCyqKTq5A7ubnarjGGqqUy7verjiK7FrlKPEbNjE1CnTeoC7UvkI
r5qEDIRwoX8V5JP+joSLJAy7EPOHajGoNZ6ntsaRrXAofiRdSco+uJps0fxYsh6CYgp1/qqqNMGD
bZxi19gGTe6BR4N8/Yn9fLuTUBEEtjU7KhItnGqjscWGWEeXTK7RsuFS2sr+NK+O8valtURfrBzl
Pudn6u/SA6mzy3zjGliMQbayyngoe4tOL5+tuMs/1n4HaW8WUe0dMh4oeuF1DV1vXbfcq7Gpgdcj
PQ7frwVT83ByRLZHkp9eCQtgdKLsLTTRy8olPvhBIL8UM1SyU4QWh3x6T7H3WJupuCxwFOZHoZqB
5qyXa1qz8erkAHfihvAek1YnNVfFw+gU80rAStxPuzFa/Asdq/gDOSQ4BYclANRpM38ikSVjyTh4
LHkP0hROl+TVJL2EosDi2Y/DVSee7VjXlZEa4+SqpvrCL/MYTLUGZm1XSr2batO/m8bQy0FzrunB
Rgcfg1Yegntu9NUkbcsL/qsj8jxNPLr4+t1iUPndDqbq0rs1dWbyhsYpDX94tW9Zx8nIyL5zkMUC
g8Ni4n0yNRjIE7c1AD578grWDoe79BayUUlU6RrkwfvCgyMJPDGYFriGqRe8DC4k8IMH7FCd3L4e
eQqH1S9vrdolPSyOZ5/IoyrN3Uu2PN10ma9hLY9OXsz+MS0HstssUqU/93Kcp7ulnAQZLWma4o1t
ci+66GqDozUNU25VdsR++zoVWvz4cxH52zbC2bZoaAUY4rNdOx97iaoaWM4XfAzL3B0IlPGTysuq
uzCYs/s/H+p8vkK1ug1Xtk0Lwn8mD79Wq5Zw0I2I1duFqEx5LwUk6vWCe90bY3Psg3S6KrLBJRJv
WQ8D+NzDn4//n6eKaIEG36aDPNcQzJWdV3kzsI0p1vioRl98VCn09Kju1Rtjj9/2Mpwq03i29AFv
WgraX081r9rOXSJkyV3KANgihIQANNzhf31CEd0mG/MP4xXEbr8exQrsNg1n3lwuVIZDGVJ9TROI
UTna6o2t7398d8g5t34BMiamDWfdkNWO6nVcke/W1YbaawTiWL8oSMbMA/GOhaw4lqvMb6cylFez
n0Zf/3yq/3VBfw5zkDy4NIDOjq9KK2wp4ZCUR6k6LST0HCD2vCXz/K87BNsLXQusQ0iQzpqzcmpW
dlIzut6+IwjFWMMBdDqZ73Ma//UdQnOeYQYTCKRUv20R+9Gbqr6NkHYUcXlYmQrcBoMfff/by7Yd
BV8Dbza6S+cELyd0qGDoOG1Jut3O1VvArinfyv/7vS/ibJYQxPD8Bwvs5vX995SvKCLUBxmHsYZ6
vmP/HR5Kv9EJAmhp7ftBRu8MeYtUGtoQjwvWuVsqsO4+YpPLaIA77XVEvIXgmd8YhmyPwK87ZCb5
Ac0nSuxNDnr2iDSLGryOAhoqaGCD7PSto80L+DillOgRHrVxF0z5W0KQ3+9Wjoo8aJMK0an1ztrb
oNimjlfqttI5xLI1W/SoycUb69l/HgXPHSM5Zv3B+SALavI8snJ6u6ltouPQzM+2bd4aWPzeYsCb
SmMGDzWuI07n7Ksd1iLKAt4P6PfjXT460wvsdUjeQxWSMueYf07q/4H3/U5+bz/gGv8+3n6W/x84
4H9qDP/vFvjrzysRRMP4+Rfb/M9f+scGH4X/s3UdsZjRWsJsuc0F/rHBe9jgMdvQakK9QltyE/39
rw3e9/8HEY3NL/He27TQPAD/a4P37P/xN+c8nq5N8EIF8Dc++LMHDcUT+gwHW1NIXxmH+tmD1uZe
M8FWXlHR9nmwi6gUvzOu2wpjz3KvR7ql77xiJrbnzyvcdv/96wH/57jbhw8RyIW/vdSLfFbpnNrr
cQhS0iwppI+9t8oLd66DN163Z4/Cz0PFtEJdNqZYXs8VBWTwIeQc7eWoJRG4tZie4hHDLQ0cvWtd
641q6Uy/8M/R6O6hftomZef0m1nFsV2OZjlaoYaRFzoZ6jFiU1U8Fkc5zzMCfoLdm6D78Ocr+h+n
ic6Sfi/OdKSW50aRYnYETHV23120ReYMgf2DCMLlUJQr2VH10F38/fGQy22+u62Rea5Y7eslyNNq
Wo9NXrPHyEqLTKusX/VD0Ec6PuLAYefz52OeLZ1c3E2tv03IcT25TJd/XdWGYAzKaPb7o67G8kRe
PFmknROd/u4otGYZw4e8gbd2sHfuFbN6zwReH85HP6qDQyTHHM0oBvc/H+X8CeAoyCg33RKDo+0F
/Ou55N5gYeogZFqnDQwBUZviuZQyLGh6rfbl3x+MKv7nm55h1fldCbpa4jbNDNmusjgFufmYuWtI
5LX7+ucDnX9D21lRp28D220Ed24sl6Js2yIkk9MisaCSfn9SeWzeuPX+8yCYlVi32PqwbP166bij
wygaRnNMgQcIrzLE0aZvGa/+6/tBfLqN9rZNx3npKvK0DrKIM3GiQJ/kur4v3LgDlVEExz9fs+2u
/ddayJ5qE+1SzqEE5Z/e2RocuMscWX5dX9uHdvdWdPXZH2fWur1Z2CmiZUHsdy6jnXO9LvS9q2Me
ruyh1oLG43sRlM5IGVAPxYUZXRkm7ZoyYNCy0/Kpq63UvP/zOZ69Z7aPgQdBeAiEOENGYL9+ZZY1
iGg1TnUc7blaX6IuVcQbFOyAksJUkSQXJRefjJZ58He3/s8jb0kHbA7QQP02cPMZYdT9OtVHvIv1
aSla/7j15AiXtf3Hvz9Jlg3e8tjNNq/3rye59V1EG9vVUTEG/mhlQ/8VweJEK81bTwSBT+8rFU1v
CG7/68pujzSNWbQZvOF+PWhausT86x44ZuG07WEKx/FZx5W8xMtLdL3JXKyOis7N9788WdZfBBmh
HUZ8nxQRZ8d17a6tbNkcszgbP1hBqC6nvG1f2Uqo0zxM3X3r1t7znw969uRvtSxzYpspB2oXZoLb
z/8lNfPYEoQtCrajWpzoYabrVe/FXAj9xovm7OH/5zhUWWzRefIptX49Dn2ieB4GqznaU5be+pX2
7iV7NaKq3xQ8nn9/bFvZsuKXQa5gc4du7/V/n1JeB6bKJucyh8nwqXhDHEtCzrYa/mt5QZzguaws
tHHdAD3HOZFQTJ6DtgXquoYXEh4YnrVXOq9sUDY1KUi7stKS4K6+iRXh7qULBaWNZvAkoyHka3Y2
dlA9WJSEOEqsj6FcoFeYMotfvNHHzatzNhu7nt7zRtzxM6ycfo8Sae1U+Np59XRVV92SJUzOzHdn
FcToT0IXT7IVIymgVks8J7F/KPmqXlxNaz/4t7WLrPshcxuVSK8gt7yxgvkZDKxf7Arp5u/bKg5e
qsG3XlOzeO+ccvS/hosffrO13T6gVMCcHw5j+FpUfkZYry0UCKZs9Xto48xWk3zIVgK2FZ9kD91g
uRjxwPrkiSP1PjT0wz7wEKfvpqFfiRXwI+zIRVu1D32wiibRrfbiZEB4S5MYSS4atxFkh+eklbkI
Csl8iHC38BF76eQeGK0ZLHg0VcMDewTjXTBVli7GU4vUznxxX/JawHNaWgfgSNxUxZJ4mauuSpb2
5ZA6oz8meJU7ebTabCx24Zy1L1mRDs2B8Wn9oMJAEsWjHEEKoJozaET+ml6ktKRRrNFCZhqpBvrB
maXr6aLyFbML6pyOWd8cDo9pVfO4Fuj5STzP6brWvV2JxK+C0lyk/ICY4XiMT+ivFN1sSrvLMLNy
F0bFaFXHuY7kNwyO651fAL86CjA246WFUPJWFlYq7iuAF/dL3TJDmrOqG2+mYmXsVhgcubt56dv2
wosm5xsirG44iLatX83iik8u7eqRXlU0Y0/iHgz3o27zIclGpqd7lWZOk2yzk+YWQDMRcmOotyi7
SGiYCfko3uuq6gtyYU37I9Yl4YN1ipU2yakfX9Ow6NzLsMtked+XtrlWXh1bJxol1Hqub5pXij5H
nDqnKIdj0/EOu6gzT8GYmPOm3XnBwCc0TIYOTMkJyWmsNQ1PjRij9TKbmJGKcc39Q1eBjt7j1bfs
g1X4rknKRk1fhZU6ADeYhLYgqbR7LQM3D4+SKY1D6OpkP/BxmBH09jDJJE0nAVMCFXSYhMEa28Tz
SxLRM8ZVjHRp+96trVO1CZqe5VOcuShM3Cw0dMJS9C83FfZ4ebIKVfoHy1j2yXaXcNg3DvqlA06N
pjmKOhvTS1y447hznXXIHqyJuIv9AkPriisByK6iSr1OTR93SdpNjkqi3K8/OmkMJQtugt1epcjh
BbNR7N8A7cvROjAaIh2+FnnInEsVK8S0ea3JUJ/i3qEzMSgwLHObwerOsOk0BIiHGdnEniR1YrXH
7Evf69nfN6r2vWPBrMVNVC1m4uIN/JTH2OumaK/J8owO3tY229tj5Mz7vAcDQCJtOL/M7RKuiS/y
6dlRa+9/nH0ZPhVFZmfHSlTLNysemcWtnj16l2hi1wEqgumG3SqK4cowzvaTcuiC17Qx6XiZ2TW6
Y3LH++ea9a3aa2uYvxWp34r94tcB8oCiIuhFegtoiFBNBLKHk0yBOGBXefao/G/gQPXLwW/dPAIh
3WYdnS6bwObZbsiwbwNVnxDXW/nB15sjmj/qZcdY5tOPWRtIVk5RVO9S12/k0R/q9btUiAt3njv5
T9JpHAbbHZPjnRyENe7DcMw/6xgKmUZmyC/XKdDQuqsAEVRB27UEGIc0hVsv6KFMyM6Ykwxy7V9m
aWzpg6mKhr3yujHnAqRu026VoWyumDaqiyYyTnqw2E1DtGCAUCeVG7SX4/zzVhsadey8dewus2rS
7t4tU89NHNO1077Om9Q9uLmX3gfewDC9MvntSAgw64rNQD9Ra1UPSWF5I8kE1eh/n+zACm8y3+fO
J52RHEpL+XBJaloH+sB3kfPvlxZiVNRrEST1TNbqIYNZ4O8c3gPBhaPiyj8t1L9Q67vZJyuCJd7a
rQvrUTO63IoDrf8KlQLZbsZPd23dti+y9/tDXTbc5/40Whj24/bW0mPxpfEEgQHpnBRhat+hN8hI
n5jlSaw1qRcdFQYYDPVe4MiW+w6d7LSndJGvP5ssSVunVroL2dRyZashvh0oFfhMi1HX9VJoeYqb
YQLa0+irlGybm4lyjIWBmGU/JpjUvRt88ANt03xrrVazG+7gy1jjN38a1g+zW/2g23nMbfdCFNGH
GunJsVrsF3Tz+9yuXsamvPCk+97Pui6xFRi7JSrLWxGuCsaL/9GLkO6s0FFY29QNqB9C9ithgRfh
0Vp4y8HMtpg1kjDo4QjkFMITPXr0wLrpb3od9k8C1cLeq5p7Ugsw5pRFuqsGFMNSF1Oy+B3qmhBU
lJWRD14ufE8bJMaS63Lp9E1+lzehvpkXuQ6HASvemgxl3/Z72+eZb6MOHrxy5LdgaCZzKKO+e+xt
ra5Ic4p2A2EcMZi3ejkNgQMSbhNbDWuHlCC3udd2KlPuh7VIR8Svgjq2iJfHwukhVKyShlfJiZwm
PaOHiNvyzlPZ+uQNzqe4ItFFdKm+MzxBWUJ/pXjJZDYTLd5G9Z2KUmhxMeFuRUKn1/umgoYGiQPt
xn7s4yFHTeJVQfxxZkic+uKS+Iv3wTSSJaIhL1r+sMtz98MY2V1SDcZ938pqY6Cki7oMtAjfh8Us
fkx6CPaZyJaDPeSUH4hNSdRokWEUKKcw9hTOoe/t/ktKKVsmgzukSxJVxh6TVZPb71eiTZOW/7L2
IsX5KwawMJ1r4arBO9BcqHDgaejm4Z4IT3cfQr16Z1H8fClTa52fxmaZxaEAzpMd0glGWCJttXxf
3cFcLWb93vnhRParNd6mdAD2umv8Z02U/re6WPzvgwbbrLqKwmLKYV+g7n8wEe2Q7RHhdivtYL7C
Dixb4BnCfZW2ni6Z8Ng/UKJ+MnErHjAxtB+WcbmgPKoPjuVYP6yqmW66OFXJUjlwP1T/jO4bnMs0
XjnKJgS7mrOf4J2V/KaqvSxVHCXhMqgHNc6o5aPJa6lQ4uYiEtEPjWR7pxbAMqlhnFyNIfPNsBz2
crKQoU2zuzxWsSf3VSuyg/DEfCrUCE/MyZfvxENG95FcLeRqCgbl7LTvg2K+iO31DgtmjR+OAcGV
8rsexk4aBN+HfGl5jXYWuj5p1dPnOa3hYIq+mw9UpfYu6JvxuAQ6PsyzXe8L8i7n1A9Z9Qs0DXNT
Q8bp/QI+31pd2hRzoCt9I6+g5vHIOpDm1IS8QE9BvK/QDPaJHGz3i+elUPxy85ROQfVBdoOmhJLx
cqVsRmooI1CUzATji2pyHkesBzdAXClWKxPcl1MrHgnlLN7bpauRB1YReRrF6Ohqq27vinUoV1L3
uanAXgKr4Z22C3s5XQELy0+9ANZJ8uG0M4tgSfFHHrmldPwLy0qvK4sEHnAUS8I550copwQr1cNA
vQLHDmt5Q2pLu5A130ztlZ0Nwx1FYJ/4TTMkqfThCqRNYF1TXFtDsky1f196jX7y5GAEeaIFIJg0
qPNTKpV5BTsR7aJFLxIhIy/047oiSaSbu8YIQxakfDide0LpIJJ+WKnxrma+pWMeO7mVUAQyMRNL
eBw1zVl8L7WgUF7dvEayZ6XrIWzmnH3InLkPpU9BvgmT/K+N0+niumnSSFyKgNfpbdqxYsL1U3q+
EU0UrPvSTB0Vi9OKA+1fNRC511F/RBWvvAKT9KOXWy1UUQpbxFU5sf3k769zgv0HXOJaKI+/1/ju
IlnYVJdzDlMZlOPdxKpP7doErX05x2q6VMFQcStEff4YjKqbHpTtybtosL5LafvQSpVzEMOGQJsY
yAnRNXyMbPwYU+N8R9wxNSdVu+H7LTf50BWDfTd75eskHG/fm+quQHCRBEXu8JKmLEvCLOohTxQB
m80+koZQbgSu+7LMs3iXARAI0NvF5nWtJqbjNh7wk5mXiswokyGs6vuW/abkPc6MnpeuZe11uy20
AQ2PPHNCoi6c23YtnzMrA4GRpah6RHkIKH6u6lyGt6GtshtttdOHwMqj9uStK/F8BANfZKkQNJn7
VoFfkEUy1kUx3Mt6kTfF5FUHHh73Hk1ZhMleBgwmexv1YxoH/Nwbgne+ceTe8vsLHFzdboUhsiZT
kaH6CkoENB1KQdoz6sIyfC07pLvlXdlYz70cupMIF+crgSDLky+qnF0JalQ23ujKmkZCRWF9Cvf0
geSRK/DErMFWe5E5UYiQXM7dcY0r1JsznnOsHbUXs4GUfntJaRieRI+Wcdf5XXYKyvymL6OvLrGR
l6Mb33rtQgiXqTV847YrNHph65lY3/Fj4Vj6XZRG9j06jPaAagFrHGndgVHNHXDR5q5XnfnGnfVE
pw1V8uIg9CNxKb/RcxxcNUqcIjvX75mOXIZzYRU4cTOu7ZTN9qUDjpsY2e41z+btvWmbk1NHghmG
46wPaUh7aeeK1b4usyi+ENkUJB6LIvKhxn2meCgeRyx61q4P6KbvcmuEPFb2aU1u3mCyx6gB/rQ9
2Nm7Oktxom+V/SfejIiC2pFpMmsplVRDgRGSKEbY3Z1BoHEZ9YGCkqLsPCnN2H606g79+eyObkKW
dgq5y9M3AzyxBIdDEwYH6RTmJhf+dAh0ZX102sWGw2ynm7CsaTCFTfaLx///UHcB8JS51p+XwflI
h8k7ZhXJEEuKMJi5tN4Xbe8g6KWOPEZhDXMrVZToOqW27EKjEGkhwWS6Yz9ao5q/FxonSNbI58HH
k5JEVgpN2kbEyPFDwS9Rc3yXcc/CLvJqGW77xkjz0e77+lvuy/RIH7h9zcLeex6zWBR7MWKzVX0e
fQnNkh7afhP8EPFD4O+OUng5Zhox1y5sG/su3dTh+4jkpKAkuU06mXUbhFbUXAVQcx9Uve0dtDst
r5HvNlTjFBHv0iZO9Ym+WtscmnnxPxY50RU73hb9J8wmKO2apf7uDqq6VWm0PM0IBD8IRwJPoGE0
HwiBietd0BUwrsiq0ifbcuqAB62N7vqlbMm6HMV1mospPUL47WM+qxsC7YomflSu1l621pRCrM9D
ik8uh7tLhxFki2UGNz40Od8+iDU7Ig1tRN3n+atw9xXiR4zzUzA+TVFGqW86GVwNQxg8e3kVAn2Z
FMGXpYmm/gBS1ef7zEwL5JNg7tvQ9CPYXH+qYQ7UTYNMrbJRz7n4v5K+m4rPk6CiTArZd/fpEgWG
qZDr2BRPjlPum3VZ9H52VvtrMbCo72MjIUnAYkLcXoP4eixjGyaXI2132pvWntd9MC9Who7PypxD
qKLhPTISlKbuMDZtEkrtAhLG8/jDiuxm5PKjsd35iJ9J3TBpnmGYqe1y1xosaNR31F97pbzuREuh
krwKSrJm6xC7QsqceN6nusFektFvuu0Yxt6Uy8I2uCxDVvVIL/o+Fmvl7FNu+3tLxyWM0ngLQp9V
z1aCWs6MN7HJTH/RMoGGqw2t46t2YXMkeaq9R11XbFFMqlaR9Lpk3Vu8aX2hYQO/cJiH8abmG2/3
XQr45BhWuc911X52p3iBr6fOYJZiJ2NyKvcewHBZzkgD23VqHdpLYc000VvSCZ73wm3CoyVYVbBO
t5dzMzlQUkvaMGAbHf8GtmAf04cKp4eMV5VFI8awwfNYag1hc2FdUYPWoXWt8DOUh7AfJYGDedc/
1jU+mR1SSzpV5HHEX6B4extVq2DjQetP09EWdeHv4y6Qd3Zp89LsZMmKhFura8iwoVuxr5AGwimP
dfOpEBOsvMJolDtGT/4PITP/RcVehj1AxqV1cMD3hrsALaMP3Nhebr24l87OG4S6C9dwbZLKwe/I
Xwx+dMidyXnUQ/bqu2P0YxBmDXZ20xr00I3yIETEyOKWuIJa3oNhB+yMvshFt+wqaA/BTM82s2m+
JUNaxcUxnshOWhBHQy8KLNvHIN721IiLRSQ94iT6DuCjlht/VM64NcHobqSSiNMDnS19ly2LicCk
xgbsemxZ0V4BYKBf7Tcm2vdURTz2raXYqg1OrCB2qsyn41d7D3kVFOISaxQsrUzn7clPS3DbK8jw
aed0VhXeh34p+sSiuVUf4EAxk4pVwZNAKy6wd7UIlk9hWPgfOef4QxEtRFjiRs2CxBRx31+1k+a0
Ij4jL06SwrxrglUqc1lXo/diq5xd/cg29kWPVBmHNSVLf++aKfgQle7Cn8qQVoDAdsblLmtLrZI6
dqenwu6tZh/EY+t9WSIEFO8iK56XW6peobBQFvK7cSanSOSqia+eCYLzQJ/RIk9c9hOR2QlaX5DB
htweTmmn3OvF0YJDdA6JsuVqPPGDKtUaIrTUpT+sSZCa0FH3WRVkdXEdD87Y8M5EAoe41NZDWtQ7
7TNGHC+KissaJKsfborzrvNr4Dxa1t2yMcTy7j7iZQxkkbY7u2lZsWV37VbV+5qhTnBY4rWyAbBG
qD5aQW2PvFrIdS97W+ij1w3YeWyBin/XOezPT1mldJhMsanTPSPDwUkC+npyN9dQhvdVhWdl1CzW
nPnoIMXvy7oIrwbN9jfRVZttrfA1LNPrpqJ8PRD4mJkXLZWzXrpjBRZrbtlq7nMT0qF2LVKSD7Rx
NbzEPpV9vPc8HZxyMYvuefTKmfqjYGvN7Y/z5TIXdpe/YuvO12vbc6b6oKQju8+8RyZx7VZd9007
GQTSJSrYpy2zxdCFljACBjFkbO+NpKolBHOI2kPRV+L/sHdeO3IjaZu+lz3ngC5o9jBJpi9fUpV0
QpSqJJqgDZogefX/k9P4sdu9WAz2fDGDQQvTkrKSJr7vtdkb2IFK71HK1wy77RouSeOYvREL9h5j
t0h4fGCCOet/kzXbGQdfkWKYdEvthD/KaoBIlb01MF8J+s1iyU+Un72mnN7KEngkMlzf7RifqOGk
HL4c64uxrptznuvUDfGG3Lathy2veZ6DLKXHxcuE++qIrrp92dXye5yF+dy5+M1x3qzU3aZVurzZ
K8LIi54nszik1tKEV+wlPuWnbu6fDeEsflLMsz9Hw4yR8BGzZ/YM7lvwOs6XAWm32aU0nFI3kIXc
U9OtpzdvQxuVPZKZ97QxzOzqitmdHpEFGtTRU7uwRo6BQn3X0Yb44QiMIjtuJdMDMkMhkCCa9/+U
erJAnME2QpOCTo4LrKaz58Yz94l5nlTa+089piJCSAfJiK0tDzbcpMQTUNRpAiMBzy6aqEqzpT52
PJLjHstV1xy13y9/GLsLlzMmncInugid5WfRZF2aZJ1lLjG6jqZNpLGMDm0JknU+ImLfqb7sLK1W
Bp3VQdbfZRTemXVO6akxw4RF8OfY2TbGpziw1g0hstBUfOZO3+W/0Rc5NPnQwv0SpjkCP3f1rZfN
la2/89vWeNmy1Wqp+/HmBQNd5g8He6t9elH9ZaRRtDUzSoxFXxYnj5J6Gu/skD5ja0PgPZib81i7
nftS4faUkWXW01eYIWK6bDBn2HHK3njsHET6uNRr78VlGf4QZKyWBGRs2R/HJJNhJ2TWGc9pEHjP
RiMxJK3jQGH46jjp8gicql/W0O69cxd4PeXEro83cV7ZIa+TkbtyX9E+Gh4cB705xwpelzJRVRmI
h14WFVVs/mztB2c1sTrYKv8e3iAhlmnSSsMynb7AyNjAN9xGwWFRACR7IgKt5j7NJ0JQZu60ORLV
5tZ7cpQF9UPc3Q/bkKp75rCaVXkIVIPuuwnkoTBXT1+njgDFCK0QGQ9OYXRsrqyyiZX2bJ8BqyzP
JK7BT0aX6VKTWtztNsw36zlQRIjtl8zNX8hC5GQOG5P5kcR5UPLecNsYb8KmkqbP5Ld+KIv8sNib
ujVjm2QLL01egeZgaksk2ravLluGNcpykyg9jOmiaGPXS43mwjtV2vdsxbAiJlDtyINuOXsxLvUf
MyOzMCZIQVTcllvj7HFyznU8wP1aJ7mWVbUXU1fjRrQklBJte3k9H6kQ4KN6XeZv4uo0JUN/SUDN
8iANcwZYavsy3/tkaLcvDQWVOlHpNsJ/rCmO0RZb2Rb1dpO9101AukFYQ1KT1+Jb86Vt6CuDxCpH
DIi46irW8mmo8KSK8me4EAoYq74JMWlNzC6mHCusbwq+hPEsd+qKhy4t9H1meSszcOjkJv15Ixib
QCz8W2ym6KKWX5dxaqppvJPjtPg7Z3N6MzFzvz6PK5xp7JgOfVP1Vl4g8pDFL4M0L5hUOx55vfQ/
TMy4LNDzLW2X8u38m2XycN6HObw1/IBcqUF2YW9SblovsUAO/Tg0hu1YjLhSojFtxRrl/RYayVTX
fnZV/CBM1447lAQozYrmZJF3+blfhIOHsE2bcldirxgPy5zl9g5cGdRfmx0b9MCZqHeT0WY/yaaB
AYb7AGYH7QFHgeI0zN08Vdu3Nq9684xBONBnN2UBPW0BZssoa8dOJZkwpiAZghw7+I3/RvRZAo+6
Xgvah3F4pp78ltOS5KPZQT25erB2c1OYR8yBzW9zsFEz5sg5qWTs83LehV23pBy9ZXvUImNCxnS1
XFP2Z9qt14krNgfB2h5FsWA/6AVD9r6FuyU1BejVpy/YXWVS4QYzIl5y5jvBBu3GC4SA83MN1f1r
DQliTtpQtABa9KQyNIHC1EnR4Vi5Kzgcuz0K1o1ZlLP32fY0nek1QSFebKx94x0Qe+fhrgh5mXP6
d45+rOaOO9Kcy976MTC5vaqJ48gxUyM8epsIZDTQZ2lwYm2ijcdS1uOzYsKBN8NL/XtbvcY9Sj7S
qWp6+ztDCZU85MLdSixLkX5z8ZDImO/6tpBukpfDiuEPN7OTumsSSHtNj9MyuyQMFotVY9QzW8DC
wCry4Si539582PcV/y0gUoKog1Lx0axGvI+VlcuXwvdtKH6vsWnhLWgtUftNe6L6wFqajk+iN4tr
WrCJXCdiobJoI1qFfY5i4uUCgCR+NnKxxvg2TKanvnOhEAhrD+e97bbCexGlCh8mW8w6qTBPPwcS
Yy5gTtUJYLDOUhF8I1Wkuvf0q8SLrQ+5OQpxVoZL87yBOjA8Tr3mIzLerGR2OXqb9xML9HrC2KC7
B9kXJR86Y5O/n6t6Xajg0wZjXmo61IWnU90lk7FYQK6rCNpoyxr/Wlap8g/+lA79z66XpEncWmlN
ugNdAJ13JAHDzyWf/Ylo+AHCvvRJM0m2qffvZFq6n1mfla/02ntkIMrVpj5WeDyziTX4/v1aYZHf
hd7agugGU4lYRqT1dChmkMBTK9nwp3gSIEAJTm3MlwzY/q8+cGUJX0rq4G5Zamy8oirbj8xwUds2
KH7CaK26qTzMnKT9mXgsYPGtRxZ53ijfMfFe5oN1NXIxiRXELnX8yO3wPnz3NxuQ+IrAeFliipTq
7DsBMEwimGOzZawIKp8HN9J+zf5l2UVNOeO21uHu5kee9pPv9cOpW1p7Pi+SNS/xJxy8R4zqcq4R
2rj271Twoox17khiGueKptphBI6LyFksP51KQ5B2KhNIlRdPeRfNsPYlha5UXPQVVGPVK+E/kZuz
iRd/0LrarZ4q8h20gPw9I5FwoCPYw/Bf8reNynC+IDjBYJTuScBGpTJ1B8AsNUUeI7oXFULos1qU
PT1re15+QP2RmhS4Ttru8Jr0QPhm7v4ZcKAY9zxS1TeMw+a3XHj6pz8W4pE6NTzfxjx1vxAz0dek
HV/hWxWifpod5oGbYxLjuPCxPMV+BzyxS1Oos11hW8sfT5VpduAa+8OpzIStk4Z0Af+uZF/nX/y3
mxdmw/3JGAbe0ApY1ytQJ4MTcpu+2PEw1+/2avCPBlsf0msVOHBRRbFQG5uqfjIjWdklCXZ84d51
9Y0y2BPVZKk75JE5JnzhKHtn8S2B1C3FbO8RRFMY1NfTwPuPPuV+j56vnA4Ur7lV0oH6v/eLYyNR
smqovUA7eH49w3YaZmqf1/Cac0YczSzDvc4KxkFX5D1BjKi2PSvOZFNZR4bm9B2gYWAqkIa1ERw7
qy9P1AZ8KWZsVmOVkrkma+y9HrKuj6G2+vUxX1cGZ8NoTGVHqRb9eqxCrNqXIW/lmPjByDiBGRgP
M9HddXZdbZusicr1tX3ZqtQFsae6/JIBsdex6c7uc2gQwRnVLo4irn4ZRkaecW7LlH6LgkZKhUmY
mZZ+u2broqoIuxrpaFsYVI0CD0bFzBQebWSS8KmZ5oCwNq7TpXQt5t7GLujc6Sd+N67OuRQHo4HM
jCp76h680dy86JZTE/DHy4oQ3ZLsJapzZO9HBgbVnNko6K86D40+xlqXfwb+sJDYISb55g8rU76q
hnSEpIbVjEpV2ndZ3hufGV/aN7QRYtulrqz+WC5qmf3YBwB1ehFcskGs632eNyRHIsEFh+ZjFYdi
xGK9QxEwUHqHrfpxmZkA44Yghp8TcIQdBUxOz2OniSpv/aC/RVw6dhcJ6NZq57DwPM5Z492PcJdE
KKzoYnSpWxbBbOmzXQ81C4BQK+eV+vDWgibmluTVPmpWbK9tHp1wXACuquA20lSIBne9Z87vKdt/
uzPCLhtufOlASsc0LujDJDeYPVb9vvDc9dMUtnjyHen86EUFXVMaKcNPCMb6ILelwxKdNR8gmv5J
6mlZ3+Y8EB/ac7PfPhhos8M87V7TyZzMuKsq+5lUhyp/aMifADqceLjiEsDt03Br6cQq2ApWzqz2
PkWNH/5Rhc5I7beFGurolqn3J6hLr44MpyZPBIUUIiiy6xnDVru485YCoH7g1RCyQBpWep6KSfY/
vcFRgOkkXZCY28lV70jWhzmvZTrondWPK+TxZpj+A+VRHOPZwGfcpSINawQmaAiuECf+FltyMOa4
k43iWXXnXjLHd+IukMI1Uaj4jHeoihky1DYWf2weYbKHWRaHGJXM2O3RdQXGSbW2xzUeCuCZOnPn
IHarlX5n1u856mqQrTuxwAHNiPbCyMZbes3LMtT7NcztR3xf5p/QkmPIC3UlnMLOBrr9XHfjTbAt
2x9BANk3AxEzTRig+l8cZxNqCgMLw250NdbxUWxWg9xgLNXrhOGgzXeDyJwv5VZlf91uCPSfoihN
quqDvpBJXefkJoxuu9DeXofFL+jRuoY7n9rl1GZMwKSzzIiv8nBZ724YzRjXky7vesRPJTJTsy2+
2ZOXMx0MuPkPfpdndOQJckOSAnxue+NPXD1CZRbWnLT1QT0hRuYq2nSDLKelawO9CpVN+6bYAhEb
VTWudTTWw+oe+TnAAmfRBe2JaKEF5H9IgfRrkbFqYL8kScYm9oH/7AY3LbPEUDkPBPge/BusTT5F
gkKTCZlC6r11XlqLH5hL+uBqNBVUrNlLJknix6mLtxWRGbW11vJkZ8gYXwNoxLslH1UbL/Ty5lE1
8CI8Dn0VMEHNyt6PGTnYxFP4SBIkSE97TzBONcapKJyRwX0D9CjJiiDexG5QZNnzWvRvubJTNFB6
BZ7uQHxB0tJdlTHv/ewrf9tw/ZPH9n02u9Z+YMDBhlVykNWf5eaK9lwri89lVIvOCb6syKMoIku2
S5eymLUBaQ3ZnEFvUqRiJwEre3Ct+7bMjuj02uZqZAH1tdAIa5vGc2qM7Z01jagGmZQCvDSdZxom
sSUBSffkahg+sTZ+TnpMvZNEsOhiD01HWNA86rUQDBFG06Kx8Lhin7nbl+O5c7ZhIKSF9GxNxvrS
fDKKzGqvFlH+6JcSm8HUbdAIC/fHK52RThOPMFAA9saiPsytyapHi2viJxqtTn0JjbyoEcRpDfjv
uUv2RN2R0u9FYZnT3drY7XRE7kfdXUNkHUJTooZN+7BKU7yXWeb8GbiJa2qFRbrEWWtXN05yHls0
HqgiCVXgOFS8q4y+eqZXh6JQioUILVk2R4iryZn9xt27qEMKx/K78uoivVjDOCPNXGlWvSsr9r1T
WnoKGYQovYAnCkVNVGqXzqPVZcn8qJcscOPNwRsT5eifc5MzxITzN+qO46OYKdm5x3BLEnM2p+Mb
OjZ0b04pYcOxxRbZMbXrAFTW4OpydJT19EtMNbVxVr1RC5rWudfccI5mPjeQ3gE9htBNw3GzO2Ew
AFN57D8hSqlBJTbX+UyBfcvELF3XBN5p+IJBMrIiIYl/QARrNlKgIK0QdXVxaSLx2rv+7L/nhYNC
oazRAux7qfDJAoF381mQ1LPuvawl2nkEKanPGem2zTF1+XHirpYVZ70hSx1bC+kt4HNTSSpStqzh
kIRiNaaDP+IXuKAq7Mwo3wifwIa3NuiDbJKVd2OmdHhIQ9RVxJwsDDCsP6s62mtt5he02SR35mvv
dxAnxZYl0EvBliB2rBmNVgDPXZ2zpz9M5kiWSQU2ZKLzGtVwC0FCFsmlNsvLYuvRRdk43XhxbJ76
hadBWq+mvdz4ycpQJrPGZjyldtd5V8vAB/4wq63Hhhpwlp16WhusnceBbtCTTZb4IC5INmaem7yp
neY99VTWX1qWU/CbvjbkU2ena8Ei5wABtXZn1G/DsAHTI3/Phg/M3KvxSNZYO3xXNFVa19AuV7yL
YbeQRGO1bhF8FWqDItqVOXi4xThWg1Lb2l2g+3TTNE+Dbq3pbcrIgm1wf7gGshzU0OOWWC5ZFT88
UEVmPDj7wIkwxVaEAhEVpLn7NXHM7xrRCUH7vJHSIbbttJteuf/NuYhSswrHeSfDxa7vXcwL1WFe
K/RARj6tGZoh0Ee6BgtDKeK6ujo7r5WPmGPtOgVEAY0ffLVF0BZvvlWZxmnyWMOetlGtqFf6VObW
w6atSSMQGbbpRztKy77rTEKj4nQr/H67qcURyTPCZlDAlSy3cb20mZdJecH/TqDrwxxW8xYgjDdo
sWuI7ZSHzq2N6h6QTbVXGEtRvHk+KppL0ebD+qCHFsFeU4ct5mx+siuZxrLYDcNABBb5O/3OAyPl
3R6WJV1nQecf2X/hDQuGOIQgCq0ipgbEgjuTpeizGjtkg7NkMd6FQL+XcHLZgceZ/+MymexXhn9k
Msx8BEwCZUB6GJc8c5dDqhlWu5ewLECeTuVUNqI5woPYtfoITIJs/HdZIVpcL7TL4wzYxKymp9k0
JxsoSdSVP36fgVocGKJalt36WQ8ty9+eV5tnjmd3mfM+2OuFHMlkMdBwZ7FjbYVLiDLtXBaqB0LN
q2SuVw8daEfkHVNs3gvkAIQ/ZT1vTxs6kMM4U56BCDev1yFuly2HhszHOQuLRJvO4D2TwZKXagfD
GTjDCX2YWB4rxzY5Koifk+GL4xWpPip4lS3O/D4DFq0asny0HoLD2Drl915OsMCFmZlP2tnqPwWm
mIlUSC1+c6wRDCLgCN/8rUl/hmh0p12Hqvi1nILwsJjWpo41DY0/LdWLt8YQ4Xs+NPmMH6YeKMVU
echxPY9iqRKMRBYmlqLto62B3P7LXPr/7fj/49a/+X934+/VR/OJke2vbvtbgf3t3//LiB/+i0Yz
eFqPmH6My5Rh/LcR3xD/wrAf4LLHpI91z3Lwe/23E9/6l0l3AYWcwPuWQ+7+/3LiW/9yCND1yAkk
Iwcnu/f/4sT/u39bQLy51B47HiYtk18F//DxyV6kUI4NMk/2c3lcrBK5sRThuVE1/g05meZfN8nn
8j+z3+3jXxaw/70s/v/4GykdwU8nSIzGfYoT+e/OM4iCbhyQexIyp5qI3Ct845sG+InaRSmMBXbx
n6pI/hE5ws8l3JsVVXApbv/1/2Gsa3kRtqkpoeG8jSevnFdSwoYlJclvw5EcLVnnAz/QAppUiHve
J/dWLrZm7p/FUdUv3dlzS1ORs7yFo6P/U7/x3714t09HCQwNvTY7j+ODjv79G3HaCQQ1c9QOwxom
kLkZvJVTYPAeBHoBTrRKIzsX7fqfKset28/91xW63aT8zZ4NI+MSyMKddks6/fvfXEyeX+aKnXol
66SNWl5hhwy7FVLgNp/ME/PmRPSiZytkm52yLj0tE0xPeElYGbPeYwzsp6J6Fqx3/6nH49+u7X98
OnKr2fIIRSJE95/xq+7itjVwQLtjSFhs8hct71G5w7JrlSzx/pEA6x8NRaNeLDy1egfbz9s/7c04
GskaYBZ2rnhCpSuNO8oVMyNePcCD/2DavMUB/O1r9MnN532OAxe7IwkupvcPZ3gdFF54y7ck2i4V
J5L0VcJPU17grs2jb6ovhOq3kSRU31Ebur/6pszUjnzq8QEivbquAH8/vDF30VU18/BkLL7DwV9J
G+mY6r1TTwPdOxxgn8cdStY1HtBFfEwqXEemcbbOUK4yP/RZWOXxEhjj9qhX4gGf3LCwfm1p67lH
xrEprXbdpBr5uJWwZCApreM8lWG92YmjUN81gAeIRNhA4cH722yKoqlCEFk+5h6Kr0PmE9yKFgkZ
QDzycstwb4+eP774SqDt6dIF8Z4xQXSpojeGE5PluGcHQFcwzl0po3Q0GAYIwu10JEruOQOXjjqp
CWX2A6a0dD1thCClLC9A6zgCqUmNAAYN6MpRLx+Zz8CG9IbQnNjLiX6/sq1tGqJNyoQXDn/i1v2b
pDVnt9ulXW0/qWHN4mrErBeV/lDcuXR9qbumGBDa2+ZNbm8slZ2RBO2RspZRBw9RA7SQx2O7ESDV
UxyLJ2GzWyjSuSiXA1Se+SvzBNqp0N74FzNRT1FVdZiUhM76c4dcy91DEOXV60yi6SUYNLIuLfNy
ZVSnXwQpUF99J6VlCGIW/eCrWjdf74RCP4+TigDROtz8X2jHhgoepAwqjGrVgmdp5D29paa44AQC
BiTl32YeCwZeaV0bmJ/MtFLuy5AIxYDlbO+t3Qq/nM2OmxDgF8RDG27RNukRjxU1Mid3MwBJSxug
WI9LA1rIHve0YUb4KlhOCQItMARuA2WgILDWE7U0ozqnpcQlaZXkFr5O7IXZTjltHhLMEaBrC5v+
8SZCRJaL0PANfNWZj2Q7ei+dwOl1EsYcYAKuM/0UIBxfoRAyae0sFbJ8N2puT73osA7K0To7VfBR
18gld4jJ5Mc2khHzCeih9oMpy69bMCZ4sHerRVDOuliJmJoek0gzXdYNDqEbty+rmqACp3E4kD4x
f+IAKu9M/Jev/mjWtwYHu+EzbMt4HLVy7kekhafMm4Y3gagmdkZEsFVBh0m7IIAjmKeF5p75+Vek
1Fz4IEuyIcelKo123qNSY6hshMu963ajtV/qEYPCEJS8x2E3Pzc06Kx+RWq/Wcxh2MToYiGJci7V
UQkxIffjnNjTpPHbGyGQsMeEf3pcZ2s08vvxAA9V/dp2lHmzM/vF2VKLgfQv8GO3cbpEbEP3UrIO
VUTD0j8sW1PG8AJzlujeJuwDWyVRq90qM9jpLLx1xA+8vza9bmd/ncSLu5XiV7GszYNaWJu9ntRj
wnb9U1+M7bXFYYaE1BTthUpR3ipUQjtstPTWjHuPYV7RxU5sMdJ943cbhOoOHciWTBbMbdS0aX7W
7prTttNO8k+LkTvaUkfSipcj0MS1YsjHRaG7Piw+RUoDa+CzKW94UBm4F5kNZbSgjcjv1hE/54X0
Y1QjkEngsCOW58E2VdLpYggjOAIeN8wvMjR8TrVx1O+dg/t2Ry6Jc2fj7toPaPcegwZ9VSlRNOyM
FB/BjCnkCec2uOAwOEd/CNzInVrxvQ+7FrEsbnTo8FvwTajs2YLLsdv91JfBER8BIpZJu8V5RSJ5
MHGQjtcWTfzJacz1UOYsw+AdVADnFSYATv7qV4Bm8K601LzHtJWmJGZuOo+JDVTzjiL4/rk2nVAd
aYeenlbHy00kdKl3EXMYyMs8NnmC7Hp7NBpKpYX5b1ORWfEuywe8D5jyfjrZgAqpaV0Ppb5/O30y
xLJPcmpr46nmTu9OhQ638MiBbKSnmUehjvWw5PueO5ZnW7r3g29jgNGeTmbb1HHpYUGxJSpbYxAY
VjG6zIE+ESD12qaBfZV0l+yxYh1saR963/qE43/uzPD3YHXPVhsmnrR/rVn2oDaNdLJ4LAyMsEIN
/QNKe2zjCMumnTNlvFNz66XqvDvEdsV+AG9nmdHnpe75J4kxvvcbumVSbSVQntu3VBMR2dsCfBYl
KjAQ5n8SfpwTJ50fG1lR/k47K09cuv0O3IN+IlEl/ZrdfrlAmhZk+XKHJ4QeEzcJ3v+9RdlvxqNp
HPN1W4a9iQWjQlQxNsUZYfpErkcVsvKWOJB2itY2hNU2li9XTh9lTzQxumjA/poQttgychMJi4az
2fGFptmHIZYJ62waGC8dbo097+c8OxWlB42HoacSxzTNzOBOA9sHgEpguK3JS9UuO4tvWNaJJgo1
fW56Z4vdDD8LiAk2ZjO00pugYbCZdUdxnft028NZLsOBUUNHIchlHjkoyO4lxXKawtFJq6uzdgsy
BBOmi5SKG8rRQ4MmJD3ORytQ4r6H5p13q+PCfLVt7eXRuviruTNH4mrKlO+c16BwLAJYwaX7yc/D
BAYuh4SmG2pXwoKgk2aO+sYz26PXhs2PGoOewJ2aGy+mDqt73HgB7UvHWJsEVXD1heMHzSukRrIq
mltiB00B6f9tUb76zPZIXnUNN42hy7MPgTbcJ5803wgyT/65uQO+9VNXTImsiuY0YFfKEtRrKpI+
GAtiM/vbAtXxnttuPZ0xFXVNVI6F257Gwkk5OaCWERy0/dFtSCJGKhPGTdGrB4Lgm/zIaVLhr8M1
NNl19+yWQp3B74InLBjNnSOstzkoh7MPJ33X4nj/TvgOdASFrtZPwRp4QZ8YYv+prD/l4Pjfskmh
amnT6ZNvVvwYrdS8cOG4Y/jxAHtqRXsMdiah3ryeJH+E3RvEtzFV8dqoX4vdLgm5N2Uknak7kjyr
kDtD1MQ8+0wBlWs4+jhllfUTAzsCJyVDrIotIGOA5v6MeqRp9tKdR577tsFSny9c72U5e/UwH5BZ
0A+DTDpJdUd8lM/kB1YbnM06I2TM7xau5BQ66941xMRwZUl9nT3nUmTlfMa7Cay7efyPqf1fqzmV
UUB3U0L7zQm3cXZwg20VSDEHfd+SLUG1c/uMjU5vEVjYfCJcPUt6owseNUnSrwCizaUerf5+JSTk
ce1qF09B1YR7CS9AjAWi0Q1JkrHO8ieraR4NoV6eQk4N7EG4VjDJudtDTrX5zuxKjWDIYSNiZyRN
3nbTa23N1kUpY/h2C+46lqsLORWO+Z2t2+yxN+UlKwcU7Wlz7dbJtGMWgHPmG6emVPLdS1v9IfCq
fpsYdg5V5T2BuYGDobWhd3w4uAb5q4E/V1c1iZvfocaJa3n23uqt6W4zaj8WG9nDsK1631a12Fcq
HJPSNFgY+7p7dTQ7ehs4xAzhm0JJkaNzL6R1wMB8JUPYSvAyTfchceuR9ur8Yvu3KPQ+CHaWAycK
e5qeNMGWvGs1Vuuhg+uYtfHKyIUoTjTGZUZrDA3N5ea6Y5uI+zz341W59vc1IzQgQEx9AZHVcTOJ
X8jLauYQtIo6rOfk5i44wFL+7iF7w/0kN4RUqZteemMrMR0PBNWTRvJgQJ++Ik1p7mrU0QsnVOEn
S+4wTa8wr9skiTLw8/Gydug2FiTER+kbIu6Mab3UbjO85pv8E+pg+KLoAi3UvITYuWz4Hr+w9a6Y
dHrosrI6VOZoMO7De8fkECBKqL9wQZEF6OQNujw0OT4y7d3o9M5P6eBgzlAo8t4ZhnvM+QZNmbeU
BtPDeeMA/XkNk0e6sanPXsklLuRhcOX2NAWj/UoQdXlc+rnZk1CE2KJr+pDg24Fs8Am14gAFhoBY
lXuT9+5nyGT421dYB6bZ4pxJU6TzQ2rcuYEnD+vgBt8oimF3GsdKXwxkPglNFd8D3HTQWAK9R9Vg
/Apt9Wa1Y2yMaXke2xCCRcNanjYKeolg6M3635Keq4FP5TYVm0nRL9sVDtLa6zF74ZrgaXMKJ07z
dNhPof4Oa9hEuCKq07Kaj4OLXsMxOKStFn6kqv1DTshV4hQjks4eDDyeKQeLTSieXVCv877RBa8j
yRpjcba8FkXhHA1GqVPAfHErn3A+K8+skdXpZwdceeUsCPM3szAeCT/b9oYd/PZg9s9cbQt9DsVU
YVEcwm5aE9WPaKkWfeFdwOqmjfqFeW07Snesoty2OUuX4ooVEelNgz+f+JYQn3iIS+ZAg0O1M/Eb
Y2vHAQz0lZLUZf+ofVStoRc6b3XpU8+xoskQLWGVhMFPe5+2VwRN4a8hDF7subOIzi9xNndkYFhW
RQ6MvR4NHqBdo13nikG5/GqqSr9ptDPVDsnucgo0qDHMwmNVYstCVSX9lxT+YD+PPkQ7BA9DjcjT
o9i290LkpFYioWcZE9O64wCrkx59IEK7wJtOweLBWdXTdKP/gKdf0IDihnQJxdvBCzPyBxnDh1k1
v9KxfauWJfjq17G88BvrB3+Ycu+U9pO4czPoLfJblfueTa2Lna6d7wHQ1w80OupRY+gedqkmgsMU
4sNFxENIUKC6u5nQiY/KNbtHD7/LuXcN907ZjfPoDjXZ7JTzIXMvQLi1Ic5pIJtD10zdGZtuh37B
yK1To0htMkiBuhsLtTyhKlX3fRHyy1q3u2kynJexXgygDVf/VO5s/ar1CHtjjJM6iEZLn5AHuR5D
2WAVxTEcnoSHrEp4bALI0XTSM9Z96/zN/EoNd0vCKVhvMRrDQYuAUHG/1dZuyC2qU9JmiNCtdgc6
VBhBwlTenIdo5LEEe36IT4uezn6nhtr55tvU3yUobxk6tzF8a7cKm4xfm+L3jL9wRGHY909DV5Xf
HbinIC67ecJiaiB/VfgVKuKCPlPkUUdpWc572+r2nDXiv9g7k+24kSxNv0qc2vSmoQMYYDDgnKpc
+EB35zyJ0waHpEjMs2F8nV71onf9Bvli/UGKjBDVWYrSsrprkZkRSUrupBvMrt37/9//xYiz4thh
kIhVyFa3lO03iBbi0zrhRrty7fkKu615H7mUslE1dnuTqcxL6njpW1VV7G8kgCv6OjvoBi1mi9k/
1U1BjYSN7tbra+/KVE2xTVg0ez9hbjgkJFWNVdJDAtJiBz7LuBZDcTVOKNcc2V0hjbdeM/yta+at
w1naD4/w0jKbA8vU5qocjeoFc1Vv7tiREE3huNAbbknoLUzkCPu8M6qHsZH1ZihTAwUWfJXlF46t
1AzPcqtVG+Zki/0ZCNKxTSySDYQEb8CKKtbBSoGXYdZjFzLMg3mP42UKrlHmpuke+b02juZmgciI
yX1TgztvawtNRxWWNzkmgPI10qMDL6YXsrCuQqwiE12dtrjo00wGW5Rkg7UeG9M6tjrAVdBzZqZN
DRsLkiELTMwdRncX+Y1bmS+WX7nTEX7fjpmM0aVHfVMzx9UdQ+kUIeUJOdXOFWZu2kvelNM7mxzH
QPcUVkTXhys1JWm8txsVRkd08KiO8Z663omse/Qjokknb+8XAXHP2AV8cVqJkFZaaQQ9Ur1aojNv
LPAiifa4ZVlDFu44+Rh/loPfXbKdFukzeiq4J5jriaBbFq18GCKuQucRqWTuOx24tGp4H72euL9i
84rkysgcvKt2Tsm9Sl3seheOmwVkXQL+SJDij+mX3rLzW8GFgHjirLv2OaqDE+UMGXCOJrvj9lSj
RDJz52lu4BHt4sKT87nZlwJlGckrWwSXznnHU8b1PBEy2tQjOgjk7/F8FpbT2B5yeonk+eigvURT
EhTHSnQaLzJCuo3hFPlpkVXGBN09WspNkg+KXeFFMaVmH15Fkqz4FVsCItk2ipkVF0WVvfsdPdcN
2G9XfkbqSIBDGePmZOWKDIsC8+mS0snS9RZV6RCstOHY5Tl+mgLhrmqwvBIRrNK9XbtMEBoh+H7Y
RHyubY6/YjW39XjZzz2Ptxu6Tn8NZlKLi7Ft+XZC/aICxXyb3QYVy/PI6gHiraqhBeOVztoCj4I0
t1+roKGNF/UNxUQxYcboDcs1Ucwv3ZFEGOOZm6AWW4eWgirlyGHfkxUlr93SgEcUSIPwB8konnOD
x+oGNpR3RlUenaHooUq0O8IiNsyl+eeWBWGu0fAjM0zCdACdwfR2XlkoDhFtDrCKKCTyIljNVjrD
TSIyqFprKjA8ovGgrsBUYZVdeUHsHuDZ2TQ1FqF7KENkkXNRMzB2Z9hgWC5MpJMUbXSckmK8ZZyv
qJJnFHcrl+wave4J0XAPczEEiIxEzp6BxfkLoUyQ1jou3I9DE0SXrW0XX7TKujtXDD498Kq9cFrT
aleiXGy0ch6DFYq5cdh1diCdvXQDizQrUIfeocR2HoHnwsm16gfZnqJ3AgRGWXUphD3JddcX2Z1N
/X4/iXE+90vUT0gVKgJ5U13Kz9KckFMQ1qU4m7tIPc/14B8ZdMo5pUeyj1bMy/v8PtYFvnkvb1X8
3vs9LXsrUl26bweHkp/+c5Ef0YZp/dOQ83bnyyaqVrEXTOMR79x+7ntfamhKgceKn2S8xUfC6rNT
seiU5/hBzPh5vdDW51aThjv6DCwZ03OVt9HUj+FeI5dLT2Z0QgjRKgKKNqUd5qBbnJxHOZlzW0Ax
MymsDMMSl7Imf/QETl6GVsqVIjsg2i+6tdHXioMbC1oAoVHjfIus3D8Zi5ZWvTcZbGw6xUGTTVoi
W9R2foyiVwIDpVqYCQaj3t+4sjOfYrmUnbGZD8R8RoW9jsqOp8Lk4s4z1xEVN7W4u7BXKkqKKeBX
Wcb4Jyqu4GTbRi5KIh8pV76fmzw9b7EViQvm7aagIWFRWlVM8bO1oRx+hIansl+7Ffyulfi63rH2
R29jmgh363DNOxf8kPam6plyYu1EJjx2TfnUysEmSWtwLeKzWp3d0M/1nkHrpE+TqKNxl1R2dico
OgHEhal9N5v0AgBHjbBAQpVjCdRjf0F+uJtwJVDjvTWl7bBpcRkkBzMeQE2hxuQdqlyk7jZCUYfi
KAyQ8GDuNc+dppAvQU/jOdc1D2gXaj66yEKjtVOw4zLUVJTdvCJK0Y0NYY9O92RXR6lXUr1ikstP
mWFO1cZ3HOfc8Wt+tC4zzd2A5or5ZmC4WxMyg42WvjIiVrwFV84Uoh12hVXa4w6pMBFibRMxXVlg
kwh3hmxq1/mC+Njigx8IwZrmTG2J0KwvCt9nz+MQ7jb0OcbgiAtOXpx2yTCcko/tcU9UKIYeXCcv
XyelZLvhGBfTieR+NF61yO8oT/NBIFcHgDcgpkWxPGhVlYjPEW/uJ4TB/fXXKdaUI3Q/mGg4bLAr
kfVStoN/3ideMx3BqyIX3uSMZGqLPPgmTXohwKDg/XV52BRRYJ1/l+JajLmPevrax0JmQdsYsErG
fvjWontZ2+RK8NDFjn9AWbyAa7Sn76QM5nHTdI0NUyjNJX3umqNuVdTOcBrUwq+Oqrbwd9JYKESa
Ln+x71t8L7vIzeCwhEVxGliiAC3k+bn7pVPoWi4TX9fheYO+MFhhKp/1qTn2NU8gjRJxQl5CMu/L
XjNK5P5sZwfp62DGhW5URJc1efPe4ITGcTcb6V2FyWw6GcZUBI9iduca2ecYZAegp41+NmMzne8E
PlQuAdagPChcPSJEjx5FfYO8dHHLEB9VWdrHFVF6kbOhAxRvCrel7wMFhDODIUocHbB/xVwvh4rg
rnWuOClenDmKCSUchybvLunKJ+1VXsfi89zNpdpit7XBf5dtKDESYDi56Awjo5ojwMPrzZO0sMR1
FxYpKJvZugdgML+GwKLP5FxaXH+lPGniEHqhLJHwlW17rbDM7KvJk/h2XaY52vX2KeXSRY1sdiNw
wFabIpjVKcUcryQqs9swlVU3ju3q1xRLHMvHj9XOjKL6kjl2RvJA07+3cziCIGH32cCJrK/jpEr8
k6HLvRO3qt1mY6TDEK8NUp3RngfTvTLHeN8m1RaKjY43aTSrp9Hxg8fWVP5ng9J3ozRLASAEgnEj
lG95nHugrRCrnaGD1gfVF+ZF5NhS7SO0C+J4CCYrQxBa4XaBYrlnMwBcABV+EeYn5UsVVcRFJ91g
jEcT3jzOoTp6JiQp2aObpQPgDf6JazvjsUS9gbPS8I+nCLhrOKaK3B2Es7gXtbce8zlIN84oSfkL
OCR3OflbN1FsQNZAWgZxJmxocHmzM+6hCsTPQrfRGspvesETBHMKlwRFJWk33etg+yB4PUZRDL37
5FQ7pPIAg2IZMpaOyZYDzQE734eBuCVpNLqY6bfi1KtaRqv49WGaWhXiT1EH+c0ss+idWTabndVz
Y4tyE3gCLWW8X00eCWRxkSYPykkhHMZJcTzoCrU6Hl28zllX8rFa6Trp4+Aw+biDEs/rHt3ZyjZd
3TWnxC+EB7TMDMes4F56NLcOkwRcs1YWVAFYG0NzPw3WOwbr5Lzq+s9KWhNHIZFJEx2tU+an08VY
RemI2bWJr0sNJBQ7fLfgUBn3NUErj/WISMK1je4Wq7T3PGVDeWohsbikmcrCn4can4xszM0oa9aG
H8YC4z+6F2SPmR9SX4ngkEFtt8E0GMMRSlS33Pg5bIeX3G6NYwZva69vSDw1krjZRTMUEvQRRrdx
vCFxVwO343U6yhtz9PJTlCS4JkzTAwbAJJG0C10xreaif+l0E96CSg7lGek7yDzLMrtj4kC+aIpA
ejSKiDk9MCF77Qy+f5IUXfmERYhTbJgiAGGVp87jOZke/aoWW5AQ3SqhQX9fWMZAR1dzpMZlQ8PC
xsURHXUDjaxVk2cn0uAkR+PshkehKeAUGdW7oUS/l0WlCQBFIrT+79FgkTaGkQ7Vpk9fFCKX2PJr
V9OSMkrNFgblcRLTlGpFEq4zDwv/d0Kuf6JW+qjNQdpB4oPLfQBFggCZ/WMsdcN+aRZf4yKTmp3a
s215Mgdd/zpIwbwNY/1FMggqy5+/7EeR1NeXlehJkH6ZgP6V/AHPXXTxCEJeM9AuDIW1NJucYJPR
82ZLzT0uB6rAhfHz17TMRe7zp+CGV0X9TigMYce2aSqCfD7KgZoW+keeMX3WvbN0MxNs+4fYZPOC
9id1cxSBTr4FRssQl6DQA2IIL9kz9OfG18Pc0Ntocs2XKWv9ngtUbHJ5xapU3cN0kcYBd8lAs631
k1K+MG6mhq6kk7wjop4Sht8eKhVpFtQHwPj0q/JLRkAdpFWLk9kH2C2zsrhKaGsAac1m+7y3qu6z
xy13AKJKWXtVNtA+dsLsKr2PuhyzhkZmPG3TIVD1BqA147mEi1H94k/OoiAxsMasXB46WmW+ad36
cccEFbW/cTCDidApPQw1znu3nw/Agdzr0U6gI0KQQhU2Dpx1EdSlbURpBaiG4nINXcUGJBWiggf6
kwctPTjXdIlXNC158GJs7JtFXX9wkQVDNJeS7gcin+rYSt2auQn363sye+tiU8nSeMsLL6bWGEel
dkys4kc3K4TcxQksSyjL1vSaeWO8qLfHrgbSMbbmNulHhAF1NLsbXdGJ5qJZjmwBdMeMtZnYXX3I
ck1Yc+OnNI591TQnEFI4ZjywBxkKIpBRq1CRu7WpIHhxHzPiYheiJ7WBy9p2vk1c3fU0G3DLHeF8
8Nm+kc1AGcg6hP1InsnMG6f5ANERstrXhfpLMtPbEn1D/mOQEyLE17KaKAki/bez+BUmT/muf/pd
u7fy/Dl/a3/8puXd/PF3tX/7+mUEjptn/fzhX5AdxXq66t6a6fqt7TL9t3/9JoVcvvM/+sXflaO3
U/X2b//yWnYFOvDrtzAuP8Q7iUUg+u+rUG/+/j/K3/il/P1//vZcfPntsvn7/ypeofJ8r0v9+ld8
E6aqT45LChSTReoRhQAR2eHw1up/+xeXr6A5xeTJ9iNY9+wDv+tSrU9LPJqFktVeKhI0i3/oUg3z
k0l7EnUcaTnoU5e8HPkr0tSvWT7fbUe2aXNRcaVH28UTjvB/kNVljqD1itqZghzZga4OZjG3IOwc
e2+SZorBWsD0GzRZgti5OijiOVHGSMEim6gBmPMbsmLzz+YYokUKFAhqHU7z01T3xgbFVXlLH06L
v5ADOota88O7diwuneairOS/6Sd93ERTpyRpWD3i7kK+B2XJuozINk/W3JWTq6WPQ9OhL64wGFv0
/JogvMDmWL8TdmSf2ZntHNv4VO4MxEkX2Yi0bh3WnnUypgNxB8qg49rDgbnlg8YVnpvztNVmjGOD
XyJ2rDgzXoGPDG8mFOfrgW0Dyobdv5DdHp8ZYaC2fdRjq4PhmJxOJdnmfYcDwJwbAzLbnDKW8sK5
fZdp4K2ruATCkRmcs1VLu+u7xfmXJ6tnEqq5JHyizHV96REy/fH3RNUMw2T5PSkNFcM/j7o6pkVW
Oluh9LSyLDzJv75v/Mc2hf9saXFCcZT/ZGd4fnn+sAss3/5tF2By8InMGCV8fscm4aP2H9vA1y/x
9C0hZh4ydFfwEf1jH1CfXGmSUMQegnocce4f+4DFl+g8MmsgSpJKwlW/tAksAvQ/HyfJyiAsjqQX
W6CR96i2Py4TK6lcRuue2DBZMfC+KTqw3Cm8bninmF+1wy20GGwy9vDahtbBZ8R0MObq3Mbzsynn
5hRqgDhjrznKCKM/k/rx1xfVT5fL9+fI3y76t4bW89tvpBC2vx11xZdnzS7/n+DwscRPl9jxc/4c
v35YZV//xO+rTLmfAE8IonvIhHWwQfCXfTtsKF8/sUaEw/KTyrW+zyO0vE8cIvgjGG+xSdhLiGEL
Njv6t39hlS3HA4GENOuwQ3j+L62yZb1+WGbS80xEFbYiu9LkLPxhmTHu151fWcnRbJmoytxBxM/c
Abm+YHZEl12VDBFWLUr+a/LCcRJYbVH3mzk1GCIBDwd+5JiUXWso0NW4AgzqUMsRQH1WZJE61Sa0
nU3uw5zYjrbHSJA5117F2OFWQ9dPn2mlzQFy5ZpbF83Q9L7SKiy2Elh3FET59ZQlNoN1TX9vRUAY
4PNBLjH0+ew4tGCJoym4QJOzsMWJiXw6DqV9ByzStDeFzQQ6g3T2UGdIs9pqcXTxwAUXHvU01su0
d0ASuJ2fcB9vrcuWOAh/jxN5vHM9ALTriOjCGpSY2eXrvMZvRnT1xODSMbzzcpmMbXpQFm+hBRt0
Fdf5+BmhpomZJM3yNX2d9MC/AghBY2vdw9YTL4raB7OuqaCPiiX+oRYp57MEgBFvdSfGZGvNnXkH
6825TzGex/thZtyu4ro+cYaBSBvM6zCxzCqriaOmKk823ewZtxZaG2MdM25+WAwPAyqcyWKG0UV8
OPAukodKtQxWpsh3iEUXJuq4GlcurXm99IK5bRjwoBI0nQHhGkBy554hIIO65xINAgp5mMgPIrej
1yBgfVIPV8EFFxuEDsEkGnsTzb5+smrbxlziCrxXFXPjGSZxmjwYnsso2u2hCMYW0kk64RizNnFv
xEy0uY3gm6U5CpXEt9/6uhvj9UJjWbB3SETaVsYPvQjsDEKeIehAoAWFTMqM9sjRKRzlBmRjsO6D
CMsut1TnCpDAmGNYiyAzMTanrDdyGAh/cZYvZ/X3m7T0uNnzH3Zr6kLH/8FFBJsA5X0+x0dQ2WAK
8iGueLAxkvsy+YuX+ui1kBKjCrJnhSvEt9k3vB+LQtwmYWOp5KiS9aWh5mQDCQ36sGwMJgX+tNF1
3J9W/OOllZjD2X/t9v/0qmFStv6soABS/dtl/NZwlC2XjbMY1jq7xYcqY/k7ft//pYufDXfTkk76
7QD4Y//nSw5dB9dEBvmhxnDUJ8vhu01WlmRPln/WGI77SbE5cHOmYYFzzRW/svtT0Xxcv7YQPjZo
lxfhCsNZwjnzIQ3N6OwoLvqITprd7mGF3/OaR3Wbn6qYwbMDB5y52RRuM0vDv42uNemP2DG9I/SS
uyjjK10zRXuZAJrRlv0k4cujaai3ToGGGVLSCcy3Y1Ir6IWbNwRXPKH/fcedDDJTnXSucYxXAqIp
HZpVPCZfukQAx3fuvKjsV1Yw4grvygc/mu98q/LJTZjv8AylmzaJAGuO4Qv4wHgfq2Xy5YBi7W31
MlvtG/5TYxu4xohWCKpkaobZxnIsMpbsc9spnmJGaKVMTSgBQbhhe0F7CJo2clDMZMVcIuBK5zOy
iWacwOkZvnhkgPbAO4iTd29cODXEp61CWT9kVf4EKXhbADHR3XJwJsHx1KsjkgrGba7TF1qe/o4R
ZLjtraL69rbiVmQ4ueQu6wsAekn4mfyGsbLR/3rptvfKp2Fyz6OQIVur4y9R4N1ig0nPUHSWDCj8
gtgH8w6MZXXpwOxeGY6RrUc0gCuhYGep5EswArop05cmD5fTyxlWjC/OndK6z1sa2enw1LvTHWN6
VJMpJ+OURy8DbBjGVwRgiabaAqOowAq75y3KRfxyepsX2aXhz/f0XeGdSD4jbxlIdChkdHWZmlCj
komfJ0VRvx48aUPDdBTZCKd0afRx5q0naFRHTFAetIN4M+uwWfVYKgQiBoJOzPXoPCqzX7G1IbHL
IIvbZfwStCOGaFR/27ATxpYeVnoclXVNB4fQlHliuweVk7g9NDLLsI+bls5oHEREzcATPypANq2V
tMfjLJjONPhBwuoahj2RO26nxRhZjLwFA3I6PkR6+Lis1obf6a3EBngbADFj6GWjTNZNsuZhjtck
C5Eb5ATHSWOajBmc3biwdiicdkbW24jYUOYpzVEP+IhgJJzj0cxiZyyMqcnaDqjE7cQ/IGcgxq54
mqseDSnCfZQdx3j4r7OkuWTSQqRWrS9z63wKkyNRp0/f7V7/5C663Mm/O79sQaY19xXBkS8suq4/
3NmJoiidsFPhzsuqGqApWU2Ju5cxMjLDyU5//mLWx2hEsmOXV0OVJ5mEmOw5P7xa3yHcMSKoX8qj
CHJDf9eoha1VPCDzZTBzPshF4NkDzUrbh7948aWQ/b9+VDZV+irW0qH5YasrcgKbSynCHTa3F1ua
JU3Qab2ELSXzwF7z9YNgeOQH2amH1MYgsPfnb+FjS/3bj28hajeXnXa5cv6w2drSyWtphTuIwkAq
8tMQ7WFd54SvMW8O0r/4dX819/7wEyshOC8sLJo0rbh6fL+5A2tsm572D5ANh1IRanM03TEw1BWP
fEP7aOW3/q2TEtUYyeEucfCZVC+ibvaZJNVEA+IMqGx0cYJ/984vDVBBJ3XS33mld9QJJEFVfY5j
fzd/MXRGBxhSjiLPxeLaisjXviompNbzoA7IXZ+ToT2Q0XpCPtGW3WhretEbfV9ceV32NGaGt6ps
63QibGXNG3fQAqH1rsHXL6S2KBqea9u/zUN2zdS0mxMBtIOBrPNF1c1DAtF55XCE7arOuoocBwOl
38S7ZdSDloQhcM326Yk7xGWIpSmv65hF1njnXLEmNOTRcRF3R2Vl7MHlyG+V23+1bf+ibUtx8pNS
apPEL1xp4+8rp+VPfCucHPuTw5WYUQ1dV57XJXr2273ZsT5RBSNyoez2l94ID/o/mjPiE9nL9hLB
+nt35s9rs/kJQi93bGp1n7kWTvl/9Kt/3yZpdX/rX/+TbXN5cv58shQIJ25D9PFgqEM4cH58knkU
wi7RarlADeGeGk9vEpX739r9v/YqCFmJkbUoXsxlP/kuqhZm9OwPE6+CUXQ6DfFZ3mV/NAf/3Vf5
2p348NM4/DwUgg6/H4LlqTk/vk7WwwASA/frtGOGvdLkzlmMPwICtbrOa5feE3T7FLPManSEwhSg
F3MULpnLyndbi6lZV9wW6BhdGrNY98+IThH2Mfdmp1/ZYTOqo4JklGFL7Ezcb7QO/JkBXze2DIIF
PtwExPB+nsduZ6nZgcIcamsiVgjtquKt9G1VbMwukNdxlJn1SchQPABHntAZrhwnvArKBaNidj0t
VRUXIHMg7Nuvjj+33t4ZtbVTgY1FOfMKDEGIVpOLoHSo38hPGE8GZctrqWIvvjAJrbibAOKkKw+N
7mdAJj7KgLGABMb0ODvSaNeKIyPJ8ZKh08yxoHVg7VYOGDgccDR8ST1DvoDWeTZLteb/MCuS4XBs
I+4daSvuSfoI7gpMyN4aC6n0dhU6pmobZ36Q7Loc7hWqa4ryE4NzOF9pofwCKecUHhoxIJcZZO44
z04pfVILMOQWd0XjVCcNNLF635RqugxQnDVYigcbjTVWefrnAvX8qgmL+hl+mf9MUMX4uUC9/t7n
Nr7yJtTZU9iLjMK4k6993NvvDkCJ4tFQAXqGKht7PIYFsMa9HxkQo/Cwd/Hemq1h2MJ5qhJ89kaT
XPuuxuqKmI4SmQZ+W5+YydgwybXGCuWF5XbiCVWWQ2yIGAWXBqEdIlOsbBQ706+rgcwCnxCUOex8
AextTMZD4wY9sbKS+/EaeJfGq0rTZHgg1wDiINaHotrXlZtcSHIsvp2iv7R5/z/aO19oIT+76hY0
axseye93aFrm/9iiLfFJLipD5mI0zVB1U85926L5CtjhpRPOKJ8G+7Kj/L5Fs68vUBjLw3VKI4T/
/WOL5ksezXjhCWTdCjver23RH/vnijfq+f4SckFfRkHs+2H31Alpr+5Aq0spRJkFwMmd71HtyQLw
QAmybCdg5gZW0l8YvdxZdcw+BPmRi99tRv4gsRo3kscQjWtUnzY4oO2cZ8jOp25reCCUmP6HmwbS
LRNtnKeZE2SbluT3oygF6qmM4C0TJPqJHsgy/qJqNZoK8fnChgMv6PkFAdtZtelHrq1uZ930rrk3
VFgt7OgGuhPfI9vHCk5BUT/BzEZ/r2F2GU4AY098Cy7/pWX+/+NomfHvzx6C9d//t3777ct/O/SI
4t++fxC+/sHfmzwsdx+aEMNhy7RYajZ/5+9Nfu8TzRVadoDxaZFTtfCQ/KNaMT8pB3rKcv9iDMBs
4M9HgckALXnuSEtX3gV58CvVivy61v+sV5guCMp/jyeSR5GRw9JQ+r6SSDIbVWQ9rbs8gJ81BiHC
PfTlpduBfVOLKW4iLKh5dM2kiJ+6OE/FdctVe2oOIEn7gvKmsiFyfRkhDgRkfFVINL7MwMGd9ozm
uPF5Dhp0SH6EvvY0LsbmptaNqvb4OIrLXvTeS9j22QtBb9G9F6kgQ/nO83voYkyuC/CLYKiAmOdp
VVnz+O5rD4Inb5nQIxx3iqSnFLHHaeqQ+LsCWdDd9t2cwJLFKirRleVMBAjPSa9MO2oOVejZb3No
9tM2ami1QclRFgo+XK72bWkZVvogrCbuzsPSt/YwlPInGeW1i/lB+zldIFCY7xEKzSs7mxG4zcSY
PTm1URD/YXLCeMYQVMS2MlVfBSn6dDwjkSv70wHvNnIb16OxNLbwWa6mvGTT0C1G6zU8xM66Ex1C
6tO4spPSWoH0tKOthTrQwzk3kuXgZOFw38WJk5L9GznV1tS2c5fVys02sJiJiW+qcg6RYspqOMx5
OkQHqRxDnwGsrfULXqJEPdjk5pCqXUdMCpCNRO5Glh2BmDW2gyVUGg0QosVCzhAem7RdWxW53KvE
krSKFv82EWpgTL9weezio87OqtNcBqhA59YKz6n5UtQGmY2RxbBsfWsMAh+fPbtgdivSROZzw0km
HKBjkG+CkarnVQliOYBe9SWZT4T+hSeRv+QIyVzM6aZrEvTHCrV5u0u6lryA2WF8wWQCNvyKg5+/
2NRRd8GHPuREvJt5gMxvxkhYmx189sIpUDwnVlc8Nl4mlpE+cSeYDgQh9MBS/LuiCKiDLAYeBwjK
s4HzTiGa7gaykYjO4DMDu6yddCcgNDCQiVrEXy7Bel+GDNs0dRTihnVcQEHcNE6HrzCLdKBOHIfY
I1Cas38ZhMP8XCGOWtDpgW+tBuCDJCvFMTrsuXLGJ88Q47XVmBC9q9HQ1JhhjNwM+XJ4RB0pC8zm
dirXfdgHz4nlw6PCceHfIcYHieCJsZBrJ+TvqKmJHxIjL656Bfd25Zdt+pbUguR70FHxC5Je52Ya
PGTrQ9+gZe1buF4NCjQeHzhluzZGT7znt1O9D0Q885NJG/FulOR3fKe6hMjYRFuov/om5XpwCuAd
ZHJCyK2Ac1wI3Gt1RqjdSPndbVAM948JeI4Jz0zDGLAbMsr3IarEu1WL8rqwlwz3Bg08Onqw6kSN
poO+D0kGJym+1TKBtpQSONtNdXYONRb4FTes9jWdlXmRtaGL65poznTdZ7N7PoxJOBw1XDDMQ0tG
prPujEavSSwInpnykGPSJPSlV7WD0VNYOVwKINjgWlBQkRs9m/he1yJMpmNXFdOjiYr0xR6xqKxs
kkXOZ0f39AS9uW7WJu4wjDOFmX+emcmT2iOLzDuE6IRPIeObL3BS6feNnUJoZ5plfsWLOska/jZm
ella6gLUUnyPDB0DdYjP6qStlPtSTqBdV2hzlcJNQmOm7fzovK2D6ga9cFTTtlDF57A39bUKHPuE
BJgMFJhILRD2saaLmEfdA0kEHsUNWmLM4nAZ2iOoLfIx43KaYGs1ghEGb5BfdWDBRn5inOYrG1Q0
xKTaJCKRBFW6yWZmnNe2oi0a+nmHZ5CIw43gRLzpioraPZIkV/Fzl8izDXJ+1rwUeZANE0MQBknd
5GcSH8hj13jFHW6MhhSDth/MDcwUE2hKmCFollYSn+LfzNM1xKIIeY8LEYL27uL7N2Flvhj20u91
QNOoDYFTzWva5Ml0qjplDCufqLE3TFzk/blzEJyjCWYvneOpX8ddN1za4ZLO2JW865VwS/xcYxRF
rwJtMh7wtNc0kSqUzGuk49RiXC9cscHCoNSWZG5vR2B3A9UI8065gjJBknvldo82EtAFL97OAMRD
7ifr0pX2LUpHBaI7onW6MipkFm1u17R5PcKKgYja8rPG93/NSgGUZZKL+cWHhtBsiWaLHkJAc7fY
kIZxHZDAdkdCd3pIVUvWoSAwnD52Wgc4fGtoOaK180do85PaWeirklUn8evBQ3a7u4aPCXA4WQ5c
EicVOXzUqfeKYL3YdX5KaL0HBI0oNmK7SvribR5uk6rxGbJarfRWiAuqcAl471lBbT4cl5PhR7vE
iLFGweWpNyQGwNh3QCVeFHacl+sW/IGxWby/C/DJHPZEONn+hlAgjMFdvkR+G3YB4lsypORu33Qz
3CZ4pswCcGHQy7OHk8oFfIbg0hslrzvzflpQIvNKj5mpGHZwJ9/MGDUf6NGTHMy1/936GnVRWFnA
NdMJ+GZcQGW9xba4TBPMIScvzdXzuIMqx20fsx6FCS7uKMDzUNmM5WvjrSWc+HZwSaJezXh3l7vn
mA8UGItXf7EVDWtL24V9YpEwQj8R00e0K4oWIETe8xiMU06iQIGd3cYWEnGX6AwzeDJEDjy+QMfz
HKQzkjyYHOSkoiEVL7ADSQwSMTZVNg5PXAVObb0XKkmuLR2rt6YqxoW0FKTvUTmkEBpL1ferirjf
kwozLvcFu3v1TGZCTG/c5LIffQGOmGAXRvtz0uCKynUPtR7E8GkI8OQV/z+Mh95uJSlJgqcNn1Xj
H/nhMBFU71rJuaYtNxAj6bFweqzFr44Ci7JFj6CHrRgdxcFkRdVz2w4jBhhb+4i+u/RU15l9x6mn
khNWPleeMJ/1GcAdXe2ypR0BBtdzul2TFiMObX/+4ltNe9tXJMSRsZu5F7aoqJVKoPzFOmzaGvcB
Q/+3ym8WaZ4djReY4ttxIZ4TLqinCg4tVC3a1bD/hmnV4bC/0Z0HNR0fLdEBpaH1SWyaodxI1IcX
WdMQ8AypCyS0S4/gHHy2OKuwXLLX5qqlYnStWXAF8zCcTNFQ16CplX4UgfBOGtDGn+NKDSRgqiLZ
kZwFobxgxVCG9qq6xHbokxBeN4W75t+Hk7YT3aPBHlmzX4YDhJHQUVRZhc/JDXO9XFsxx+UudH1x
n8Ml6eDDEOOXjMIgcHWayucGbYx53BRWdRjpbD8r3TTXIaYysem1E7NuzNa7qeUEMxuCVtusSocI
LJ6rhnttOFbO0aAM/EJ81sNnqwGY5sPCKVZ+zAB5a49T2u0cp+vDdRGo/un/MHdmy5EqWRb9IsqY
HV4DIkLzrFQqX7BUDszgzA5f34u8Zt0ZIZXC7ltbvZRZZYkAHB/O2XttB/5wsVlQqbMIRL15Adtx
eiVTEzx5o6OwbJhnHp2+X3AqVTbxFBYkgG2xlngKTd8KrcIIClDSPdd7s/hF/Gn2NOSRpp/lVq+9
UNGzXlZ32KWLURXeSmFocsNaPkCoiN0J8yQZcxcxCV7cCvkRl4YCNBFwvNB+IXpjbyBJvPFDCo5O
hNUGi/iO5E7cHm4+awE2zCTe+ZMB8cKpxfCAy5fUjoqc4yv8NjGanCXq9JDALBM687DQTSzcKCp3
XdmQBEk/zd05XS0dbJZmjtF6oIdoTNUo0G6kbPf9JlU9ivIYuX3ZeKwZf46Q/+qs/alybv1L/88k
2Kuy5b/Xivbtr1+HHOD13/9zOjb9/1CCMZBGm7BCqcr8byXf8P8D9XWtHiGoRuD4d5mIIr8NTJ0p
FnmmA6j3f8/Glv0fFGsIb/xVIY1s819JII56kpSJVgUujQGB+ZVLiqPi91TA0ddctmZRPdcXEZzc
Wx+7EVHxsIbMpaVjLqbxXsaWtu8HSp7pWDtnfz2sD9oJ6zX+73j+z2+AhUvlfc0eZvNweDxXLgz8
sl3TZAbbOKsXvbkRhtZeSkxU4eeXWv/U8aVQkxLXhVSVZuhRD1JBh3UQWxC0LKQgpaERrARNhzj7
xHUOe73cEx1Oyg3URZAXUsw4ulDeR97k6dxTrSJnS61BnaGkaujJYfS8IUmLg50TNfgqGrIZ+kCf
S1c7b8Qw/3CcObsGi6k9x3rhAqGEx8DpZ3H9p3w2lHE2EQtuBM3UY0yNa8hJm54EZZdlcQSGqmuN
z/kCIyfpObkrX1VqOttaiirFD9POTbjWkDHxVS6mIjXFFYafvEPt54kUMOqsnHnLkZ/IXCN2KaxX
vb3sWq3MIuiGiUi2WDalfSFSDW/gicd2/Hpgs2C68lZbArwQ/eipKUj94FF0iOyx+kF3NN7hg8sv
Pr+IcTze+BD5HKnYWjQzGf5HV2maAZWnlscEa3bGmRbb0+UcKSQ5fC3PPhXNraE5cO89rc7O/Ngw
bicPen/aIrTLjR7TMz07iAjgz6aR0XRi7KwygL/HKE0oHWUT8ieTdp55LBNg891DlOXnLR28O4lh
imw0TR93TdPqW4w32tPnD+RPv+7oikxRBho+i4/QP+60qVIR8BLNaEDqMX02MEpnQaIv5VlcF82P
OLcl+z4bxoEwE8kJyhuHN1r8LtFiGR7/AJd6cmH2PovMmJeuw+nP5miUFXL+7kUL20hpAire6B3y
POzakuTrz2/hg2cGLppfblmrmsM8qvANSwXHhKAVfjYHVSoZ+xSMWEhD71qa/s/PL/Z+/ND2hL+O
YsTDpPsHC/1XY1JL2woXmtDQQFnRNalz9h5h0HxbaZF1QsRg0wE+Hgyr54YdrcV88q50mVRRjkJX
Yx8/pnq95ShPyPnIF46Z29Dms8ZzOThRbUF9MztEWS2Ire5UTJI3gYXSgBBcxHqzUy6O+nMjSfJn
GF/izs1E4gRO3lgm/MYxdwhE40wQ6v5c3LBpVL9QNYsyRDjXntsCjk0wpeN4VzuytZGZKcLysNr3
0GfZbZDGXY5kJ9RxZd71pMT6t/yP7v20zM6bctAbb+xekxdsfTX2oHHHbNW79ZIFcZroNx0DJTkj
uSGZTvSQzY+e37qQMi7QFLLC8Hz/elc47xuc8ezt7KSOmsAwJa1BKkmw8pCxOc9VXbRfC/QXewLV
5h9L17v7BX9hsoWX699C2s5+qoLD/yYdrPYNkF30lfOae+c2mXuHP9AmNyyb8tVRM80/FW5yfISN
l3//fMwZa7/m6BuFme+Zq/LdEgKL1cGN9EULvccpWFCqOit3zkyHFFjIWrMggJuDNfAbB9nxvncI
taJqTM3OgZ7duk0ULGNFQGETj+4FDajh2XIlZziN9SdEoAfN7fMfe7zKMoMd/Nb1a/3roUceVWd3
nWCz3AJ8mlHvdjqRbT+/yru9i8lEjtqMfoONiFRflRB/X6Zr53FMCg7xfZnMb5CI05CI2/nGdpL4
uY4HNDkDUzVrYaEagtg0jP6m7gx3n/8O+hRHb4afgciV2Zqf4rtrJ+6vu5UgbOJoZW4YMhJB0VfT
Q7u08TmlUEHduFypTmg8JQAOEcCLaU9c//3cxzaQUC6Ws9U5bB49bdGA/xls9jTUpoYdaaS41euG
3KC54uCmUxk+sUp/dEGX/sQqw/WIDzh67mqpxhGNUox6LOnDaq7ds94FYVErxBCqF+WJ9en9cDIR
gWAHtJhz10bS4QPuGTqUnXuK/gXWC2mMVdC53qll98Or4Lp1HFpRfGJHHxgcBb8tQB4HCTUiqD16
u05+4sRe98OroAB0LWwt2CaP9h6TVwlvpnMS+D4NKUfLmxCHfht+PiQ/uoowIYDzVWDL9Y6WwzJi
qoathIoN1mZoN0u0dfq4OPEBfngVb1XNYHekDXX0xGiW2DoRV+yj5FDQKO6t4mwi/vrh85tZv5/D
mQ8zPG+FjrnLEDCPXj9RVakDf5bXD4ljB67G2kn+6T7Pcvecz2n+QgI1+MW8sk7c4OozOr40DU1O
ZoCx8MtiNjr8tOEykbTHREa4s0Uraqmf+kYbdkUCG7BekMkStQZTv0cUM9g/usJ/YkMUBVGUnrJN
rg/z6Cmgifc9vLucDM3jhcxRZpcm9gBfUA7yewy09w+J+cy3Z3X5+QM33681CFEwyYAgQX6GBOvw
tt0UzZIONIrezULraBz9blPRCAX7vHpaAreijbBL4c8CHMnBZuNLgpdr1WCmjHhIvsh+EtFtyV95
UPYA64d9uKPB+ExygByURZmUl7Qvwfl1tAHsNaCcFFtCLjcdsijqEa0+Ypaya54jKGd33+mtdWZ7
I/Wzz2/2/XOF5O2Y5F4KVhAYO4f3qlqZTHNkQisZ2WJXMcJk+DrD2YIu6MRX+X7eXHvgaPMYSitk
7Wje5OSAc8voI6w4Uv811XN/pfVxzjHU/103VX9i7/P+zkhRQYiComTtyXvrW/5rXfKdsgQ7yeXm
efEIQ5WqosGbGRutQ0l04jH+Mcodjk9uCqUYeUZYjikrHF6tHGnT4HQm+RFp6kbqorrovU5eLLKI
dtFS6bupsASMEQ/wT+e35zpkkDCnjHX++Qt9P124hoExFo0jYSvvPB3W6IHLWpkdYB7lixlP3T5F
gVVvmraxqD9a0XJeFDrl4bR0TmzX3z/ydV43USxwgNXtPx7xvx55Ptuwqkif3ABZsINs4ZBPiAE1
VpJdTjzw48l3/TDxTqL1xFzp8J/D5z0QkAhVDCdZmQ0/jIpw4wgzwL8cQjb3suoiV8knG8M//pm/
7scQrjSaYWzIT1nym3jJxt2sEu1qtJz6xKX+HNH+HkCrDFNf9U94QU02quuz/etaWU42R1nrNOyX
coSzKvxoP0cWpSkiDtQE9zR3rLORANr0XHOric2dVWkzTHZlOGDQ6PYEUObcLlCMrCGQbdVcQXEj
+CeZ1CjumXecAZNBAf6wr7T0ZaR3iX2iXab6Lh4ISt8VdYlA6fPx+P5FcV8up1M+/jXv6/i+bJsy
/oIQQevK/kxpmh/WI9X3z6/yR81+9PhQ4eAu0CkqrtPL4eObE+o5Q0EX2KnG5lUVBPFuqEFpGUc/
Z7olfbr0At0fh8e+q8BYV6PGVEB1uftqAQWZgplE401eIHiYEyfbdqh6AjnZCAjKsdYgDiUpVOXG
nkpSbasS5rccIjSkE0KKfiPaCa7IgBnQOrHbfLfNZ2Bg0hIUa5igWV6O7syfUlyoGZTlvsieDAQq
37tpcNnepuLC7mwWYmruD0qW6VOUjM2Va0rrH3nYfxUJv3+HfG4rrsBASkf82tHMPZA7OIJDlcEU
jcUujSJU/oRynlgfPrgKm8J1h4PiGUiCefgK47HPSMuu+sBoyEiRpumcj9Gobz8fKe9m6rU7ayIx
RA7Fpg339eFl8mVkA2+oNmBLMb00CLd/D6kozlJ8VE9DauVha3YECfipn7xFGF7pkJsCs9GwIGo4
8WPWnejhsF3XQtYMQRHcZn9z+GNWsuRCbowKLPMhjzYBgGM6Newp51NXWjcth1diGmNtctjaU+Y6
JjrJGUhnjDkpgC/kDFdkDy901yqHaiPgQ6JbpoTw8qAVdjVvpUmvLXTpmZl3+hCbT5/f9rs3zT4D
QgJbc7SeLmP68K4xcJQyS2FoogVPr1zW/pAK7rj7/CrmOiwPbpkLsEag1KfUTX3v6OHObGgRSxDk
4OVmtZGkre2otLQ/UR2ZAWU5/7pSaF+WFotJRBTDdaNg3W1KsyTnlwqCtnNJvAhzZdR7srWI+l0w
qV3Cz08uikJ0+055zqPtztOWMBs3/Pznr+Pw3a93aH+weaEkCk/iYEFIafZ5ld5UgYODmQJ2om+s
qAa/7nSnyodHgXir/JAHhUzQBU7CXHO8e1FdghOcMNnAnNY+eOTQFgniDvQZPq10+N3RqCW9lEhb
GaZ6al7SIzGoqrHZg6pn6Sm0SA9AZS+14cSeAofG8YNAU8kqTBTIambikz18EEM5GCRzAzolDqKj
KxMtNAYrv1gImComSLFEsnj3yDjIJLCZ81+zviLGICcl4bVMZ/25h9/9Yldu9ljmc7tVflU8FwMB
ZqGvDdOLoXfqictHT/jeyzy0MEBcwzazAKJSnk6xPVjakx0hCbtDaIVicSo1F1SnbWXehTMp5xof
FpEJmA9/lwQnNsFoOgM6fi+KvvQzQM+NKcmQ6gx66WyCPUQCo62sbQJp0KOPThxd4PmJwPbEtodO
hl9mb+zZvYuIhse8mc0aL7+goPUrNZvpccl6O9oiRqSXPTVOLTeIQfqvkz/Fy64i3vsbQANcbTpp
P9OGWDoK2OAGxEi4xuz8aISPVwt3VjrgU3Bb8oKcWae4X/uFTfibp8AkOyyKV4rQaaIKytlBIjnB
FXTcpPpi05TAQha7+njhx0XebEZz/XAyuJ1yb44JdLSs8fVqowCB+0FpcuwnRR0+ZIeTQYPilcmH
warb52iICdFd6LmRz5CsGEjSX/KbXKX9F4vZH4G0h7ZN4r745iVzdkViMWi+WB+8JHTLpfqhK7fa
muVczud2DCGLebp2u7DNGuBeVuWrALif9qvptUYF6N2XL1qmoaWyRlAC5x2ItiHMq2KMUNsUXkqK
b408kHVevNWQle/nKfLvHTFgdPBmwxwp+A7D9x5xBVhUYkNhwvdt8b2E34eEMluW6yovu2U/Dnp/
Q12o+ppMbvbSyDofgnhuDeISkMx2O/gaJsd2st0S5CNUiS/rBElEL6yovK7b0lehUqY7UJOOwETO
Q1ne+GXTedsFtEW11Yt6aG+GAUk6OcnQAQJtjjIyIUWvGgCQDWwOsIzcqu4uvrE16ybRQSITE4Dk
ZBC/6oU0usCuzamkqpq3Cibm4LrIkqin3xbVlAkWiM6wz0avIrdGzRraGadp8z6YKfhjCsqQmXYE
WtM38yI2TAPCTWikVW3dlMpv14dXLdu6N3qs1o6+kDA1p6TokFrSXWq1bzc7eIhCkRQX9U8y1Uaa
MKSgf61b2YtgAmn8rUQZ7AWuUA0cRVdE11PEwecqWrLkeTSxK30ZRh1lgGPJKdv6uT10UHRzZJFW
Qvd+W4g13aZyOEYHCZneczAq128vKVvL5zSlH0SImgnGmzhIeV8IchHWzdX8S42euMwlTu29qKbx
KS9RrgSaZBvNzymr1340khjhkuiuYs9j/2eMMJ2N1BGvRYw8T0nPgvPL5kmnOZH1fNiw+EhmX/z8
adBnl1C32e3Bg/deBShDor8qckSuAQJghcrCRqgb9J1udqGhBvVaOwlRHkKO812qbF1uCDIY7Asp
C1O/MHX2sZd6HDv0UbPB2tXKszKEDHn1kPJ66vNJasolPrLyrUu/8gUwTR0j/yZq0UCFTdf7+17L
0YOVqpDTrnNVAamjsUYA8jKpr8kaoeGhyMzCRdUNpOSkWaTvfSM2xC7J5DQH6LySn4DHSGyvPCJU
NLcRF+hhtCtg4z7jRovkG+cWwVWpsJJxMko/pInD/jb3SvMHOHgc45bUNBjQFc12ps51gs2qdgdM
NrGCBvu9t41jgudpXlZZtBuAs0NJQ5CLGc2DE0YiRJk+971pJ6FD5rS9wQCGdpopfMo3JCas4EZf
LfSJy7QoUQJxMAtBiVTNjrRSsKGR2VjpVsmh+5n6egwj35yslhxItwfwgvK02TaWUz2IpZl/FRVE
mx12b+ur3c9JA5/TYvGYutTPAhjNfknQWt6FRd0u5FOjwtSZGUUFcHJJR/TPCKqXO/xYydsggHle
OT6L3lnv6d0YOP1Eyyb1ORaSG5kNUZgNuJdzHRDiJhnS5TdC/ukRRRGHRBMKPXBFl4aTscZua95+
zIbmcdFBSuItv6agBKwwGi9F21ESKHW+03SLFvpNk+KtdLR9FdP8ySIVlnzuxEuqrbS1DRFuT1Uq
7lRfPXkjY4aWI+k1txC1Xws7P+fwt53yHP4aPnWdOLtRx/Zv3NaOexO5Op1Ivwg9giRLxjICLljy
yt8TK/EIX/SlY3G3ZXcJsSZ7rLP0ZprHS8ct3jJhbJwWSKvxWg9POdkvnvXDwFdfGuLc5i90c7or
+oTUS2vHyipImPOIfISgz1N1W1JiMKslPbcBjzqyvsUJKxek1ZjgGh0oc6GXiMuS4SGqhAvjgVTP
M1oGlxRE+bcWqnQcjWRgdnp5B0ZOhXrT7FPRPQ1judPXZIWhrK+jqWDaBaTgC3FvAx8gRYGkElU+
ouZ6Yb/x1GmktHjgaL7plWjPdBSdGJO/uYmzbTr/OjadS97/g2WWzyQSY8EHr5T35oMn4/vMFedO
/uzFJKqVbThwUkOjmsaXjLJ+K6ffeRNfCA4vUQl/tIz7Z0PG13aCgDRT07IHDHjeQV+i2Tg9lh0B
WQDCcU6K81a3nuEWfDdIpG560wmLUe6rydxF9IqIe6p2dF2+Ks28MxJKaAlNlpXjYaZ9SMxqFUjP
oQwNTYLbdGE1m+S6J49WMmySzLNCYimyTZmQR6KR02Etd27pfB2N6UVrvlpkjsRa9iPri59dNJUb
RQCWmamrOMu3/pSwHypvo0IB7NWM8ywGLuKlvHiAT1g/J3VhJFUIj/pyWhQaviycTP1nzQDagkj9
mVrfJtrukzPf4pR4KfieNoMLghiTVTw4zcOENW2kLuWukZjmtNW9+qdtAF5X442o4r3TNJi94oxT
ft++mlpXEx+R34FfhBvCqMhioiiXATBTcVt7c3FezxDVB8EU19TqYWinZhNZgLeHfBw2qbYGvhhl
yyZJiTYY6+p66qV+1eqR2LEwey8JQ8c+1yfn2hL2mTd3Zzoe1jNPtgRK0jMW3lXj2PWmr/ExFJZ2
gz+VxFrXoiOaqrOIfcw+6fKfVZYTOFi2vzKzfJo841W0iQq67vsIZ0NCwZJCxwKhOGw6MDgiYknr
6Aq8O9CrytK+mQg+fpZmEQNHMMQ8bHT2IMToYivRNjg3/HvfkyaZUJyU2UOywfLDvpubB4X7xz/v
+sSsA12fZ0FcrGlA4wZWinSxK2Ap52a/fCWIwYiIPCU3KxyBL3dBm4z5jfAajLtzQ2GqsNa1pTNj
chIqsGq/gDu5RB9m9TSS3ljr+z6LbfoOUjNCuzPS28h3UhsGWQsOO0FCI4LBW2VFPrPBm6I9/YY2
/w8wq1vsrVcC79+gbmnZbkoDe8dcJYYWTKbVIOVlk3XB2TGat/rS4jClejsxR3p5bW24a+N7SQLC
fWMm6sF2pzHb5XFC/Z7A2RYJcYFDCqXHQnZ503rez2TIkm+9PUaMXatu7sXIxxU2Re6lQeuR7Vb0
PajJSVqztxkp6Fz0lWrImrKWqgglcTlDkCeQRzZgbiIC+qK8boKuKCJOO+3Kj1AsLg9ethqVBHk6
uuZ32yVPyXRCnq3JcMD2g5pnGhySZLFDk+WljPaH7GzFPyk998F3mgoVue26JB+ynKiNnOuc/OVR
krSZTNTBUM56xu8ZLwL5qGZLfhoBeKONModIsdCaiHZmGZnY3U5mXs7MuUU2XjaAqqzNbIzWg1Ug
4LhpmGAx87BHI+NusuJLP2tTI7TwYKBG1gbnd1Y1vL66GeIXe6SasXFEkbwZvmZIklP79ovWG+MV
Ds4YP1MDxxtONzh4vsZOx5Zidtm18EqWdvJXNKICY4G5DMDOUoOOI6M6kKIh+XjxZXe30IskMVkZ
y3ORoXEKOSdHX0TTVW8OOngMFyQmfTejxOe/Drq8taluX+ezZRBWMS4l2zLO/U4A+21tnFag5HZs
Nsf4om5KmFzeEPsAXroGiYGO+fUKn2rvnVHxIYITUXD6kE9Geak1Rf0icjneUAXg5met5ynTTtTW
Su004WGqdeLTPFNbhW8w3b44dSXYZ4CC/cbkbfpBZCys7N5Agu0mXjyKndik6mqDoyQ+zyBWf8XG
bo0h4HQxBl7pIo9TpjW86STi3kFdtfiwbYj2rokJaMI/kJFYujZpkc/guigivsZNEVfe18xHewN2
x8MAVFTY0DqL6Dd2SHp5mfYuUGZrgLQbOlmU3sP8GPwQwj/tV2wLOO8RRi8b0OmuRcJbO960VunF
oNur6Y1zBv4Nz1r6fifHvL42RJM0mG615E3yf/jq5haiHL3xzCZsgD1Q5i5rjz0EnNaN4Gn3dwZR
gN8R+NOzGwfN/F6TRHmNbmEwAn/UxEqEn90fpCIP9wRbL5wMRGl4e0JUM2JuIo/CYDukcgijzEx4
ohNHMRLNB0NsWlsvrJ1W11hFfFQy3VYua1RBLJEk3lm2bGUopmX4QS1E70OvtPxHotWrO/7s+FoY
NUf5HIXRY+KzzQ17DpKABrqmxyVVRQ9NnXWvfesaZC7iywDiT9GAQ5C0E3dDYcYfr7OpT86A2CYF
9Pg5Bi1Q2+xo3SinZeD7KWWPee6IQplSWwNtYy59hg/ESF+MOCleIlLbmTWE4n+bZd7SjiIFr9VI
6OPrL9hQajKGBFRRKhAbWS6YqCxS6K7SVkvAUs00ZoMRCEKOEV/xvYxsA86JqCViHtBBhcypIWQO
dnwqwtHR25da2nVPyRGqf+BiZrtY8gi/ltKm3gtFxgDAiaeUEeZm6e5L4Vxm6LSDsR2zBMUVGZw6
p1T6L453XehDOvDhGsMPrC9VhYfBcciNqNg5drpGtnwxaEO8aZhJISRaqLn513n7QLOEIwCBixE7
21wNX9jRat3WsCN2WfHiKFaVxEnu5rmKn2Ld7Z7rTiYsYHFJBBoVC8YEbHQWbl9R7wjJBBL9LoHQ
ZgWTocA4RUWOMalUqMrbKZ+7Te04ibF3yKW/MHrUQvhBhTEFZEd7XTiRBHGXiBnUv5nNGh2ePseX
2Y0OZ5HOhwiPAVLrL1EvrKm1JYeRUCajuNbtTIu3htGI16ZyiahC5al/n5nPzB1ie/11cNvllzmP
8i2KI7s7X1QjrvvJTcTGIr3jfk5S39wXc9s/auwkyFnGCShwzrmyCDNbxM2eQ/Ra4SIB+Rfh8QaD
IWnSOZw6qk8bC/nQW8HEhcirqLH02Krx0xCzcKeznxj6vVWMrR5M3TJ0WwIa4TS7Q0neGqR4UmLq
qMruKQfY+sXM0tXyKYNd3jciX8K8s+Pb3qAatvV0rDSbJB4tbQs1vHAYV6xfIX6B+M5pJYPB7ShB
bnI/tVKYY8tg4sZZSDDF8Vt8LfvB+WkA72IQawMpC4MlWcE1qvgK09iytxe3/pblfmlthRoxvRba
0pwN5ZzjhvHda0vl/Q10R8ZUzp7YpdDYTt+9KW+ux9inyIRJ9k9b39bKs8/Lvh/UxpGOOms91qZc
v0rf/+4Dmtli1FGWkjjeVdklDiV1zeH4hMTho4sg7DBQinINejuHFzFGn2ZwxemUo2dK1B8PKi/r
5EQr2njf1MRjgpBXN6HvePQfjkq3NjN+j4aiDNy+Kn8meFovs7ryOYo0mmOHMTZQ6N2FgnmN7Vf/
2fqx3V2V0ovVxqL8kYBGjbGflJr0XjAvVYqTfNuxyS4FR3BPryONeWo2OMVlNkfSqC2SHyIlgJvO
c4V/uvbsjpw2hVJo48xN/molBVGFdprP6jpPI45FVIehs5Dv0iqC6Hp4DIJYSBEOuYSznjcKl1Mv
YFaN+SQejWGBhUhXGPuUNVemTvKMv06IFrMRnjKdPSkctPjLAMHk9zJFHOBIfnvpUgCdm4gI3N84
0bq3kosMZ3RhlAorwisboOil+wv1vwGZy/JUE2L0yf2Xse1rmulm78CT0WGYhaoiWZNS7JS+9mbV
vLLa9nc5q+Ec4mYvXpIBS2kw15lEYcIW09yRGZX2V4s1s40kLArpq1FQvAqjyukhHhZ28bVNc9QL
deuIjL0UU/zZxGlGQ/GdDIBll7E/76Tn/7RFWz/EMyIIkpOq5VVlyMQ2Wr9UBBcBAUogEOJjRVo/
phzQ1pC22aPUivlWNi+6YU/Ppl2PGoXHjBpXM7pGA7XH0PBp0piKN63SwHkVWlfwOqrUuLHJ9o2I
oVlUHKI0ggE8Dkn1SJ5yxz6TTfEVd5f9TuXIvrOfyxEi6mCnv7WhbM7RY7XszWOVPGWxtRibfPLi
S5JcOpLBW8p3bWRzwO/9xm6JGBPFG2mcS5D2zvj0+Yd9zPWnyfKHScIcyfewUp0OP7qaPDQvs2Aq
aqqPnKDynegFZjGVfHMk7HI75BYxuvwZ1d1BAU7VxnBo7W5I7EY2JHKlsRjIsbkxF4pmmxap+a05
e+7TSPqUxiagXAbC+PL4yzLq7nSiD/2nKXfQj0JHtwrzIfzj6QA9ffjzkx4nO09/DcBSnD1ib+Lx
9yJvH22aGa9i6sbb1lPdgxSpuuEcqp6lcq1p30ofwK+JWIUgLg05GcVizKPd6Em5Hwup/27Gpb2O
lqhwd3mx6PGuzcbyW9SOmGSTwkzJvMTiRn1VCPHMjDZy8pSRvNFjHSb62DbRNclo/QsVC2xybDaL
ju6VUteEe2BhS9Xs0uWcxuI162iUnDtKV4QhQ7J+K6W1/ChqBRAO7zcloHb0q+cipkjOUsR28fNB
8MHESysfdTA6BfT6x+YGDjCVZswov8hEbbCkFj6x4UZ/4l2973Gz9UAwj30KUrBliaNWemk0k8Go
qYNYUUjeGTMfkMq84TfpDDVszManLbAeEPzdMuNr3XhUEwc4TJF2Kae15/X5bb/znDD21/vFeItI
Y13WDgePiZO4pegvAzgh8npGfseZoLNfKkVPwkwK4xKIgHVrVfQTaTpXW60gbXVQVIypk1w0wKiI
j+ko+tkcrz//ce/6i39+Gz8L8w0xH8f9ReheXgW9XMKkTY2NWcGQduroofIytf38Ssb6jRx8Q1xq
7WEi5kUSg4D78DEgectMoi8kG0lwYpu5a8Vvv7Y5w5Z1hhpwrENnPerXmdvvXAZS0A95/LoYHpTR
jub+BsaZftXF1kw+Zl5deL1O5yOj/FwTGft84ueuy/Pxz8V8h0bCwjOEW+jw5yoURwULRQ1xOynP
0oxsUyH8bqfazgTekpCMVGgpdJhWv3D58VuOlcMFOXYvfhlj4eQg+0CzIqbEZenXXgcWbrOUdkI3
GzRkoYzmxMA/lhiuwwxvAKJVHT2jfSw2klNhTP2EmUuSwrer0zgOYr/mzZou8TN6eup9vlcYoDDk
+1ox+ngs1liYvzdrg65R4DNUHbhONN7g3Ge/atvNFpFQe47qztk1OFAfJmESx5uKOrTE2O6ZOMu7
z1/VBzdOi5yJGbYooorjMawbc6lIX5aBYwz9Ly3rIjxs4NFd6u7nparcE3K19c0fjQxk4oj8KABz
9/bRLlVFugMnkJqKP7TVrWt31dfSHcUVYa/Zib3qR5dCZM28YUO+1u0jHYSnJdQaJ5pVtLZqe5Oa
eh/kEZtD4jB9/4Rm5P38TJHL4UG6HqYjXurhCyXsW1kWUxRuN0yRXlvaYVIyIXz+tj64JeZCuKyM
Vtynx3YtTaYpFUEQ1vAOndBUSrtJK2ONyxzcL59f6v3AwHBNWQkNCaZZ/DOHN0SqdmvM3kKkLxSM
s6TNl3PNKOV5Y9Hkzy2Zhf/+euvMhsUU6+6762VRHcmBwgrh77Ozn4Z42NBna7e6X3q36YK57sTs
/X6OclBzsSthWUEtc6z1H3tjEkbHilrgW+BobUaPmekBN2kNsSf5i1o1ibKPs+EtNCOq/BTW+IMH
jLwEjjpTgGegKzt8wDKqpM2ZAMZ2Wjk31pTFYWU27UVs6TQoLDa6nz/gd6J8oqHYfQl8fiwkJuLU
wwtOca0nns2kZoTaw3LmfC125T46W34XFxMIk/LE8/1g28r1uDf8hcTh6MdK2xqGApgDqN7ht/OH
Xw/n5/vNNjibNuH9tDnxqf85dx5OKwfXOvYnzzEnMn291uXuaceF9vv978fL+xOXef+RH17laCNO
C6vU25W7rroXVdOc8E+p6t/57v68JKZFUEJ8dubxZrme9LjjrEJ0ybZ7VlcE/d6NZ85lsVMBYosA
8ukeLcY5bfA4JE9x579+PkrezzCrXJTEMlDb2GkhyB0sTBQuWtzMEkkwZTqiMkbvnAxbuWv7xfvX
T5NL+djQGCAI7tyjKVNGg6W1DUS5uTHjF8LKdZY//9+q+ZmWoaPajofhDXPTsRXFbEo6mPCbODyl
xVMTV87DbGd0+9bM1M+f3XvF7ep1MSH68eaIe9PX8fOXFHtxJ2XPDrFcnBuGC4WWJGhHiv0NAg1w
QJYefytKbSLB1LB20LCSIUxN6f6TufFfRbcfvUK4gfD6XHc1PB7/Cqkxy/IiKUcb/ZZW3AShsvri
t4l+YjF//z2wluNjw9GL8YVF6fB+cUZltZty7gf+M52jviW/UJ0WMr/f/AJI5AzJxTxohP7RZZDB
eOYoujzINaw+QTea9X3D8c4MtaEpf1jKLLfmMLdf6n4NxfHyUn9Npe49lqVMHpPYNq/oiCyoRh3R
oeUpVumGQ+eph2RCJn1cN/2pk9QHj4ZiJIcCbPLYHI8fTZfRYEKpsxbKOiqvq5FS1LI58QLWKftw
2oPHsNIjSfxCYnD8qgfd74yZxguN7LG8itxK3CfW2G05h2fPLfRVCzGA6k4MsI/uzYXPytxukkBl
Hs0RXiM0OEgUAZ1kcM79Bs7iLKLyxL199DWZWBpwUjBHsJAcjeOUGIeJTh/pxJWdmZxI8wwsmd1k
FCtKt/PZnMvE3JKPUWKfAm6IXpew0Utfzv/D2XntuI1lUfSLCDCHV5GUSpXtKpfDC2G7bOac79fP
Yj1ZlCCipzFo9KDRpkhe3nDO3mvL7canfeGbUhcIJgUYR1NZt09HukSwgPIhdmbrmHi2SpkVEed8
sNUm8q7PIheerrqQbjGOkHMqm6vRXk9q7OQAq13DmFof5SAh1CNu8+tXubDQ8AoXa4WKEoW5frW/
Cx0Q1TlOGzef68ZrJTP9OVMOa3Y5uqUj1X5ypQTJGdMCgytqssIH7EH4MMiapwtp3SV2Oz10qNPd
Cp0WjMQ2lO8xzaO8bJzKI/Gd4I5eqbxaKmsvH+jGXL+FC++E0yWLByVDNhlrf6OGXnVSIiV21daC
FN4gXkRkdUfj8L9r4JGcLyxHDocclfjQTl8/pt3BoJTLxK4J9vhiQOOFabl6kjgqfkoGPTyqImo+
pY0wjyj2aVlKhfN4/X7PrSr8CrgJS7wx2ndrQSr/u7xU5oR4hzBjd+pSsyU6thIPRjnrlKiCtvIk
O/rbTMCJwzCVD2QHx5+Yg/R3QMHpImBR+FvteG0J9YxZRj82AjeogoqlPgSDxnKPvAQ0nGTRpU6y
LPYHeZEK5nXyNs1KsTECL8xdH3YCzLaYb+B2nN5NoNQcSpWZD6nUwBjCjHjhvAj4nfqJr8ij8wU0
QrTxDC+MGRyxMm5CMkX432rUZ2WHenlkhQbLgQSkV5L7tq/R5NmRvKE/Vz/m+NXsbFJPoOL5IcNf
F9PoYqdRHiXSboJlSd1dIZucSApK1UOSoVyToZqSkYcVEcxCnqavcSocXw61+lMRtQ5aA82bF+xX
0xcxH2qcy4FXKNDohInzhL5ZhkC0XwTCfp2MWXvACKzorhyUmnEbAoz5qaal8rMyhfarpI6V+1I3
q48DgnmJZoBhYj4OaF7i+WphrfVKKSN6m6b8yxznOXvAqtSgoWqq9NxFykiGTe9kjzhczW9SWlh3
ZVpB0xKBPD2mtaBqONi18ojSPOw8fVAlop+6uvrTm/AVd1Oulmi1Z/B8KIUlYGJVn5ivfWcoXwd4
ZN80Cq2AEiurmj9Lll0Ee5V5v/esvJZuu7Giu8lMltw6TjTTiKF3/DmDDAbo1ZHg+jfR2Aw7yiaS
8VSmIEb8UO9AeQ1GiGaFKvQtjT7auXU41w8RJ2mAPq2oAm+e7ZavCeipAwpA5lcvx02bsq4mWfs8
yJEJOjkiLBdnPypAQpSo+RlwQGViAfM5ABhixU92aBhQ1+ZWyglIGefH3pxTbT9LAzr3jKzqGIJt
mLw1QR7OHv3t5qdZ5vA0Gta4xLcyjGI7wqr5U51iEqrHBq+5R3tlS14mGjna5UHRVXjFOjXeS5lO
04LRVSGk1qthcu2pE90BgAIaRXTyZFEpuGVuRycPZmIZ7OELdBZ0WxIFk9oDhVodM1J+8/t8GiBY
5bSYdykFmXfaP0K4dSvHmZd2ZvQw9LFZ+hgD+oesdmb10KLyQk03yeirUbfafyKaaLxbbu3eqmS1
8vWsdxirU9oaaCCHAf3lVMvZbhqlElWEXk26P8up/U6VaEpvG3VuoPZnKHqMvpolD1n6ZPgAk8X3
agr7ye3kYYQGSF0RHULB/noXwS3NduqE9BO9gk3xczSc8EnuZo1BrAdagX8RbJNbqTRE/VI2s9/M
KNQV6jItpJ0Yl0ddmsrQHaQ47HJfSdWp2gtcj7XfV21d3wTYymxE3W2buDSsa7HPzVGv6PeUg3kj
6DDQiWuVSmPkR+jgGYj5wgcstTsxSHrn1XI6/2gaJRhuDbXqeldKzczy+4/afRFkFUhRzQE3KdWF
Tv+wyRzDraMwFYd5mBoT36ZSVo92j5z+4CDRTm7SPBhRylSSpXppQ6rjUVSQ4Ym4UsrZTxp7fCGJ
PNRvWKWACsaga+9L5PlfyfSpfkYU9xs/ZZFE00UIj+yhLSVYSgrNXnty+hTUVjypIT6MOHwnK6x4
hY/NmcVqFaO819uRibKRewZLYtLB8+1B79GDN0HwCy5h99ZaqWqjfhmtPzUbNDo3Q5uOfoHM9X5U
4lL+PtjU7neKTG0Yc0LgfEcTGSAOGpJnA63OF4kN/ecoHylPyCMR6QhTi8KV7Eyg2TA65Tbp80bz
U9kM32fs9V+QWJRv19faC8USi1I7Fl7UVTJspNWGD5kUJb12BDg+NIn8Ge9STqZZryhw/ui/6XBM
w+h5pE/+nRh781YacDgfHD2s/QqrCfv+UMQbi9fHAn+6oFC9weoIb47iOhXA0yWzjOy+mYBcIQdp
9S8zjRFUIoZs3JllUTP3EPDxe+yzSkPQAmALC5aSOWSkjehQelnLfxqRPH/TzVib3XmOip/XH9qF
nStueTr29O45Fa5rFwYuYiMX1A5wSdhuxub8MZfk9P36Vc6XcEx5y8vRlih2zEynDyGeQ1SEE1eR
AI6q9X0IvapO9tcvcqERdnqV9aOmgzrGClfJd78+747fXf/Tp41LbN3Iai/SVFbfhMsl0p21y7w/
6O/8P8hIdy/pPvawX21suLTz93N6T8uO7J/yhGlD6xQdFwQ75Quv8yo3e9COoGg8Um/39YPzqByk
z+nNdBPtAVTtAaXuM1/xy73h44zaFQ/zje0jvtkY2Jd+mK1TqVlginx1q62g0mkddXm2OBW+Rd+q
B2ZhzdkyBF543gimcNQxRB3KM6tXStiXnkXglSgjZM3R6Ax5byZT/txWZeldf7fnteWFZEgZD3sk
Jt11qTU1Ck5eYHEQLi/A0BDkuFsNZvlrDIR5mw8TZh4YE+1rLTXhSAxmKG287AsKGuIbaJrS4JRR
kKytsvTaZ0sZ0OcrqZEU98hZkHm27WJEy3A0tl5q2cN7YAcWMPy57d6NCaavX1SS0bldog0/sQA2
z8PQEmVMZ3Uu2DF2FVZxRYhDpqYa6H7VwP5m1bVUH2BAp0fTDuwaYHaNOaXu66rdeK5nNC96K+BV
bMym1JQ5BK1qhoUAwI3rEr9pmuJmTbtUeyiCdnhv5mZ8Zlddkeabqw6BCNpc/S5ahjvYwUp/kaKJ
uK201SZfg7ArHQ0l7T9HJtX3nV0DC3QLrBa6f30gXChiALyjmErNneY1oTen3xxVRkKJHdoa2dJ1
hfUnXmwt793aKtKXduhnxLmy8lukIv4RUVLYz+mg5luz2fIBrRYOzq40dFROPmAiV0O/r+DxhABl
KKWMjnRn9VS83AynYYQlgL0XwZvZ/GPqytTcxZWYRj+nWPWzFUX6a+OBnBfzOA5BjtE5hdHYXzMT
hwzaX4qWyzWaLnnArVfuVPCpd6GqT7dkdltHxa5lPy3i+blLoukLIwKTj5JKT1YRBN4IaMCnaTXf
cJJK944SmAdkMfpDR4NvY7gtM/D6sbHaUn9a5gxKj6cvT5EQ2o2Aydwh1fSFfdEdUbJg3JxF9qqr
2VZFYxkMq+vRLKcVRdCcQet8db2hxzmZB1PmmpSAHtH+Vjd1N083G6/gwmjg8EvCqgM1gY6Qenpb
og6JZQjjzI1jgtDdYGqR2SihQXJFPUkiRDTZAr62zA5LWiYPxbwzaDx+D4Vsbsz850/YXpRBVPc4
6/NrVt+zsGBE0wzEvQrf+luslLbfZt38ZghDu0XvGX/ZuPflEZ4+Yk7AtLo/VAnoKVZrYB00pdYU
1JKtwZH+ZC0kB2Zq5VOdcLamqKw/GCaZGbKuEziXGKQh2NbokWQSw4mbpfxZKNl8A+6IkooIrI3K
qnquC4ClxIF/6R/Ql1z3rJ2eRFlk7IlbNHYb7Dl5o4vrYOb/TWzCbnyQ7OZvU6sKlXNt1zwbmDP+
mmnepJ7EqcrctWSDPKKtGhskiRq8EoEmlom/XGxmdEnqnyGRGp90MVu/mtGUJx/Ct/R/dEJQdDNx
8VqptzBRnw6xOWkcNYwoYhKai9JVCyJpeJjLcOqAq1ja33iW2s9tP4ZvDXVbtPSNpD44c1NOG+vg
hfetLslgyx6evvy6zNmqcptMs0rtf3KMmw7jFn6uTr+jTbElB7qwONm0sSj3IDpYltzVd6Vq8YyP
BWhjKxJzL092d1sIM3sxrDR+UcDM9Ds2C+GB5aDfpbbSPmWaEd61ilndWEUzHFEXFI+p0zm7NK7L
o0RS4Y3CuSvdqJyez8H2IhOGwsqiwAS32m91EcLTDiimO2uj/F2b2g5LotzdlQloLauVIvy5Q3Uk
y1LfYghf+ODZErH7sTUVrMh6PexlAhWFViIrsBpyljj7xt0+RTAUIgwsracImwO68kQQvNFbtfNr
SIbxiyMPrewPaLKJ+5aK9l5qyVbykC8AT82GGUktgUSKtjH/n8/H4CE5cmk0zNiYrudjqx2EiJgk
XS21s3sKGKFnKs38f7wNKqBMf4ahLPqj02/FqTmd9wPuJjssh5c0t3Dw0nF7n9ixPHdtPXEODtqO
BAnD2eDzXOB3sKrRHQVzAt6bxef02iay+UwabdIeHNhtBhygu9ZMBrfDzfUXMVIC9KIMpj2m5vkp
c5DP7JJAq79ghDAPMQEUn+pUEBqwMUsvPY7VLG2ANGd/Zy3V/bXcLVSdhi5mCTapsjEcjvII+kIv
AsoQqaOh+1OTX3pDPImaq0zEpCAQJSCnkw+sySLAJicoHlrulsT+wmRiKHw2dEtYP/iCTp+WNCHH
SiPsPiLpxUtO7cWnRmgcU1vfUk9cuBRnIUiXi/jRUT7mmn/ParOiAVQJWrd0YFk0kB88NY7Th3I0
t3YdH9zR06eNccD+KCh8tP1X81YU9C3pynrnTlWmz0+4DXPfoeeaHCMlrB4xlfcQMaMK/5dUdvR2
CNbEh9o62teUEKjCLXMRvdbIj5UdOaDRs2aXIap5i3/p6ZY0YCJMRH1rWcn8VUBMoIbCPsfA3pPL
1qM9dJq572hB/UACp3wF1tJ+zXB5vhG59pusHfmtUwb5R2O2t7RBs70Y6nTwhTPEMFAKwt9FR3jS
LuiympjuxGrlfRB32qfWaQll7ksZiXhX8wHsOi3GwYSNCVqLlKGkdYnhoX05SHk07KbKCf4oIz7L
Q5o5k7KP6MURSkPflcjXIie7qCTHjSxIpUgFkVJqR6kXydxbHDRqjT8qnH6NJo9vl4xTR/h7PIiv
xjxBU1ByrF7857HEYtyZNeqmUZv+ZioTykFH/DNjUDWzVy00za3T6HmnhY+I1XihmqKu+qgL/DOW
cM1j89KphPI8gyNFLN3TG2fcV6mh3sA/CbFGTu3GrHZBkuOgNKK5CAFUl0GAnX4s6Tj1om3YS5Ek
2+0NZP33Bm77Z5HIJkXZyTK9FkMo5gppuBlpbHl0fPtDpuXqp0Z2xB4zgH4M8XpxmJNr5558XmNj
+3mhzPchqLdgXFtESawplpoR5FJPDd21sPT7luykHnXIxC9gBv+IQ2t4REhvYyOh46CxJ30q2QTe
Z4M5HZQowEZ4feL7gGmtPkUgtyRKAE1DV7F+VWk1ymocLZ4Og5w/jxraUHg2396ffqxwQ9W1bnR+
NMna5xmLz+tsl7FKnlGh0ATE7/AzrUtoO/j9YxN/TAx3xanK5DWKA1JfevIU2NsOSvugKQOUlqBq
JMlTDAAdOKg5etLg1EbD0+s+dm5w+1umi6t1jl07drT3WIy4REVKDnIzm8Hvtiv6fh865vyk62pN
GHoUkVwaaNKfrkOXvbF5uDCO6aeheuTIAvtr3YXFnRICi6lbl6ii3qtLrXunCKt4TR4Gu4T2Gn2s
aEuXeDYRWxSBEZ2wr+ONcIQ+HcZBGyNfBmLiNpmUHwMraW8x+bF/qaytver5BpIL0CtcGpScAZn2
V9fSyMniPtAxFECo/GCS6ndaFcprHETJD0nv2UEaIZB4QG3jCxYocieotRoPkSqU90ZV/ppNL+/y
WROvRm3NfyKz7T7REhBfr4/T80o05V02RtQ1lu09EsbTX8q2v7Paqq5cTUIPdRBhV49uP86jsdeV
eo4flASEmlcpVQEOoRGkPgXqNNLYZN9GnQ+co3BLavqEMyWE5zzlQ6VtHabO9poW5zsOuLKyqMxY
R09/ZMEY5O1pOKZnPf05UaH6Oxs5ZisnV4OvliEA81qTOf8OqyR5G0j8oYZOoNu8A2Fkk4um4Plz
Mysj965Uxjw8ykOFVHrswSUeYVGyd3c+TmUdsvED9wf4JNQrLGDgadLBA6JkV76qZ7SMyHCsm4Oj
lULf2KWe16ohLePWwNNu8yaQypzeJ8FbhTWmKIzaIdePQ6LQadFqfU9i6kCFJbM97CyD3yvQwqKe
zoGDBxfzHu3ljWFxdnxdfglSML7NpdS8lnx2LJ2E8bHSRH3+3ab9uVON9hCp0m0Yh8pBHaY9Mp6j
NUPBrEVOIy3bmiQ+puyTKfTjN7DUocZGVbB+6wEzVdlay29Q2/FxDBFUAkdWze9mqNvBrg1zxUUw
wtbBkmkxhfBlRlkhMQWdw/MiKPFIwhPHkdSrmzaM5AdHp/MYUCu7b8gz28dFUEPkmaZDVlMVmgOq
ebTQZBgAaeab5MPvEfeEPqlROPLbrt7bBTCFUu5Alpe2emc3Tfd2/cGfT1LcKGVePAWL6Oxjmftn
hU8S7FWtY7CdaZ3gVcjT4JPWZu2Bvtaf//ulONoy0FQNXJaxOq2AwUmbLsaA0esjLebMnPZVh4kc
P2J5c/1SH7zs01fJuYt6y1K25M4+Vst/bquzpDms64QlqxAAa+txZqeG7Y2kyMHH02x5bNlqMmX7
2nYxfk/+lFEkGZUFNCZN8062apmoSdn8IVdZfxQlAXvDWNZfVQ3PZmzzJu1Q0Z/zKJeeKHUrzyFt
N8jZcXWj10O4n9K8z0A4FPJRM+f6WBAscl/PZbUlFjmrydEwWBa1ZbeEHHx9JFdmOJsUBnM3tWbz
jxwVWeFBbZKeUzLRyj36y0E6yESQkD2OgUbg6BygfY5ZRe+LMwTWYniCte5y2lNupq4Po51SGEbl
TaMu31SKjV20Hq0oh1ySGW9qV2m/r7+us+WZWyANh7rl8ulxvD+dhjSHeT4SKUSgZIgflT6Ynqre
Go+OUFNkqA4lERFvTTmXLwoWAbMw4qj1noAsji7WCVlCcjt2zxzcCq8NiJbtwEz/FGT9vuqdXW0o
l8+3jdwqqV9sONneYoZenZjiEmAiZbMC9UNa3hB/oNxUDZt4vLXseoJUL13B3zhSkHrnzQsIZ5Qj
yBi90uBCJYF3f/3Zn1UqPvpNrMcMIopu65OppkOuHJcAYyPmWjWN/QMpFPLGB3npvvnyiSUHxQ7y
c+0WItciTeleoUSfG/u+jfPwy6zWmYt5Kjp2Tmt4QZrrjyVws+dZR5YJy2W6N5uh3YN7mr9fv+kL
sx6/g1Yenkj6emvcfi/icQSmlhOW2CffzSQHfB2awQ85dNiZXL/WeSNnUaL+c7HV3mzGzs8w4wMN
nWDyo9i8xYqzp446gkppC4rD8XfeMHglG4pDnh02rr8MqdVcyG6LH6DRPiEXflV70LIUASoAGCo1
yffElpyvZIZHvg4NBpE5C0xFxvXXmSbn00T34HPjUBoDKKm9tqMxb2ytLgw3JisE7hxUlgG3KhtJ
zVArhRYVbqqgZiHw0LgxgIdvDbdLLxivq8NOk4MkLIDTGcXSRaRGg4PegdMi8UF2+1md1QYwJirI
3VBAw0hKhqtf5nlxwEGpEchq87OmUW6jXaulGf+BDqIoLeQwoSSbZ7V//cVceBQf6yCa/6WlspYj
RD3zEsGsUG8NanQdJNQ7M62N4/WrXHgSFLBBMMN5V/mH1dyKHWi29JhgntkGwySGmKi5LEH3bTrK
xibu0g2xk+S0oy8s/vUR1C4dmqwOUwnZA86dDsAuhDVTiJfrd3RuaeUg99Ee183FIrSWdxthXBWO
vmSBExLyAkY4T8g8TmzTS1Ct3BKyitgpn9p52EeliHBjD9Fo7UgNtIjKioYXzZni4gB5q498qa/Q
14nQnjkJFrqq78wx6AC1RRVF2+u//NIDQumHzAfxsXZmbiWNAvgbgdRuKdDI2q3u3AG42UrguvDG
qX5SEsZAgEtsrTgvyWy1u5gSZ6KEBSA5ufU1Sc9r5LlC2ficz13Wi1kEASsWUDx/5rrt1BhwgyKa
54h2Rg4KEtBW9ljFU5FDQ81KBcCg0AS5rqX1oGrELKZlIblBqDtPdBMlr5cHNsaN032aEH1tHPsv
/TpsiEzxUAQ0aqGr1VapZifC0FaAFG2CnvziQP6jitD8xS5esR/mQLbMYwL44LFKNL30u6wYPpua
TW/T4lMJ4EDJhIXb1sQuSVMZc7sG8fGW5OLCuLBVtodLigdJAuuDRxnG1AzRTLhUL5pjr2LfFdrW
Qn9esae5RJqPzaQId5vgqtM5kWQXB3lo37iF3ID2Hyb4upXoPZXsQBS1cexZEMEek7KNHkuQu5kH
KT76DnH3q1AkzUNaVW3N0+fHPmwRhLRie2XscOQ+/U3QVhuUrDr4pdIaP1V6t5Ds6vQvKGix18e5
v0EL40tJ/qfjkO3rk1MdRoUq8/UP88JAoaG15GtbVLP5Mav1YsLG3WKpqKGsmDIa6izz6WglzwQ0
W5+LUMAAL/L5EMpk+yp1YvlmXs2uRELdSyMT8gsBsPHNuhRHJdXqjU3j+U6VpjOkG2y7qNd0YzWK
AeQ6RlXwziQJxWvXlvYDFFbnLtMmQpDw3B2kbLQ3GjwXLsoLoXW1PBEqSqtdg6iKoTV6eE1tIFid
gGc9wPDpDvVUzm4dSIVXRsACNt7D8qee7lXo8akYlBeTgsrO/HQ8DCQuq5D6andq8vZ7xJh5KZF2
fbOrUX+EEQkdA26c89M0I7C0lFlUxS0McFkwZoLszYy66FcLDeBRwcG7KKWs+XuvFubX67/zws/k
nMKBCzEhzb31GymzvpU6uUJzbuXdvif2/a5uwAeORav9QLK+lbBzob5HIgdeY7RhJCfxPk6fS43C
ok4MLqgPyKpZR8gRzBRdfMNGFOYs5mr+q9KT+VmRwunrDC5vARbpue0FVWf4MS4A9aZks5P4DSvb
bRMk6R+4kTkUpmQCP339+ZwvQcvqhoSME6nMZmAlzsgw0yFWoVivSPLIVjeMHsOOokZvg2D675ci
oo6iLt8nSpvVkxkMdvCoUplBQBT5QBedXWUnw26GhbtxVxc+CSZOHEP0PHkL5jKN/1NUiFIKeZJM
X8IqQYmiTi/tX0JTw1vJkWeowVCzEXtrjbyFcLnwONGtsX1b9lUmFz+9MPivDDiiDNBBaWo/bAfH
K/SCrHF9CDe2i+fqPwucBRda9rygD8zlIfxzk3aRIOHRl2sFaWHD252iP0WDmXCJPO1IKZ80zswQ
soWzn6zAGH2LGUncVJkJfV+SgGbu2HCSOmvWjgQLN6cVaeZ2FLoQ9Br1GJJmCJo77GvfCdU68CRY
qz8qE9z2bkA775CowDFhY2a58O5oCNMlR2eMYXjtGapqB5lEHlRuOhnRG8mS/Z3GgnBvkD/4GfmI
7OUiST5dH5vn6zp7IgNVKttV+mdrsJodUsgDLgTaoS4Dv6IAutOSUd7ag2m8ktWkueAWFm0cLjPC
R05f2aT0Y9oqDubyeFbxKMzmJ3MSePVxo4hdTCf2CIjToAat649SiekVKQ0EkYptE0YQyT5Ojmg3
lTzno5YwQjreCiOKAsv6c5HIzJg5RjauGtksmwknDo8UBsMBqKEIx02iER1/RLSrvNNDzdr3Sl8v
gUh1lsEEDaxwV7SZ9SOS8/QpDtoexGSfvV1/ReczuY6SjW4U7QhC6da9RjvTaVVVMsYighp+mFmE
HaLUdW82AdTuusyMDtcveGEbxuhibaPihdbHspZf9M8HxpxL7JBEeGle1poPfsgEX45wIgES94Od
cJTgLW5sgp71+tbIpnHftIQtDpMWfkbBat7Rdt4Uty2z5OkQwsTF90FlxqRjtf7qc6lQQBSrIL0A
UFX4Im3rd1pFyffIqMSfMqXXu3f0HshaWmEu8Yey718oUeXlPghsQhYyGiY4QEFbfpWaTntHld3q
nt0KRXYngUhYoc3we+NRnu8e6aoxI7J3psLCizx9lGONCE9uZAnG3UAgydBmtJJmYzqqdCR9XZt1
7IrRtFcac3ysHaszvEGutHeoyeb++m85H+yGZiLxoOCM9o465ulPqaD2sr+GV9mG1U9czsqd02u/
8QN1G5vB8zmFC6EpZVFFKIZk9fRCUmTFOcOLCzVj4CpKmtBGpTtx/XYuXWU5j+gorWianpnQ1SCJ
6o6DTtpGDIqhsP2pBBF9/SrnD425kTGHn3CZkteeSnUoQW+YSurGUdm4i9JwDywzvG1V4/36lc7v
h4KBSZuKR7P0H1ZPreZMvNDpCYFNi+KOwiDl+7HdhDNduCG2IrTf2SGwYbeXn/HPt90R2KUpdYDP
dkydh7iaxj8hlWevaYHQjAzNr2HWJTu8tuQS9wJBvdIPHoDW2g2Lhr4mQMS7LIxBx6e9tbG0n/84
zg4K+mnOEpwC18FfTNNKEGQZplK9fg/STIWM1mqfEzvtflx/2hf6ikuZg5WWdp7BF7r6MDWAjUwh
qbQjcqvj8xNKuksUtb1F1Jn4YzKRSS+xZLjISFUvMKP2tW+b8I19q/qfUROAFBYnlo1MeJHJrd5J
UlAaGGkHsdyhbNBlMR1NNUxvNm75vA3jwOIxmDwZPbiYVrccSv0cpDUBY4XapF8c1v5dbNOKgc6M
PkWXE6oPUPXTbujftbYcPdg3w6/rP+L8DaN45uzEX7jNId+dDj/syfgYWSMxMpjxPpo5GVK46MH4
11tP9cIytrB5yCJmy02U7NqoQjofc25OPqEdlSQGGWW2lNHirFPuiFAp4PlGhvE3K4UV7yhW6Q/z
zH7ADWQdYZROBi00QHmg8SFaO7Hc6w/i0q8jjZSdHng9DrBrh7/IRthnpCwitbLhRw4A2g4qnt7X
Do/9K+T35jaRBzl2Qw2DDXKX8ADK+7Nd2HhDZs4PZLsIUkWv/6zzWYjSHx+Fumi0AQKt3g/ZFFkk
dWnutlOfoVvT86MJsfu/LkWLyhCnC0VGToxIqU5HgTIlncwJtXDpQEm/qiwu72iYC5r6hrxRYDu7
IS5FD9SWcQlxvfUgAFmqVwUaItcZCS0cEi08cET/z3VlaL4GjiTWekyV/J/TGyoCCZzmCO8d50F1
g3gJvHdjW971l7M8lpMtEOV2ClGUo/iCUZCuPuA4s8QUAEV0M7uYvtRprH3RwMi+WVorH9E3m7vQ
lJubCYI7yDtR/ve3Rkl4ybzkG5b5Eac3GQeDUxYmRyskKUsh1SkOld2TIVOS9XT9Ts/OQrwvexEN
Lw3/5RM+vRQiMjb9LSASVS2hd+W7QlVIsbqN2Jpr3X9P+ltoL4um/0OdBkzp9HItgBmnGhbUjG0W
x5zV2a/N0abDKUxPTZPhkNa97pKmV+3xs3FGshE8KDR/d6ybsQ/Ne/h8/QlQ2j9/2/wo2gfIBOhC
rVcoe2ThsWuiTCgTEHcx9rCbXSp5MuKXQh0d10gnoi+mXAuf+AFk783IyX9mDSW6nV1q+nscokE8
REY4/hSdNt/Rwe4PNeQU1c0VU0Wnnxcse2FlzIAG2r4UiIMc0bFAZIhIRaj0nxFdmB1ulVo2XkjC
6PUdRgckYtRhCQ2LlLl5jQIwzK4ejgAugm4EmGw145zfsglFFlowCbs4v6G8yKFEDHQ3knbjF52e
xl5klupjKzlBAndkaO96QFaQ+4vI/pNH83BjVlMmkdGUCBj+6FgxZg9m80jTyk6AY4/EMjpNr0Uu
QgLpZ2LF450TIe3DdB9rjNEwJLC7Hy3pRwls+2toBSpRfs38rbda7T1MSulHJcdGQWy6EZW7Xk0t
h7Wglx7J55VId9fHCvA0u6T6flgQRF41dPCIkWRBdk5lAVsJlU0iHYUcxYdJh4p0yEMzErtaraDs
2WUFWIDoO9mTWtX5kROTwA1iTPtWEbmr7+ReJoNLmnGMPXWRzkSlgNtGBphPpDn12Wyafm/URGRl
iQA6ClyT1zRR8Uv2NKCr70Ne5iqs9lbAT+uS6RWlsKp71iQ3X5pizAuvdzpyVlD7NtauRPxeexiF
aHEYygxRqnUsudqNc9W/CVIZX4G4049Kqror9hmjJESCWE2l7xD9WN6KanHXVaLI6T/0LG5EK1DM
9wYwscOOUWYaHhmm9PGaxiScayoqiH+coNXJMxdrHNZMkb0nop34sMHxq7twIpBHU0qn2IWOQTgS
4q3+rXdyIYOoHthpUntOSRyexvKdQmc/vThyX7+l0MFQEyLAYoRwEr2nISArbqe0qLhjNlERWixt
eJY7yN1uEVnNYsyn/YCGMKqWwPUUYAXfU7QLg9H6Ak0kKV0tcuzHSjTDvcbT5I+zwiULTxt04QsM
lWTw1phb3TJbshUYiNai8kttfy5LY9pRGGYavj4VnC9hLJZsl5j4F/3Met8WiClpkrRCbByC+5fl
jmXGQep9/SrnmubFnYXGgm8HbiRnkNNJUK0sK1bLJQtmjOHaTlH6ko2qSWwBgtQg0rMbCgPOJ2XS
wEIXBjYXVeoiAMSV8WwpWfJl6mvClCjJOa9a5pj0sJtx40eer4BYFBaoLEUkgwqnevobdTqoos84
iyg1PiQ3XrDEDlrN+zqO9U9iMuYvqIbgw5AXucspvR+vP6TzV4H0jlM8/g2smdRkTq+PaEsgpdCh
EsuV/VQW2fTStrKzcZfne0PWI5u1lgOKuWwrVgs9hR41l6Mkd6WRLs8o9oHuEPssvxqhsbcK4w3x
1H1iC/hWhNHOxHJCfpGfmnzYKNydbdchdZFGjMWMJi3n+dXCqKiV3Y0qHq1Am4NfDukZXlGK9q42
CYL6r4+Wj49inA3siqXfWfVVRr0eM3bhS8RDZR0qLQv+Vq31nzMeaGAuB0xOIHhfERycvkDdmQ2r
pXlGxGiX7kc91F/juA03KiAXHhs7QcoftKZQ+K3b/8DqyUyqqFI1wZASatKIPTlwC67f2jjHng9I
dP0LLgJ1JIDZNQGy0VAvWESPu4bNViWNrXkfVMiPr7+bc20Ub4QeNXqVZZtEVfD0sfVGG7VJTF69
A2GFWKmC6pUr5FTYfh+wK9phUBzJJOIURYZYMo9fMyOpEiKmNFTQQVX3x17rs2HjQ7lw9xxTaM5C
f6Wy9XHI/6eY0UZ1psPDB6DSFKaP5dL2UwWu0fW7v3AVKo72wuVgQ4pU5/TmU7Vuie6kSmxlCoFz
Tj8+ylmmbDzjC2OGDjsleCpnnI3W8mKjT81hTJQFwAZucEzaak+FGXdaY20d8s6LH4vvnhIvvYZF
YLYWZFZBWbJs1hwkrEF+jsiVeUuEM3/pYyO6UYkceO57Jf0UBmEM1lw1v+pDarzWAwfl64/2Qzd5
eqThl2hMqnRwHQbJakKPKvDFQYxQxgQXFt/OgZC/RWnf/UKgGKNHwwbf7sZ6LOw7QF/amzLWSXQ7
mPGcubnd6S8BvZkvSloSD1ik+AMyteyPc2dNkZ9BK/2NPRvhqEp99y5z5qrdCzHK72k3ThoYm5AK
flLl+V87GBvVK8OSWmKsC/PL9fs8f7kqLRY6LegXFz7p6ja7xJwqBRWQC8w38Sg16mAHE/Ublkl7
41LnS+RS39XpXmJLQTO50gn8j7kvaY5bR7b+Kx29530ESXCIeN2LGjRXUbYk+9obhmzLJMEJIAkO
+PXvUH3bVwWpVJ+x+hZ2hKYkCkQCicw851BkjwHmAfXz7Lq5c6VsKbeB8Lp0xVnj7UUFCettA83W
P5GV4GgDH6k4xTj/+voG7kwcGui8WfJN+hj8VsxgY4EI0QSJ6k81g2gJlOO7MzcQ7lcnK6YzLxHF
p/fn+PV9CTsBABt4o0hyv+rbg4xJh7UEathQdegTTUZKP4Oui+66JFc4SYtTSOPXHHgLcAbbDl4o
qiSRXtgtcMmwSw+giaIg4q4KFcSUiaoghybSULqXc+qmLfTcXOtj5kTABIYFL++CqJaQLuvL7DYf
E1wvGm6Bsougy+uugBzLxu0BLEB7ATh1L1FvEt+brm4/ZmpsUAKkWf4Fyk4RyE8hJnLbAdsMPcga
5SvIZlkS7eIWK7c8bYriZkoK31pBNlIADSU5JF9EaFVk43voltng3uP9tIK5qy8YdKM9dI10YNMV
LQRNc1XMf7ZWG2RL62UiL6YUp+Sqxr51Chb2yjVQF4Tjo/iIVgncNZafv9jDWwrxUggdQpVMdd0N
EmYSyAQILXsAJWzeXyGvSkjIWzyHFgD4wA/1CmsKVFVo54NEYjsod4UDcNxCwNVeQK9AXOCKmwIt
ETj7pClA/ff+s18dInj2IqOBDQBpU/w7/JiAdlkpEJMgR0HF5ArdB2KNP3Avn5/yPwf8yN2//xdf
f284mJ3TrNe+/HfMn+q7vn166neP/H+XP/31q4d/+O9d/h06o83PXv+tgz+C/b+ev3nsHw++wC09
7+cP8qmdPz51suyfH5A+Nctv/r/+8B9Pz1buZ/70r39CcKLuF2tp3tT//OtHlz/+9c/ngsj/vLT/
1w/3jxX+7l4Oj6V89QdPj13/r3+iPhr9gSh2yf+hBQ4pNKyM8Wn5EUL4P9CVgX0DlOSApy/V1Rp3
8Ax/Rf/wsYPi0oXEEP7HhvrPf3SNfP4Zsf9Yzml07oH5BiGB+8//Du32P8fbf94KpuKvr/9Ry+q2
yeu+w2c59AFkpm0cgWgPeW5/RaOItmd3gYcWGE77B1mCYaGapX89ucl0RyvpXeSyCy/rbqrOQQPQ
3DqDy688CP0AAOOrW3D+DNeyKMp1mdXnKXgp1mEjipsIet73hEz1TbDwTvlkSi+8tlPXOVE2JFRp
B6xHdgHxWZq0vxXK4OYCJSeCVBp2YtxXkbQ8XOs20Os+NFG9O1rIdJNWKM2xMPxuj8iTvO9Vhx79
15OQ4UU1c0kj6wBGWXURG7mkd05V0m2WTSHU/Yb8vKa8uhZR5u84KBchTFmizeD9Rx++s+dH44mQ
xUCHL8I2vVaVhRxS8iAvuKN5NGwhXpZel4nn3aTUP3U1evWo5TaOGxE+I3LZQAsdzifDuhlAaSzu
rREKONnsP1Z+ZoP0ndATb04DmC2XTnSi42oEhwA0FPoGh48KwCSZVgAD3ReBDfxYd4m28LNQ9Tc1
eIvEVJ1BZmVF3csa1NWD91nY1gfSOGvGrtPksQqewG+1bq3uIhv7K+i52GCQBrXyJfq8ziqQhcjs
AfRga7cKLlCOv2ZVft0OKQhYnRzJN3L7/is6jAiWDwOyPhTWQI4CThssxMMPE04zeD+dsrgngJOe
BTYkcKYEVZ1qRgoFWqD12fvPe7UaISyFKxhiHhSkkYHTJo+PU1AwMBfeo+XMP1fJpC6QpymvR5Cb
XiKHGH0oLCCwnPbkCjk8XZZPimANrBLwPNQK0aJ7+EkDxiYfdTXvXgb+uE15nWw6J6lOeJvWg7o8
BhnpBYUHnP0ic7MM48VZTThpGDo8nXuZkOaCQYnvwissdQ5ej/VMwnKDVAFEmpHGAy2cn2+7JEMi
0EO+hkGFes9l7W6t+dyR4vE3Zx7SEuiwcNDJA1gsmlYOB8YnUcqGJelDDkXedVL2Mg7AcLVOODSo
CTg3txD2A/GuFXx4/8EabzWmBFAjnA3P1yjk6nWcDulBPp35tH3ovS24OroNzZClDkZoYXfz59Yd
7lkJOeYliwhSa/dbvwQZbgviXy9B5l3eZqMLgt6ZPDY9Py+k85QSt1/hwv+t8dXGC9X5xMV2socT
i1UD/WDk4M5DARyBF7pYl5v94ZxZS7NXqob5QVAHOnP+OTJnmyaM9sD9XgNnsKZ9DUIa7zORBlHK
0djjIF55N5b5/zBKWVjUjgcp6yxfaEf/E+8sQc3y6/8JUUBd98eykJDCAWk94KC/IpTA/QMwPHSn
Lfmq5WSNfkUoFD9CCyuuOijZEA9r8VeAQsI/QOWOuGeB9v9ObHK4s1gwi0ZnRE146ktX71ESQ2Mx
QEg2hArO3LoILpqxP0U+f8z6spO+3EgCBB1Tb6W3STRDgtxDnqGFuPOJJX7MulY9LAY6VclAwhiU
9SBDkwx5+cQ7hQw4Zl3b5dPAKXzKIy/mCYlWvZXvBCorJw7iY8aXUODFxGSVRPbTnmhMu+gBDbcP
aBoKTkQux2wv339hO2TYkgXa/mLU0c5BhHM9Fr9XB/97tWjnj2pdkBkDnxJbNpLUCVirC6CbNi+c
5Y0wWdux/rau7VRj40csADg6nkEH/xnyr/Kqtfv6a2RP0LPDwbgtm8Y9q+rOucjFjARL47MTmfBj
k6adLG2R+kSgoSXGTSoHdxe9UIPz/f0Pdsy2Fp9UScS7ZMILAR9vnEbRiH4TMNkZGX9WsHrxtu3C
srhPRzcGzXWxyVUa12VxiszqyMj1Zv/AcuZwIqUTU8jGoyD2gIrmk9m4NeftSQvMB6K0WKV4k4qO
Oz46jtnOoDPmNRJGwTfixD3j3lmD3v8LJ4SoutnQNee1fVmClp85cTQ6F2RMP2TtqVaFYxO+fP/F
2+Rz00LSPaxuq8pqNxPQaWfOJKNzs4Fr7gvied/uXau8RQ8LiKAc2nS3aAUcTimAHRu95sAUOMYB
Go/ZLRBL2RrStSAc6vjD+4PXqma/tgc922ihAkFBLp/e1pTdOwVkQHKwu50PDXPmFbHq4Wy0OvLk
I3EPcQoKwXrgTLczq6a7Hn1UG2ohC23odZpLo8HPKyerF3FC2HmbeeGFU/NTcfiRadR1GOUw27kK
MhH3ZXKXDADi+8jVm7mGjvBLnVQ1rEdVkwqEqlTwb1NGTtTFjg1c82lkfHoBdVMe5xDseUDjxzqf
ilPCrMeMa+cxkPKEWtXE4zr3QQnlqQRN/D6E3M1eqZ6gFO6IWjTUtuKgkPkVq2S29ofMvX9/9R4b
/fL9F44didznEn08cY3sxkpG3rijkzv/+b71Zef5u8zyyzX0zIE7ToMKoy6Ix4GPKG8AQz7Kml7R
tjqVXD32ATTfdhMxZMk8hbE/0m3i4fITuaavVjt83TFLWi48P5Z+lJ27UQGZAgedK+9PzrGRa77a
zK4jXDI5sQicnZ+UNyItfqs8+995Rw7x8K3WqOw7ymZN7DAB7IhFJe6CyUmJtLdHjnr5oflwLEvR
ChLE6Je+DK37qQ+278/J2wsGqIVDy4mXI9EDHZs49zJvmxSR/8kZymwd5ZKc2K+fVVZfL0rcaA6f
4VshB1FqF8ZVEKpVGZHuCqI6d7wP+rUb5rm/may0/pQ343pQ4qdCTQSYTqoeZrdDE9nMyXmfclQp
2FD7VyTP0PgEWkyoD02oWXbdN3SVohONNx9lk1+G+RStCXC7l60AefrVlDuf3p+rI29BTy95BS9c
iIiQeAxwRaIMQu1507ITb+KI9Wh5Qy82BjsYwKxvJXXcO2peV0jUbmobBD1GY19S2y+tj00+cOEo
JwY28fswjjdgZj+RGjk2cC2YGEa3zFJLRHFgjZ9df7pVqv5hNmptrynruqqhrxzFEtpEK8fmcRJE
ZnfSV4Qc1Vx7GZtgPKXBtX89kurE6bd45VvrXdtnEomkYQ+jcRCU9p7ystumNvLReL/Otgdj02OY
cRQHLeKdQEgf8WK9K8QFyqNKCx7EgFTNNyIpiyu0ddJ12k90Y/Qq9G6x0CMDWvZZFDdwqxWPyh36
7Y3uXODYO1ycpO4oBEzbKPZJxO6B6hF/yqQ9lQA7sj71FDfo8RCiuzgTw0JcgX/qK3eyE2/62Lxr
PuvOkMYuU2g6t6TM9xQSsBDdspxrkGmeQotqudhfR4veoQ+6TBnWyg3joSiDL8VMyYr7AFuBy7m7
79GX9yEI2+GiqmQSbjPCkZ3NE2sLsSdyoRgnt8h+Q7KwgdLAxFn93Ww5aE6PVKNVpdymINiF/pHn
Fecg/v5sZlvz+iL3/Za6DBFGVFyENjQKOAOSz8y4FmLUENNzk6BDiIFy/pnX2OwMrDwnwq8jS02n
lFJkzObRHgiumx0wk60dfR7CNDHbaHVJIncg4JFOcicGuJZuizmFvGFjn6pzHRu75oQ1+IGDAQIU
cVqU/WWVtQ9lJE7J1hwzroUALJVe0VIYdxOwmVROCikvarZcdD0QdDJCLpAhNzHx6ZqhFxh48Yv3
F4tGEfrL+fQCyDAAuoYWWT9m3lhet+GYfvNkkN2h3NmumWQBxFr9qP/olQmIhZoc3BAq+B6ldXVf
5yChJv4Ufs7ELH6vR/jvAWl+FxZymtyKljG053m2GlBJ/JAPnm8WJui4bTtFf2nVlFUsqH+OQ/cb
xBmJmec9M3e/CHCIgEpA5PllnIJi6mzsWmg42OWptuZjK0w/dCOoMlhhUMa5Ffi7MGyBW/B+Tyz4
16zreBHCCDqMcNOPq9q7A3L0PEurzftL7Mi4fS20t3xO0f8P0wiEb0i3Qpn2txBRfw9ac+jCE36q
fFLGkV1+Uzk4qElhtkx0lGylqqrrg1nFlmV/A4OCWrX9/HvUVH+PWztUC6gf2i1ULuLJq93VyJzu
fERPn9kq1CkAQGJblOiIT+JkglymxcAhXc5kNnybmnsG0iczyXMVEx5EF1NZeKuUhacqEcubeyOw
1JsnUXe0wU5hh3Hi2U+AZPRbQNDqjyLwmgtXju66y5X6T+3uoMHoZa/KsXWpnZMjJ4M3gYwnniES
dN04abWd3LIztK55axQ2VllSkCjUDuJ58F7e26w7sWkfGbneWCtTyF+gfSaM0e4VXKJJKzuTE8iD
jfyVav6aDei9UWNSxFYCjdrKGaA2QuwT03LkBeswONWN0DrnMokhRAOVcDS9yh2VYwkQVj/aAMbw
PFwCLRAymH0a7Vy2qRqlC06M2EIzMlT6HNJvspk7v6cg/8uXdZm6aBYJRxMDi3tp5RvuibM5tcjW
bPDLAnhxoFgkLEbPlUU8pxyKxH02r4ee/qbC1N9j13zZzgAJdhsLSReRyy30MfK1Amr8vOrs5KzK
uv5KDNGMkBvirE0beU99QxD1mX025/CzQYHUKRKPsLjqoToqiws3ak/oBRzzD82zCyFsYUN1O07R
wCEz7wlkS2ahGNXcurIykY6kU7FXgrBT5s5ayspw59Y7KjNlTR6pOhajHThZ0ToFY61zwvGOzIne
2evg1TmjmyR7QEZ/WMCRrxtBDa8cOiHhFEwDJILrKQ7GAcx9Y7oHwjNcGy0UT/NgbPj1ZDeMofad
Ve0KxX36pZ/paGIe0ldaEAFp6SroSU92Q1qAe76AtqMi6akGwjenHda1wacKSs09b5xdWTQ/p3R8
4iAuM/Eg2NbCiKGPKl8xx97lDMWhwKqWZCM3CmZhXdt70g4c8Lhs27tK1Zu+dG4sj30zeKMwre07
GQBL3KlLe1eUapfR8NNQjSaHF0xruwogDwKJ1UTtiolBhzpIU++hRzXi/v2RL1P7Kj6BeW1nqXov
Cb3RtncSFMrVBpI5DQSqoaDxNc1EfcJVNYzSX/synqJtMiVEhMpapfbOrXKaQBuTl9BOBw9mAUp0
gAEkB51IDSrjhU0GyOgE0tUo0dlbZaXzd8qzzOT8AVpIe1HggFoI2yu1Q0vOfB5a/hchw+HcaC7d
6PAAgLJC5kJ2fN5xJhY1hFYG0DUEJ1K07hPQAZy9/5gjHqizXfIJoEQAGtWunuvpfBajD3yzpzZm
1rXdo+YJVCvA1rir5vEn2qvztVdkJ86aZY94Y7Hp/Dn1EEFcbSJqB3xFuveYU37JZOpAib2iVxIs
mUYlXj9wtY0ElMFoV3ICtet8On8JchSUwVtFTlylnqvWb30ObSfhahB5yHK1A2nssB1Bgf+Ui9D/
brE2u/SDMcNrBwvAthnAn+YDV7UG248lVoNiruEi0BZy6rRZN5TYzJT3I8BWvGqhEG62DeuiRCmB
ECsv4K1kaui6Enzv5kV7YuDPSI63Jk/bccaFKS0YXLWbAYyBhv3Yriaa0xvEgs0G/Mv5OeV+cjVO
QJwlQMGg+gR264I09d7KIwDzu6TZtNQBwXbYAv8/z8CkrrLBV2svm+dzxm232iR1a3Tdx56h78BA
7ztdWUy7ye3ktosgG6Ls2ajvAta16eA59yG/VcF6DckESIINZ4CZj2berMNpbKutEnsqp50rvXLd
zuUqC8GNYbRV6O1LpZNaUafCcTdCjH5Tl+OKgBrCbOR60y5y8lHRAWu4s5AC6RN20eA/s4HrjZMR
VMgzqLSoHVTJvooyL1ddSG+NJkVHL9dgGx9TUqtd2iePw60q2Hczw9rGDGb3EUJKHTbmuhLOKvIn
u1xJy53MJvy5FPzialbaCqh8J1M7z6nC63DkfO2BjfbE2bhsjW94/TO85oV1mQw1ByBG7Xyvd0Cr
CunC2WmMWq/gRMtTX1gvetSIhIB1oIiSlZ8JezXQwiwC0xvprNpO5qz0551AhfCedWS+9bvu99i7
f4VGz5y9L4beUGg3OlY47+qsKbeQHRxAyNqf0vg8Mu16Mx1whh6KSgIyTB755kD8Y9NA5HhttCJf
EcpCfNFrxDTteDWwdTeWyTngS+mJg2LJzryxYp7z+y8mBhGN69RZP+2IX4DRLyndchPldnBToo31
ESzX7dWElv2NinpARcw+kXaqJqE78gHUYrspw2YDMubrwZ5Nclx+oLPIgwoFnb1dKnfgH5GXiUvI
GZAYpwTfj71o7RhxUevwk1z0O6cl/krkQXBOqsk2C5ufu35fvAtkFuccJ2y3K2rvouzvQKBukvH2
IXB46LkdGA161SDr3xXJDzv/mQ/O78E6f3mW3i0Hdp5gSHAz29VUnWVF2YLWyP5ptFB0zVwLTS89
Rt7tbO86KCZQqgh1Cni/bOhvLHydw2uuWwYGHWgkRoADn1Fg47bQencv3J4kV/WQOI9BOvweTcPf
k6RFyuVAcCkGgHXnqhDk01U0fJi6jpn0WOHtavtyGfVgeO7ddpdwqS7bpIIQ6lBVH81eguatM2Qw
8kZV7a7IhqcxsXe0NSqqYeBazAcsBemawBO7IR8/UWv6mkeW4WFla67aFwAKkhpLvu66Zsccn2+W
bcfMVXVpnIZabmJZQ7uLmmE9gCtjBZkSo/4bqBFp3lqzTLYTx9Cxl7HrQI18UwKkZBQjvIJrul1h
TWk/tjvojrPNbMthRaf+g8liAZ/j4UYDGscG9BkJ3/GiP7PsqlxFAT9JN/CmywIjpBnHVd/vBl/s
JhZYFx2LqnOwfZn5KFDQh9Zdi6SJ7+RiV9fOXdQV62qaHt+flSOZGZBaHNqeeOrhVQqxc53Ov0im
4EKMA44OIPTc5tYidNtGAaQLx+yq7FN27dUt+MSA3TlxKr59yoOT7fD5czYh5QOC411Iypmv7Kz0
zjsROt9rtAre1KOTktVYuuNjLrLfI1b/754HZLD2zEh5M1pu+a4moDNompZv69pr79+f0rdPYugf
HVqXmLcC3ZN8ZxdpCb3A/jMvze4Avk7AZI8SZe2y57uu/oQmSXDFgWDP6FIE3NjhuIOGOqC395qd
COxNS/rbpDqV9zkyJXoj2jxNs1WQAlMyhndnBP8ZTbXehNbyIJxZOcJu44HVoylWngVyIzPjmk9z
F5yHFJwwO2xz4ixw7XoLzrFkbWZd8+kCmtjPwflOBgm6w9Jq1Wag7TQzrjk1tDhKWVqk2Y1rCI8F
q26uzQ4vqLYfrhKVZD3iE7fZtZld3/gCJHxOox7Mxq05ZgUWpyzMabXrcnKphv6hmoZLM9OaVzpl
U7EkUPWO+eHXyisgUjjmH81sa9ntwl+QjN3c7LzQuR+s6QYaykbNQ2DU17yySZRj591U7izPZ+Wq
4iy94RBeNjsV9f60aJLo53H8cheCGXCdl2xeTzZ4w4wmRif2zcJmBkosqndelDxaeQIF8L67M7Ot
uafDnAxC5W6JtdKRLfh7uk1BcqMkDoSED1d5g+4eNwMtwM5qbZRxnU9t5p4IchYTr6N71EIOTeeu
lzMCwfMdiDD8P5vQohuqUCfoErTaGUwNkiHa6MPU6cBL4+dofcrOeQTanqA5Mfo3d3KY1kbPVVmA
N8nLYzuYbbA0gFgP7XS5ZWhe212gllaWc5Wi5X3iDahKozs5NUaZVoxd212Q/CiyFNrEMS/op94v
CwjhQKPXbM61/YVnlkILbzrFICLvts48RqsaeOaNmXVth8k4qsMKrIlxGTDvBygsQBNVDuEnI+t6
3SqywC0sOlvFZdY+EUfEULI50bjw5mpHuW0J+14kDhyvJtDKGPo4m7v8NmlHueI0Lx/aYOzuzUav
BfZR6UvICIg+DkBe+8ESqb/Oqsr7bGZd22baqXGqhY8yxmaWX4BmN9wh1RKeOJUWK682A0yP5qlZ
OnRWYIsuDrLaewSVUblhI+OQkU3AAi3TQpxYnstkvPUgzW/9EWXXvm3aWPS2vyp4GzwGVcM/TeGc
fuw9wdNVI730RFC/WH3raZobR5HLUwEp2L0j6BluzpC4M+w01GtTLvN9ldmTiG0J8Sxo0U9rQQfn
xDQdG7jmxawYQwZ99nBfNOKmIXcQ6TPJc+FNax4MWXaAjYUX7hWTErnS6Vx5oxnUG3xYh16Wg853
UFmNYbteup6LoFqVc9Kabcp6RcOrk5KCsNDaWzRbNx14lWszTgJHl+yuIaFqjbZj7VnQgNTSuh3t
U7yoR16lXs7IZZJODSAPe7+aVg0hqyhlhhOiea0FtcNRtgqmZX1nN4BgD5XcGu03eiXDZsCtNplt
7TOLupCPDaxVD4kns/Wttz+Ujpv7bUGtPRTEqxUrLLLK5XSiLH5sxp3DVUjlIs7ZgZedcGdc5Y04
Tzzmm4SSC4vQofFhiPK0mT1r31jjg7VIbhSnGIGPjVtzTSdlyTCjVW0vwgZs8vSSVfUXo7epV0h9
2UEQPsSou7o4I/2nzi7N5kMvSg1ERnQIZ2tv29XNoNozjnq42aCXM+TFmT2EtJ0VOoD2Tu99GFp/
Ewa9YQym16OIDUWiocOwpxTJMjltS+7/NBu25pWp4/ZzE/UW0HshZNGo/EI7YrZ767UoGom5GmrY
bjwartQ43XqOfDAbt3ZYlsiNlGOH5QdOjY/QiADocAh6w3ep+SR6T9IC6khYgCJYSWpf5LNruAI1
j/STti0cFkX7aYBe4DzjriG9QZ2ZzYrmlEXlCiHzEQulmS58am0AajEb+KuSU9G6oMyCumuPInQL
qDpg/SfC3SNbiV5ywgnmdDTCqLOh3iN+sCZ+IlI8ZllzyrEYUwmmcms/s4Yi7Qf1idCsUhaA/PjQ
46uhw7bdBdHeE/MDaT0FhgbJDadb80uRemOE5IuIlSMXCl33gVj+KWaDxcgbkaZeYIr6tM5SotoY
jYSfckbLszlQH8GobW2N1qHOztC1PaQqpgoP4PkEyUkqVpmP+MrMuuaeFGR9hHg+SDeyDCzXNVnV
6PI2NK45KM1HAvXxgMcMRMfrOm1LsNuNJ2C0x9aj7p/hwoDhKoycynKbRW14CR3mUy1Xb9+LXiv/
2o47qgosKoRN8iuNoDLXKC4vnKKg0IMPbPvE4nx7/RCdpYE3AcpZuP7EgVsMiIgA5dj2lhvdg8Ma
Pvb+Wz72EM13k6FUsz3MPO6gZnfrqSC4DnP2rc4VPRGRvllFgRCi7sAcDVjKp8Daex6YCkHUG0Ia
yGN7xhX5KNrS2giQ655NtX2yTP32CoBo3eGmkYfzEFittZyJ7n0SQa6wttrv78/YMdvL91+EIHnA
xBgmoo5BdelcSOEXZ33huUan+SulhIChRqpUgltHOkXXXqsuBZvNcHboKj0cOkdyCVftdKHyyrId
9xL7oyJMmfQi4UVrPu34aWIlkRqQ7GD33jB+GSW4Ws0mXXPpFORSleuwDpwfxa1g6e3gc6OyAfg/
tRvqWPfMrqu2i6mN3jVe8DObKZMmA9jWckx960CYhFVdbKfye2I7t6QsDU1rnisl8hiDU3YxhLfS
Gw+t+BtQQMgTaZIj+4LOctB0Q0ShmzzEdTjU6aqrcP/I7aFfhUMP5JjRW9UlZRuOumq7IFl4COUf
v/auSSc/mtnW3JQQC2qIs5hjmwRXVhJ8kb78YWbaPXQjCycKHfsq3E+d5a86SW78zrU3ZsY1H6VC
ZD4Z8gww25mtoIH+ERx/hktG89Ae/DXDMCYj4OfytlDJ16B3uOG71Dx0EjJI2WRF+xbdRysooX6g
oWEuBrSkhzPe50rmklfRPoOIzGpGmW+TR6VrNnS90IRggXV9W/ex8sMbO5xvEmZUcIdsgOakdTo4
ECa3mjhosLd4s7tykek02xR1NSkxJJYvRNTGkDX8knqQ+muQxzO65BC9zOR6FCGar2pQLIjbHLlS
9NeccM0jEZReZmrwNgvCcILao//Ea5KuZeJ/QfnNv2gCw3zpK7VLGk1gkZ8tPCVA5YP1/lkgvdHs
mNaJDWrijyClS1js10N/EZEcgrRVfSJiWrao1xcHUFIfrnZWDh2IEzgweIHvnudWSKFhT83wzFCy
OLRedW7GxiFjsZMFoD8F2HX9nCc02r50aoOqacKsbvocCN3o3kodACFsMww50bkNOAUAC8pEeTyp
/FzR5LuyhFGHSQB1Nm1WKl62agjzGH29H3LKftLZDDoI21oE7BQERbFgyOMukcEuyvv6C9BY1omT
+shq8bVYN6ryyoJEUx77zPpoV+OPvjbrwMTIl2e+iHUDSKhakOvL40Zw6LFLu191Ze6ZrXNfO0c7
l4NG0LWzuAztz9DN+wRpPqNuaYxcO0al30NeIhJpXMzglxrT/MITSWq28fqag9odWK+HbqHERePA
OpwAjvGb6JOZB2n+ifK+w2qKkdv51KxDir5UsPMbtT0E4Pg+fKMl0CXdEA7JPpJDvm6jMNpOxWyW
TyE6m0FQWQ1kVjvk3Vj01QnllSDVrdG06FwGVtqpsmEN8kC5fy7c9h5qaoZxqC68MAz+PPAuD/cW
o/aWTX26adqama0WnbTA8/KqIHMTID0WfUYODhqw/oPZpGj+ySUk7BInDfZFNTarMp0hvVSYzrjm
nugZiLxmspI9xF67C2iLnFtzaVaGhRTn4TrkXg32hq7w914whV8niE//nHxkmc1COqp5aMNtwkeo
uu5nLsKzVnpkK4vop9ms6x4KLUNr7Cd3j5rsQzDza8UHswhdJyVwFFg//dF39mkb8VWzdphvGKDr
nASys5kFFohxb5VeDT2LaeXLrDozmhId169UkdhNmI57bwyvLW85iFyjbB4yjocrRQBh6Q0pGfd0
tqO4Va4tzsq0D8xoP6A7dGh/FmHYgBuj30O0DO3LSE2uy74z28z1niTQKNqlEm6/Rw9YDblf9RTN
RjiPgOjAflEkPciHnH5vNc52ylJ7FRSh4ZaoNyQJNriD7ZJ+P1b9hZLWR5mcCv+PBCw6rJ+iDYZP
yCXveehmK6JcSAtm1r3ZQtR8M3NDb2qjst+ndX3mV9GfUWaZFR+hMXu4UvJu6CcQhnZ7n3lQL/bL
M/A4GzXSg+dbyxRFxJWqSINu37veAwTlboOhMttUXC22Lca25VWTdHvKvChdkVASSFxSahaA6sh5
lkvAPZtwMZ/9gKJVvvbHyPDw1LuQFOhfxiGn3V642QSV2jJYC2XUp7lwqx++UBIOBUNCsdlP0AZb
hzJbxJXQ7my0FF3t/PRop+D/rNkn0bCaZbkhnm0WOeudRizM+paSvEGvhLPh8tHB7dZs0NrBCdn0
ivY9LHf+lELBa+IbiGEbGtecEyo0noDEfL2foqS6qYrRYWtZlFm1NRq83mskI5nJQTn13vHnRGyY
43XzOfielVnjDtEBsaJMh8i2Vb+vVXlFlXQ3WTQazo7efzDbVj+WDuF7W0HrU7Hig5VGP96fmeUw
eyOlQLRDzhqhK4arM2xTN7xKetf9voRgzcodG8ODVO/FUmFnz65w633fZdeD7PZQFTXqGob08KGj
opbTDZBwrvely7ocvCUJVG1A29/cvT89R44kvSHLmVK3tKio9gNHsXbttlP9k0AM8qOZeW32iQLw
BgrBzZ6WQ/PJ4gnE7a3KMQuQ9LYstxJdlJG02kdVd19Q8UN64rPZwLUtTIky4DNnci/mr3Vnf4ea
mdmZpBNXqI4mVlnAcj+SNVVqVc+22b6rt2Ohjii9dszlfrBbAc1Ze83S1vBioZNWMD9IR6dO+n0i
af0dCSP1gFuSWfCit2SFKUD8jo1lnofgJ0/d+c5X9NLoVepNWX4fpjm4i+o9n0W0rbpyukDR4hTT
4BEH0puQOBC6Re6N7Z60Ps9XyTA2Ks6bjp5Sojj2AG0lAp0LEGCr2n2YWpSvOKZpO1ue+8NsdpzD
DWZ20UY9piPfKz+Ny4HXm6liZv1waIU/NN7IbA4Dpro9A07Smaw4T5hRXyPRwe9hBYlXpirEXgO7
j4b2nNLWbFvRW5EoMKmoLhbYxpkVrHFxvK9865vRdOu9SBnrB1EDNbofPAu9Jcq9nDphWM7R8e9K
piqz3FTsC+FOH8LEUeuZ8VNkIcuR88ZJqvcjBVT1oOO3+L6v7ajZAMkcfm3ybMpWVR/INW1lCbVK
vzQMOXT5GNVNAtwJldhDrhWClCWKVdsQjbHt5v1XcUROg+htSi0bQttLunbPi0AGj4oIe9iFfVL/
idp1KB8qXwxhAeLcNKjPIYAFxQdID9j806J13V55QeNW65xYHb9ClpvVKyTn5LzqecEQXRBXrfuI
gds0LAbrHrLtafl/nF3Zkpy4FvwiIoQASbxCVW/uwrvHMy+EPXOHRUKsQsDX3+x5suUuV4TeO1Rq
oXN0ljyZhZnIp22eUvtoy513b5pgicz9qus9Aw/eRrMxiHjv9xy4KClDeb8PGx2Kmg/3wHR/nbZb
2f0VZbnQHcUXpVgxizWMhR7NwZ62tCfizwRUUFCR75fpRUhonz/3/S7tI9RLR3U3lbOxme3nyCvm
JS8C1D+W6OdKgvoJuOxCltMdipbfwSPr9UZDdPbnpau+FusM+brikPNJpP1dWNsbOeOVeNTlGWiF
tiUYg8aCN5NJz4swGzktR9OOSGcCcYuu4sqr4RIOkL4Ph1lGYyGO+JSGmp8kg77X7y3n9cUh8f3z
8YwB7YyQdCx2MpgPoeLjGYxxs993ddFflIWQIwN5UGHaevykuy66awIjvQI74jIOgAfuUNBDmoto
L/uMYNcM3NW538E4FTsL7dhmMbg3I5qwWVSKJ8UDvzvpIruONdgPuuw4dFVivAbcjRlopP1EzP5T
bP/RmAiDwvSotxEVnmTOaJU88qC/ceSvX3loIP98XUy5dGu5lmNRHirJCcpSj7zhkKXqtvLGjfwv
mPv1cfpFk5cqFRMIR+Gx6NLum9Tzvyu0ox/g4sH6e1Tbn9BcLN8EAVjqNszSZrPszINJyXwXjqZ+
30VrDfbRAZ1PkEXMj3VJxVMNSu0XEeTVa+IeGuFOrKXTIQpBSToWVS3/nZRa86bctnu/u+e4Q8aX
TpKIy2KNmvdHNNanZAW83G9xxyF2PA1ay2GTfFP/q6v9cRj9pD6IC0KLorU76l1NRZykZ8PkGzCx
/+O1axeDxgMIqiZzPxbgNBufcfHSBzN3y407d8ULujwH7Ah71BbhyefWXgh/VyaBV9L/i5a83Fhf
9iYdi3QMP3FTs7cBb/ePfofyYqU/dLYx7LkBx1uhghZtyFd2oXPQ63/yW/zlrH5YvDQ1KJQlimip
7mUuagEyPAEj+v3qr0egxKU5qME7MwVVNRXEoJAbdMl6aXein+YkUU9dHPVfEFmZG1MDV7yWi7wC
o6+c+mRCYqSCMu9NJ7M96IHjBVTY77lw4VcjFyEHc89QxGHwhLz0fpoOr/SIuPCrqO70kBIERw1f
ky8SNYf3GxsWP1/j4q/ipK9B3YXPDLHOIO8bVL7X3q+WSVz8lZpks9kAVtusQX+nLDRPeSW+//4K
XTFaF4GFMmnc1GXXI13n/8SVbbNt6Bq/yIU7D53tq3IHvwwe0SnYTlADaLJxTfzyIaQYP9sWpnqC
kUrTFyRo3hyYbMfYJ9J1v3NxXo8D1EvGzmgI9Ef9dUAwPavVz5u5sCswWYMgdltVwcZgeZr7NEd7
ffK75y7qqhrKzWJ+ry9EFJ+g8/uH1Mqrg0lc0NVR9+gaCSzNABc7Nar6G1xVfh014qKuRruMpZED
khcCfcKNVX/NB/WMz13YVQQx7MA2cF39MssHGgfvRNlbr1YGAsOfr+E82TLtwLtTrIb35x34q1PT
CM/P6bwfVRsOQyJf6oDB8p3X1Rs98huJ1xXLdzFXXdKuCpRHQ5HWoA2xpooyKgb+5GU/LuqqCSzU
qzY0YEKJN6KpgkcNhma/tR3b3Edpo7ayYFoGsVscJxiwj8obT+q1U3ECu7gXYhYM7wRZ9d+qnh+b
HToZXvt2EVdzDXrTNkVpsY32DEIc+VR5xqMu3Kpu1oMFCdy4mfmXhGbHXH712/RL7PFDBCOBgAQP
4IprwmiajTm0FlLP83Cyw3KwlR6aRhVCYM1hKVVu4xvZ4ZVoxYVaiYVKWmmGO1KliFQ4VAn+nUw7
ZnY57Ce/o3GMM904BIEmrgBEW9Q5EO3bLbGj39uZOG8n6uipTdNYFRoVsyAuH01p//Dbt/NwTvWh
d0rwtnEhn6I9viv5+M/vl7527I5pTkuFYUdozBcDss3HJdZj3qKs8xjzw3PzjoG2PTHbaEsELHam
ZwAP40s7DH40LcRFXfX7RDrUiftiEuYu7qYayBHV+HlcF3cV7kGIOlo1FLpK7iU76dpv7pa4oCsz
BdBPkU1dAAZEMqXnj4ts/Lyti7oymiUrJmaGIhh3k4mRv53DwO95cxFXzbK2cTjBI6KG8xXERJdm
mvyiFRdvNUvKIZ6hhkIo88Xs4kMyNd9/f8mvvBEu3CpaRbT0U//SIlrAg50OqHQnN05EwK2+Urdx
0VbRIK3shm4oxpAMOYvq6AMPSXsv2JKeRFJaKFSTIB+r8VYb4z9MxGs/6dhssh5dM3PRF2pc9q/7
bDHbW3dlezYpb950TYhfX8MpG4LlUNnUpfJDehCErz0f/mgnsX1gejE5qgnmrQzL7l6CoO0T6aCO
UjX8Q9ROKu/lcORzmoIkH/PsmZSDOU3zIO6bYWrvJ2vFXbuXf/VzF9yTfSOV3xPj4npWUibhvuxd
kTD2XqXp32EZeg05Alf/88MoElPFAdGQnSBLl2EGyWSTnjxjBRdhlg5NNTUMd2yZkUySgx9ZO/lx
5RAXYbamgE8TyDoXrKqgJTg3+Z5IL0kEjgrbz+eiWl3Rkktd7Ht45jttszLlfnh74iLM+n7lKW02
VYQdpOqCRLxLo+Z/XmbtAsx4G1rMTyZdUYXjV5akDzsdvAgScSjOay7GqZNCwGh4W/1dBd13aoVf
oOAiwHbMe6alwZGAsG+5k/y8ofTgl9tEjmtooNBVrjOvwDRF+0dKevUcrul8wziv+Lpf2KZ4sFoF
ysuipaG63+2uHg6ABYaD17nkcXAKYp1kdk38iPuIiwoLeg0ObvQ7immla302BoNySRfCF3ndIBf3
ZGreDWTQGi6B3kccMzLB0PvBQomLfNp3zpayQyq4Ns3nILbzaawPL1JrEIk7oTgYpzWFNGpbxGSK
srUlddYkftM9ELf42SMcB1oNhNayGFFyzkpJFfR5+Xu/M3eCcBZH06I6VCX6YPzabDE0RxbtWZVw
maigegrlkhq14bpdS6T1z0c83FIyefGHrzy7Lu5pBliD0rrSAMeVe3wis2lyTBOM+Tgx+hh3Zn7T
V9ozHHKhUA2XZo8xJwNYfvOx7h5jRvwCchcHJdHuBnxz6YrdaplFmtmM7LfI81/u3yuH5OKgoEuu
945TINr29K5O01PSinuSqj/Bo3zDC/2HfHztN17c0w8Zrm6SJlqOGP/AIsh2tqz5Rye6eRcoDF4G
ax1+OmzF3lShWOJMrkQ+R2B5MFlnovFdDLrePhtC2+x5WNbb3+scqlu44atbc95SUCeEhgBlVjTh
MUOZa8BrqqpyeG40OEfyLup6cjfFtHkYkKfc13yKnmMe0K96b6InPsr9IbCqvvScsxOAX6NfoT50
3EVKq6Zbx6ArDr4nJwWJn0bOnqVXF6G6kIPFbYx32ERpepdYqvI9BRbTy1/8gk9bFxYs/dyDR22t
Mcdk9akEbZvn6s47P06URUYPKDuEmPJejspk2+yZd7jaLDHKXAuQ9Uh9ieUZg3o8+FUjv7fLhabp
sjbQOyJdER027xX5t6TBccPEriRMLjYtTFsUBTpUBdTMcVV03GZgbbuRMV0pObjoNLIOU8B6jd5L
1db5UdMt13sk3myq84S/uCA1pUG9F/dMFt0ixGlauqd1b25dmWv7d2wcXFwNQzugw+SesI8CzKG5
HMMIxjxyv1TFRao1TYQQvG+7YmTJ/FnZ5l0ULPqLl0G5sDQJyqaOgKi4QDcyBPQt/QJNsVvO+crN
cSFpFp3wTWuLnb9MTvD+WYngnd++HVOtt3idRNkFF1TBWdaStsy4mL//fvFXH3dohDghDz2gCTGH
WhZq2XScV4MkdyyM2i/9CJIQw9n+vJlInX//a6+eEkRD6M8vWNnNvKaQJCrK3XT5SKZPs+I+x4S1
nRRg7+tWtJjqK8xe9zkePsiEJouXZ8DqThINxIBme2thWTGJPlqInfwBvWR1496/+hVAt+Wci+pQ
A9ITTGs/+nOppjdi1g99JM4NZuUoq/1CUBfCtg9TmpASFiCr8mtapc+pXvwQw8TFrXVlSu0RiZe1
1//FpH6o0uTT72/Nq7EVVHIc1Nq6omWdAImIwt6I0n4dDfqRAAJ0r6VJ/6hiIT/+/odeFvwlwMIP
uQEWuKM52VJVpFUipkyxfkTLc9f3y0Hso97HDdj8rZ+gqEskMEDzemsQ5YpwTOq2Q9NE6xrPfYcq
+rBeNruTD3yJQWC0VvpuWQKTAf6R5o1uwAObVEFOddt8Ypo3z90ReLUIcQCuiyfwLpbhI+qQfm2U
/EsOXjSRWNqJxDZtwJUp0SaIeXcnO8zy6in+9vvvdsWtuAi7dKdjD7lgVRzB/r6NligbbO+nbolO
xs8+awyPrambBn6F92/KKmlPomHLnd/OHd+OknW/om+HENJ0JJdm+Yb2r1ctB0fueBUBlrypm0Rb
NDUFYpKtSxY1w41o5tqZO+7WhG0t+6qSaPjuf9twWvLDSt+dO94W6G0ahAv8YbvQu3UJvi/N6sXu
jRfP8SZJXUPiGcKqRUpEDAav/utcJT4tCKztOJB17e2gxl0W1UaiO0hQJDnYXJt7r8vi4tYCSC5H
vIWP2Ocp+AjFgqc+XI8bvu/K93TZ04Yt3PcuxgMHMaf6oU+FekSJ/1a3+tXYEQfjGJFK+3pECtAW
NYmbc8LAsByypDrvsveqFeMnHFOKOK+OlRtZRCM4Ljf1AfMlfv7FhX8OiTaz2NYGvY7h0zbJ77vp
H/y+qWNGqu0sHe0ki3nj9Xmde5Njiqfyi7dcOLzVTR8wVFkLuxmWNXH6pAhmIby27uLsdh2nUBdB
+kvj/g0iphp3PfETQ05dhB1BNZcOFlketKxRKSNtRgzefr+dO88cqfZ+HTcUUgBCSJ4FVWlG+uAW
DO5KuOJi7MZQjsiIEgkm5zAL1uSPpZxPZOo+t2lrPf8DJ2zf61ih6B/L4sBU7NSAMl82f/odjmOq
GKihyziksKNWfwZvsc5XRW6N7lzxMi7QLkmAhU+rBWH02A4ZcMlbVpaLV1kbsoGO+w1VHGyzAZK6
C2Nomkefdxr7nYoL+1rjntJZwD2yY/06j3ed5X7OxcV82RAF5w5EhEW7jY/Ktp+ksrfmSq8EtC7k
a9rEvKx0asE9303dm3Hg/HMV6frUaw1iUtLW4IJi0ZxkXNf0+2ZMeSOjufKhXRouEQUbndutA1N6
DCjxDKLng5l/va6oiwgb4wi0ZGmEK8oov0e9I75f+tX42ZaLCOvGVEGjZpNFENCHdSp1tqa+kY3L
w8UWYEJiQxA2yTX6JGkfn+i8rjcihCvPLHPiJlZNSZKwGknYuKUPrN6rdynQ1v/OCk4p9zp8Fxwm
4nkjpl/xH0xqzrRRqPDpze/sXXiYnpN4iifEw0NS/68rRWFBvOi5ccfrrxaN6maaJfq9aG9uw30r
mRc5OCRFnexm7cXBpsZ0xVQFw5kyehfy2PMVdyFidj0G2nSIESYRTFlAq3ejPvzij+QXb78qayuY
kk0msNqADKH9NhpAHfwuixOU9fHeTHGL1J1iUjOfmUn7rKW88r0v9OfkLGF7OHfx0BUNiz+Sxiok
7akXgzM+qhObcbyyzdigNlYNocxjGugsqcZbTeUrtpo4ttoqYUbzEvlR8GY81sdyPASyo3kiaeCX
XbogsWihSburRRUkrsdsgdQQCW9JYVzZvosRqyhAvugEStT4J6WzOZHTeZSbft/Uw3oDm/tima/U
Y1y0WE1KBRj+hFI/OYazOKTNjQ4NgjVcIMv5V1ONXpokEO51LDjZbWvaCGD3tCL87V6L7lE0sWdy
4uLHJrDSKtUhFV/VcN+339i0nb0szIWPrYcMamaTFiRMiTmvcZjcB2P52W9xx3yjySZQU0HaVi68
zxmtxGkLN59pfZy4Y7sYJbBjt8E3lJR2OeGLPgWR+eq3c8d2dberVJRHW2wx+7sbdgvWrtRL1ww7
d0yXjMsiO7agsIJB8gcVl8tTrLRfYcUFVE2AR8e6taoY5tJm65J+r6PZ73u6eCoAnYSlnLSFEUv6
uEHjALrg9ebnblxAVasmzqcEMGOabB9GatszlKu82qEQtnbsk0/kmARBWgLypeqpZlP3bq7T2XPr
L17uh9b6DsWqYSZonNm5/0fQ7U0vbskjvGzwFSfmIvuM7RlpoxbXfKTHglZrik74EUKZjaON86D7
kN2Iuf+Lkl77Kcdcm2M7SMCAsNqVUhlrqjKTmGZ9WOfFPCYTSM6XavtfNKRzl8cqiLOO8DnDtPb8
0EEe6HnilN1BSorel1Mr8jAh9buImfi0G2LepyBJAi1FGT6Axp/d9Qtp70qDvChPZlCRn+h+2HNV
ltGdTQd11ulakqwZl/iBG4vx5wUs2uf42D/Xge7upnbr47tw64ctR/u8HDOzWbACVmqgn2RDO5Fv
S9CtJyA8gwstD3D6QVDhTMjL7FQDsr/7bmkH4OTrg4tM1Il6bNgQamgnjaz8Gpuw+wjdHTQ4QtQ/
vwg67+8wDUsfuUCgQwgf3oHyVd94qq7kOy64rT5Yv3cSTy3IGwpKj5Oe9I0Q7eUOvvZVHVdmwfPC
gnBC+2Nt5juGoT1IzSl+ToK1evTyli7AjUbztMkGd5SKAxMfI/mjH5Zb+KErR/MLmI3HLceXQtzN
eZofW9Sfpe0GnyE1iM87OX83gtBiRKpZdGDDzT6TGDLuXofi4thWcYAzZUdBcZZ79ND1O6TEcDv9
shEXyFbvg+ihgYoKzjrrXIAA8mzF3J/99u74s2pa2yEaBsDkaK/zyCRvZ0yYex6MkzMkAectiqwI
/YLqgaW6zlFv8YzoXSRbCGnxdex6TMPv813Urs8A8HiBrHFXnIiDrMCsJwAQF3u1Q9gzINXndK3i
T78/8/DFzb5iqC50DejqBK1JdLebuOJvIsTF/0MbOjptwOJlx16SL7Kb93wZSH8fwRneaUuiOh/D
nT222m4N/hJ/5XXBhNu3SlTQYjSyawB/79vnuKTf50ne0n+/8qi5WDoWltEaY3q46IKg0jkVOwU3
KjpOp3F5aZ3SEQJoftfNhdaJqLMM6UVbiLp87pP6ndhI6Lm24z3SSFn6IopQ2OqQCLY6pKe9Tvys
0OVe1KjzECRgLeZo5i3DwF4MTNHm12tyoW31sJmk4rwBkU9EQBdf4eXrYr94yIW2NbW1i+LwTn3a
h3mpOV7Rzd7Kta5Ziott49CLStU0okQe7/PHpt2S+x1QojOQyLPIJhTznndoM126rYMEQafUOy2m
OcMscjnlQ6LM222y0Y3H78r7+t8mf4j9bNyJ6jAvuVkq/ppr0JNWgw5QIt3mG2/UFWtx8XArmjxB
WicNCCe6PSeYwQWIodIYyRHJKvO6H7zAcSx1wXHVFpbbkaQo+LLjecW/ljUquvFfXHnHHXDc733k
lTVcDBwfejZB2hK2zCxKWbZF5CaNX7HJRb8lBk3i1AAbDsEgdk7HZD9zGXz+/c5fJ85iqcvR1h7M
boBktkU4hzZH/AmejHpdQUMEnRwgxtX8MKWjarODx3sGncbpEkgwl/7+568d3MvV+uGSUkgfdGZo
4EoS+q2t5D0c14204drSTqygo10sjCHJV7F5z3eIG0K8z0siGaf28qM/7FuNI2LVEd9EzxvI1Zbl
89bfLKb/9wS88uK6RGm1Xfe9DBDm9DtREGUcS/Zx3jANlrXi0EdmddL/rbicy7y0KCefmqgth1we
ZHkIhyO+T5Yy+FKtEnYyqfJEy4g+7YAxAfe/iAxCeeP3qaTEq+IhXD4lkoSWg9CjKcCGdyeWXoEf
o3rnc0GEC/bgB4SDhv2owCIU8SyNd5EFh1cxRbgyeRFwDEcdsRrHbHK1959jE3gu7ZRSBoBfF9WE
dQESpOO0LGP7jIqTF3UAEy7WQ8x2DLhC/linOnq3bMnyXUkuPf2NE05aOtApMHtbsNV8Eq0GC++m
Yq/wLXWxel0VJTUiX2AOmrzZMNWYJPRW6fmaxTuHzvc0ti2y58JYup83SleQQFY3HOXriwsXrSfC
aZBjjKnepOv+2dHzKzHO6BWuCRegh6hzMwJkhUUcDGHGRPV2IeS9nwG9FKF/8FTGxgB69Qhp97Z7
LPFIoVHha5yO905oOh3tppqi5EOVp0uY89Far5siXPQbh+zBVpm0KdZq/jbTds2iKlrPXqfiIpoA
D05mfE6AjxP2sRLduz4dP/gt7Ry4lJpqFm9YWukhT6NenOZI+PkVF84kMMuPcjULLmnbDfnW3Q/b
vPgduIuZjoaEtmAMDS4rJs3zMCibLB6G3e+Ou1CpmhO5IUbCztUSPiewok+tWRevx164KClwvUZl
sm41Cp3yXA+ndPbiUIKvdbyhPCK8lvVUF7EY78fePuyx/e53U5wKWNyNUbVSW4PDfuenmC07JszF
5hXXYrj1Z8Pvu/HoSIiNywM5Rhwi15ma2IsqjAkXJRUfEwqaCp/T1JY827gluaCs9AoLhQuTaidM
37drG1ymrinvIQS7nwygw17H7lKRVVzwBao15UVWw7tAmzfryDxvuQuSqg9MK4LPBzYkNd42hSmV
YJj8LrlLRLaZgzIMF9dFwOhDEvbVw7Cl9YPfqTgRrRgqvPTN0BR8P9S5JY3IE73f4sO88nq6AKk0
6qAqZ7H6bN/u6bel/Ndv1451QmW3qacQ4URUbQ+MmcvY3Jr3vZIZCXfyYlh5F7IwQHgo5/h9Apbs
TNK0Oo29FG/syv6tpNaXsazXIjBmzc06+vVVhTuWseClq4FyqYutZwc4EY/1XG26PXkdmgvK35kO
t31mVZHg0OZ6l5k0lZ/XcbFqQYivPMYCTCikGfIoOJ62iFSeG3eeVqYrZasgrgoxNachNnnsp1PO
MOX1s7dMjeUoBIVYumRt1urjz6gevVqfwoWrkRHcmYHE2nJiz2kz/ttrUD74fUvHbI1ltQQ3eFXQ
sWoyTbb2wSIq80oFAJn7+VRa2wWbjCesvtg1g6L8WZdm99y6Y7tSMlVRo6uia2eS1W3AcrNAptTv
YJzHFaLT0LTccDDH1H2BqNjndKm9mA9xWZynterTDvA/hRAPSPWHuNSf65grP0f8CxAt1JPtyIrb
QiO0GIMnC9yY15m4MLQeARIdiMCzuqH5UJKDZlYYv9aPcHUhk0qPDLoZVcGDPckHGyGIrKfkhu2/
lG1+rYkIF4oGRQ4J/o40uLRBWGZoGU7ZKNR2OkBf5HnyTsUIJAaplSENLgtkugA9rsARbz1zPBeR
JoI+ZYtSVdGvic6PqPk4h+N3v+/qmCk1IfrXiqaXGoHM3q4PIkz9jNRVh5RRNbQ92u8XDso/zE+l
5mHhNvarHLlQtK4Rq5X1nl6CbVB5N4X8NJa7X8buItH40sQjGp3osov5XDbbm4nrG6fy8iq8chld
BFpHJYjKBhtcgCrQd/Hc28e2jJbHlS3JV1Sq2juvD+u230EE35XVOqUgEKhOwbbvYGPxBHcKF+q2
N5aLA2neBdpi5qmFLN0Dxsv8EmwX4yaqVHTBgCC73DtyXkaQ6K06iG6c/39t8Nc+gPNcm4NXjTIw
VRR42xPGNvsnubcst3L9ttkJ7ofQ7QLuziazpXnH4+mt0qQ87emLNntafagtY/fb3q052rLAc/TH
xz5KVD6OCbk3qv5DGVV9TJrxIVymt3MLGhmSAOWZ8LV+DsOuBbJLfPH6yi6Kzm57hT7KUV5q/EN0
GyHtzMZPfms78QGjlAoRBuKyN3Q81WX9DkCaW/zXL4u89hUcv3O0Sjeb2ZFJxd2z2MCRpXE9b3zj
a4s74UGvR6iVkCi9lAN/XmLxgg728wyu7uWigzroWJte1BTZOVMbCYZ8iOfOb4ZIuEi6NLXtVNMw
vYDidcmtSf9Cu9/P2btAuig0U2j4Ki5xRSp2WtbGNnmoA34jgn957V75qC6YLpxiNAstfLKU1ZSX
IGd5sIlpz+FSHX7OwUXU0XqjzbSw9DIxclGjBs5WdJ5Jgouo25Pm2FeFiQ8QxrAuwwA96Fm2dKhi
v+KEy1PWpgP4LsotvRwLG0E8p/SdDrS40ba9cu1dXB2npVExuPwuldk+TAH5useJ58Ydc7XHCh95
DLAoup86fSZD7flOOcH2cYCyMxp6GFQc3yVoWGDQIbzVoL3SVhcujAtgBi3XtsUXXU172hoj7mZ6
zHlXbsMT7Wt5whupvqFVRGimJlY+Wj4E55Gn6r5VeC9XaAnfuLqvC3sw4cK+ShZyw4aovPCBzE+D
kPoptSi2Zc1BqnMnVDwil6mmL5Odyi4HjDxas8QCDXWiIWue0K9rTjLio8kwbLw/ddWx3L20YJuM
1I28DyU44H/v+69YsotmQZIcmnoaxUUvkT6XdImeD72xTxBK4p9+/xNXbqsLYulisO4zG4lLU8V/
V3T4No7MS8+CCVcnr2w7sFxOHZ6uuo9z0k9Jtm7ML9Z3MSzzdgBPMEtxqXr6OcFQZm7I8KffoTjB
CUbWF1BrCn4BuIOda3XcY/xnPnkt7gIDN7BiRZUR6YXEwZt0Nvdhoj74Le2UVxCyBTzmiDbHg37W
0wJVmnXym09HLRjPzQ99qLqDJRxqTi+RiT/IwT52MFa/fb/c/x+WXllEp7hf4DJL8a7s6Lc1pX7e
2FX0ZC2doznE0jPdn9pS/Bu03HNpxxtvS52ARwqmEyVa5glfwFYIWiy/I6E/H0ndjHO/KiEuKbPy
VBrgpLdR3vCBV4zeBQTGUdltPcrol00AnUVkd4Bgh/tdQheilUL7MSJAkV7CozT3JcjtMPIaf/z9
sbxctldiGxegFa9029CCFsg32Xpvu5ZkMS+Pk7IHPEwbpjfy2heLee13nG8LFkqM1cZGIJo3KCVY
SO3VYMkPhxNjRD6QdAV6tYbyxO//rSsfxAVibUE6Hrsc+GUcyF+pbt+yMPSrALrIKwH+HloHE79o
NByzhJm3RyLf+W3bKaOB7ADYUkjOXKZk+zjM1TfI5vqFOi4gi/F6YVVL8S7NffmnYXXzGUK3XrqW
TLiILEbj9NgkNi72cj2BdO6PMeF+2E3hArKOdqVDWWJxOR4ie05jgMl+f97i9Vvp0pDZKK5pDd3c
y9hG8Zuojdunpm3X+wiSn5mKxuZOhia406Qabtjb63bAXeIdWS71JuzIL41OUMccm6zpqn/5Fl04
OjcnqtZPv//XrliAS4KmmlQgDzX8sg8yKYZgDnMVcD+UGkQ4f/am0QvXdM1Wfjk4B+55fGFR3QK/
d8AFex1yNIBwtQwVNqVOlVHzeV5v8XdeOxfnHWj7epoYH9gFQIpntcl7PZX/+B25E/MnTb1KEO6y
SySa9HS06bv+RT3ab3HHNUgzj0dsWILKArw1MsT6I/A31Y2GzJXWHnfBPAlIN+gie1wXTMH1ma6T
+Y86TaIi3eY/+3Dcz708ljOMxWTjti5vEGx5MYox7oJ9jCDzBkqx5IJRpeq06EjexVTFXm8zd/mo
zNrTaj94cgn3MsKjT+K3B+mjWynF6w8od0E5itYTJGo5u6RTDYqRnbUncFQjYyknsr0/0Cryixe5
i/PHkOxBE0GSCwvj+UPC5i3fEjXceKBftwvuQhabKiRd28bsktSpOE/gTdyIXzIMPvSfvQXABeG+
HktyWfX0VA3RP5W5NYtxbduOzSnSYDIY488XMu/mnNA9epwTO5x8jI6nrtHhyhsA+1+OfDN5H3fx
KYEysNfiLmZxDSI2yi7GqVgrM1T2gseo44fn6i9P3g8pQDXpYVpD3BYe9pD2lVt4jwL0335bd/Ki
Zm0wJN+mcEYBdJN7ekHXz292h7uALpMeqpI1HN3MJMmGw9xNXe3nRbmL6JrGBUPr/ZFcqjkgp1KV
mAGAgrTfdXERXcm49XvDNpy5bf7lK7P5UGFSxu/MnQi6LzFioliHu6h0O+dkAUqUlXHiN33DXViX
QnEWzlHh3Nf9A0H9Llvi2C8+hGriz7dx1+vUh1Inl4YE5eMyDf8cw7r4eXgX11UdCTpPgMtf0mWf
H8tV9Heg/7g1lXnFw7i4Lk5ls1BMriOXDv8icfi8jfOfv/+kL+n4r0kR/wXUNS+YYxUHvcRS0vd6
I/pxmMrpodpk6+fWXWgXQoT/c3Ymy1LjWhT9IkVYVmNr6sy8nW2aAoqiJg6qAHey5b77+rfzjUB1
k4zQhAEDpa6s5uhonb3XHvbQHO9yHYHiWBDBfl463bKg2P3rV+WoeqKiITxlFLI/uTAPomL3pMZv
jft10H7awNhwhI239mi8XKcI0o8vsj2c7llBcP3Nn9omPvIuRBTXue7BtWBFvh1ev24pEgTAv7YO
/iqjUMUWaRFCtKjRJxCpjh23TtJZCEwZaUQKy53vQ1V9qX3x4feT8dZ4W0s0K3LKBo1eszp8e2zV
40LvedHfato6RqcjK9quKP2UaSPO29p3UW+IG0cQ2PCWzoo1qHjnp/Br+0JLch49/sNpTGx2y99a
IfoSBj2zgjsHZFTbyOT8OLu1bp2iy+IfIIANTyfaflZCY5YDcnO6LwQ2vtXNKIBdcL1N8RywRXWV
51EZcseVbwNcIpw6KIYsPIUCdhfBfvefY2v+chsWa3EefZAPo1p5aprghz94P8JefHJr2lqZQ2lC
VS6Spt0AR9IIGpX6z5aHi1OOMfgPP+ANZsm93k/H3IiIGy+u1eS2PG2xssEP5YC4yMcJ6p1lW3sn
XRRuzFxgi5WZaS29LG9ZKjL9jePJRWvHFWQt/RxCl5TDVD31Dv4O4rGxosoxUrS5MH9ZqyzvV5pO
HIIUwaKR183DzOk9JLDRsLZXpdr5QNNa6xPfoepYuUkZBDYXZgAc1Iz2aJqL7yov/migkOE0w20o
rPXx0Ac4308lDAEgiEG+d7Nb5jOw5cnCYVhKtu5+SqvJuzQmfFhU4dq4tepJo/Kqr3OWFm37iR0N
lC6r6bPboFjLvmPQ2lkm1FGacdPRNsh3HdLQJ7fGrSN5Nxs0HULtp4GR7T+s9ooPOS2+uzVuHcpH
r4O9MrOfDmTfnthavzfT5vZqEdg4WJbBQi5fKE33nuwPbOzJOVzd6k8CGwjjbGd9BRn3dOraj0vQ
w+ZncvJck9IOsID37izLjEl7Tj5Cywb1poo45cml7VxAAuZXmzx0yrclPJNgyHFDbN0qiqRN0HuN
nGlO8zYN22U/BU3/csCT4c6R//p1AtYov8adYirk1hLTpSC5xvcT99dzkIV9rDMk7X4/H2/8hB1r
XY0X8KRYmtQ/5v50jFN1kr0pLuXmHU43FmnHXF2+HGs4VW3KpUmhmf4EOyenzRET59cBKox3TCte
59LNb8oU2sDZpdqYm6CJtCOuqp42eJ2PXdqgFrnuMgU3wPVPt3G/fo+fLixhyYAQE9Okhdccz/kq
wqTrtuwM2fd7963rIPz3MiptIdcVDKC3iKxJKem8D2RddRmxeh3jsgqRbiCVvOyFLx9//we9fiWQ
NuE3Vt049KgnSfd2fyvLf+Ct7pT4krZOHqAseEhuXZMOh/hTEfOe1fcEJG502ob/vSH3EZqGJh2D
UV+mITl6303QQdrxHdHQ2IYWlkkHY4KoqZYXCqfDO8v2VsetY2QqvaVXK2vSyRQAwMhSR3nvZJmL
aW9tO6jVCWkLEjQV9Mce4rKxlJK4ddwO8eph6UZ/Lbu03rMhmpRfP4/zcs/aVr4+5e0Qb/IDNpak
1+mEEzB84b4oqhMuTSsUVgKRf9eic0PkpB3yDYhTl71rNWpgvcdgWj50i5t2o7RDvnUM/ZqZtU3r
pv4quv2vjoAA/v0yvbHf2yGfWZEf6QzTqKsvdH/SEj669ZjjdbRCUZxTBCXtQoBm1nVGqdTpNq7L
KdQHJC6ze2D0jalvu5ZTsSMLvvs6pYyrE5Vzc+nCQd4Znxubpl0MwEsiVDONOM9V38frmsEeNDCQ
tKMK9dkn6gfd495oemdvu/U5rHUsRuOtR7+0aT5RA82T1UeUjDdMqp0sZ6W0Y0KeC6rxRI0jktRR
6EO6xhe5G5Yk7ZjQjNkI4XE0vhrOk4bOj72s7mGiN8bGvny366i2CV6naQ2Y86KK/hv8nsuX2vf1
nY99YyrZBH+jAihUjbRJtb+exgziI3xrPv5+od1q+7pF/XTAT2rdS9KMOl1k/r0g3aeR9HcCqhtz
1DYHn6HQdeT72qS9WKc/JG5Zn3s89ubwvBZDZMq+hWxw6JZKkLbY69Is2aB9RLi1KOmj3PryrDJe
uG0VNqe+hO0ht2PCVlGN30t/fKIoEnc7a2xEfZFb1R17p9PKL9rzVrC3sp7ai9P3tRn1rdV4NINs
ZKoDPzwr2QWXGrDlnef7G7PHJtTnEnpEvpp1KrbqDcOdJVLD9NWt59dp9dPMnAtOi0PDAc1s8tmM
sohyGDu4fU8bTS/bwwtM1tXpyuGP6K0vzTS/d+v3dZ/4ud/7XCE0oVXa9gUqGnqzRXR0s3OSNpNO
fMXnOlirFIpezQnKHOSU08PtCsrYrz0PDsDP80HLdGizP2vcEw893Wn6xl7wn/KpKSu7Ea+TKfwJ
vC5CRXL2zLthelk9Q9/lhFCI8ev6zvvWrWlpHVcKMEYLA8AyNeGsniAbm59C1OXdWa83Nnwbgi/G
XEtRH2U6w93x73Wfhofcp/vLBNnZO1vnjT/ARttFVu15uU1l2pYZsvNwSD7pHpYjTjPUBpenTIco
bM3RutifF7MVl62X46Nb49ay3cd168ZG5kjpLm87MT9l4+Gm9SVtcpnKbcq4ZnlatYs66VyyiEBC
3W1PsM25azyct0uw5+mq5r/qAgrCQfHBbVCu3/mnPSGYNUxvQE2luhafsnF407DW6dVC2nKmGc+7
KSw1ml7Dp1mbz74m/7r12v+119CUh0lS3udpOY/Ac/mBK5x0S6JLG13u2NZ3mSEkCfR4XpvxeaHd
Z7d+WxdDn6wecmhoOqP+J/+QXVQRKCI6NW7XWcBV6FhkVeYpQcruslVXg6EBltdurVv0DCHLbEpf
kUR47buSb2k2h26RgF1nkbd4HMo3nyRh2QVvp90Eb/M5czv0bK1Qf17zZuqKPJ0NW96GBV8vPUza
7hTC3dgObRJ9J8FKdyPytGvoFT4pUSbq0Ttxxo2jySbRixLrp2HoejmXpIgU4f1bgTLuFmof/vQ4
e40+U0Xu3WyvX/KVdJctBlqP+xLSeSVJ3ZNSnDZiyrPJ5fQj1JN8QLKtfdi7npwOLgq3LdmG0imB
amUZlCTZj9n8ICGZzrhQZE6Pj+DZf90lKEzIcphi4Q+i3dexyN8FqHFwWw3WQi4yIxpUDuMskT+g
rmHOpS/8O4fgje9gc+lweEIo0pI8bUNw2I3suoeDTvWL1hU8XpiCqz2onpcMDJjbof4fVh2OUu00
jSRpN8zisIJib925velLm1UvuFowe5Fbo1t3QYXeu27I78RuN1afDatnamJVs1QqmZf9U7NWb45q
dxwSK1YulrUkrWrzlGd7AE/VHVZ2wm3y2Ki4t+6oLGlx5nJvf2GB/NGowc0rQtqkuO/Dyl4CPk/m
dnzWe9ZEPqX3PNVujbd17M4cpdAiX7OkrptnPfIvO56vnRaUrfk4FgGblpyRhIvyG+3W7tGnkxso
KD1rtUJNsumHY1PJ5DU/Cioy6CyzzOlgFDYnzjXmtp8NOAI6UFmhXv4OvNnNDVbYIDhTXV8Oa6uS
vdq/QGfq/dKtTuGZsOsu+DSV2eaJLCkPVAkebPm6DyK/s/X+P93338NE2Iy57gWXOQ6SBKxtm+40
mGBmG85v8gp+Gi8lLhGPPYiZCPra2WOQC/IOW1z7vEOZFtKww7z+RdWUv/MpNMwi8Mz8NG2TCqNu
qadvHFZCHwPD6n8refA8go2gfD9XbZBHLcxpctzH2fyjXDPvL+bx5ZGSvtaRgN/oReehPk2hN38t
wu54wAMDmIC1ad4WBYXT9FZNK3SZEQhHHVHTHBWYMqmR/IBmPuw+ZB62wKm1t0a8KHTUrEMQz9Cb
/7KFpEB1XriIB7iB10neEP1IUEv7LNe1Q5dWpZxOTWED9h0vIAvDGBTh67GMjmpMQ2Q8XdahsJH6
XYwS5VwqSwQ0nMwqTTT72ER+3/jrrwvCJuo7OC3W87XjHZCXHwMue89QJf5eBk3+JvfN9PT7n3l9
mxI2XD9u3SB6LrOE9t5jFuoPK0L6O3/CrbatmKKUGvTrMoRJBvOgiOj9InjvphklbLgeLlnyKLMj
S+TMkjITn1Ce5BSoChutzxbkZ7Qaw0TTMIsY+UAoFXfG5PW0A0r3f42zQhPAXI3MKslqEDAT2/PH
ZpzpqR0PN31zYfs/y2YZ56aHCcIkxzaSfE8ryF/f6f+Nb2rz9euhFloTGSZIyjzTo6Ins9DK7Xiw
+Xp/yTrYsh5hMollP1+V7059bXqnq5Ow+frclBMpINeQ9GP2rTT0Xwg9//H7VfT67UP8Ry71mMCn
e1OWFAtvzmXuL5eAQV6/CqHcpVpyPB/QzrjzY7c+gf/rFNJIy2wQS8iSrat8JOHad6IJnFLBwibt
K9/jQ1Fi19knNZ56tV3yNXCTt0Gx0a8dXwQfw1aM6Hjm6YfO697kY+ZWbCNs0D5kMMiWNb7u0oYc
JFJYXYRswvPvP/CNMbdZe9FssgkmREXjKLMToX0VqcPv3BaVjdmPXQDV10CohHd49oME0BIdvPrk
1nXrbSivaHlVv1eJbGeoMHnfSp65bZS2gOpcwOR8bzAqKGZ+CvsnE/ROtxVhI/ZdDvFIclCVQOct
bXrEBDB4dMpyCJv/CsjQzny99lrqL6iLq09BSNwEa4UNgIU1Pdq+OlRiIDtVdGSLOCRNHOeJdaBi
2uUsg596shn1pm3m4Vx4Vek4xa3VWe5s3MiUB8lWto8tPC5PVVg4Ln2b/BrDqtB1mcuk3MqYNdlz
uDmG/TbxtRWlNFIUMmFw7o1auj76g/rbae3YyFdHCwphk0om9fjnxNu3tVncNnEb92pQRu8FVSkT
XWK1K18+e7x959Zr6z7eYGei4d5BG3UiCVn+ZvXxwa3l6/b4UwZ8y2jTevQ61kR6CSUVedoGpNvc
Wme/tq4bSBcOeyMT5PLEWYp1O9UhvRPo3jABETYiNTd6g9IL0DfUKmO577BdOm2VzJ+h4oTwXahv
igRFtIebiD3RyK9Yy83TPmLvKbKelVFee+tFskngmZH4QZTjQHu7dX5B8UatM3ge9tRtY7XBEAbv
QbkqLZKNRtdJ7eZfKWx9SJnPRlQa7XpSrlGfGS9qqzvX2BtHpF0FkPkjLng+C7AO6zgrexb5QeBm
XiBsSmztWiUKGKAlSHf8K73my4zV6DTrbEishVOBpL4Syd5667n0hvWBieNegvLGqNiQWF1UZqR5
LpJ+4R9E3VURoB+nPJCwqbBNUWh1SV/A+06dEF/+qzY3KxdhU2FkhoK+IFwkCpfnqD4WZGvq0PGQ
tLkwpXJEZmOJji/y+xKipIMzN6lvYeNgh64hN7AA8it5R6JA9CYiUIq9s0X9P9v+Sq7GBsK0zwaj
F8yWK4QULVcdmkBCtSyiON9ObR6yd3nmDx+9DHrJp2xSQxlB1k49tvu0nujU747T1jqus7FfPKIy
/6oT+YYcXTJnzEkXX9igVVkivTDsM0/GgiVNZxKa5Y5N29ffcp9l24Us8RawbgR672yq7uF0N9Ya
v97OfjqdsKeV3twyP+nK+cykfqTH4nYztW2/p050I+BIP8FD6qUURVxs4k7TNzIC/2GZeYkHBYWR
lqZroZK8/2Cj6M9H7Wu3i6/NNPd+2eqJEz9BIP180PHFebXZdJip1sprUCuQTA3GRHrvO60cp4r/
69ekCATUtuw0YWE2RwEpY3rkfznt+TYI5omy6zpKd2xvfXVWxRxEGqb0bnlBGwUjrPMJl4WXdJv/
bR96vIuUdzp+Y7LYIJg/wzQumI8jKQu1x11zneTTUkWL4o5RmE2DCb0dxdz5R2Jk30Qqy750lbp3
j76R1bSVSodhaMs87A+8nnXLx5bn1Xu99sUXsZX5E++rwfFWYKNhB5KPXIl9w2OA+rDtBKzo5Bbo
2Hqlmd+Ah1zFmoSL3p9IbswpmAO3OhBhs2GewiMGNWhdseA8hWP/oEuPu81Mmw2b4EVSo6gSozI3
a0Qm9bZHOu/O2XhrbloL9tBzPRy4RCYlNht4/bb6CV7L+eNS1P6dvfLGDs/sCzDD62vYFluSG7As
ga5Pg/Hv3a5v9d86UYlHtN/t3poEewDRfdo1SaZZ+XbJePfgtO/YRFhW1D3SYuOawAyjfxoJqtgr
ZLLPbq1bhys0MQ0q5DE6DDhCpH3/Cwtmt1jTdrnutamg9Kc3FK1UZ01UEA1Qbbszc258VpsIq/y5
H6DatSWeMMsDgwDWo9esndtBYhNhjado2NXhksiwPQ/l8HZtxzvb8a2OX///p4hj6ZnKumZekpbs
70JdhCc/n0e3yW4zYUjXjRPvvCHREznP7b+QhXJ6VBe2wbXPhVz0sY0JVxRiv625rEvt9oAsbCRs
6fm0+TsZEk5MfuJ5+J5UhZvStbAlePsALryVZ8akUJ9qr5lx7akdx9tmwohaPBQwoO2Zmy9lPv5B
BscxsaV3dQ2vQ11UI7gOUkYzBCzYpN0Wj02EFQ1D+kvkI26YoCMK3zsR2YduB4ZNhO1b21xN4tHx
YjlOncle5MR8t7jUBsK22gwz4I4hgcZgWnvB111VH5y2QhsHO3re7hvK7ZJMbXB5ZdO7Ujme/zb7
NfczjtGwGZK58b5ni/zo6dUJeRY244XM8VCvE5rORv0m2x/hc+12XbT5rllkRaegEp8UdM7Puivp
CZIt9x6rb+yD/9cF/Gkf1NBU7zsoKScjXsFS1lL5cE3hu22ENuSFJJ3RIiddsqvto9/StOjqj07z
xKa5uAdHEG3yLpG7PB50430jR+BWzCJsmus4ur6uUAWYTPn2jw8wZZ7uBls3RtzGuYJMKbgclibZ
gjWVQ3fa180t6W1rf1aiqCG7sbXJDIXTWEm1PHu0EW7JaRvo6sB7zBzMUoLQtjyh+vDMN+h0un1O
9ut5zOAPSH0k6pP2IPml42a+BGFPHbtuBbjZqiHQsvl9su/qWYiELfJOiHLNULySVbKJrnbhfoU3
jDZRWU2mS78YkD2jN5t/A+hav6dLET4Fqz7crKWEDXkFtYKiL50wTlx6lyyY1akeh68uH4HbkJcv
mqNiMtBJMJB/+zZoorDPGqczg9uQF6z7ND2IapJ8MJ8o9MlLRZ2COW5DXjL3jr6cTJOQYGZP8yjO
OjuUU+TPbcZL7KXys2lqklGASZ4IioRDDxlDtyG/Xml+2n+xP4admasmEY3Xnc0yoPoS6hyOrV/3
oJ9aX7auaGQwtsmRB18bsyew1Lj3MPj/aPa/U5/bnBP4o1ChCLVNMDrzk8y6oo36doBBKW+aN3km
ywfR0+PdsAZzOlXjfmmooc+iJRX2vmCCHGCpm/N1M1TRynU2nopF9nEGN1x6EQOoL79vdoy2Yqg2
4QgHTJUvKQSn3XB/bjNU3gy9tr7E6mV78G3h9LGfd6dcA8LxX4e+8INqpxBvTMY+i0wHbV0xc7c0
PLcRqgZO1j2tkEfSfgYBvv5tVjvaE3CboSpZuDDsZXu8mOZJQwb7R7Ga4pvTdLchKnXU6wKzjyMm
5fKtGdV59ZUbi8FtemrmWR+We33EhcfyBkV/PDuhOslNcZbbIhBmq8MtLDMZA0J4A45yjSpT/ek2
LNek20/r1DMbAOy9OeJxzPrThqrLxzHg1Xu31u09Zs1IqLJpj4N58+OMw9wJih6zE/DBbTgLSeQw
7Boh4m1uj2fKqvKkYTzkFBdwm8+qVIZH67wOYiKWjwGSOlGhMuK2PdrSpwG0ybpC5BJSJ0xEKyLJ
qMrF6nS94zaRNTV4kezlvMfgyfuHdSzqhzVzk23mNpE1CFLpMaAsXkXwJW9LWO91957KrqfDKxu7
DWRV3oytXNQsNsPwsKtPbWbczlIbxsIzAPxm29CPmcLaD4qBnZBWdroocZvFWtiIAAN6oTGp5jib
IbHvBY5FAdyWPK1ambW4rvsxKmf386gCfq6YW4qO2zQWDHKUKfrRj4+eDqfNIMMAD0U3GwVuE1lh
izpuumRbbHih/2r8cB2fisMrPKdMA7fxDIJ6MGhsaBYHBWrbwjJqvNoNROY2mlAEhuAucGDYZTdE
dDV1VGi3nDri5V93Xeg/arm33RZ767JFphiD84ADym1zsWG1DX72WwNFvhh+x/DLzvWLDu9Rq7dW
qHWfydfBVIcm2MxNCVOVbnzqveWT02lhS5WpZedMhsyPe1Zw+LmhCGBRSDq4tW6Nebiy2uzZtMXV
tPun2p+eMzK6UcjcZtXa8pDHnAd+LE96Z10k88F1IloZ+mZmgTgy5cf5xp+glwW13Obe88uNr2mz
amrvg7DupYz1rD6uU/aAkr57wm232rYii6Xpgjpv1yCmBXuHiuIPYg/cDn5bC7ZjrR6qVsFNluQ6
Pw2VD8d5vNxxN30gbiuTSbpTOgQcK4gZyAmKz9WsPztNQxsd8nSbyzLDQYR0TIHnNCMhZivvWePd
GHQbHapkCGQNApGx8HEJyvFs9K7ctvnJre/XVMRPwWLV+Yy1BpGcIcMYBV34sFVunlN4Tfi17Vyz
IyTj7MfztsR0Wp/2w81BndvoUH8Iuat98eMRI/NA+IwnzHD13BKZ3KaH1LQBgqUY824H4GEyVn0M
A0Ycx5z9Oi79odhYy3aL9RSwhxAh76VuNu22kmxokI5lA3mhfo+ngvII7+wr/OtRy+U2X6ybKCQV
K2hBw/W5kWsF1MMfnlo8DrjljGzhqIkHk14Lw2LPK97M6/KyL4Fjz22cSQ2e8XdJ1lgsnnpRxb48
wZCDO6XsuS0c1SxlJ+ctW+PqaMTLVBf6E9yR77m039gDbKSJKt4hl1QxHBjhWWbehVe+U6kHt5Gm
cQ1KXo7NHled7COCvM6pgCu8W57Opppwa5H9uKPjauj9ZxXuzSWDUoTbQrKJJtYLVeUcg+6Junym
5TzEWXPckyS83mhfubnYUFOwrAXTuMFhE8inB+oF7JtWsvnA9nm48wdcd8LXfsIKvbxpgJ2WEfTq
oR6+zcNyOGs5yMvWhARnCHODW7kNOqkeXgX9GtA4MMUXHvTvsoy5RXg25aTJQsa+5RQoXO29ZSFr
o3yS0i3xZYNOi89xrSuvra/Be0+RJpoH7x+nrcwmnIZSdBC4WrcYosX1p0YX69s1YNm9m1L4+re1
Gadgn70ALPQaw7B9/9DRMZ8j6Lp3F1375HywZnhXDjnqH5qiaP78/Z/0+gMCt987iw1HFYS75tho
Kh53gqtrSciDB8jtMwS993cT7ZEJ/f2P3diUbLZqn5jZ64FjQxXLH6gB+Bqo0u0Ms9mqXhar6GCC
HrdreJrN+E/eHY7ngE1WVTAF6Dlqt5E20MVp6Ra8HYSL235nk1Ui0N627f0S+7Wcn/2cLBfcNXu3
+44tvEU572ZoyCzxNEB04voQBYdvx4VsQ1VMB0gTgLeJtTAsCin+ybc78/LWVLEuasLPuo30FB2n
KzlvV5JlCBo3rSdu41SVBzc4uCvOcZNDB2clSzR76+aW77T1tYZt3XoN9fQYF9jqqQxIFs07zJ9/
v4ZuHAA2T7WNGkUunV7jBZpqHycfanORrvCOS6cCWnZT5Sh1xG24ikxkz1AJucbl4X+ZxBRlC/La
v/8rbnxeG60aQcvVbSuXeClHEUEVpQZH2//l1vj1R3+6oXRGaFC/64IjIG+jjat0mze3LJ/NVi1Y
Sw28jeZYBZu+tHwwSFEG39w6bh3uzWwAEizzGg85Hx/HbguhoUGF205j81UctAk07fs17nNYMXnH
0kReKAbH1q0FazL4JuAhbomPsp+jeoT2e6PMPQl18frRaCNW8zgro6GQHyOByx887MhJzk34tMus
djtBbNQKbHSxLnk+xithb1AM8GOlkrtNdxu1amlewXQP093vqukiZm+PUDrj+Mxqs1ZTo6ZsyrIp
Jnw3b/yuXZ7qSQR3Is4bS9WGrZQqPBxSxxrvQ2eizVcfqtLN/InbRNT1wJbZVC3xyr3nqvl7yd2q
XLgNRIW89qEy7K+xWXdz2qfDjw42G8fvad1pIVrJGrpiTJinl4u3T+WZC+YmUs9tKIrWi096hY3X
8/cqbucCYvgDdXxesaGodWY0GJcarUN9/KE8xuHUh6PbddzGolSt6o145RL3If0Ekck3weG5zUMb
isIUn9u6wpgbv2kvVZu9az34hzjtvDYVxdsSylYem+ISRfSn3BvaU9/eafvG3mVjUY2Ya1Abao77
SW2nphv04zaN9blcK8ecnM1GCc6LMp/KKa5Y6D2MyLo+llo4hu223FWbt94GC+wpDsG1JIQcn+nS
mjtI8a3Rsc68Y2G40gbeFiMjWtdPkPnT72uvr57H3Jf3fuTGHmZjUsFs2k5yOsV+NT21lH/eg8It
2rOJqHlvuL4afMSGDiyaBjJEtbffafz1GyGziagS4s2e8Avsj6VAff2wqMu6zcHDBpr5A/xn25Pf
5d6pz1Du67IQmI1JoSLLhxr1ssRDN/inWXr64uWHm1QAs0kpfxU7hVTIEFflmGwifMeq9k467fV5
xGxOquS6870JaWPZ+vyZrHAVmme/O/cQEroTIdz6iev//xRXeiFgAx3gwS4s/O278VR1WWesumho
1b0w6vX7OLOloULIYRl/wj1W9dX871wV3mUemTlX5U6fczmyJ7F72ilQZvbzJpnxjfWR1/F+mG9t
1VcX6eGi5TaTrJy18qDBGg7dEjcs/Jx3axkNOWpa3Rq3do0CFCvxNjHilVB8R934C4qGfrg1bZ3t
puJI403XIww8j4lYu+h/+rGjbqYozIanalkWtFPBGvva12/zrBhTsRinahtm01Nt1ZVizsYxDrdo
Pdry26Az71+ngbHhqQBeHEszqwHpKfO58cv3gwndDJKZDU8xWAWADNhNPJf7GI25eO5r/05G8MYm
aitPFdO12LQXJoaT7nRiRex7bRktXU2jWqxvyyA7HoR2e/FkthRV1kqkliEeF4OSK0+MFiKSoS6d
giBm007KUw00pPc5nllu/kZCxHtaKBSx3b6wtWTZrhZDW3yFMfCHt9leZ4902Yo7G8LrmQtm406b
x+eFKDrHE9+ZicwaslMAB5kcYAVOsibwidvuYKNPXIwh1Aa9MYb7XhgZOEtFfra3d3JqN44Bm32S
siFLbY4h9uSefShh5BnrrqUPUwgJkDu/oV697zKbgSKGtPMR5musNk1PcDvNT7vfknT15+pcqyJ/
MMg8R+FKfcg74tbqNnI2IbUFuTfVcqQvYsu6y7G3w4VsbnwEswmpAc6z/XYs9IXkBYuyQ4Bndqwk
gaDrr4fzqjmeFgUa14VuI8j7GRG6nQg2HyUHJmEliqaVhO5JOLVNNAHvclpzNh7V7seymMBfYnWs
CCUYhJrjvg62O491NyarjQHtZSnzgANr1ksxZ1E/miLJ24DFzRayO1Hq69E1s6WrauJ33tYgP77J
8gfeik7lBHWL3w/P/+uM/vvgxWweqGgGimrvcYiBvBYKAw+Keb++HRQNry+oEuyesrwente9ak5T
3jUP3tJkF2aa5vvvu3Drz7MyW0Gtm3nFV4pFA5XUMPwqs/6rU9M2MVT72za1+7jEhG7wcvqjCtxU
m0FM/bocqv6AaSKfEMU09TsIfbDFjRZEPcavLa8CyGSr8GAhBHmP3OdXnruZ0bH/aFu1RYaaqgFr
wSt/yAC1yGNY/+M21Fbw3i6ZGbHY+hg+J1/H7b1PJsclbINCWq/tPIUFfWlUg4Buu7BG3bkd35h7
NvWdUbbpds+x9TTAGoJuPfG1/ew2Iv6vH7JW41HwDG3ncwn+cGxRACHdmBJmw40o+KgYNWUdz237
hTUiLpnnBqwxm55is0e6LFDeSzHvHxQnn4K5vhMr3ohRbHSqNHJt24l4Lznr5ydyIHLgXRe+aWZP
nKFodHx0GntbgQnPZq05gsx7gWpmlNXZG6hbf3Jr2joIR6TeK7hR0pdMtd+rsTzPsJa9sxvfmI42
RFWRbRdyDb0X1MB894Lgr334H2dn1iQnrm3hX6QIIYEQr0DONbo8lV8IjyAJARIzv/6u6qdz8rZP
ReRju13pLCGkPaz9reI9isLfPvvtz/8juyZFJ8qmxJKUTffgLItyeOKK3W2LchXZ4vXEPmT44s52
T0o62Ggm/W34IH6tn/LwBNauiOg5mf1jycfjuN5GoebX3DXg4RIrDT5aLiqTPPpeCvreBNXfFvzq
Xmt9OHVhH+Jrc7SGk/YnQZp020a5lk4Z3slSSU7PQpqPTd19lm3zTkTzl699rZtSMwMByuNr8y04
TSo5+D66Lf+5Fk15+GnFyr2tSPW99etZNuKd0tHfvvTVS0ltw6Y6wHqw1uzkkC1W7W/a2dd6KV5o
4hD5vp0k5jM1W7p2t82Q8WuxFFtBDPUKy+F1+djUJlW8vi2PvVZKletYRTAAs5eeTl0q7bLlW9W/
Z7Lyt9W+utk2zE/Mo9EMLozlx4qs4Kdt643J5bUyqqrYzKlX7JyMxauekldplttu5Gtl1CjdvPDp
7a1xxUMzq0w09LatfS2Lsm2V9NOMbVKMyOeGUoEYVsT5TXvwWhdVJ6VZSwwdX7zq1BH0fp6Pmr+X
C//laV7LompI3imxAV74ZHydar9buvE2aBK/ViRJuSndms1Abchlym34o5uX22K3a0mSVkwUpLQB
JKkkHabxsM32xo9+W6r/uCsbvRRKTkRfGPyQQp0u/ettT/LqnoxZa5NiwQdjqAMHbJvZUd4Wl1xL
kSJwJuEKP27nKZp4qoVfMCkJ+shtX/yqarsQZoooSPRlGvV9oOufTrjbRFScX12UQ7iZWBW6ueAF
goCKQkrLU+DBhtue5rUaCT4X02xoX18mU21HUXKbi+nWks61HGkpTZ9EvWkvWnffPO9++ni+DerP
r8VINSlsbZdmO8OKRKQrm2jKVHhbzHatP9pcOzEd2+1seZeHtvjEefVeWeEvZ8q1/shJSz2k3c2F
cPNabBh77210YxrLrt5O2kvZtu3IzuOwLHUWeR0Dt6+n27yl+bUGqZgUDqvA15eCRN8IeBua6hsj
/GvC01IT6oMybtBJLsB87Pplz1Xy3jhthPPpX4o51xKkuac9QGZJe1m7rv0+m5B+8O2oXsop4Yeb
DoJr0JMEIzSUG28u27x+q7W9Z4repP3i1yIkzxwtAowZX5LWqvuwi+nJRG58Z7v/s8T/sjjXAqR4
iPSyzHVzAdnb5vFi3Z634bov6zXIWBROWelaWqSBGoZPm5DbYcYe/j6TefiKtkD5leF+L3L4mhcH
M1Xi++JR4hCBr5oDGJVDBgedoNgxGvm8VL3Yb33U5Det+rXAiVcjmIBY9zOaTzkM+0zqF8NuSyau
9U0rV2sUzmCnynFLte0OZnhvHvCf2+ffFv1tp/7HTaq3EIYVQdteFMERnCmooXOQGcf4qCGT6bIB
7jBRRrUD/Q2uX0dIXkmXEVIs2ZSU4a43IaqC0aBJzmoZ6BQjHf1HXgf0UpSTOlTlRHMDrMkhxiT5
19HJ+AFD6hgkV0ni8yJY8WCCt6im4WHweR6Lah+xyN97hvayVf1yAq2wvRTOvde/+MvZdy26Knpl
tOuxnML+8nNyoeNtBjL8WkwewyNlbLq+RVgS0mc3DUvKhiS+rbd5LelSwzQNSYnvDfOYBzF/NTcK
mfk14yqBbwnyA0wnFaLMMfz4Kkl0m3icX4u5WgMzySIi5uIW/5JUBXy1indOjL88yGsll4kJqzFE
WF06PZt0kF4f4N5z27A8v5ZyWbbETVd39WUjjt8vcbsAoHKj6wq/VnNBphQlRZWoi9DxA8zkIDWp
b4thr7VcBV24rQHjukAX+aMg/tMWhLdtwWspVzfB/pUopS5Y+qeYoKIZ2+U2S1x4pv33UWS1akP4
GKlLiZwkXS3aY12pbytAXGu4oEQPYmJncg41+WYGVHwwJ3PjAU2v8u1ysGQtt4Gc+aq+sLK9hPVt
yjZ+rdxSdRWaskUqP/he3y+NOjnLxdNNt9a1dqsnay0qOVWQ/PYPtLFTqvvutlYqu9ZujcUSAYbQ
lZeGVUs+dg0sE8rtpnSHXcu0eFOGJfzL0O0MVLHDDOSaWdvcVCtg1yqthsORjqAae7E1WXYtK2SK
abCXW9acXeu0tqGT24K36Iyq1XCK5Lbl1rPbWswwX/jvd2ht5VyPVSDPwxa6e4vGzJHa5Db5Gszc
/vvTbbWCNA2bsbMPlylrdcTTsZrITZU8dg20alofmBmAyHMfJCbrgy1fXHWbro9do6bWMu6DWKzy
TNpWpjqMv0XdMLyjVvj3i4hdw6Z6D54PXIDlWRFePRSEfyNicDfuxqvsWw5B7SQFNkBU+qVo+byr
o+296au3ffH/wz92rZeSVe2Bni7EGUOV4T4OeXWGgsrlbcen2x7rtWzKdQExS0XFeVjGIA8cWz8m
i08+/+/X6Z+k8t9+g6t2LN82x2lVx2cf9yz+FgZx/DLXCU2rTQXnATYimeCAxk2uME9h42HP1Afr
y1qF0/MAo9lfAwwh6n0Yge5Z1DXfR7qfP8SsoI8hgtU9TL/op8Am5jCJLclGEKJPGAmAPfYGb9r/
/Uv8Zf9c63WiagrCyZnoHHHbPQBWxu/7VgDlctvHi/9+bcHnhnSmENE5nIuvjrQvAULU2z766rwJ
CLbMWyxzJnWwnjfplqwUyXuR+t9259V508gEoDq3RGfQOSzGPp3YMiZ88CFQU3NTYMCuCVcDi+Cs
tYwRihXl+ipHue7iunqvLPe2C/9td15FBi2Ft2EDX6mzQk/8g3HlctI4PMvMjUnPM9p5wIZEyN7j
U7490n/7964OCzQ/x6ndXHSeE5nkmGldDxUnJgfSRO0bhCk/33nubx/4L//QtUCLBpsZ9Iz+EKvH
YHppQ6l91vkmyGXtbdaCQp6uPGpfShvRMIdjJMOIW9COeIK9h1tB8qa7ZT4KT8Lo8IuKlvKjMWvy
DOlX36ahmzjeR0uh3NhmtP/gQP8W1D5LWlePeiDlAQSu+WMNoMppbHzVp7RsxAVlg0+bDstdW7Xm
YDFQ4+tU8ik4JGuzHhwnzaeat+SurcUwpzC502lbq/5LyWDJ+c7i/GVtrrQnDTyGa+WK7dyMDUiK
QbPsYsXfKZb+5Qlfi8i4nzxqF0acNd7qA0AEeh/ZsN1Z47sPvVr1Ox2qf9Lhf3vCV6dGtfbaNUmH
qwF8Ynrq7Oxg+AG9RDrDgmgHjVPzBagC9xPDEdHOsOp3wEyYBnatU4VGyKGvVvmOLOEvB+T/U/OE
LjAldMPnvt1+9aDSpIXF0t70uK4FPcS1YP+Fnp3DUXxbbFr3wzvn+l+e1bWeh5PSaFEjeKekWdKp
UT6jdI7SeAtl5mmy3bbhrlFAMEoXKigcw6MyPCPFcGjiG/Xa7P+p//rSAT0cB2e8S/GfLpbF3oNW
/eN/L/7bO/Fvu+zqiB/HFXiuMQjPUZ0kn2M6LGeuhb0Lddzu+rJs93Mn13McyvmmAim7VgR6Oq1i
Mi48a5RfzyG2ag5PxeKmlIpdawGDyq3VNtjw7JLQn1XTBKlXQfLyv1frL+/BtRhwbQWna8T5udmW
pkl9i4iknCX79L8/HmMuf7ly46sLBAXvrlYoGZ9bKqoyzCoNPqzPWspJyNIEoBP6YZsn0f9SqGMn
Tao3vYA0wPRMABNSkkWFTzeD+6BLYW3XaPFUork41Znvg3Gq4IsuJNp2W9uvgclIzOvw8/DPK5gO
C9qof8rRJeWSoo0wbg9amKj8CZiBQWlqKWEcEaTdZnXzwNRc7/yasEMJijrZ9bTFZbFMozpaDPrK
XcVBOB4K5w9o498xs2pYETYwdJ66JqJZaKsoB74RYLigwgWcDBiBOzoio7sabMHnQNEizOmmqjkd
C1PtAUz+Uyqy/SreEDv1OOjU0WT4UsRL8dCWtXi1yTI+uqqh+yoGFX3eCqv/rP3q27ReRF08euAz
vlopKTlUmNKuH+Oxx/ZIe0R/FptcaZIaHrjHRBmf95bqFHQWPOPVTDL3Y2SR63J3pwJVwYnZdakR
9UtntvAuwe8AYHQ1LFndB0UuiNGZ0aN9jv0Ce0bmXbzv8DifKBAz00NSF0ubFVETPYIRXzySIlbH
erQBSUewwDOzgQh83MzCuhfIseHRXtnkK9FAusm4FCznln0KS0V/FiH7I1bTnjut/OcokWWbYhyJ
qgz6MZNDwR3ltuv73IfDuNey7CEBUaRAMTkGUNBPffe562sGD5C6gsuprxI2HudqY/QxIQtE+NU0
u/mofbHwT67tXLwjbYOfH9doeatDh43JpljYo1MiOOEBtPiWjYa4/tTNJcAw3Yzqz5AqWPPpz0Up
Z5DHepOs1Q7HZquHjDS1bO4CiR9NuWqnbPMlfVK2pGFWY6JqX5SthZfuOIcjyYd+bsvTYGpVPTbL
6PcK+/2uXuGAOPKuh8Vd3MV50yueRkhKmrypre+eYyNruo96F9N9kzAu9jpaEl/knd1QE0hRRG+7
xyYmo7yPXOGqz41zgj62MtgGkRaIHGnWVI1xBt/E1eSA4iHbmkw1aCWdRdiM9Z6t/ez3GKAt+fdp
mNT2RIoGvjAKsv3uK5tWM8MZrOVsdilDx2JKTTdNzR1jtOZ3CxpT6qfaykDdBarHX7VYk+gZLjaU
pCseRrSvVNSIPe99Io9zU3iZNbSAwCztKFx0sqlfE3lfNHFSvsbQxvo9lO7g8sgWP5BvtiWAEsxL
OBTP8IAAzgtibzHvK9eF6jcgXz16eUjOpvKx49iIBzlOkzi3bafh8tZZhXpDV47ocg8wmJ2ejBzL
nfakQFPXlW6K0z6ZZ/Gl5px3r26FdeSzDG2EiIVKvJ7hGHT8uDVhvPzRrCITpi1n5QB0X0h54hYo
hjyotK5Og6i64TdPvOb3kmozvBqfLPLIeaTIp9KGHQLIto8XCUWG5mEm47krPuOnmvGpc9FG43Tm
RDYPKqb9eAByUYy70Pa0+VjH4TLexwH2NbDAlsQ7x8TafQFfa4yQadYV9jFsMpJDZ8bE3W+8HKpj
orV1X+kmmb1fw64vg2zyjo5lCpMuLk4xEATNL1/ot3mSFlMlBx2ATXKsF7uWlw6Sy+AoqgSRO3Tc
S72dlsROc5mZKGpVPtAlfDtdx4BMX5pNtMO+G13H7xhOozXataot9NkojFR9mUIhQAASTSJY2jRz
EZYpRukg26lxVtjTgt9JP3vMHrW7Iin66ISB5ah+bYq1j88VbCb3yldRfahn/H1AyLe22IEGKt1z
wWBRVac6MKw9IoxZZ5tHzUTrIwYO1dLst0QCqb7WeDAPRIToBsJhdrTigIsIcwNBotRwmttxbn7H
cPkUR9ZiNDJVAFeUae+F93nXmzr4tfmJjAcbAF6nU+/jaU1FFZG87ANFbEZt68bvLYsX+tTUjWlg
XY5B6RKcqYC6EmUqgTJSXyeabukWtLigksiq4gcmeWfyIXZBMJ4bkHmWQ2jrWN4FJpjkT92yIPg0
AGnU7LXgQ/GVB35m9zYO3fAh1NikfyZGpvhUoX3raNoRFoQ/QsoGf+RbSOilb6alSSMo/t3veJqm
tUr5BIPNLzFTfbBvFWTT92agYrmbHUdylNZTKc33cRiL5EEGdV+9LngRpioN47kvPslVFWSvi5mJ
PYvXpbxTGCAgmeNrEFW5ZSEHeo/M5GD86KLLjC62+o7aEasdppemQPd5oViCOgvFZUJ/wgmPqhz/
kDUmf3s5+jUrQrSC5pQ1zNN4x0QQmTvFYPutsg1EjunXZl1vvusm0sP3YVMkRnq26vWTbKWpPvIW
KpHfY6342uZeEjFGe6E46km7YegCeQeCnPXPTBPaV0cLHp6cM8ySDu44Vm7h5bFLCrX+tpCr43pQ
cJArdhj8TKxKZS26aEnFZlUkAEbG1HGYDqwj0x2TThVpkxRhjNu2KPrOp8IPPgp20AUI2ecVb6I2
PMTjNIyvvQJIJzrMcEQAjnMNoZT7psfIDWsmxgnNcrsWGARL5dqUk0hFExA5YQxILYeilm1vDgXm
AsogVyKRpDmjPD/yZzYBHjhnfEmE+65tM3Zdyk1QqXNbvUGlslAFtd3SWs6xwezS1G0il9PQxFWW
oCdJD7oh8FICrY7r6ATI5GqOMWmC6U9EOxEfZqZId6hQepJ5tAk/Z31sNQKmRfVVpPZBGxdljabM
JJqd0NO2HmoxG/ZKiqrpd8sowz96i5vgd2wnbo7dAsOWgYUsqwfVPDGyRDQVJtDhAS7KpbwkJaML
jNwiuazHaAv4WYJ6veK+nq3ZF55M9FPDTbntREKKSB9Kthhyt/ZkCn5Ky+gRzLZQHyR8avUOBO4+
mrJkgkvfvapowO7bZQUrKEOVjkFN5ObiqbRlg6lxO00OAxB8PZHRN7tyHoGr7UYQDicwBA4Jwij/
DW1cCNfwK/NenrxJZpekVbMk8U5yCeVTusEWoTnNiCxxaiitxjQBAfNZQoPVuBRR1Rw2h9UMjH0I
NrGUZM9j6pazFa3SzyTogbALYTCGcA2vbgBGR8ybpPpREu78Uar4HMiwPVUMgCmcsEn7OncJ6GSu
34zKdbwyeYqC3kv8v74hfUpQhVM/zFpg/mKbKlKdEVkL/nXwuLkeIfKz7EPRbdScpkFiAwroE9DY
GHQ02AO8yB2+iTThNh7x/BbzvIkIfqe9Vb/QdMJlqIvtWMJe8U8c99XYp/PUTN0TB5d7vIu7atWP
HGNJ0eO6oLj7snLIcI/QKVpVpVNdRcBT13xd97Bk6NvfSRCQaF+XA5Wv4RiP80s0Quj9UpTWFz81
viviHRPHW/WtGGJYpkMwvFXicbOJbjE6WdcDxW9GRZNWtFYYrujDFe+v76clyFCxVWva0jAuTxL1
7b1eWiiewG/q1IGZKe5xVixGPxZiLAkiyprC5RKyBpVYSEZ2k5QwIo4EhcdjRpX15GVsnermHRoT
RdQd61rXhySWuKqHuJBJlfmkIRzB2RbFvwog2LjLxNTN9EFMc6RObNmiNmXgXB82G+qXWNsSJssm
Rh63b3UbKpnOdKT2PpS+6arUaGndAytM3QbpKGD+i/uZeNbjwZFSb/cgllZjm+luXVP8OYG4qo6q
8bnHBYHjD0Lawi9p2asm56tful9RsZJnsYXI3i0we5cGYfqw4URjfkO9LiTlR+xa8E9jYC3nUy8R
RKcYJVvpQzA4iWZskURJeSdgBhgiZJhaOe7wwfXRAGSwfKziLpmXe5cEnXua22KN83qsa/qMQEFR
jFKadSj3xFIRfxgTRCv7xotRPvukq+ZDP8bFXSgHjA0nUXlAyFUajJ5Qk9gDJNg8eNwQBtpdx7Cv
2p3HjHHvTlPURp1DRP1W36uCidyrUbvpTz/rIf4xA7XweRZM/kZyisNsn6wWoOGJFcuYd0CN/lph
0ZQptBL3Qw/WTJF5WZRhk+Hw4dO60zMGeNwhHFHJcKcShs5uhwQ/MTIPR27nj1VXlfOQoyM7uDIn
4SY5nABGz8anKOln9gQzW/Kq3CwhlymRGciMr40y8jMyY/BERtPBQxAOVPCmjTNNvCCgRqG0GkZ5
FTYD4F1DMtxXC6ffey5c1WWLJpoVOZs6EsSp1ZgE+OqCkMw54UszGliOz8V075ZZw7BlKBDJjmh3
0Zrt+qUsum9SdXLeGbwR0QeJX2I8Jy6eozpDy2fItevWMQ172dapJeLNuq4BFZch3e3q6XuLCY3g
sMo3R54sXognn3HIWuGRuxKz7rYKtihzmni2hFHqOoAVD8JUUXW/Lp7z4wwX0hHG5UCqVOlQWrRb
+g2diegF7j7G31lgMVkCCuCIm7SgPI29aXE9okZwFvWba2kIMuNOzmOUN7zkLPeGLq9qluQQMxY+
NuNKSE4W/Ddq7/y3w1R1tx+00/fYK+ISSpOgCTWsJBumjp8sX6ePehHtyxhHZknBM0uQrqGQOaQB
ukVrSoELapOPIgwXtCGa7jfXPZ9RWofkxPllS5cyEc9yQoqFkAQYugBp4UHhpIUUbQsxwjebp557
nPBLsfGzaq2/4O3qg6yFlQ4K3cl2MkBrZGLYBkTf83SM6IAAZfEw+l6lzaCi9gfdTWUeRFt/7HlU
HOKymM9a4YCSwdRmnW2j+yBAwSaoOo2ADcI4GRYe9PuN7uLeBymYfCaTjM8ZPA/bwzSF3Ws/9Ti0
QBbLdREHO7CoBEKEJk65nL/4ITFIy0IETgNS7q3u6a7SODNGFm+ZGcScyhZWpitHwQNm5J95NQ3Y
chC+46AodgT1E4Y1IMV+MNQjY2qH00qWnzDnFIgaSyRsNsb3Ua1ZsmDpC6x/yYI+s2ZwF7jbM2QB
4fjHORF86mocH6Ei02vd9nPmQi+eYN+mP2muixPMFouzlq7BeeL6lBMnMquDcrcqDnpLIGy5g2oc
YVOVOHLEpPGYr04jpIMhxvBtXLVMuwLyaQ2dyEdMjaHbJHi5lzAtPpoOQSCEd8sWZhGxBaB9SJtX
aI8O0HiJC4N/RJdGOBoOZTsJ+OtyPlS7pQilBb4qWn6EziMARnIbPjnTKqT/8dL9hniSHvuQrB9C
DH4e2jKeDEYeNixaqaK81I7uau66n800y8soRP9SLh3DzmcKzRSBSnKFzbB3UQnutu7CY6RLuwMs
Gxvd2+ZYK79u2ZoM894SZ6qUuqL6XdZWPeqEl1/b2YiUTcTaHa+C9nPdFMu6N1b34qxoa/bKDmLM
g7BuXqKy7J67sI6+F0Gn/sDPjcBaSiAwS6T8tLWE8HuM4VaPk2+K08yqhKQLyBM5BtMRA6xmbA8K
TaDvA85BdxQbyly5rsrioKMCjodhV9Mq21SxHoskKKtdSwmZ05gaHeRd20YobvXT6lE60mOTG1xf
u2Ir1uC1twvu5VTVK70EYbwNn1k0ALmfRBNRuxp5TL9Dth6Gab8l1QPf4vKeB8KMMG+NaxSR7PqT
0tW+CugN7gUB7A3PDiki0soJ9QTck2Q3xNK/gKIGxqcfYXXyp1DadBlFDPVQarYISEoHWInHZuuf
ygAh5rDp8byODI5fTSBd+YBuWGceNoS/5c4MYfkILmeT5FsJD198e8QXmcRV/12IJT5B59fumSD+
TzFQv6HmORdnaHurOG0Qq0YZdocus5rCvSxjEJ0/8njGazRPb0ZmcRABAlB7Mkd7tkSxT32cJADD
9nFnMcepuTvVMW6/nbXcvUHJO4UI0kbPFXO9uCd+kL9orJoqE7C2Qo4HE+NX2oUxdjE6AHQHQQzC
lBhPtd3Vch2+Icbrv8D2rfjdOs+jNJCkZJmYQ4TG1dhMUIMvyDKzdUqmES9LT7+qdh4fcCgE372r
5t8ebbmnWWJ4MKXUYE+SeRvu5zkR57kqq5+iHqIfCNniLw21MXKyspnIZQX9/E9VIH5LWReuOi8R
Jz1MW19tWbjw5BKUPcNhPvTsgxkQvaUU+79Kt6kuLwwRSJU53bB+Xyz91uzLPpzakwhae3bBWwkk
xj+WpPiIZkDcaVHUqF1VZxyTEPEXuHSHdV5GI4TGDEMGUTbO8CB8GCJqwAqNOwykPfVLjJNNhjj/
nrZtLMjXBVHdOfLLsDOA24l8owsqrmAfmWQHgcfwAkwiKPo0XGQEK5qiTJ439FqPqHggN8OhSAsU
hmTd3rmBUpfFzUqgzHU4L6rWCfalKrvkcWNL+7ENQBXLt3gofBbC8cfngyv6bcR1sPTupRbh9nMY
AGJbqOzDHVlt84HDhvwbaW18aL0c1GV0HOFf5ELTH9dZqc9iU3zKKfLZ5xkwzd96M7U5QmK3jZlf
UNrbC4uxTQxE1Pa1hhz6EcNXzUMXY2pnV0Rt5XeoWYgpa5CDlOcSVfnxiJ9IzgwSo+YACoLQeSh8
i+dElSuzRVLf7YSAxjiraFwh54DmY8gHH/LnZF7xQPHZlUvjqtkeqYV2OW1xWcDMgy+4slrAMpvL
XOr5u4r63qdurdHPEC6UBxr6AQWUdUUQHvYzVMiTMnOM4mxZ5RUcmbed4kvZntVW4001kGqwE9at
FLuID/qkEnT45mYI6Ilh6b6TcUbpvUZgcp9wTCbsC9r16yk2pg1PTRLGX/3YTuYpFgoW7KPZGrwQ
uNmEO6F4UJmdj1EgO25kmUQWjlZeimpZMVkCnxKUtcU0BY+IvdYBWcI0VJmcFqqQwulpzgvH3+5f
VrRJciyH0nwJFa2652QIKvIcrwFbMwTo7XIgfQdGu1nj4GmcGv3dDBsS6UitKGcC6WLQWwnC4Gdd
xYhAgPnpy10wdBBhU+/5eB/SMBqQ0050yZVT8WOnyfTDD6MCocu0yQ4ZHgorGO3pahhBVfX3aNI8
j7dRM2z1daryRiAy8EjM2r1M5urgMW4Zp0ZF5Oc2xfE9KhJSHFbu1tObcaX+yTtPP0y+tMiFfGHv
Ojpa9xRXnJ5Qgnyq6pk/BjCjPIMMh5Vt1xazlZ4VMYqNja34oekXSFYbNZavXVKvOqUBn05WDDrM
mFrKw8ZAsP86wJBgR13vEeC3810X6hBZ+rw0Lo+WqKQHEgfdF9f1LMkR9foW2vV27A5unQyu5BGJ
WdoZJnctCpVJatsABiFTWHX3LJB6SHtEljYNuR0+VA2ADzhdZntog3r7VfERXeG6AuD1oWOTH3ZJ
gnHfc+Rw9KPKKxFdRKrp35hBBMEaZQ7AkXSIVFjli9jaaQd3+UQfjaBSZKiOcrsHjsnOeUOFSrK5
xCC/6GeBnscq1jYVChWbNKAzTlQeNslDJMmSkVCqnws3ZkKOoei019S3MVwhF8Q8dC33gjWJTkkC
LxRkDoDwpWXV2uG0/R9H57EcN66F4SdiFRMYtgwdJLXyyGHDkhPBCIIZfPr76e5cZc/Y6iaBc/7Y
D0ZnvTIyStqWDsOs00jYiHAfmmu4eMETuLXI6tYrH6PC5zlxq/AjmF3wqog1NyH6oug+SmsmF7nZ
45ZRr47/X8vl100moBu/fhREIMkWL6VONsebz17fH3bSTV6b70J0P4pFzid3W1j65dTBs6zx+LqM
yvwU9iJw1ncQCOk2MnLnS1VxEriRiOxnSbr8e3scDRlcxdC8Wg11TI86ok6GZX0j6ENBTZhcFNYO
OopEeTgrapa9lBcv7JNpID0+gUozr6rUZsnA9LkH3AX8L5kHe5ivdtmGn2Usm/7f4Q1bnbBeghbY
g+JD6unJvS9Gr3bTvvd79LiFtI5nHZRFcx6VtWom5Dl+QKs/PxcL4Wl50FdRlFWI1uZsD+PmSMdC
l687zo41NWQsvMOsjX8HJzSUptROfRGtU5+557mZSt3ddeBimJzYGr+YhVU+VRvPFGF1phX3Um9y
ujNVGAwQauAMl6WMuz1va9N+asDuvFRF9X3zg/UHkbDmj2GxuQOA56nzzP5OehNewRazTnRqCu0/
Law2V16tasuM5+s27UcMS2w3begRXeRZ07uj/Dk4B51qh+uXRN6kkAPbY++jC7iHwOrjn2Y/HNi4
kembA2Ps/g7DaH6Ph3TL02avzntdwo6VlXauKBeC+2VzCgpGBzGd96OomNAhY/7OwchTUEa7g3zG
G0KI4UCz9xY0tYoA4G/FK/IebduTWwg/64TfrBcGBJXUrpHMFHr+E6t9Wm+0rfZu3gflcd/Q0HaN
tDc+zFsnztKOKB8GliMHLTK0KWVU+u5XxRcNQEqO7rULJy44prlqSrrdH4EdgEspccQocUZe7/6R
GlIlWS3Imbmq138r/p+Ko35tElVWxYdp9R7yeE2hykprXDl4Nj3fhLVX/zo/ZggWJL4LuhR8WJaw
rLbbMPdaXdQcNW+7JSE5MY39t3O1cRlPRwWAufsQwTrq74oudl6N5ZGQKC07XwdX5Y4NV1ZzxnDQ
eUyGXiTD3HPt8u4Ylv60efz1jj3L01QpML+44ZLpIHmSPozkCVh4KJMtXCudLSBrr00Ts4kRswn1
PtrFbagUI+/a7PPnWjc6K0YhuFWstkuGyD1ORUXCH5xVWaRqjd3LFvbrR7gvS5vOI2cIjpPwtnXh
cPFM0ftwO1XwxAYG3w1plvatGAEBitL7MbXVepq7snxBORBlcxBu2T6I7dtiTSZzoZxfdWi1Tx11
KSkwp7rIsLA+eNuRi9pk6CegYc55KUY73yYABO7C8tx6S8MbVBWsJRGFaGnXVbyX3dEzwhn8HsEm
Px1HY78UkWJ1q5bHsUPvGRXMvakDtXVxJzAAeyyr2+L1bgIkurNyzoQl7qM/JjRckbkc+15mOv26
ogrJXA8rldhDcelUsV98BzK27415YNkwp5034nkVVnVBkiSubaui02x1x5nUkfZhbkWc97r+3WNl
S/lPMWUNY1Eli2qoWjWqMpmK9/i5qYX9sVXKzSAm7SdA3fZxqDrnNw+7lx2+VKnnrUWR7cqG5Sjd
MlGetJOiP4q8aNb60yvBDL3OLi9T5cgsLI+JU9yyPpGbFQCa1adjgu4cbEV0WiP0WDwX/p8Q6+Ei
88MDHsxqSrJfZFjNJxBpaNFi3zNvDJdzOJvQSqpi/UXUHtBMvRxXrfw/DNx/dbkFr9h0KUgmVuBx
r+GsNnD6d7u0wzO0r5tV1h5fo3i0HqdNfwaDGvJGS9iVsohp+ITaYwWpuS3r0H8HWZjOgFbNnS0w
rSE61Fzkpv7r+rO6gEMGL+04v09hW320dkAt28IMgENpKohna5p7klOjV6etwuwYwSNOVhB3SSPH
2E2UMl1i5tDOit75ja9s4vNcRXbEY4d+RZogzHtcu2OKkqVP4k2sWypRT0gue6wLmW6QNel9Lp93
q/rh1qSIfcqt93aSQkO7D/y8pNsxXeQhO++8zQsXYRNY8DHP2tR2+dAtk+tZJxNgrQKVmufyELwA
nVi/rUe89xfGNrO/AaXWCrLKjH78n5xW/7dojJJPttxDnSsnMuO/ynjH3CT71oghk5PU7u2IiVP+
jCptqzs+buzqwkVJAM09DvLJJSreezjGrsn8cu3cb8ZzDn3nNk4H3ejNm9SvMZaykWtvdbgl7VY7
23/xMkr9N7K2QJukHypnRM7LbzBtEHi5JaRPLzJd/LoE0zVO/HOZW2ZoP4zKR+jPxsnHtS/+70as
czec53e5LVWXbFM0Wnmx6tqkgLoho6U/Ix3nRqRkFg3poFz5aXTjw3kVlh+0j1VZ6A8WyoEZqeW4
6dKqPcyHTTb4+BJX0SZPBFs5dhq3ergBqrjIGZqiGf6tqPf696EWpn91CPwf07ji4t9p/9jGOql4
WesHNQ26S2OHhE32TmgsP+Fa7vunfp4PPunyAK1NGgNgnbabM0I1eD6Smbs49nzzgN+zKL/PljLR
E9OWXX2YTRxDciz+sH1UveZhcl2oJyf3zOb+gHiNnOcGkKX8J4n/+7eEKLGJmEOoXmWrsCO2WQXC
cFXj4ngpSNNhPTP6zGU+RdJ6jzeeEvJv/UZqG2FCFTYFtdlCUJ5tLVVPo9tcgRvPYiXZOY1ktOxv
s4ScyaoJ1ZOVhAqhL1paNe8dtK9d2Ms/ZxtQ8OXwecoXD3srqQuaggLpA/f+POZ0F1vL90ZY/fY3
BlKKXILzxp2mbnchy3VPNdc6mDLXUwX5N+1D+c2rLRhx8kG8yLp2g5yiLqsH5GZ3rYvkqIGMp2zg
FhvRORf0PqO5TqM1dSoLpy5qH6d93ONzKOto0Ffqo0rGIkp3j5/+unRlutkebtmyX2Casq4jBfc/
CbTlvexUIgw626dwCQrCMqhfJzfVOcQjRR7xAmntotCwfT6hNREFgoEhsaxyf5gcL/S6e3ZStt2k
dwlL+yOMEGI6eWtQHch/pAKyuMfYW6rxtFcrGNhil0F70/Bh7W8IrP74NnFgiX+1M9sQk0HVbpV9
sbGB+h2zQohWDm6r4WfPZrerIic/nKDv2Z3kbM0kmB6OBdpw7vgyy/bKecICR82dco/vdrmGQ+ZN
c1Q1r5AFZlOPke2GnZ2RPqKPX4FTBvtnGy6ygeE2QftrBxFY9KnyvFKehqja9ZBOrjj0rTwgsMmb
DnAV78AD3fn48s6/DgddgxDw66xT+NCSzYg4SRtTaI0/ISE50f0H3t+EOW9fG61ZNJvxhiq97W+O
YDVTJ+7SMKL5dxHsJ8bjnOCT7trhFy9z7d/s2a10ojdv809OPUve/oaK1nR1poj8kTn+V0q7+lyZ
f/YZnkuKaEppzoy78jz45dG+FsHEdX3Y1FhxmAT1FXKrE29NVC3F02a363yzBtSpdwRV0J5WTGOX
oVkXOU3zgtlk1dEfGddNnOxerXlFS8YKRkY9Wx8dZ7bK+fnbJa+QRrf45yMvdwL7WB4LH0DnU5RH
MPxE8eX+0d5+REALEKjA2lvkPwhIanYOqA3vXAQjgitHxe1rNFQxDWJ7YAdBtra2OxIn4LffJSKb
5SlmvTApxGiob1JRPXwyHu9vPsSQwIm37MfgploiKf7Y1Lx5eezY+5SwPxxPRqntUMmKweNI6xr8
9dlC9SJOUMwUs9SeEYaBZNf32tXLnhZFW8gLmXESVlIa+nJ4eXBzKnd/1aW1+d/sLbD3T5t6aycz
Cws54OhqPnbXWUeGY2Ibf6xOrM7zhmLNK4PwGnszsJ9AW5q6TUvBT+TavEoAGTUvehWCYMe0aKQx
99iRKYUKIBGHDInQ5wFw34tGgBINrdWSQF+3z5Mf6eBpYtplaJHzssMW1t1d01ThcQ3wuF+Rrwe/
RbzbMkewYX93g3B9K/lmiR7ctCGztQtQg4b2+DqiEQj/BGDzv4qCt+WyN/3WZ+QggAyGNqPgNYR9
9+8QJawvfuUbQP6ujyhbEvb6uDVW3dzXjVRMG163fPpD7O2P9h4PP+Hy9j9dEXZNGg+F9BO1+D6s
XolPxEK9mm5xsUZpvday4+KgSQWYkV8uTMJQTXxZZVIdVnsb2ijI+7JbzyIK95qs+Q0Ywv56kZUb
w4aYYfwpt/nAcwWdzl2xDmUIFOo2H+60qr8tROEfEpDV8Xb4Qv80FraDl5oqpOJ+HBuLjGFjrfGp
gCEfc4STx5DF/dQxmGye7B+FIQ4t7StAlBOer9p6DdB3YPY6mvEXlNyXzvgLrp+SfVcLiP4uByi7
prTHAiamrL10qxYUcMJ4saLCK/IaLlRhF08AuHi9EvSuzfSPbqnSySVSFoYtO17iJuuF6ZyzNYyW
+91WhdIfvFXh9uV/AODaNAWiTzEw9pjwxXXh3ykeml+Vo7TDM3Qs8kQO5xDcoyHjqq4mfF9B3Ogw
PSzHvSBQqie8lQAL86SGlzVwNeDmiFShei5d5ZevAFXBKxBsU/4JJnYKe6nX74rsxhcspnufOgHn
A5apZeLst5bWei05u178Yi/DNAxXEeXBLhtkp6G2/Op+awev/db4Q89xWUpLXDYWsPASR0BGpzAA
Hjmh8KqWrLQ3JCqdifDuiFKj8Qnb2jZvmt/dx4S+GZ9zKfT7yEw57QPEbXhlqd33bgfc3c+t2x1e
1mDcey5nWgRyH1USz9XRbV0qKakFnt3cGOFKQjB8qJ6kaWTxsxVtLR4AhNYiSoOhiPwEEOnQuaeD
UNyiktH4iW6q8dqpyvMhoUfNubTU8XQ3R2Z7H6ZDUzYs3Ekmse5gHRQU57kzS3kNO076y2qWaaOM
EQEfBAfn0P1gJtrPkY/azZviVkLU3vuGH68cACq/i2NRfr7Fg88/Y93WMduOip8iqEhADZaif4v3
LXy34yD+5mqe5JQ6N9v6Z/ZB8mvRF3/d2Rt/RvYaqtMOg7Umshj2Mm8PoOPUYiwLfrucfZZMlpiU
kddoC8SRr52c9IePs986tWSbFH96xozw2zGI9WUs3fbeYtR5nYZIo0FpRr6vthAGjmFZwsS2/HoC
OA7NxFO/tL2Wz77uW/tpddChPrTFbD0MHYoWbs7ePA6UzLuos+umedSzhFNB+YnhqpNtm4vQkuQA
tPMhYMud0nvv0c1dlTMH5XPfjTLd2BKSgWV6TTYRxJexR9+59pb+Tn3QFCdt6cqnwSF651lwKsrs
qGf1g82kRACgfaYuBYjT35quHekco9GoRbfU1DK1I3/nEOvdmFgYb3c5oyJ5/AiMo1Jky9PyJZd3
n9tpssuXbq1H9RZR6FlfR9nqr9mfVyU5jAe8ZFZPvO7BXKG9dhH4nSXTfzcnYWEOtC9glW9sJLHK
9eiuj77bi1s5FPoaMy8gtIgt13tF0bL7GcvWNH0crYu8MtyCrn2vhsLu86rcUew4cDAgglsxlY82
7QhPjWP3AoahmZpTuRVddOmHVVQPiPhqAOJVz8U/KIV6/qHjdlDvBR3RImGQmvkGjm66FQCy/gkN
/BwBPa4LvznNSp9HhPKSiwiO6RKred2uLcre13pxG/c0uEPRZlDDpnx2jgKqW1qIMR87yDACZjqH
3TzxlGtvr4e18NgPTTnPuCS4+cQNgpsfoq9chIo1bxVOeTEFSV8cs755ROZ3F7855AHBMqPlBCM/
zpOyulOLxueqN46KpMZvsaYMqvPjROf13RgRydMrVb7E4aTu5tWlXTe2AtRAlkE9NcK1iFzQbnor
4b9StVg0aeqx8LzvTBQmSEPLV97VP8Txrx54i963o61u7e7qnxOWkzKpFQ1nKev6Zm7zHAfoK7g6
5hQiFuXfYGynvl9gh7a809Z03Ug55J+pVfgsiq8oXGvxlkfTDtWvMQ6Gc7jPNv6k2dvtCxJ+MZ7i
7QhJFzwYktP+C+W5A8sswHEKeZx9Ck3Xv1EsRJj66+b06VLN/RUZwviqleVL5k3jmzgTiqsrRQa2
yed1OVAh8CbOrGqh/Q/pRJd2s3KbnL9c+9ANOvDuPW0N8XXq9Nhm2MHotysadvDfPNXLz/Iwc47O
CzuCHxRqzAenY7f3285dT245DQyE1v4k9Bqd6rJuTLouC5Fgs8NhlSltz2d9TOoPE1aTr6LZHoTv
dCcck0u2M949LCW4psJz8HOLVc0DOTQEIR2Dyvxp7p6duhi6c1uZ5glqpLtIZ++etFV5OWeZC+e4
m/U0MgsldXzEFzHU5plPeV5yRsJ2QE0S2HPKhou61BvK01LCF7wMXDYjXyBVz2/2TkeQHw9LhqSC
MNe9XBCr+mOMols14QgseGzcF9Pkw4mo8eaLo/whBn93/6tHZ3b884aLyP0+jnVF6UC9tQ/uZIs3
VwbRtwLlW5niMSrWJLIgiUPMq1MydrX7d0cddSR2vG43KdR2ab0GEUx3QND24xdsQHr6PQHqUcln
P3q/PdUE6gS5incAervt0rUnmv5aHugnOscth4tdiNhjJHBJrLJL/4FvjDFgHwuEVY2jyTW2/ceC
5mNer8G35pPAnfO0SzPf+J98R7ZFsAlBBMcb3kNMrU00Nk5ayMW+HAK1UV62jaXSEb3cQSoTd0V0
TOW13Kw9GVi/LsjHpzfVjF4BphSs5jWMeoCGg2Q+lTRjaJlHBLPowhn6rP+C1YMO38b1664/1Nlx
RTSfIbrMnvdcifZf216+WhpQOjUpwAQaw83z2iOb2XPNE7gwYjUOFi2G3DqcbiNt2uGuODD2qPNu
976VadhR+Qq5RG/SYsUsFgnknmawrO3Yiu+KWhYjYp+W7ShGcSTuw3mBITVc0BeOQYRZcz8ULJib
Wp/Z5/3PeJgCLEf+KneKo/3yI0DcdmeHln4WpHn5uX+Mynlk3FyKzFFI5L/ZVWMBC9pWlIfbzrTM
QxtdNM8EcxsDtkwF6yO0mENfWIapazFJFwZqfD76TRaAebujQb6nskDRgbb2jUllXfhvqxJLRqv6
d2JKQ+tuG9j48il29H++r/aMA6V8pz+C0ZZgvYrxuzrigIo2KCmZoNPmIABO5BS3IQEeScdj6IKV
X3O+Y+fTZjHJ5eILceKqRKtQIhuC82qYpJNxa1CebAaF7W1lYA1SbtN9eiCMXtcnBxGIeXYWPTmQ
JtTfnL7OYXpvoCXtKBEtKoYUL4kj8/Kog+B52/GGJ0Mw7MFT3InweELIJ7cruoiv5gKbt+pW86p2
d2soJv9iyqFi97P3zT/HqnDkXxfLAXmBVgXUISFct8RuiuhHrCI/eKZld/J5qS3p4jRSbZkF0qay
btmLJkhnDoU+HYcZm0mi0b7pFzNz93L0ly0irJS0RrtPJy4QyIilmFFzpsZDbPsQL3oUiGgBs63/
+LOrf92xHVOM60UP3ahUcXNGry3yrd/LD2/p5Sf2MOBuX4otzMbRCODb2Pej5QM21u/vuy2E9AGm
RLaJnFWjy/b0dBpsNuhkxTLlgquiAcga1PGARdP0n4tpZzh1U1jZ5z4K17+lHOKTDI5puMwe+0JC
Mao5hag+S9iZZXnUal6607GaaHztj6WxEL1UJUURhRxGma9x3/y2IPGnx16W0ZT7fmzOQWhtJtlU
K62k/nIZMC935ckUVYV5BLNyGuxB9Aedmf+qi6F6kCqEAY2ky2YbbRVik+OYzWlklNhTXDL28A5v
y0dvlaENCk/cc52U7eoVl0UNXfHoWYf95facew9BuY1a7OYTUNj/UNtUPfV9HxpKggPxLgbqR9nR
7ah+cAWuyds2QU78LZsQn9fRy/Bt/JJxQdDBId/5INrdya3FAR1l7ceNB8lhkm624zJNonhuD6SV
bx0L+7PPpYuGAF9dVohpPx7cumrCUwTN/ZNhi0w9t+cUrRJ0zsc3exbxiBdwRHkdGW8F6l8qP2nc
Q/DgKP1jinWfjTA/f4PSNowq5NldrHWT3+Q29e+8zRCXonAvCyzvb12J423fRfDg9tPxy1R1eyIT
qX4I7TCgUQNNA+wDAsNqrH8TdDH0aesKg+la7A8WwrwpXUa9w/qV4/cOQwOr6bCEjx3OUG4I7k7H
6juciQ0QeejOw4+4CizotPb4QMS4Px2wj9fWCvEOdkVc5TVR9vfWrqpHp13ZjI/CAv0KNdE4rGJu
iMK8XE7acdcz0pH5J7oy62mTFQw7Ssx7jKU6zjG09X+QRtkpjhnQ+mmz3iO5ja/KDPsnqdz7g4NZ
5XkP97uGB+nMrKTf7FVzd9nhuJwRn5d30TqOV2W5qKuthhmT+C87d8T6G1wCN84k6wdUYbjA3N2h
vCUWPxAOD6T47PHXxdghyqH9VV2PUtgXd+vNLeQURnDSqW+qRFRr8Y38lmul/vVtgJlln633HdXQ
K3kG20Oz7svVRwTy4Hn1+KcxnnUF7Nuu/K/YbBir5S0KmvihXL8UfVPhtCgJHWyeI3Nxuw5jxkkW
ATw6fQkZZpsczhQWEkG2AB7b0dzENdwkLnpcMOUSDK9kMu0rErDI0gmrZ/fiuggcxWb1uTtX2/du
7YBcAbdknJl1lJdJ7jNrMZn16Viz9K2eX2VD2LlcqTaiU4ppJzJvBAh3Wrb0tAN5jQsawFCXt8nS
SBHGQrWp3TifUxNaVwoqirsi2sMfu+V7gHKRuMGBzL9MbS2INuz6Y3NCWJdlcx8gWLartR7LPUaY
PiviMcpLAhrvhsWqMqum9hxalCDWyN6Tmcn3y33onD2WV7JI9xMGqc8Qfe1lPuL1wjLrfUZ6mO+n
Q6gXQEPQV29i1ia5LrWGcG2hW2yfI6+yzmhjG6wJdnzaMWES6Fkcvw8Hp1mNGfxbMPfjrxIHzQvU
OIbnDaJysNr1TEnbzA3JY4T6eFwyACx3Sk0fHh88v4hWtIr+K+C3msxd7fKfaXorhwhgZ4WzfnR4
5yBvl8KemUrt/jaZRjip8HznrbSE3qHm7e7OlM3AIl3v7o0tzL4bIDy5bIhjRsQMa0PpAr3z4Ozi
Q5pxThu9lFVCxRgW6WhjgnCPKWvcBREQqIp5m61liE5+Y9pvUeCDwgLB5exDaOXCdaqf0YSB6gAU
WFczxN1FeXCA1PRhHOKM7hMm/ybDc7f8Dvqg+o4/Y4L0CDeCxvzmNpSye40nE6iXzsdFIOXQfZ96
emqT2JDWksjZj1hw8EXjqGtRFLlz8zg0HhIuhGXnVtT13dIVwN403+9wgLu5qwbfvsehPZ4tuJcu
Z/Zt3neGQvR/uNwwY1gtDCNFZMIdvG+dan72UaDxHc8LF+ES1LQCEJICMRl4bupsiKsvtRkR6crF
hYHGtZ0xVaxZAKaAfGjpzn5txKeLKO9xwkuSuVHPTcvXGnCLbKxAEm4iZSpuUp6y/cNGZLYkUGP4
7wJaga7C3hGT64kNXVp9ddpQQ+Brh28I7/BDei9qC8aX8jjMRTtds8IuywVVk3b+UcHb3WFRt9Hz
dxa6w9hnAUOUpeO/GmS1TMyX9S91POpoXX9pbiTgzOE95G4tsOazGl6QqBvUTWiL6oRhpy+SDVPa
hVEwumk5FjlgMHKScfDSjpKAX/jaIJJRgs25Pen5vwIPpvONKIP4ZXcMQo1SV0tbJ4G34QHEjLKc
wm52rt2IVAfL53Iya4nnS+quWNLVnsM73Zak8qlY9fudQzYBo9ns9Od52h3Sce3heBYBQ3sTD+ua
hUF7fCsCWaSdJJf13BDH87NUwfSXoUJcDCvV6RCtnWOfUe/uETnvh7c6fweFe0UsUcG9dED5bV5b
/pTj6krkPa7/ILt+zkmDRWYMniOahPxD/tJyIw42riznDsXFBg45Wz/nGDMeAHPY/Ke3zr92c2V9
AjH4/cXggL7HXEZIbNNV183W402UVo/IM1b6obFWng06hB6l4WeLBbMtbxSQFCm1Eg/TtMUJ6Nf+
zw+qKcdxIPg32eJ9I3m/SqC84eVQ776RAVbcbMQrj6U39GfgtgE/kjanGfjAT6xyHWRO/J56W5Vm
WatboBhZe+rRVL361VdW/2zFgXURoT7eNeov/J+AUUc6x8tQ43WpQSqDID65S9O+HMfmnSjZFoAP
Kv4b4E8iwOCwv8TYFAXPpBhRjTrHz94YVQ9NYbaPL0nMowuz/18Y+uv3VjJ94Kc6/ozOhFh8Xtkd
EhbY9g4IzaTeuEx3Fvr/ly+TIbYXi4ci1bG93vapw0wzu8dvaXvea4jU+lp4Ufdcu8fyyxu9zcO8
ETSK0x6qAaUvKCsxaw0kAEvdhAXC4SD0w6U4+XuxPqLkI+SQWLW+Tv2pBsxGHBGgjCoj9V+04pnN
uWnMUzkvdZ9P9Am+BTbXRIO/9de++EiL9hgi+tHGi1V/VoUDz+QYVOIx2Mk/G6Vh7o9Le/ytiCI7
TbO/RE/R6qArmq12eRhLfBd3NCfZH9METJVLYWskgPMQ1ldZojFRgMLl3GTFVKPBqWqi8c44r6Pu
jaiV2MknI9UNpbD1nzsAQp/i3tfypEIY7LRB71ieMBOJP4MsAnU2GqdMIiPub8KQ3M7+aJwgcM4j
3Wxualq+BAI11vUYA1R/Pa7sfbGKu8mse6zTgWuA3DojnMKkLHybfkBlZ6gLjEfsVMBJ9Srw/MjF
sINikj75i+XV4AHIbPbTOM/iaoVGuz87CPl0bgtnfeUSDOf3bYtKeT2Uu/kvRKsde9JoizeXZc67
D83/5eVTYZ6QfkXtQ1dYLWluDNL19CgmXe+U/SLGOJHUgSR8Hys/yqxBr5Y6eSLQGSJ0lxKdMbSH
gT9aKrPYmZGhvf1AnP9FF7LpWliOBhURa0JIzENL/p730cMnxe9ws43iZGwb822QILDVbQgmD01D
rzcntzuiBM15Ogz7LrRsI26kpbhbCrqj0UbGiPLX131uWIOaAPFLV9j+sKe18KfxBo0WRbhNOjGW
6MhC1HeJKPvxuB+W2OtfjxHl3ZMd2Ii/U+yGx/jsReztqJyFiN/t3h7nZF/9ZX8AbTOfQsWIQRJ8
MstJSXjOOBkL5GwM1KEI1mRBJqQufuBsmTtZEPbdMTlvMa75W7BH+DMACHcPi4QK/wOMjL6Z7gjO
kIX6zmN5eBl370W6e30Je5CzZQz9VIfC/6Uhv3+WOFjuFu37ufFDYIEBVRVUu3F+MOdZ3B2k1lRY
L5+dzmGQFKgNRTQiR9nmoMtF1zA/u3WxICOK25uRQ/TOFRGf/WHmlqoaLmI3ms4VVoHvpM9wemjB
2JN0AkQpJIzjznf3/R/SBietxy+ZzFT0LvR30D73aySfj8EKKXRQ/Slo0bdPU90KwNSi9TNkSe6z
OSxzAwlskOh++Q0T6uCn/zF3HsuxHFa2/RUF58lObzqaGqQtX/BukgHgAum9z69/q0iqJULSYzdG
HUGJF7xAoUyaY/Ze+7kNDaRCca3Fr0pXYwcvk9lf535xo0KvH+ZGRP+vjvMjCpn2XpcFdjm5Vkov
VqNMG0uZ0ONQ+Ax3EA87PPJJOzusU2aOjWqaTpeI3adKwVno0FBavpKZyz5phvxBzevpJQNX1Dox
Z4XCjp1ftcIyOKxGiwRRKoqHnjPO1QiJI1Y7G4xrXKrSu5AQ3oPbUr1b5aQ4ZqKRRnZRz8NjsaD7
xqxTBRpd9sGkb910DWJpe8Hj81STS3bTTEuL+p++2Ve5HNDVYRAnlzeO70Shil7KeJKo2rtBdTOJ
KNrcUqTbWuxGwZtNuJVtJGDAKZXmnCUZF5sFusGzOqd4bxJ9jW4bs2t2CMNXdyxn/YcsiEwOGJ2Z
DvcP5NpNp+wmFmvHTpLlJ0XN56vSQKEsYhs6tLImS+jX+xDRCv6M66jFoIofMvUGvU3BrsjRlcVT
PHXG2n3ivcRxqcDBaBcMrdhOTXQMfRTt9RpknK3EwvzEqKE99Yy6GAOXgwvvIn3oMUzcR6Oku9AL
F1+PogKDOUpb0W5NrW29XJD1wsUK2p0S+Df6CT8C+TIM2hjL38hTL7+kk6hVqA2QDblY51vRX4Rq
daRslu6KjH3gxHEy+6Kh1OMzG1Rd2sgIkmofuET/xHjvCeMdmk8F22FjE4OHVUszYtPNykofPZHW
MD2Jfa1Fx/jSojhh2jRut6Tl6oxhzQiojIvaLxUU5sGwtlMAEJop9AAf8SKSsKwX3YyE2BesCdNG
JS/jZe+rVutGEscOuR/0k1MNrnCjlrHpVyJSxV0o9FifkVndgOHBwrMoNQWAZSTjuuurUvGtjiZv
TISW9RgzLhqMfuASPVBXDSbko6Ivsk07XXSUF/yG3xa5zuTLUrPB4bo2uCP7h03dTeNbsuA3mbUe
nRQbOUXioLYYtTWgNYhlGMn+FKoGvamSTm8oWsBWycyDKChQG12QumnjSNRmiMyNbMHIGsYtyJM2
lZjClqgfC2oiYWzBsAIKWjdNPaImplXa8bzQgY7LxWQhYmFmSlp7oRHmWx058Q500rRXYnyxc4za
shNn7gcyDQJHWF0REI8OCI1zaM3aO4LAqcOD2jf3I+PNHzm3o7eYBA+vkJXi3K5W89jS/nrzMi0O
Y+YyKEUDN2eW1kLpLnkk3KaaVX8shVx4SO3ZQI5CWzmywRDeWM1LjASDIRUnbNiwbhTKHwVclPs1
NNiGa73eUJasCJ9DDSl5FkutF5sjYq9QFtA76U8dQZwsY03pBNMwQ46eakHHgsTnfhRedcay3FuV
WrKvSdN7xrHm3VDgLEM6khSFP3a8fwhEWK0lKANuathqnOm4tj4mmhdf6FQUfDh131ctW1GomVXt
GAgm6Qwl5siIytlMlW2UOmM6CjuRxbPbTiIlMFoMiYhwmahlgupb15TR3Aaigohry1oS84s8K0LC
HL1iu8W2oRXd0UDKth2ltthAgs2vlYTpEWyv1KETwJdi1UgPZyGiuh2AWL0Oq4x6ykI6kpDBu0l7
GTbNyjbkzM15eSTnor0RGhAO+A1p3kqpxlZmKekcwO20JJ+2aI22WVpqMUd2Kx2ZyF7UIWxtDhr3
vQfYFX3r10MX9+w89eJJnMz1UmuuEBfXqJWrawQv5kGzkj59iOpegZOjpE6bV8qmVdTaeFarbi24
7mCkc5KkqjerjmudNhSiwaQRXJGt1TDfpIiZDTcuRHl1lVVsu41WIotElSeZjGljsVfZWuTdXb4M
aeH3F4hP0DcrrDwodkYU6GI5rvQgel7ckzAwpk6XRO1F6Gal0Xs+hQlHctm07CcNSFjh7biAThGd
ZakTGgOlLOihF2suVMhMjFzfxyRtis++MJDKsCHL8u1yefRdYy6isGF8IRQuNomZyahptlijeqAw
7UG3dEl+AQFgGJx6RqnVN1YpxmrsqMwhxl2uTpMRkDNsFYSv8o44MbdZ3Yl7ybiE40xGu4HhUd6w
nrRu2loa7/qpnmWvNRYUbBS5c3EU+mKY9gwi0+uSlMjHddSX3CEYfkp8RS+m0M+hP22qWq33SZmx
1GCWxhYTrou0mzk1nThrzIekb7FxqXSB7wmJ5uFOqSjZn1MoWzp2I1i+iF+X5XVhGdIQPDR1rzgo
4BKOA33bXmut0AjY4mih16D/PkaZlLzOOPxuFWFRH3saClQnaMhwJmhxou4GSCWL3YKHgStG+2je
spKbmts0rBwUVsxwCy5GtWntQ4AdnpkOWEZNvE6zB7gQiwyarf6mYifiy/0qnhZIH0e28xryKqRD
fYAj0YrsnPnlPaqglNtAFoXUJfH0WbN0Dph5aIlTDNqwTUNJG+xpApQHsSH5MejMO9mSmdMrq530
FkzDdLYY+2duozF948WqtbvIlbYJJSUrbXbl9cMA3S8YjVjfFyE8lpxQzc+hZosTRNI0cZkW2GkX
PN7J6k1DDvK1704SavnZm3WkZ6kld6kXh7Ro7M1TjOEWPorSKhTfREuu7ZB48b1cjSrRhRZq1OhM
EH/Y5iqkqN4YUAdKX2ru0GCMAPJE8cqprYDUqQsuUVYzY3bpWbi9xSsGNBs8wRy0jSGydV6X7Zyx
0mNXEDG9pHW34XaPr41RT6Aqst6atoO1GH5L++ZrbVqe0RMCskImlu+qlKwoNuTTKS+yZqeHYXwq
qzREkNYr90YhSNkuzQvYCAM7vpPZN1agpBZAMEG7k8Rq2aqhqrHeDjNrl1GZgGJapo2Rzp1+VTah
1R1Z9lPIwAlJDblym2WGzWYJsUF+0YphqanDK5x263HpODH7waz8rpMKUHsIf0AZFTt83yr9XYlD
I4bSdEzYprIB73XpBfA+tXGYxMVHGF/8b/HcvkRqnzvWhQjllE1uPNMHSB5roNWFxNGdmSYtKNCk
UIwcSegHyYuUlJEmUWLZYUKKG1QyOEax0bqnGUKEuE25mVJLDrU71JK2UaehrbFn5L3pVkYmQDPK
dQ/702Ou4ebWpeaxkGvpJEFOg/2zTkFprdrdkIjdOxHr7VWrw0ni3Khu1XVVbuMYtB63TZFRHblO
RmI3DEsDQ85SnmeOrIVFpdlqCNCLd5ggy17p5snTJFodm5NJ4qq6KDLzNTEEubdAuTmhhh0NBxG2
uSvGZmaLAVuU0s+c2ztLngufcohRQ51N3VsF2+uw6BeQUz8tt5oEB9rpau5oo9GPQZet9babVet2
FUr9DDVGu6WhFw7sFNW9hO2HQTofdLkTe8a7DYOgLAA5YogQPrN8X+JCkZy5NIzkoOZ5/dq0rbRR
EY7RckYzWyR4XgHGVe78S4vzm0jlwV6TftrEUR/uzTKcXJOL3rtGoMCdqZczI5ES/IfCvtAlVLZ3
4mLkjjwt2JfT1NrIpJ9hHwxzHFPQ7p87rcHi0uC2szWE9wFLBs6+UDTqxVOZ7UQbs8qaO6OVs3sR
koGN61PwZaHG89oBa3BbRGW1PXZjsq06bPVrKXY3MEW1gyn9qiia5Aafu8CVEmGDTF/bi+UpNZUe
habGyCxc8VzE6QiUiiAaRNhq2O/nFPlJWSvWLodddN8yZW9tmfX1Oap16TAPxvTUNeKPZVWSJ0mX
4hujj7OzrseNG8n0fmI25BtkPPoRsUHnkzGnwxU3w3pTsxAJWKFRtwIsvFy32GuiFI5ewhhqntfT
V4N3TXEhIUO97E05KdFpPIvSoj1O3SD4wqymR8YLUAWkIfcMBZ1yVJkjVENwYj+48RrvuoDrZuFI
PTPUkPBDacN0ioV2eR2EOdoPa596UFUkjGIVQ41mA9s4o8osEvDC6jaX4bUtvkWeSAqRJCFI4C1N
K7k+pNysYqx7k9Z0BDvhR8ltCHvFJNutYGjhSYyzivlBTpbUcIMiOVFTB3ZQwZKAtofLIaezZRYI
o0HrcXYhnyuu6KJWDehRGPe4TOme1+7EjijLuRLIdAVn7q+gAOxKzxEkH9GiEKXrr/B4Iqpf6Oy+
uSINvRHQY1Yf/3/A8L/hF+sWFOh/SBvrownFmkE2txzKJwv9cQP84XsP/QUkDfSkMKallne8Oc9N
N+/KVvwT5Pq/e9bKH581TZpk5Hkp7fAT458Murz/XoSVrH/JBxAkpFxZ1mo7RhzXnbrqdidO9TfB
5l8yQSMhZFDYZvIu6oYzve4j97k/ocP/u7fkCyZ6CVERomGVd/Q+kA2iWyHDHfGtT/JrvL0+iQir
ZDxFVRG+qf3yYnCof/Oxv6D5WckhClOMgZEIhCulkraJ8M2gln/KtFfwMMusiHYxBhRXSWQFXpPZ
fu/D1L7g+PGamKkmwg2hVMQRmPkoBb8XgaFdWOD/cFYWTQ3FJNFqWmvYek9KuvzJu315gH8Bd9e+
nJOtVImxmBr1TkeoJDBxIvCaMrD3E2jL3wwl0r6cnarBXBJJH79Eyj6VujhjnHe/dyR+OTvnbDDT
TirrXW6ZL1lbXSGI/PzeQ389NxulzwrmJDvuqWeRFq4avxeNpX05NedmaNm+JstOJLXBnK+0Jfte
CsPXUPsBUipYgWjZRQSAuqp0iSKyoul7B/jXXHujlsSGOfnMaW8qZ6RFzRZ58vC9j1L9EhMUdwjx
O3OYdvo07jspCsQqvf7WR6l+OTP5JNemRQG6K6k1yDp77oz+m+/4lzPTVKBl9lI37sIuazxUaZpn
NIv8zXf8y+mZjBJoCJRuO2lJw1M707qS8ZB8766pfjkvM0gnjaYg7O4uUIV60D/CUPvmM/9yYqZM
PdqpBa+sxchkLKGiNyjU7E8uW5fX/y8uW+qXc7MVippicu1BsBo97gXGtWEsffMj/XJ6mlYXZyB+
C8KSDJwt0aFVq9dvHYhfM+6FqDOzMWqbHZoj/Ch5ZtiNBP3ue4/+5dapRrMGrx3MPxdwiCpCdJ/O
6fS9W5Dy5fQkdnaVtWyod6EkXbybBsVsBnfse0/9yxlqSuiuVqOqdlG5mlBlxhMLq8r53oN/OUdL
gGGpRL+8wzmV2WB0fAlH+Dcf/MspOuRdUgwjN7dEzO9AIdFFlsOfZV1rvya4/4sjXflyjuJ3FJUl
1XhjMJTfyUIaVOrwwModvGBNKKkkCdVF3W9sa2PdzRULiK5cD5ppFasPfCV6wP2bbVONtZkRdha9
zmVWTqODpqH7oc3IwdA7Dpd4htZBF3IdtlPsADRBeiVgxG4XBLwDklxtkbVds5CFMI3vxswsAauv
Te9vXk2llZ1zEakvMs/5hHUp2RmQ1+w4Frb5oN4mrXVOiXMbpvFxXmIGVWuGCJVWby35tbVRCtOd
WZaZ3+ti5KFBs/ystS5j4fo6w4vl5dEgIZ6Px62EmlZDz0PQwLKfZyPyV/q87p60jI2St1Nl44EU
fsDLNogw0UbkQqCrRxU9ujQpQY0g5YBtu2LilEJdjpOz1YThGXisJ0bd+JwuMnbgXncXkpQ9zC97
yWyfVrQNW3XIz0I5dj7jeoH+vJpfZ4vKQBf3BVOGRgxrYyMJ0KswIDMfMpMLFtuQRigo84haWehm
RIclai2M7SVuNtUu4vCQRAPq5mov1fmWxrW8nc0wDDQBUryO5+ME5w8f6IIedgSfqcpXo6ZcjaY2
+TSBBQ5rY8b62FuzU7KO8lj/DI6eWvljmqBBTHohkNBTXWXQ4AAWnmoL5nBRpfdrXpgO1Vm5+CyD
N8B97mphmZiO4Dem3nSt3MwWFxj5lYplzUFBDRmsnZcNkA1yH7LYPIAwnZDkLAcBYzJGUc2RojB0
TD79RlA0gz2sPgchGN6Nrkg4ckrDR6zYPTBSRLszshElIGOQMPgx574D3Jxg9oVU50ABEn19YrHo
YEPHuKnL7d5UOmNmk6024MjZafcKyQV1s/SH0OpPFQfjheTsmRZMy8BsqbKATk2aU4zLhhnTYYrK
+6lfAikzh9Kr2LXoqqXnNx2ylsOiiccUbKvXgdZ2YsPC3yfBmR2BMu+xAvZO34j3EvIpXwQZz4GW
MnLXzCLbsXgyAwMTim5ii1ejgHSJgN3tRQRh8obWw6fFKtstDOAFBjOo7YB/0G3YctqRbhbEv6xA
tAfxY1XX674no+3KiowO5n/XAuKS5gP73gX4eckpzHpVRnJmS8t8XEgOBBy0NCtmYlZlLBv7UdlF
c649qcOAZbg1xVsYLvpBmyr2nYCei8cJNBJvgjo5bD+t5RbS01FjriHfh9VAKki1zRRdPCTwjxn6
dKI/yNZVI6QsW6b0AP/Ohfm11RVEMNY8+t1FmIEXVPIarbUHNUv5CJYlMJMImBRwD+AiHNPOxQeH
YWy+zsBm+cWU7PpM2TNifzOi0TxJqQzqrG85s5e1Xp/WJM9hiCSJFpCTITvVRLr82MS7QlT0T6JA
Fngs8KCJZLFwW+iakax+MybKQZNZ8rvyMIs+cPOjlliy6QLqR8W5joaHBCkU3HKpL5XVSxyTAAMS
KHc0lvsfUlgKKXCj5iFJxGwjdSUrQszRh3ENH/JEv5gp17E4q4x+fLmodghWODcgVVvDZY5VqUhs
cZjYQKa4zITqBkvOK25i6cESaOLwdxCfzJK8cQXofghm0Zrz9SieNagw3jwtAqKV+qIENFpB8Eys
Y/cx1kLP7FrDNbMWsJQRtXwWMU7UJRHLQ7fkZ1Ro4ZGMk7PAJbwuGQIqioCTAcEZwTsTPD4uBxK8
/WdJrzdl1m44wIRzhL/ND40YQnjILmBG1Fi1BVIarQE5hyuW0zls1h91iYow65TsFrWjjPR2ip6Y
T4EP0+dEcNpyEI5ihU7YmYaebXpuVcO7gHSkhUFVNndhO3wg8xT2kCJRFi98luxHhl0kAHBc+Ejd
pjfWG6qK1UfIUa8ugnkUjqzC3ke1paEeddILBexaYoFfblHzF2npFwKAxwyraS171ooSJLbaknyD
9qqfsK1mPcGUitpHqLLamY9GrXQLkL71wlwx2oh9kzzmotJXu1FQx8Xp0ase0mm0DEex+ue2QzWt
gN3fjcWE+DTrzIU9jd6/DuB6nNLqV0RMqnaHeR89VY9dl8Vy4QIDwn8J0RuvFMAmSTJh0wBB21hI
O4I1q6LDmE/bUZPaHa75GBJBo15lhli4is74WLDEbUdilKdooNedpYiuGDwS57Wqw4ReKVViXych
Z6ws3dgLMPabF4McHyeb2yjQagP4ndXejXEuPYp8pqhgC7yJwFsqtdbqe0hn6+CabC8V10xl4ykf
LVZojSiap6ZYN9DLl42qoZSbCUsJmpTdAAD17DXKYpQeUFFLVqPKJxAa86ZqWYv2efJDEdnBoUGV
qqdhKcV9PVrR09j2hdfghndzrshQWarYSG2KmtyJk6HHJJVAiUlzaTwLA5qBISxguRm9qbBLku/w
M0rbCG3t50JM1r3R1MtZSAt2taVWoJ9XZ8mzZCybStGzUwKNeU77cb1SxZXOg30XV7QIwGiO6MSv
u9xIyXxB7cTSVp4bpxDzlntWpeBcsCQcJUVddvsonoG7EWM2XE9YhO8qhuUH/D7lPdbCwes1JXpA
xF1TIQz11PtkaC0b1EVztcskMrNESYk1stk69nFDXHIRSvPKnmq6Z2FVsTupsYDkwPKSsCF5Ql8U
d6rU4wRWmnU7Jp5syu/VLpwI9givWagIEla/Ng9kbqUUdpCdlIHfgA4JgVvS3IdUYg7Ky/JqiVI+
ucIQfkuQ/Y/3+T+jj+rqt2qz++t/8fV7hYwFE1L/5cu/Bh/V6bX46P7r8lP//V1//Jm/3lUF/3z9
lj/8BI/7++91X/vXP3zhlax+l+vho11uProh7399dJ7h5Tv/p3/5l49fH+VuqT9++QkXStlfHi1K
qvKn3/9q++OXnxju/UMHcXn83//y8hp/+elYla/v1T/9wMdr1//yk/GzqljcVQxT0yWVj5OGaPr4
/W9EEBMWt0tTgxcoMUMniqGPf/lJVX42NMnkpyRLVkxGpD/9pauGv/2VrBr4yQ0VRxHQ+p/+9sL/
8NH8/aP6SzkUV1VS9t0vP1m/tsB/bxgMWTRlrA7IvxQZtynZYH8cGRqxqC3huIx2I193jRO5w/4a
ao6z+rGTuuPmiFiCst6Obk1H3E0eFWGQBMZ5pRZMuYIv9v4hGjFJVE6A3csbW3t5Ah6xG/wY4pI/
PS0bVslev5uijabvRJzGpt2dHjoPSuKm2LC/89f2sOD94SwpCHkqHsRlA6oW3WliVw6m/eI4ajeA
rUee2OLMPtQfyZt9ZEjRC/tn53rgWVwPTuhZbh7EW92Lg8SFNrCPr8HS68th2CPwH+wHpPMH8SRf
51uRl6PZ2KZ39UEPqOVd7XkvuATNeIIrPqqbdpd78lvih96weZgc4VaxFfvyG0LU0GdacuXAfp80
MjAMNyjRjngX7evQ6TzprCPStB921w8Pln3cX75YnPaQbzvvRXUqG6TgoT1U9rLL0JXZe/Ae9pN/
dxfZb7NbH3qXdKGbiv+YPTQXPTnCXcPei4GMF9pwIRBalk135zN6JVqJh3tJ7DveKzvdwnXiv82u
8W7Zgo2V3rTf2mcoHTe9SzFxAGhzWihYE+pTlB4oY4KU3K0hmlyDKAflunlfA3GLSxF+jksMbIVE
hV/Czx20a5glDnmwG7SDZ2Aw2E89bC3yOeG1dzv+0c3zZFzRB/m5C8z0EG05Dh5mb7E1V39BwsLd
oPahGnUuQRmwfhs3z6/wJAswlq7rNwpNRkDDR33GZKh+gMS/RoQX5G7/rtdkRNj7MuFjU7TtyyU4
S0Co5i581iP0h4/xeHFpBoqddgFYoceybmyYcvcKr4Y37ojUDzHLS7Sd8dbH29mu4u1VGW+f23kb
fw6znRLKotqpT2u5F7eKqxza54X7P54sOA2kdKIs38R4PUhw6Alx4H4nusaBOIVxfFyBz+Qn6xrX
sFsH5mN9jA/yUbltD1Mw3OvGlfBmvVWr6IowAUbQ6MCYEw7C7BS7wrni61QAku6JTpsdLrcGzS/4
f9Phz/jAC1Jx6mA6GNsS+RftU8wS2F2wmUlHpdsCyyTqYPikhJZbW7IAdPj13fAaw1459Gd8gW21
nZYda+8q3pDIvIuv0m16QIgyfIbXPKT7xt7Zvro67Hj+cGxvKTu5BFQUqZhrnkDo1Hcg+hQFKpvT
feov+rHYx4G1Be+YN47gKbvMFzjA2sROBE977/hp05UCN/ZIryL9ovKj62oFioYq00V/Oj9x1DWa
nTwCpesc7Zk61w5vxffUt3ubBiUYNuqRQBwcQ6ajvfPCLLv0Y3/wr7iLWjba3z0EEt4dQJqjC5n/
HN4LfuZezmBRuV8e48zFTde98bxCSl2nftK4bhjO+BRep1fRfv6hm17zIbyhVkQJhGC0U/xm3mhB
GT1Cc5WXu8v2Z7McS191/MVbvBFIyHZ1z7Wv7d8Euzty2iT79Ed20ncCRfpr6Up29hHiofVEkgCe
87eLOXsjP19FR+tVSRxyBNIr+Ua5Sqx7Jd2O8jNyGHCF18pRfjYPRImzsranwX4Xt9J6NM/e6hiB
+RTawrE4jI5q12/y1Va5CQwHM8yncjKvRkfxaM92p2abbipfamwxujGyLdmt6oPa8oLaExayeIOr
zE2919d4w6jH2or2LTSuq13qKc6jR6qGfVpcT7uWY+9ddmU3crof8oE/2aKrPpWvzwoX84ogKxu7
jDe45D2+Yqiyia+y0Ut4EIU3mrN60+Ek+5JzItv2oYtd9bzueAlk9znFlkmU23vmudqKfEvNz6JS
cDCIss3neywSyez8pO0mlyfEP48HySGntdqwmbTggpROdtSfM0Q8u/5T02z+mH8+G8Gvz+LUP1Ba
dvs8YM/+YECFRiVt0y52h+ZArKfMQR7T7JAZuevI87QlUm4dtMp2M/Cv3iu2/PFgBah6FeSwXb8T
YPef88IFVgMhdvHRJRMdZ2tBrvlCztwDqr3DTEB9B0dl15qveNGVFjwLR4nXYKkuqRkMuQKOStcI
JI8SRnm9p7Td3TqbT2GLelre63vTvz+VKwY0hzgv7ZWibdty3zSO0imbnOUq4S3CyOs2rhJc/td7
gOBrR3jhHsvTNwJ0E9Fd+ZoVTmcF3YEnZT5R+J6mg4iW3l4nOz5asLlCR4Ch7ELd1wEQqOfQu4ZV
MnH7yoMlOSMsUWvuc9pzzlNGQQKorzN9Jj/KuLFcqSdyt9qR5vbbUPd/VTj+65rwD0Xkv6st/y8W
jpfC7T/+Vp/9U+F4O7RJSQn5h9Lx8iO/lY6CpvxsmQxuDd20KNQsk6Hxb7UjNOGfRUOS4IfosmHJ
YKf+u3jUfxYlUZX4btTaEvmGVJy/F4/SzyYuGqpR4go0Ay/m/6Z2VIxLbfj32pF6VteAj5FzoBHA
LKIA/GPtGMlyq6eSbiL4SyROYnk10EzKKXqgHFJ47BNQWZ/1SuTKWgzz9Ahsat4TK4kepsvSNNww
v4se4gzXp90lDKQBOeUXx8oMlaYoil/NK3pTeqnWJ7Df4wIf3pQLJI41qHMKbUpfUmFtUC5BnVQC
0+jIalQx9OKvn7Rivxim/EpAK/ctjdAwnIKoiQa8/zDw3Q6psuwoBB4zkYHPzkWN6T8wRBNLKLh3
gGBpNbcB84qpJYSiA+2Ba65vXOjSI8nCAlM6h15VfTPRxvZ0ZsRm+cT7ZPU2AgAK6hu8X4PQGuQm
wDZQH3YfaUvhmSZpo6gWLhlbpqKjPAXhYLxPphk/MOOeVh+LUkGWUjxb1yxsws/LiO4+1KbuvlUq
Xg7hzMpjO0TxjTzjprdxCxTeoMhF74ymMMaekIXlOS3NlnlCOwJ5MpmV5I48J6G5Bd43v2IiSh8r
VdVfkoTBIzryeNYdjI3wS0k6ABBXW/JYuZmyKo6EH/1orZNMFxKFN5M8G1jyB7zBcZrldxhUKffF
DsMOIrMQUBx9zamJ8Zk4Sm9aTwkMx+u8lxuMm6CAg7oWpWRTFnrkR3NKnNNQyaCjxpxhLWk6guSG
mHwhbYiS3hCmJ5irkygt8d4dHk206KrS3ppSBwgOHFv5GqYoygBB9ITQRnnEA0aTRZQlE5oYfnJp
MjXitZroOdW1dxuc9AtEAqGm2lxbdfYXHGTXioSmHzrLTPuhY0PBmj6BDmmRARK5pdTJB3TO5ClP
oygNyBkpageYjtCDVIt7y9b7nBIyhP6P/Kcb68xZwfVyK85LHfukgdfFDlsJDE3ZQQS3V1Brxj5u
qwHyaIRF/BXRmpDsaFDnz8JUZ2GL+SoiKMZcy+I6ylHh+2QKW9dL0/ZsZBQQmYMqtATR9Hm0kwjr
Trd62Ia3/ThUYeeqLG7ke0yvWvMGIk5P94u8jrcSyxnzsVQ1hU4BdxlKMk2o503TCuHtQLwulCbh
sn8Q1dzA0ZU3eX0jkKrKQAa0gUl5CJIWqaMmR6cxbGAgGaoU9cSu5EYclBJZXodJnqajROwuVQIh
rrgdor7oGLZWUuZZNTyHq1C8MK5rTaYFSS9eKKJ+CE1aLnZaNXMSIqRLv2eo1ATlkrImhqKhVBsM
VTrQN0Lm4LRLxDA50BPHAxQZsh9DGAkN6dpVSgqKXNdUIzgPMbKqungt4e+7BQOQxR6YZ63fCriI
7/QuEuDuF731o5x02K6pBR8IA1ZGfruI/7Mq+Cx4M1PlVTXS8WXC0wh8Z46mkyGPWkoiXDzf1auV
kDbcVAXS89BYiSuP8Ga48VzhnsBhXD9fPJeNgyFPfw6rOU4d2MnLay7n4ZMoK9FHI6nVJ7CUgcUV
SzLSTPR6SbyqZ6QdNHqusNSwDKAped1ethxh9kPD2cG7l67TGc70QFkd6YV+akiSZZdVrtKFp7aa
b1qZKxL8GoMJY9mxQNlGpjJcN5aerYGVSgUNCeb3y94A75Vd9S36dHLM6ztIm+ByCqKDs36SMKCN
hGPZsyZrOF6Yvaten0QIgLGHdlsLG+LgEe5enDS5qtu3vCkgNS9RLKueFbGIt2PDCJn0qRke/Qw7
pBfHFTY4Lm4s20wMANLati+TMvG9GMAawVlE6Ofeok3HTNcLWjTAP5t5AFppA0qNows1qH7JzG58
GTDCk1C7op2x82ZJ3sIRVKIrYgai4ZvyuPFmEyrHBTao1PaSNkvDBqhdLh1S2jzKXVV9EI67/iCL
STwrhXK55qQtuPkll1WO/Llj7D9EOf6dYSTAAOQC6yo7k8iAtHMkv5/apF0A5cVEQknIx3XdA/59
SfJw8WSTdAyjNB0LsnvIxbNYfJBNuEw7pjB3ap/ArRk6Xb2Fkl6PG3HWmBdDiBvekkGXYycrBOst
we4My1CNsWJbsKEXMr80zs1Vx+hrL0ljbuUxhM81rnr2MPb4wxwFz1D0q5D/GBYxHvypLYZbWVBk
g0R6NRoCVQmLJx1klLDtQOdsMqbm/4+681qSG8my7a/MD6AMcAgHHm9EIERGak2+wFKQ0Nohv/4u
sNl9mZnsZNeYXbOZl7YuY7GAgHAcP2fvtala4a3Ya3yvdCOV7BMSwZw+utWmXn/oHY23Iy8oA9bx
7ETulZV0OmrhqboOi1y3CYky0MGHvQMUoCzzis6SN8P2+lE3/a3S8Sx+acq2/K7edxTfVI8X/Tey
i5pv/3X2VLX/tYVq86Ro973/O/8Di0mPEu/f15K77kl9y58yFCb/6Gkujcvlr/ysJV33L3xJJPhJ
3WVSqXv/r5b0xF9AaYgRohXo4BJZ/uhnI9KQf7mgpW3MMfCI+RdohP6zlqRHabpyoRy6lqE7lv13
ikmqz7fFpIFS3xGgATk3y8K//U59kZIW3Zsz43GrHmO/qNjBljYufsgSl3rs5r4yoO9jjfzuJkZx
qzPx2iqIB2Mg9wmUkY2IqhZEAU9p0YnpENhpeBBk/YApbiX4vmgHHITB3hTCdS0N81nMI0ZBa6k9
puFryUB5FbLwzYXdnbpMxGkvSXttmfpV6vaPRc6q7gXDE99O2D/oc75D5u79epqitRjq75C3Mz9M
HIA9prOeZZXuiMy6KSQsbGBdOKHaDpJe47a4XgCiEDJkKvBx4FkYsjFj2gLLuqUKMHA7S3ODbcR9
UB7Qxk3G7DLeZZjjVqY00pdJVep0MiZco7XunIl+nK6IjWR6YeLO3gex2TL9yy0HzRMNF4KRzlHl
nY9cyzMXphXxm9UJ3rV4Z7r1EhnarB2NYm1lDlV77MgWIZwwqstdZDb21zrozE2jK4beBk2ExLgj
wgMhepo6u7nQwu9EODT9qvK88zJc1uIJU+mGLLUvhI+1EPeoelJ86mw1CxI7U8r1NBwewzw+w80/
by1MSndkN97ZdMP39aCHtFS6/NBCAH8qmwK9CIN7axOPdvQ1G1SJnXCmUzOkfUtEevYFnOX0asu6
PQXI5hxaw5keS7ifz4h4n/R5IjgmrawIBKxZ28Sv8WnYpfNEw8+UgD5XA4C3NQkNIEdszbuAuQQT
wy7rE1mymjo4Jm+VwDAJwYBMkgWjUInskWF/fnBTA+ctO56j2w7Oa9i43Qp4bPoaY6VPVqruO3EV
OYWpnamhTtReQeLBup+O+WkwKIxUth2lJzM1hL3u4Ws067HJMuAmesBHLaxRf5RaUD0EABUSjAg0
bVm7QcSIkaJrsSCtS1uqU5BZ5mlXdNcGcC3f7ns4/4XsV0Qp0bhv3AdnoDnpEj2jmTgZquxBqKHc
sFDft9hg4OJMNxrWnJsU8OURtG5RrYw6he3ftRMTZj2SEygHHQHAY49y5sxGx7xXDSQbu+jah1HD
ABgTCPHiYjGrNqmHF89p0+Akj7mBWBSmBz0Y2u045OomGRSt6NwObvUy93aJJouWwEHbPYqGqrvD
XAMbrybokciDixHt1KM58crCZNEBrc2J6cdEvZYXYhogYBY5cc2EdWsPZe6Ml12BCQaSCWPilUsF
H3EPUUT1GOL2ld1eNc34XYdLRV5zCQMBM8bKcTsaOYZh4Kw1u5PY1WNUSfkFfr7HlN2k1kt9rw0X
dUk1O9pWenDgyVEv59/Y2I5rB+4EigJ9m4NE5IOYdRuzgG1fmIa3tqhTbw3IPEWANxS/jl8A6euS
ULsOYjgvSfsKyEB9U1FTbUmUMOhPYdkMNFCoBtqouxTAZRSDPtGyrD2vrDSGqR8O7ZxMfistVAsI
gALhlZt2qLr7hQBCGDOM0iZNXyE1OI92WTiXQRtZJzX7GdUoAiw1Qi5DUMOeckbqhznb17WV76u5
Yc5gmg5YhNh+UQoITDIimxBBtSui3vMzCzBkEEY9nb3APC+AtdewqNYBIB3UxNVw1uH9Iy8lSU49
1D9fEqI2Lkwgn2cBqMWzriuy2iflKNhGjeYw+W5V7beaubXLGYt6fKoCeXQ7+u3jWDyLyTwwSCN+
voXa3rFTJeIvPgRBczOGmbFpPf3KnsdjUBUYeys1U8fWKTXbOG61tE5PYPzVY8T20WZiQfzwsZhq
97LJgtjvoqq/8BIa7aDLk/tc6gCuM31hYgdsLSsj0fEwqsbewlujgtEB4K0CKfOdYZQlXnXy+OZm
fsls62qEQ0rD3hz6Q5Uv6b5xZH7vpe2DrcFO3PXT1bJmoqRyzmZLkg49G0ful0mRr5eHGEIGUoqa
DeQYlbdOWm/ZmhkXbqYVe2ra8RVhZbYdWjyKHnwQnCbxTQsFEp3QVN4SIUD0dzeodaXboFoaOQA1
asJ93msh/F06hQZcaDqBSr/JGq287tuRocFYP4JBzY7ssiSRYuEr69R2BMWzrplmPtMAYQCFYlys
yXyZb5Th3dthKbdFAfnehZ9P/uoD6M9hRXgLbglHMaHTpwa6/cjzOEIVzcS8aprg1I7D6auaISS6
YeiuzCBDuIXRMJdZwZxB7QJjyBgoecOFMvL14muzsh6NVEHPvanrcQv7zMVo2YW3UtEOWUCgbdJi
aEzlTT8gBOoHVCdtAubDGvrTDHHF3uohpJckBm077JgbapBpbRN8bzbJzoDndA7N+7z1oAQYtXBB
BldQpOKRjjwZLMfIFcY+g0W2DqAd8VS4/NBhwgHnSVywFOutRF/JKeqruNauXL1DQammYk2a9UUa
0LuVlB9kFvQkOi0WVdk3R0GVvc5HFqZmZqUiMeiWkI1t0lmP80zvIe61ur6Oxq6N+QC1wk6sE7OH
l8KELrJdiC+TAaMKIY4u74E9pTvNdHu69Ejt1FPbVsXF5JUXhSG2ghIjzYp7lm4bcrFA0NmTB4QS
p/AxYSdbC7aUKnrrwVDC3g1ttB8970zI+qoskmFt9NOZWVoNO0fEQo5zVqasNsD5YA+QxwT0RYsP
YQOki+CQYu0axTYZmBfHD3xWn/o+9BPBVszzSKieeCxcIqIb2hfUWo4/6TDD5wAWfxABVpsORYSu
aeme9M0LCLboLOy98Qad0iWl6DVC92gbgZDfaymmZAyvREEjreiRjIywaXjmWbnIXnupy8i4qVS6
ldlSp0W0ZSC123c2O/eNHdD7CcvOuxlEzrUcvG+21xVnnQGEhuCiFwKE8205yuZKawjAIc1NVRdV
mmCxd3WwHB0AUhFtUK7FAFTwA1p+1blAI9jiRPF81qCCZMThgj44t0hisc/Srs2DhIHCmEg0O2qg
F09CtnawJvyVD6k3xN7LNLWTCP4bW6P/oKv+n+2e/hf13gmCsuibf7ZnOrJd7N8IN/71l/6xaxLG
Xyxhnsm2iS688cumSeh02dmmoL/whGGCiPvXngnxhgCbb+qO61rSsRcr4M89k0UD3gZ+CNpHSMsy
UGP8czjwH4g3DNTtbzZNUhjSs2yWc3ZfAp7ce4ddlgQJlti0WAu9bq7tpJpPtA4EeN2w0gRzm27K
haHY4YGdSiSOos3upV29hmX2tZ9MmKDqiUw1z6cpPfsVQV9YrnuTnRd24XGW5tXYg1zqUFVtMtE+
hfE4bCfJu25M08YdIR5o9XARJmre8jm/HyRTWHgYKNryKw1y4j5yJ20N7WNpqHtrPTQuEFte5vrE
DLwvhxWCpTMXPP9NM5yUWAXHpAlPGi26G2P1TSRM8MnN6s4LMc0rNNWgtzu0EI5BO0Gjxl7BMnw2
PDqRTn1eQDoaZfoopHECHiU8hhaYG4AVB6PKQxDK6Wkg6IQs3Fahi3xXJNRpshuzPQED58QXigOc
tKOU5SmU8KO0dOsMUelVN1k3xB66Kx3i5pqVtdzWKapwbcr83uwCn8bEJSkbxBi547prpj1tP5uc
ALOgs0a7P213spRwiSFV0hQESiWce8Vkem68dWO23QpzHUSGcQBXZd6E4XheV0wlrPJa9ya/7ipm
n+wd5+YQj8i3K/Pgku3X66ZP6NTpUOXrsXZXAajfdZ6gNU6q2yzlG1PU8s5rc5LUAvN+kh6xFWgA
VwKCnZc3d8wOtuh/NHCuojibLCvzKXh8jVhXPzA5mSF8SSFvRXLeVcQYwlCKxCGqK3eTtDOrdXBD
ICGWHXtekRMBjIuBe9Ga5MIv+adR4stc5uuJ4hqJ+AHZ3l4U9b6mAsI5uI3TZAdrBcc0Je0mTNtj
VYeURIG51hITAQtThRV349EwECqmhOLBHaoB3jtb0cpvsYvr2aoCf+7TblXWJhifWO6wtKIDNU5p
4pKuDNiJeQ8o5HxpLbA9I555h5l8EecyA6/BtWCdeMr06as3hIQnQfaeuuIU0fu91qaXudNd1ACt
0ra/RXBI0w3xyFj4WK/nFX1rv02MXVzB7IuTatwMlvtcZ/ludFNr67ARWSPUL9YJvBXkJeXJwD4i
MNT1iHYTcfKpWY4HR0uHVT8Z2irtdBq/lplseX7ug0Ke63NWb9zOuTbcgh8ylKcaMepg4ep9Opp0
u8kjmeY0XBNBTl3TeZsc7tuMQNpnF34D1WAbIgiWU/AwTJArUqGea9Tu1Ry9WEK7n4oCSl1oASe2
XmYpnxqcDKGIXqRO2QTP/FY0MnvpnPgGLs9hlMapaU+nJriodKr3IlxEpwRFDzZCIqrVhtARmY5X
KJhp3k7eKdCPu6hOrkJAqHFp3tQivKoM7ToueFqQUYp6IvjFKW6RqhqrIDW2bgbYnD3e2sq8B7Mk
WjYy+YwGT3PN4z2b9RVMn00VqDNVoTNPEAzpibe2NX1vJKDm4Urvg6p8lSo7JO6ryJYQuba8GQzt
pCVNgxkc/YmGL/vWLVgkUrSltnLUPhsagOm59eLKpj+gv8u31Xhv6iQ5h5Syec4FbnimRCFu+Yd0
DTrOn9puPcxIpY0qWDO8PM8J2fOTGl2LwYJTa9qJ4XTbwBTZRU3nio0juYdlBze0vRNDTlJPWLH3
RbJUGswKdZXDqNOpxDyaVXMV3bnasHHimDRG7yEmet0V5VkvXSTOfbzPj8CHPefeK+4i9y53R7QM
ZrmtjGjaaIN51UOXIni1P2PDi4ZI3BMhtIPBukGf/FJOBGpY4dLBrq1t3BI33tKg8A1QGirUVvYY
n+s0RnjoCxrIsXNkV3iWl4QXdPSETV7dVTLMYHvFnS2LS2nzsnUEqK4CUSF6CJSzEq15sLvuC/Df
ayub14XI94bpXELUfejQLG8C06a4Dhu2zQ3LWm6BdwXkVM39a1ua1c4Mc5R3mDy7sf+al6FDjeot
98+9a4biyqsYzk4BEbmOnT/BNScbJW+uCDvZ5kvUi7BZcuXUPwwd/9RaKGv0ooz3ijb6wExk1Y2A
8/TikqUAKb42PDjEDdz0Y3TfWsWzEzqnXlG/kClyGebZI8v5oQn0AzJoCL2ohphK3etNtxddq6+D
rjnIsuBtJrp2hUVom1UTHaEZqaLtEDIMHqrE3TCeOHX8rDmEQTlRb8C4GDZsTM8m4b5kPW3JfiAj
12vAaTo5cConQ8eeVBdkK/Bl+iFE9r4P8Km2k8g7VnmDsU8RU2tLpz8t6/DrOOiPbpKdzFZO3njs
rfi40d/05Ms89seSOXds6hbNTq3aVv2i+2ZlwCxQPDC8qyH3xZexOd3nuvaNoluQTKuoVY1rNTns
xRy5Z66B5Dk9s0p1SZrrUznzUZ2RCrouqUqGvYb5TQ3cjkfXHQhETuW+HLAE8jlv/XyEIC6RaXYV
vszYqMgJFK8yEZfczjsWruY0Tat9amrkMgZwc6qqu5ZDtcS26BDnE5aMyUEr2I3fGJzeqACDiaJf
orzqnE/H4nqjszEFMOWAieeKTKNalNtYm8jyTcYlCrbeWiVUTdc6ySv3Ki5T4gDmziAPI8P8YtUx
w6jwGd8aYiFPuzCt9KUV7kkEv3g1FXNyRkVDg4duzYre9sMAaYnAIPh/9YDVIEIFR/r1dQyY2zBr
xcc9Y7IMNFfz0sqfncZ3jf48X8ouLEUiy+6ysv2ueSbZiNhso8L8npejrzXuEQrnTIYp/eeOKaBl
AXKGV0mbTHTGWVx9cTQyJBCxxzhFprQ/KFs/h6C0gxdSbzAejCtpzCwPGNKYNmUQHdeRBzs7NFOw
ivPX2HGfJwAWaxkyiCZ18GKSyc6r5i/lQnp3DOSiDjpA4g+4JelTK6zoSCj8Ed06vW+vv2ZGhq4v
yXdm5UJ/n1oe58I8JQ3PWsOggUrfwTUay7zfEVGGSy23nwDmIOskwjwrZgSUDs2Z1Gx3ueu0S6oS
vrA5ucM0Ra5S8VJj6Vg3XnxWhwtULqfN0agYq1iB8l1FZHXZ6a0GEUhAuN2xkHWA5y2XEW1ck2xf
xutIb/pNFWbJtrG8bOUCdlkr2zqtc2QhU8uqkRgnEPqJygnCh2EEvQ2d1tyZNrieWvQ0vJVOuJad
sS6GKFiYJK9TC+I+KSrrlj5CIQXDAfqmDd+CbTupc9a5Y2/2p6zkCBtFfEb+zpPMuF2xBhJzcFuA
VhP1lkoQWYfo+5TC7pTGTBMTQMp1m10g+bf8zHbvlJiunS7+MszTGdGtp22bPElIwOx6FWdjkxEj
IkIhbNXCdvQQaTr1MvwOAETrBc0KI5TfKrNzALvD+ofIdDHwxbWgRna4uiBaIZTsMQUJM9kMtXml
RhZmg4TtoUEDapnq6I4KQZ2m3eTDuJtGdYTFeAIaGC9LZ75WSACOchxu5sq9I0LTbzT3+zBbHiEk
NizaagsYcRs5FT0jO0ej6CEw6DXpQ+qy2LaXZDgWxJD0pUQfrCMy9Kbhy6SYKFgYjCJvQCWOGYjF
dMkB7TexMwWHJEONAoKTIjlpWTKTp3TsTg2jhY1luHTnxHDuSE4CLYG1NqN23uZhsU919AUoTK54
+qLVGIhXVZd3QVAckqnbJLnpV71JoNg037ouWZxJVt8WbUiO+GQeSQd/1HDBEc6UEmI7IhINmlPU
Abd54Fy46XzdFt2RZxgDjD7cGi4Wq8SwUWD0Z0qnqRLi7zCZ1DDRPlqReQgdC12iIgiPkZM/JRRU
Vtld9ogpVk2ufWOQcZYXFMNzRRu5T7yL0Fa4GrP+OBTwFQXCHB7ibKN3s73RiEBdp2mwZ5pxKYgT
U234HdY/CClp+hlflUQzGB+3JU7dfHhIXdQsWZh/7bTUB6130Ih8PNURDO1ylXYnOHnOLS/JfK4e
2THzNkyTs6q295RdvllFj4TKsOroVXfQSbPbW/S4to6md6BBPSSGemQfIpvl2ivjbj91imqcZfVk
ipTu054eTsymOJnt8S6oreNkttYKzOoT8LbSB9FDgcuAQkr7pOrIsC0y3I5xp2WUKTq68jjDCujx
qLbKOxlNHdyRRUKpPkyPbUZurdDtywhmfjeBu9PR0hGd0T6YKj8lifnerYsjiijTD0pT+pWTPuE7
SLj6EsvrEG7HxkOS7TWUgdDnG7NotomGFB1nEfkATXbZzzGyhQi5rzHU8RUdtWdDRPPR6uyTHPvP
uq9ZEkeT/IsybHYYQgMa5WxHZaifm1F+GUX2k7IbgsJkcq40khQwW20XRDPeMEKd7CsJgBNm3LlF
FQt5mf+IxWOh1b7ulo8CrCAbvxANXIRQE5lDQfU8fXXQTRMrfMfr+iIWQkG87C8aNKLu1Lx6VYxy
dI5unOIFuOSDA9Fl25j51qK2Zgdbz6uJ7B0f5Hq+TdPZ+IpXi+5eRNfRMcTEg6iZ6ymtiFfzjCcD
WOE6MPhbmE51+i7RjZrpFzYKvumcuRsnzfSNQ79rlJ5fM+Nc50vsiXM6udpjEl3lFIIqM3DPGqQe
xsXtrPI12xD01A1OC9xehkCKHPevbunPU7IOekoQ8xBY6rLC5ZgrxlVBaO2jPr12zAuvAGJLO5dp
n2yYcrWHqpoIGQYWqDOaQC2xjYOWaC/wiZ6ukfYqmscijOiaIJtcWZ0z+Y62NEtn60rpj+NQBwdR
WduCTS7R1Qen6FA7ufXD2C+C3Xq+ryUZzObEiINXa5jOy9Zc7JLmhchtosnlzivyw1gOV0UaQMVT
8flclse41c902yTBGu21U9y1ZXObV/aNl5b3xmAQF8Pc0jawXMygaqPpljYC+m+vvZSILqlMgKaX
grZ5JlAUKWKu2hmnfN49Jsl53tZ3DZGnmzBq0z2N79dmZgJE25RBubcPhmUbTx5wWiEb0u0IM/VM
erQNaR2HPOYEszjpydBbzS2OwpD3mKY9XlyiHbTgxRQPAwtiP9dXcT9Fuz7MHo+4s8/Q/pz1PRFs
Y8bmug8uSIrICC4JTgqO0+STubad6Fsr69MKf4Oj58TvspvW7fpUdsBJJRoWQk/m/KnuLu3qycJk
CQy+2EiNEJiKmkRPMEGDWUX+FRAhcd42HSaVoLweu25Gx5kTMjRGN5OJvU0fOlwx0HMY0OF4Zgd+
jqvxtkzdO7JqcBfxL6ymBe+XzktJ6QPUfrVnEWK8mc+bGIY8iQY78Il73TFQ0XtrI+j3TtPexhFJ
7AUE+cR+krWUh3T8nmTjIaGTkBf6RV1187k941UENWBwRg+WzhBBR5ddzyVO8/SVPIBw5aL9OZ+Q
IDL3Y9DmRLhxasTnOIAFaB5QcJUXGFuZ5puQTBe2WSSEOo61xqmNa58+nzkWnHvJi+KR5vkdanzI
JaPQsYQKdsIizbG3XRDNrUyOjjKZABi0AQaRkvYUoLtrO/vmRzP1/4cop/pW3Kjm2zeFKud/gRTH
oA/776U4/6cIOwznb5Q4y9/4qcRxxF/YTG0bFTZxA+4Puc1PVbdD69jBi4cU0QbZQZf4X11lA/2O
56DbYc5hW4jC6Wz/7CrzRwjBkYBj4XNNmtXW3+sqv+kpc0aOuUjNpWcbtsXEGz36rxCxmdht9Gd0
hEpCfTe2Hj+EFGr+VJUvpMA8u7F71dWTsY9ECmisB8FIcE38j6kFUqzfGxONd9pyzsLmKpgMpBDl
mlgd354Fcz98kwTabzpT14+d25+4BYbTJLkdtfYYJ4CE3URmCBzLU6Y1w+6XO/az1/6rMdJYtOu/
aNt/HB93JfMcx5C0/t+RZrypqYy2qzEYoz2ONzgnzTWD9/qCGBlyJgOdD9TSvEa6PTmEZGxit8Yn
Qst92A5ZwdAYaoFNnk/oVWhxkmjjkE6A9qRs9uBESVT9+y/bf6hte6OH+7dzn/+BCjhGLb/cxQ92
issnzBRv37rlL/x87aT8y5CmcJHvSuY5Pzy1P1871/xL5xOi24xS/jnm+SmA8/5ykGXzvnmCaRJt
cZ6Tn68d/z1PCsZDlsnkhWnP33rtxPJa/frAOR7PGT4KKR08v8Tlvn3gC1t6DPNHyyeXO9p6vJo3
QgIlnmd29cIdxbmW9+rQzxNPIgkd3rW3TGNtPSPuTtMJP+vIxE2UTsQBkpCdUiFYkXxU2sYD4rtz
mJAwm4FXLVGrHn650L95XcyFGfXu7N0fMy1GX/Zy/m/PnshvVqjAY3ehOe4lsJr46KEZoPUCh2yD
A/9LmTDumKaEpUIyRTiZEHWvTMjENsKBBdxBLsK212NsxVyEkbytVQ3c9KQtKgJ2ne5rG5XXTMHq
R6mzd1Zx4X0NMqmDRzYTQAcjLeB6nMZdbUb9kVivaUM6kNrkXuv4Cjn4ud7n8b4stXabLHUETECB
1a9Mjk2ej/vPL8jH6yFM5oVoGXHboOl9dz3sRs9hqKSMZ5p8vCWLlBHP3DHcCLyIdiUh4Y+1Potx
1TX98+eH/rFAv70XOHN0viO246Cn1Jdz+4UCWWSoi9yuhR498D9z4nl3KpvB3LpEsFQVhHZJshqF
VrMEF91rY5qeICd4+fw03i+g9Lwk+lAEpRZXwDDfEanKiOl7P7rKH3q6DNoi69KH7Dvb5ntL5POB
6/Cnj8bbaSg/d3HZQz62BFNX3f6xpv/yw0ntCjpVS6yFg75UUe4jMdrXLYTK1ee/7ePdXez8QvKR
sg2+EXyL31zhqg8Le3aUbyUZEfazTVoyHWi1LWpBKo7Ep9wCaz5JUEv/g67wn38Ylx8JM4B3zOZ3
mvq7YwfcWdwtxIKkJGXu8qqufODS6cZtQzopenNbFUGwALg3rTHfozjL/hs/frnQTLG5CB+ucquR
TIhOUfmljWkhKJ/G2nlMzIzmNl25QRlIg5zbzy84CuR3ywuvkc6aTUXARv/9Ix1jidIJqFB+NcBx
iuOwXTupW919fpSPz49Lz4mFWFCV0Ztb/vyX56cbrbaFENT4Mo0jWmgWtoWJ8UmRWvH680N9qG9Q
ihieY/FlARyFK+9dfSOdASFsazfcRusIQf+uNuxvWkR/GJxVtZqTxieHMtvPeOWFah/+cPiPb6cr
hOVR5lhY4NwFcPHrTwVQ7EqeMPyl9N2btDzVQdBLXX01w25vBKhfKtqR8K43SSRvdA0KToLSjF0R
Mt7R3lHWxOvOTeN1Kr98fm6/uQtvTu3dA67aPOqDkFOTtnciCu/Ss9Qzt2b/+WF+s0xyCaTOoB+X
FGqNdx9cR2NYhp2PMbU13kjV7mhA3kO2bSAWdagRk22kkxc7INwWKf3bYUR39fk5fHysOQUWaIMH
28Jn8a7UjhOlkrIbeQjcmhmtVXnoF836D790+da8/R4sR6Gs0A1D6Dxwb+81fNQsH/SeoyTyLpzk
rcrUfcHXlqGj//kP+t1jxQu0WE/5/qCCeXuohImtXttd45szCKM5lI9EsLYr0UXWrrcVVn+X3tHn
x/zdzzOXys6wTQcnwrv76NFtd0boZ75VdbchOjNGas2zsuRJH5mvnx/rd6+twI8rkeJwpA/bEtLr
Z+JKliCrKck2ORE3cN1KWlVTiUqiSoZdpbCgDsp9LMMBL1gl/nA3f/vcmq7Or7VoZLrLRvDXV7cb
Ak2vVd34jWOdeXziyT3rky1Wgs04dd8mbgvtb8j0Y0xeme6gmmt+WrX//VfoY7XqCuvH+s8eiY/Q
uxudemFZiwjgmT3CmTb168kQZ5Ohbiujuqe0u+TbNSOi/24B7iMWmLL9Xxvq39SbxrI+vX+m2Riy
SFFjLXTLtxehR+TShW3Y+KQbTD5qm1Mv1ctdGiQk3trFtrVavydIbevU+NRH9MfaKjJtSBtC85Uy
wcxCCUgx860AK6V7Em/0TVMW+ubzE/34cLKDRFlJRcJJGua7h1N3CxKebN3gw2XdxZ3pniQeAEB3
oqfWa8Mfviofl04+Jc6yjWDvTB/w3VVpB+F0CkCW7zH0fk1TNBtmiQZZ+1N5u/h+3l1/XnIOpjsS
m58h3q0peLfJY0vBcRloprSseiThhRCPor0cQ+rKOECIGTYTmvi8OBlDAU3A04d9lWdMRFKa+NKk
lR2N7qZI5VfluP1eDQTaVUWOGpUE2hXC96um5/5Y0CdXthibTUV6IHIray318SVUxR+Qte/vFTpd
wQaMW/Wjcn+/Gg9dwWwKjbNPRpCFL4OYvDEsbfJurGATYx76w5v8fvX/x/FckFCLGd/Vlz//pdyI
cpX0etXMPtHu07FMdPuqDQPnD0/g+yV5OQptHBSMHk8hNevbo2TYQPNYZ8yMEBiLQxU9z2P8VVnV
aZvrPtPh/A8HfP9ocEATB5cjKWpMNiDLCf3ys8ZqiFzbSLE6hjJ8rOpUMOavn0RjvBhZCjetX6RQ
JKP94bjGb+7fUhOTl8nxPVbHtwcmmlElynUhkNSokSu+QqI0bwNFGhaBMYgd+8oHcHvnzt8jx70p
9PjCcYtTlDmvc5kzSCFdpfei8g/fp/cvJdeDjQJrFHJB23Kcdx95DGmKGIFmIt8WpXowhtahCtBC
QmqtDp+vNsbyyPy6LHIs19Z/bICQv5o/THa/XPt00jqVkWPJGkiEYDMX4To08WRIFPghuwR/loI5
zGw82SR1ITcmSN2oNHge1pbHw10R4/X8+Tn95nFw6Wgup+NSZ/1YyX85JVpoEcciRitpHQUANEPe
XreVb8uZ4O/pMSFHfR3GWbT9/LgfPtUSDIbBBsWxWYKXTcPbx4GeDes5YGsUWul3shIRbnkyp4Pu
oZTBh5vMp0MBTRdTNY2HBPbmqs5r9fr5aTgfbwmFAioSw7Rp3n64JV2G5CfstN63ssF8tavgS9rH
F4Muuh0Rqd/SoXNue2qbcNUaXnjdJNVEg3De5MKLrjS3OaSZdE87Alj3YwMhx8Kjgb5Ww3JWW2Oz
tbS5vJJaE11UOHoOECiNg1fMg19CHfhi54xpS2LtvqpqFrvAKr1dFzGF6Zqi3tYyb9ctdmlsYOBt
2j4/L4diV9do88RUA70dCgGPOHkuNClPDFphT60yxmuVl5wkUaa4/MptIcR9PZjj9ZQBa3Px5TFr
au3zurQTiD9ZeZG3at5FXo7Vm+HfhmI0CzbhMIxnWVpb58pN6Io42NSO42CkdynBpPauksqc//Ay
flwj+DDif3Ul0DvHe598MNcJFpKs6f2BJLZXN6uDOwHHdZ/P+j2T7/EP9fCHYk3S4KefZ3k8ic7H
fZY3EfrM7LD0K82ecFxD5gUJeG6nIt1l5B6h6nMgqnb0mP2pxzZIZwfniD38PQS+jeqctpwAIwMw
xmDP925xZE6oV3Gnl76aTOfKCUJmsqTsXn7+tP/mpeNBpzrlp9JR/bAGa1MNhbxjZB4W5q0dWnc8
s8+lrL52LQlwCKrYQrb7GhlCOGkvnx9cfFxpublLw96ARoOP512xlcdz4SKV6/1KhsF9Z1RQ05Ad
bnB1BS9xL5wYmwg0AZFp47UzBMNDRtj2LbxMeQxl6Xzvk54XjyTTI6AKDPZahhlw3dRljN9tWb1T
pHvX+uQJ6AEIxJTkP6Tbrb6rSKBBo9rFu89/08fV02KhEpa+MCR15j9vF7HMniavGQZWjyYs1rJq
4ktUUASiI6A4jojfD24P2lcJmYk/vCoUPstW4u3nhO8oVmw8o/wfipS3R4+MQAHppu0SREkRb4nr
TFfGIskSpYtTuqqc6ksZ404EiDfKQ1PFcALxWpICCnL1dXRjhkcFqI5hjOND0drj5RzY/5e6M0uO
G8m69FZ6A0iDwzH5a8xkkCHOg15gJEVhnicHdtTr6I31BymzUlRlpToffrNqs3qosiwmIgI+3nvO
dwIqZmlvH8l8nZ58F/mLVQ1fs16LU4JI7Qj4IDv546IyqMnPA2IQ+bR8+xyAtBFP5ZWunedCCHjn
Gdm/VmkfK79sNtGY388qf5FFEbLOdOWZbFvrsUGC/nkqFSLCsswuCy31WRY0HlZQq77qMrThnNDU
DZT16jTaVuvTzu/Jo68gXuDVyRpMDIl1V5oED2wGQ25nzhcHXOLVMwIWsU8Ct1hn5J6tJMTBgSzg
qX2K8nK8p06ltqkNbggKMRq0qk7Ia1Ul9ZRtJU1+iDxvSmRyWftJGxP/O8CwcgzQ1KJZbYf5xUh7
44V7hbhrRwkTDFkaqD2VckoRLRrvpBPVs85UspnrEVx20mc7qCDzmdkZMe5Vf7oGK1+uhwr6t9Fa
Hn2BJBGbyELqHaEfpJMvBxMfh+/AQ6+KDs5vWxf1qYHP0u3SukAQNyX60qmMkihNM6x3SRVlaB4M
kOt7NL78Fu7Y3uXYJKHDhGb1jCUQAVydE4AtpKFOAoXnZQujAwFKXHz2ZR0dCcbudhkNa3hALqKU
IYDv6XpErzUEaSW4MIv8mbObY62oFGOX8pzkkM2Rty38sN8icq7PiTNPoOnW6RczHPqrafJdNCkq
X81ijMiG1Mk5ul1wpUk80jNBUu6biVy3Zs5QQ2S8jSpxGQGh6VdGmUabblAuGWwtfXJc+c47WV4w
80KyBlBeccMPyRqkrLfHfuvbazjz9b6DfiPPlnheamYAmdk4hZ1yV5FZmKyw8NcHU2m1TdLIWEOD
ifepi26FHMV4b+PdOGEpic+jJPQPWdPON6ZhRc06HhSWx3DMpvPZm8Jrz+WQNjuVukAiid8hiW9F
koqL2qmKfVc15gNhWAiZXLL/cCcGu7YxRb4144KArCaFGVe46iFN1ICgyfc+gxKpDzO25HptzzCx
dTrlj3FfYMaH8n+J81ivLctAQmvmyjofcczB9/C2YvL7zaxdg0km4hucfRWiGk89TAO+4CZw9E1j
cJ4iUcGvL5spC3blkK2rAWxpJTtx6oqwRk5h2ZcBChtdt7h+UuGdyrKBohcianfBnu+XsAyEjVUJ
DMaWjnHeTWN9ctykuWWaPPdeIzeuX2UblJPDvmss70x1ZHmC1jQOM7AwFIaGdxen6BV1GKgnTQ7x
jY6s+a3KeJlDOAK0Y9G8ge/fXvZm1YECTP3TRKr2JXia4bLpZ+/VYhd4g0bFqwvy5Kli395/e6dj
m7rbTLf2KYh1yb21m5ZcBhXpg9chqWhz8rk3Uzx0lzhR6c7F0hZ3go7IDeng3WHhqhFKbNZHvwrh
VKf5VkFmvupzS9+UWsbHQCflbqCRsbM8uDGG5RvbbMSGrU1s8jW3//M0T15GV6uenOwEo4nRyUPm
Otdu3rIZVY3aWrGbXMVcya+KMMUsQ23VHIgQMOZPXTnLy7FbMu4LSNThKkkdoORkb0Hgcnp56cYO
wY9uNt4XSM3ccp5vicIQJy9h/PKIhjox2cNukkJkb5oGMOi3XbADdxadD/0QcAGLrXLcBuy1z/C0
xalo/erZ6pvk2MrI/TJqrDFdPZZHiZoJ6e9IvHeRg7qPm5Sg05Ef4qk0bT6j0ENxcsr+0HTBcF5n
CLoiP/w0KB8BTuXU5zbl01OcZv61kQBULKa+vul9f/48N2386E72RGBxdFuMpfHuzp7N2oOFgZqh
OMnJzNdZMmDTmeb+ivyTSJwZoeiny6qA4tBXeHzQ1yeV96lKEoRC81D4NxSPqvMZSN3OnXz+mL6k
dz94A/gSbaoRAziJtvqwhHRfA0nSimRwReooWZIOV2JRiA1V6URvAIsZq7GeXICnLtnfUapRlte0
szUS1WE+q2YExdjbi+sqdTFA+TU2tCZp7jMNYTRqGvdTCenjPRGGfswigm6RcAzjbhA6eJSGTWp4
ZJQR3vGhfEroBnhrdzDcchuRFbFrVZMuIbSdOnae+YVUXkS+Q7frUlxdcqjx0qNYu8RPnzwqs8j2
ceAlEDqBuKC5j2H4hmr4TKRs+pKaeXxXVjrc5YV0EOnr0ep2uMxacAqNMT+Dzid/3E47NP386/OD
EyJnDszsDLtLdk0/uPw6F4suHT8JoALVj/eultNVZQxUgUJQC1DLShhxSSXPRYRVISwXra1LDyqt
9hDKRpRNvv0yKqs7EYCCqDRAyr7TwohOQWnLd9OMXytv8MhjdZovRoVIdNWjN7nXI2sK3ehJX1WC
KGB0cb5HmrNFt7REU19VSXqGtNyi0NpBdDAhJ7UVYbFsqdlzP5sKTyM56B3uRxYzHOxleGumAwJ+
0a6lhs2u2vCIAeEatXuB06BWF4Zmsg6hKc+osqJDdRFjlXsBGuRCVhipDUcXN5OZWXtTjN0mouP6
mfC2PH7w2vl5iu3I3LFJg73plzB4ZQ+8IFSEBwpo6nzShEZyDj/kusFz7XLH2zezc5VBcQtWntNx
YYsAk7XsepIlGKoeW7tX0DfhNyF0bhyDqFp9OwUpaIP7Iaqcs3IgXnel47w+CB2f+3zGS44r7RUL
KaG9nfeQE/JxDJpMHV3pgpFLhutRhPGOrTs56m4+mn0OQ9mt/TtyqNdObuKQ7DlSG9kgdqQRHCAZ
5CygYIe51rZ4HbzHAmrYGHFn6g0Pz8xkfQ0YUwfHARxZmTlxLpW3zY3e3VUR/jQ/KIBblOOTm/Sk
1rSajzxWPNBJ8faUTfqa1xFKe8JQdqnvhada1ZyufXWWOoPe+rnVfups3z3rlyJZU0f60XXz+LzN
QlagJpgeTBOYRAn0sivzcjtmMSLU0SxBpsADC3XprT18gPj8ALb2CYjeduQmCMe20tPGDpM7JnO2
TsP5lJI5tVZmlW7bSV517mgy84V97QdCUzvV8CH0FPe7Lo6KT+lYTVfWXLVIdpsqOk2CFdShQXpN
Wna5n11hntDIfmJvg3HDL8MJduK8kTccR0dXtTDLXQBoLHTXju7pHWe5c5G0cX0zylCRDpy/BQPw
gyyjYEesk+tf6OUfAKVMwjXqaqi5ZSi2kWHb+Nhbf9tqUkK4A/Urb6j1eTTiXrDCsL/n33McmF3n
AFS6pUshupcwf5m8GKRGl46bklF73qcTJzIZRPvazmzOyUFyYfWOy4pV8Q7DoCYAIT9ppxAnnBNY
TDhjGDCUDkEb6F20yFPhn9j8+fgmXdAGsIKmE3SSeQNlYzwzx1TeG0FZX2RFON0MkGrOCG40r8I+
qPeDZXLJKUnbdjfCHHW+oUEMZp7I+AtvxihcN/Z078IWWSWqTG7sxEXGUud2u/YGq0TRWRbOpQzJ
u19F+P+QpRmM+pmL28pTXn2kJxQDr57Qo4LHximLX0ck0+KuSHcqAtcZyjZM1yNxAZvEkPO7m7jV
uEFNCyF+DoOBc3rduVdTEEmGjt+Un1G/hbeDAWu0g3QCWzsYfbBLthyu24p77jox5/FUd8F4GkpL
72qgODjA8EQpclvm/K7PEuMik7bDdg/FkpqswJlCEEeFngisJGSKAGDYhQn88KYFR/iih/yrkdSO
vaNyJ3npJtit2PQIj/EhR6HCmapsP9qOf0HpzTgPZ5ysIi2SmzhzYcbXQj1HQGAfYZJgNnPHeF8u
e76ICo4vWcyPOjcTC2/nlcTwWJwEbXbBM6Otwk+mW3Qcsef40JZWQeXaqbY6M2qwVmpdDI6Co0FK
GYUnH6DQwlin9zV187TNpxrmvDJ84PygNrZjLL3DQEz31p2y6o0E+npjhoT0BL7h7RxOjWgZuglm
RA2i4crJw3bPHaG6+CYe6uxGbNM5JzMBWqj5UsKr2LgN3vUg6So6gQCXKur68IM6YCUzhiDytdYJ
oe4bIqY41EkdwSMEJWamYbPLLF5OObrntZpIX9fiAW39F69IwodhlPHr0JFvNfdh/ob7ATmLmWL4
sLviZsz68Lx1yuhiMgbWdhuhd1SBJnHsEfEyaWviVtlY9vFSEkBgLB+pdam8DNmF3zWY7hx8F+te
kTvW4Ku+GHxrP0rOdF0H7LmuSKosLCJ2Tar1e+2o4FzMMtvDO602ogiQlfsVk7Whw2aFxXjsWaxW
umq4vxituqQhMVvraG7QxVBkPjgdEVAkHsVkAhbl4g1N67C7w9kPM80ldY0Mnxw8I5Em+4aSyKUy
qUg3JLMId+z2s2w43oay51cESHI26h6IiJxcwCNyeLStdDyDjwpqIGgxG/RFQw564xdHI1fsd421
gVo4O3Z0bpjk2a50xIExyHzaVbi389XgN5zuCslFILkLxzg4w4YbbgpKElQgptuwjV0MYiFBUz78
naVm3p8FUgy7Ajf0OodOsEtNliSVlTn8IHPG8caRek9lgPQrzu5baLQpLiuf/CQc2D17VNIK76JJ
u1OvuS6y7ZAMIIc3kLjWmhP0s7JafZoyl2IUAsWr0MZnQmWEWAYXj+4QBBfKQ2Dndi0hb8FixzHK
s3lu2LJtgxyO5KxFaV+IPFuP9nKJG0tr0yWzS7Sei+/XHtS+6Soi6wBWjtgY7oaCP5ZRMq87Lcyz
UMQgAWjWcVdZt0M6bAhvqymDTDMzViXbKvKMXWnOO/oZQM5pzQC1jKt9jX3kglRzGPo25tzAD5IN
AMy7CQ/NxvTSdGsSw34pZOqsnbi6kEUab1NSs1b4EKatP4FSJ6b2skg6bNBhdhOkPk6IOFcMsY7z
rt6DTbrnJbx0YfLAD/UwOelhtBucae5x7HM8bezI9nZoQojGmHzaAIWgVBxR5knh9vSg9Pi2oa9k
lrTnwuIQNM/Qjlgpx1VtOwa8eplNVz4w0WsbAEO1qgZoV7aT1qs6TKwTxqnhPVaus7j8H2d6siUc
hHZcg7ol7IcQ3O1EpBQZdUG/B6JlvzGf1CpZlv2JwXJ0HYnttqJYRJaBtS/IiUKnCKorc2t8hIN8
HIS882cLqX+eVycHEeMKVdtjnFuEf6gpRd8m5iM8gGxb8TYPcWnB4lSgTV1FBGEVEYCSiZD7fCzV
Z6ud7zNot9uMWzu7aEKhZSK7IDKIcFfxvaWNHvFpNKy9rPvSB+CBGsGQs7lcU960rhxrwMcPQfcy
8mz/Wvq9f4rxBm1E1ScHtID5KTTEGRwi/7RU+aNVMfYYav0sfgimqWT7Tp1TF3XWZYYb82TWDfrQ
OtyZo3zyQwGXCYzHNoBHeelqTEmFHN2DCwDpyRNaH0TfrjF28i/naICasdOvajSqmzLRdElcri7B
LOZzavr0S1xJtczRXrVz+7o9IOLOT0adBJcEQKlXr2yEhZC0VOaKH4BqWoaAolmHNVF56zYCcXzf
UeRxKeNgEHxzZo8NKhNuFS4XZHka8GHhegnDTWX20YtHTeRYMyeuPd7BMRyxlhWwJfyNP3vtu3In
fNRdlNCGmbruUCRT+MnzqvEEgcP8AjXPuK0amX4Nqny60DCsn9tcktvSmTjEPZOKllcjUJhGR+wB
pPUIHFprs2DitrCZGDxl6MDxq32mIm6m0GqnO1HEzV6rdLhvZ7u85u1C7+/6ODoEAQefMDGTC68J
sy3ShOpYlEmQbbnvED8pJvcYeHHI/byz172jQWDJqMTsz6Mvu0KTjDM3/VlS64y6I2bGubX93QQS
Hhnk0J0APknAr1N01QdGDidkaA4N4eQjcviQ9nCdWCE9Ae5H+iYWhQ52tRIU2lPROC/hHFOoQEGq
tkOueU09R4bkaHUsL5bvZa+qYZ/CNk88DuZSdVe7pFxBAAHIneX2QzHJ8NHgaOOVk4K/UuMmpThn
bPy6LiFuabYJbLBqXXWefIhbQC2dp8Nb1vgbKnpr3KHRCokDR5PblOojBzWyaNx6r8GGIbD2z8KY
Dcz3G7zV0ZKvyjDpVfa5yyk+tLCjaEIYX2WKis6MKircQAzmube3lLUPEc2GtY6LYmP4IUVfnzlX
p90DHoIzpm7/1vQUa5psbAlrcRf4YnlTlTUVwQCmIAZq5xywaQXWwHEuGqJd94RQ4ouDAr7JhrQ7
i6hibxw22XeyRm18zrm1s2fHeZ80PEIH5MGm56AHx5eDyaiGIxy06mIRvJ5RrzfWRmg5m2YeSvgq
Q55jFy8IYePvziVR0ND8MWveUIJtb3vThfeb5sNlFbJQWKBB79K+V1uzl/C9BqeIOOXiThStnwWc
zuDpIdJ1GUzav64pa118u3BPUTHeh1EBXkSGwwbWWrcySYA7ADFw2HZHH6uce27ZfgYDzdpNfkfN
qgbZtLdKq78Vtsj3gz0NO4rVWLQX/vdeDpk62CMYeUt21XMC9f+lgPP61IiufaCuBq9vjAlC2yRW
VB7zQUNipEtwLOhynWmDMvHEieeint0K5t5Cq5nCqwkSC3THKXr4+16PtTRzPrZbFskcX8H13MXh
85OoaqQZlUamVW+FjVXZaOvF+afui5SaNEEKRSCqW4dPdU/P5Z3tiUOLlZse0kSZOS/ucpweQ9/d
ezVXfXJ278WYlOdtuWBf4iKivuaoX3zmv1AcOKzzCGekS4ObBv/HFpFNhSkYZYpatUzs+ynWah1p
CWvXhn6fkai8a5cVB+j7l0gykVqaBsckb+3LyoeyOFuIXDkcNb9QQvx738zxUJ4LrExcB8WSrfaj
CEWaRR3OXghlkpJ3i7KGftR1wAVzBX/AxvGWBisyALJfCbCWjthPrxBBD56QpQvpIvv4+FzPmRnR
HcyBGczQuSqDGnuQHpJNEHl3Ffh45Pj3E/pp8nETgmgiDuoODYNVV/vFVYa9G5Wm80LpIb2kEemf
xpiMVa8m92/Gdvycz1aJXNhcmlSNoJmghd7Q7PjaIDZeUdFeaP2QRLjPWG9BU58C0uFWohLbIhrV
Pp+RKTrIES4UgQJvxoRLwgNaQ5pLnrIvzCXXbte9oxwTnZnDPDw3wFA2TZD3eyOBK4B+ioS0OH/2
sVqEONGF+zYzd1ZMvfJoz+H0/m1S/A+YCP8Tm+6D3emvSXj/jV4nRs6/FJH/ZnVavTSvL1/K9kfY
96Ks+d3r5KjfbMtE7IueDRkuzpw/g2NwNKGft0DQkTDoODbyrD9g3/I3UIQLiBu/BrK+Zf35w2KI
Q4qlZoF9O9Lx0V3+E4uh9fMs4UOpb11lesrE2CyY8h9nZ5GotsBMTbyYIy64JobdBgB9vJ1TJ+i3
jEXgYUZgGTMlk3iO1y2rhrGObKcBNs+J7DzqpvarMwNXXltpNr4THEEeS1PaNH4BQVM4lmL8IgIf
A31bufelUySXjZvN8nt//n9geP4/mvP+C4cicsi/G4u3L2RL/i9GZBf9n/+dvefTj4Py29/+aXzF
VGr6uObEwnlfNCh/GF+t31DksFrbrFAS4RrSjj9GpYddlp4pl6jvllj+0R+j0uOvfE4lqL8thcrr
HyHo5c/yER95BQp5hiYfAh3hT1oLtA4N1Vr6NtZMfvmQTN0K91wM3vte1sWeFXVfd947UUF3bpzT
u++IuWsafe71nWKLi++CC7/x1c6e1NOYWN6mIK1syS2B/NY9wMcISW8oL1XGsdQAdELiekHHIIA3
MuMR5yA3EHwO7KFI8AQUTvk8oabfN6Z37kKy/b5X/aOh++nvjNcfFs7/f4cva9XfrKT7l9ePYa/L
//37gBX2byyCJpYg5FNoqheR8/fx6v9G/2OxzyCZQVnIpvev4Wr9BhEUAyLHXtOGAvrnaDVI83Kw
2+CdYtBysff/Ef3zo67QkyZaJ5dDoutZHla/b47MH3SVLX2eXGXeqgpUeevQu76kyluffvgtrr4f
XH60QX+cEsgmke7zAwiki2wJaO0/LtRd5U0BuIaVLyq6QrSZVnqYLWo+9Hb//kkfv87vT0K3jmCY
3wjL4Mcn+XFU59qRKxBGAanVNt1/Thibv3/IX3ydRfmnBL4B0njVTzM8dHyaYNQ9nNirD6Eqw0/t
RHXS5wCTrH7xKJ/d8oejIN8IrS8oFIRw7La+97MOOgCM04dOupUB/lAAEF0dkL6Xx+mWG7NfbQIn
gWkezthTaSjJ/qjshWdZx7McyLYmdmA9kypmQdIK23rlhx29Ijk24PhUSvf+drH1wq2ZZD6skxIR
5mnBfNAdkhaIP1OGb7UIVIiSvadyZZRe+aicYMKsQt+dPko98g+tsHa/xkhjwK6YUT7sJNSZr2y6
hgf+I7ST6ymvebCIDfGFWhmMOZxMRJJiyQPqBABG+RS+Eaise0s248lMC/e+7wj03kpzTgHLiRwo
Y9N03hu55F62HqwlPkKnKlNQirzpWbfm8BS19NPXLK40UJts4PrnF4Um+saTOU4epx6BqZjte5GO
eYDRUU+vlD/1I3kC+dc8i53LukwBzRlwjm609udkl4ZWOPDFydCm8Ro7Tz6gKQoERWm8tovnLrDz
9D6gC4xjwQ6IsEMQFXLEUOR5P/nUNBBLC3T6TygT+k8zGp9hXfhp9RlBdXEDXD0DBtmNyUVuCJ/u
je3NhIO2qntqmJGvRRvHr8waUlipN8LmmUsX73aJ3G1lSnC6nmjnbA00r3w0jZB0SyBMtEV9OQEE
tRBGPKPoFA4XN9DQRIpI/zmUhTxZslWkGISwSylqUB+16iF91JY/YalO9acZDT7ByeBFbou+AT5V
pNRExKANY4WqoX6NleoeNeSlhzo14NpC0orfHJm2t63vWtnOmrrxsklHPUHgd3FjpHOoL3ylXVJv
WXgIEq20+W6OY/I2ABNOcNtir18h7A2vrdCqe/pHBWkZjeMP6T4oYKvVxPAAgmPTvFjyrmhwxqS8
rBdvTrkZc6eAswMmbp3NjQw2QHTprtNlJOvOn+d8vtbzGF4hDhk+p6MXvbJZh96NTzz5E3BSOFn4
5lGTUP7yozU6+LEj0NMcl2Q8q5y3Q53S4hq6JmhWOsHt3NatDLj9e/0TdOASPrg3yre07OCoUEzK
5hWMdiIAaEVhQjETIz0ZszlQee9cMEyZnvObQvrRRZASw0Qis2NzTfdh7ZLWlk6fB5o+SwKVYPJr
tBAZK3XGLMt4IuiqoKm+iIib6WKNTriW9sZIUGjbl/dcDOf7lBVfkbriRl96lOOK1k3kPeeydq+t
RgpSpDMPoDgfhmZi0ajm2uwDxzpOgQOkqyOsoKKciSxuZVbooDfVLIELKzt3njlNx28kkOVXEzXb
cjOVFeMGZYLBkSShNL8idhLeP4kCqLK5MQ6QeMYSFSfz700zgG5kYj2VKuBtpV0/nlqhp3dopIyk
vg4IKw2iAvC0SgN/my76jI1fIRxZpSWd+E0daBu9GjK0JjB8wJi9hFPIgtPkZ8oNipc4n4CP0qoK
GFHh1BDIXLZhuZaBxModYbPLV3RQGuDvGcClEtU+X9MmnoO/y++lkfB/EIBL82VNo5sbhiQxzIKh
opUGkkUQXlvjjwsMOP6ZimiI4+O+5tyXkfltl+MNlagy3Q2pOa/9yiV/uMmsBZQT1t6OcK4xWIU+
JecdiWlOtS4mP/X3Q+sk9G8SC3CyGw8LLFWMz6JYcEp4cPhM3KxG1HAVAKVdkEGfdAJh2AfLLAnE
iyvT39gZlqOV6TT5eZdlJpf5UjTAReIIwCctFcIUJOuzFwQ4oeqzqfcbuR2EB3K0HVEdrcRUO1fN
sEgvKc/GbzajFeKC1SvEzxGNfsB/vRzWuBMpDES9ip6pw8fTuS6c8D0Wk2NvQycZrrBdJcC8kwWh
BvRe3/aunZV8Bbumo5pgLD6khSJTDXcfXmBgoR3hZGJokQ4ENJMiCoD5hroVi29rdOKgCmxgSMCL
uN5UXmMTP1hQ/Gw9mOFRbJjvPe15ezUJm1CBwXMP0p8id8X5JzdX9oy2zSD1B4ND4UN6EG50gdaG
Lo7EQD31TnZnphT1jdppPgsf//vKNtqwRXPfhZd4udpTJ81K7pUIy2ELC6GGQkWKX7zJkbzcG15l
vo5lrG9sMTb5mt2dKPGy7eKrvAjicm1PVvNWpaN4JPhkAog4GqS5BENNC6VOhiZd965XvyLUgcXV
+zS5eisoX4sxG6/LBokcVFpxxbbgnVoEmwTKw962sFW8jfz7J+qj0WCtR7frm0MK+ebTNLrLOA8b
Npk6cWgjj6Tk3AVo+G7gZ+pp12BV/ZKS3+CuRZW5YuM11sy267F+rWxRNeRRcwNfhwBqQsJuTHaf
xiKWYN2JqDlDi2G81vwa3Vq5ooTFKL354KEZjFd5SFumUK3zSdNCQCgG3faA+oIZOUSqvg0H9MNx
XbceyLBhvKxslzQ7A9iUs5WAQM/Ye2F5Yosq1maczI+MTfFSqprozpl0VyJl+int9rRPGU5mkWfE
QFdJRxI2zYENwQqsAHEztITmKFt/8uzOzi/Kifoacd8T5dEKtc4z8i6mqTeX2fVE1eJrZMrq1LNR
MI6YfeFaDWH82eqW+ZHYsl/kHWGDLAdw6CN1k/izCwCNhX1wjINdhVDhZE5sptHI0aZCj8R0ZaqB
3WH0lXsfjq3dLTDN3l5lNPY8kMW6r3be1Fs5EYwT32vkNEnM6wzCllbnUK7gwscI1loun0urq2NX
3g7drCKBwNccrovMKdNrgfBlOLYCtZ08q0PiZCyvpiNuWi3vTrJGtRzkQlierPD160DxOzNmQywt
CMEuPWdLUusQ0e0fcWekx2KgcXbWRKxbDBzyzrbdGA9XCam95b73W2kc9aRI5dSjR4CpT72UNofn
NXdVzLlzUYNIFHdp1V11Y15E6KH85lAVlk63OnfbdjU5pHOumt7mzdv0SjAJYUDdTFzjzxOjrhGD
RymdcTsF4P1JJsw4NhLDurZaqwsRBpPatmr1Qv3tiLkkAbGe2LvAovgXTWXCkKTFkkAgCGEonCIP
9OVmIpoj2fVauNkpr11CbBOMyAgZyMbcpIb0ok1CeNSXxrIDTpBRp/2V3UkAqZGdcxG3vOUz91Po
c8tWgxutkbkP57Yu2y/9PBDn4rgl7sGUJma+Fg25a6uwbejoNsocQCa2Lnha3bEGm+Vkno1ZZsAX
HD2UCkbkVPX1rHXbXnaDpBmv2kCqXUrT9pANeeRHyDChFdKjcW0crhgZX71REA9jzU1qb4OMLjZR
OcTEyk8xzoRdrwwL9C/OICZG5LIDzTG+V6kSbeDn74GFwzEMYsGSYw32IXDDLqg2bajgdXsyRLdW
cqZwATRy/F8FAZcQ9mWTJs9rW3lSAxqmjj6shzBV9mVNN5zPFeDnFUGCwGsy28R8CMZSVy8xXd/6
KrXb2ruqIACzTVUhezDnOjd9/3Z7+ke1if9IpvpYl/i7CsZ/YTHNMrkn/ufC7k3ftjFm+D8zHL/9
we8VNDoKv0GNIyAKcsdiK6Xu8L0iISjrkkJCVdXD24UJlPvz7wU0XxA6QtGNSfI9RJyr9+8FNPJI
qAELk6M5PCkwPdY/Kes6H6/XC62NKzUOXProGN6oL3+8wweyjMwpUUgoKtMm4AyHrbtG8Nn0T9ru
WEqHOalSRFw1Z/wr0+xm9ybwuWcdVNKo6aoRugLdHS3kmXxDVykfDknedJy2p+4b8r8xr9NSlQ9R
GPs2JMksYX8YiUMDuO0G7jVe0yDYGWVuIFold8Fv7HXhGKVudy1xBRHpvIk70qyqrf6G+jFKQmUZ
5pVfNO2bwjOzCI1Vcm5VWszrAQgxIXFl7Np7FdZoMgOork+il0BhrESB9zURu5EuqKvsEpcr1880
XiQso90BdC36IiGKlssJyKnYSW+MEHsRH4FcyJ1pDcI9M0UyZwRFtBM/VWao+pvouQmn/lf1iA/V
iO/vxoEOCAqEF40T9+O7qVEnWfxmXGWMMkxAUI1Ng65prtQxp+Me/6LS8pPxcXmes7heybhZ/kM1
9ePzgFq2DLnO5tZrJDNN+4EDwSaBKzi+Er1icbGgTRYd4fdN2dusWnE3VGP7NOHUBqkXt9xWfphI
f1HLWipIf7bm+EQ0MKj9LFAu/ov7M5uE681MbDe2lRVrmqs2toEUqi9p2BGXIscZl9DITcDPVOtu
rLrQJTF9Xvirj/FTlxeKHGY+JgqefLAQTNifWoQu5NjZQAnFZhB0mbspYyoCn1LkTwoZSjeaJHIZ
9A0BnpjpkTBnFOuCEBChaZ2uwOJb8wst8lY9MORJ9t4TfRXV6Jj9vpq/iE4G3g1b3hjdjsE8BW+I
ylo44CaFCqf4XkNmhf1rTOPHqt3yXRZn67KsmDibsV1+fMsm0LYpRogZreLYLz9TofDyLY6+LPnF
eFoKjT++PB/xIq1cEHOeZ9net+H2Q7XTKWTA6CC3mP1Kdy5ZGGLyTkmZY2Uoch1P69HJs/4XX+/n
BY2nMmUkXQEBxZiizsevR9WnrgpMlrjjEDOvorSadtItg02TqObw98Pz374hnTeslkwX0jJMNAAf
nxVKU3FUy/poFbiZRmApUys4ECQ3+OdT3XG156attfrFrKC6/fGHBSmKsQDWk4AXK5yfHouZxpek
BlEbscMZUQos2SuSympCK1TQPoipaXdd7lbsWf/a1f5iMv7bL8tjXaT/YBORDlAA/fht0VSPU2nZ
C/DWnElEFw5ecOw6Vb+KRWm//f3Tlin1YfRQUnaEjQCcx7Lf/fQlcWRZAx0WbEQzhspD01SkBKHg
2hscua5amAjb3JXzIlvXvxhCtLb+7eEOvy59BDCiCljcTw8PgrTGoigZP/+Xs/PsjdtY2/AvIsA6
JL9u1UpykWzZkr8Qlmyxd3JYfv17UTlAtNx9l1ACJOcgQDw7hTNPuQtQdWq5ayKtOruvq2yMfyPs
b9buSvj87j0UTBt3dBKgCoA9Lqv4uscFIgfE13UjNGwM40oMX+0ertKnQRq1IBnBf+5L2Sui45mM
dbDgmC2M+XjX5XWPLB0bnN7lY0adW3TaEATUluEa3ReNikKP7glF3I2eDMdXI8QvoLtScbEcUJam
2jM+lDgRyr++Wo7+Q2d20gE0ODgRth9dqJufw0zVSnhVuK6i1u3nIlp3CWrdNzGwlIF0VusAXQ9d
kg+fqeBgjNM7fVkNO/Bd+ogTF8ml/jNSKGPJA1jl1MSMObLd5CEYE4NaT++PABwKOzAr0IpjPz6i
2hgmGx9gEXaGceEjgqzabaA4hyJJuuimgUoTfK4kIJ29GPLUvOLP8N1xFyh9Du4iZuToOcmCxrvV
fRMlxFhoWNbDChWKk5NnRA75KyfX7nGx6C34F80oUX0lnVHwHQQ3qnvWNin1tDe+plpfDuZrZois
q8BMp8hvoJybuQMur4pZBvaaCgUsVJD3csiAjaWK89cFk9w+6FUXD6+xsOCrr/qcDOdZsQrqLZA8
SrC6Rl8HzdbVOqX+S2RjNxt7GIPor+smSXatGFSjOry3olKHRZQVIEZDfwzyDXK2fQfvuInA15kd
NcW1HjlZ8tPEoKVbVST73TU4j9S96vwuVUGEFI08BJlUlM9ox4OHx2uNlPNbkIVD9pXYpXhNo8Jx
7/0KL0axbgsUXh6p2PvkW9SHZbIScT+on4gKQx2Ko+saN7hS1/nOaPXB4eBCJ7x2GovwaBNSauof
hqLqacLYXrwrgIDxuzSkLtYYpkSddR3YWfUd3RrN3eZNlzkK0ZHfivHZAZzZE2GyZSgIJU5uxnty
KCNrbmskqTSxh7OnJcXG7eJgHOibWIhgKphirNU6G2/geElj39dpDOcMkxJM0hK7CVvHv3Z8BfDA
1o5cM/pORzBtf4xBhlH0uqwiNTj0Rq0EHF34Mf0u1qltUYGETUbvtrE6o/ypN62pXufSl4ISluuJ
EfZST37frSiHI526oiwtBHZnCr6xlTGY0cHo4WavcbISAsVuBVDwVwe2IiciL8rRfKbLAFeFzQ2K
LT2KRt1QmwGxo8cWASkV+D761euR6uysMi/bz4WeF7iXDY42fBJpi4q7FhqTa1qsd6V91Xmq7G8H
VOSDvdPZmv8JQr8PmSwJMcL6JCPMcOptR/8AH1cOh9kfilBtPOc5qXyvfkANIA51aBrInA88xh3W
oSvgsW7wUEszxJLFrIuuvYYFI8RBxnZs+Dunz+DofoEPrFB+V1Nq6ne54/S1guiIwU2Bp4dmJk9D
B13wJzQHBwYoxQ31R2q3antjqyk2aRRlGu+T4gXNvdl3pokNumUnSw/i8XVNBgWbnsuW/AVhPuLE
WXiG4EAQwxSxd+WglOs8i+tDnWJCRl9eXRW9LRceiNPxUCxCq8bhdSD+dmYhFNh6U2vlQJnA64Ir
YIv1VW5T+IUkP9yPo2EtjHf8Fk7zQ1GbGiqKEhw4d8L/vMfeKJ6QsqGatSviHP6mEP2uD+QIo8Sr
b0Fza6s89ZyNIoz/SVT/v8HiLCd4GxpVKFTKdS5PHS2k46HbnLgCL2AStJZuxnXMVdGvhz7xblQ1
KH+qQg4HWm6uBaeksmDLp126i8oIeXuKMtqC3NdJ7Er0iugWzWBwH7TTpxDlXUip+YYSOl3kvQaD
b1xHraYfLBv3sMuhx/H2EiHb/NmWAaIFpBNA5NkoduBHhjV65WuVp4kG46XGmC1PiCsRKk7abCe8
yLMX9nie6kzt7QlFSsvenvKw2R4Lb+gLaInea8lXJoFhZlkMpYaOCO3dAH9qlPEab40N+Eh+Chr9
ADtDHR4/OnUULQ0gY0BpCC+N2a/oLVFirBJMgU/gkZDt4QVXk1tZ4hjVJ8RPee9XRmkY5cL050cc
pUtzgrFxc4GCQxPseGd1wx90HS/7K0PCf195AXTdvUNv9z7jdgyo6iNGPOqjxOUutELj6vK8j2Pb
6ZhP2Az+AgKC0LgwjodXdF+0JhCD3eBq6lVi6OW1r4Pe92B3pAvH68xYFHZ07gjqOID5ZmucYEJp
RKSpO2Js99Yn0prg8PHXQkRLWkanQ6HpNh0nzrKBcOpsVZNWld1glcquC3zKrIinJjd+roBKVwFX
315ew+l3/xuxv10VPLBoFlG0sql1zTKvAeEAaL2+v6+jyjlEVQys2KQuqxfY5xhOpsL6gie5cCWc
GRWII2kJ6gnI4cx3zndqgl/DVHaJlTR3ua53ByGwg9J7Vf+WKLT4gWhZ1cIezkSTmCzKUACKJg1Y
oJfmVCF8fxOhEUkYoruQIe0xVvf03ToCe32gJaNrqdhRr1U8f62NeTtuMQ9I83U9qDbtXLWK/Gbh
55zsM6URtLH4TSZpKHfI8a/xoZ35hSCqapET6NZFm1TJD9mWcmVBIm4+uuRvFxUJr4k0HDs9fcvv
buGoCjTA4XW5p48hKxxhU+QNHK2j34ZUm4NA2R/a+84SUPv4WmbJbR53gdKjwVtEbjYb1pRl3oM0
qvdd3KvfMB/s7tUMdva6bVuFbgb9hYVL6fhOfhsRrAb1Jx5AkI7zWoIaa4rREv7t/U7b6lXqf8mU
yN5nelP85FA/6maU3acNMAufcO7u8uc0vxHZRopefE6U5Lic5jiuvjDVpBResx9yks44wf0rDvP6
e2LqiNVmtbaDQ2Vv+ijuF/Z3RhCY5q3raJ8RbgjKXRibHG+w52cKDdNe7mXrj/vQwefHhbH7Aruk
Pwyhma7HrkEpAoTZNpFtdyViIfaxarkbO3RglrbYHbb4idYLG3JyzjlGCNRPXRZKcdiNHP+wvBA8
Dg2KbIj4YrWMnNNeqcffEhbI9oOrz0gmNY7JC8Ce7EyOR7LCMm3zehz2SVjp6z6jPzYGdXMA6a88
NUpQ34KXxRnTRilyYehzk0T0cyrNMzhyrcdDA4jOKnN0hz1VNWI8S+J7jDLRb5e1/XN5ljNNXnYa
WLhJ7OxSaKHFON9p2u19GGmdtmcF6m2bQAZWmyrfZykaCGVC3yzXvWSt02r83LsDJLY6EmALKvVb
MQ5ih9PxTzPVoVCTqK3dWEs/pXEMe1URS7fO8fdAtI08KCEoCE6qX7ybs2p4k6YlAznRBviGoV2j
B2eOvxQlUbgAfC/+Yhd2fZ9CIIe5igmhurAr8+G5WvFtdxHl5jlF1W3atXeXXtw5PdZ+1rjrclse
sGDN7qxS/o61QO6pICSQDzv3OlPCZnd5j44fON6YaeAJO6pxGE317WN9N7CVotMgehRDsGrM/iT4
TqcoilRqv05R4IH1bgr5I6Rd9HB53OPrdhp3SqjoVyFih9Ttm9Dcu3E1PUboqxrUXYsA+J6iO+I4
ea/vkwBTObfuksN/GI895sMmuaLqd7zAkOBRRPAopVueXd/Yo9N9UiK6ONUYPQdary5cr+emp09V
cNSD6X6J2VWiGEUF5APHYYG+5pfMgrO+boIWcArJOGU34ZkLj/TZESnXvuHiJ5rT8QTzxnBDjeh9
15lw1FW31PcDZUPAppNRaW/mC7YTx/fIPxvIvuFUia67Tox0PF5iKrLuC50FNbEr84NB3nf8m41E
+ug/DAW2DYAubxUS47OPA+MJwmfEiuGzgzqohwFbpTzvQZJ5vad86BH4Z17cjgCyub6Eqs8Ga7TO
H5Bh03YRiiW3tRU4t6KEAI9IiLy/fCZPl5AHcPr0iGt5COeOVmknxNhFlrrTpWtv3QChehVdtYeY
hvqHoudpVsDLXQTikcMnBZvHGo1rpQXMLHUXi0lp12zNDSorzjroyPbx+QPP07nx7uPzI6Oedo4t
AjJ+fERaTOtU6TTqzslDMNYNWrPfexNq4oG4KF162E6vUOHwdXOhEKlzIc0+Od1tAbvIUN+FttKW
X7QcjtwKoooDcLivaqME7aZ7/Wo0Msv7VoICS8KFCZ9eplQQpj438zVpxs8mjBYcIgiy1XboqdW0
51K0qRCT2pUUAtYFkOitOUbJx7d2yvS4bKBb4vk2e7ls2M261TEourHhdioBINFAsXUIbW1bGgNq
p+1QffiTpI7Bh0+BilcTCdnjrWVxW9PRemMXRuJRqgmey0Nmotrk1F8uH6JzazoFShOnYmr1zUIl
pQ77FgkLY6caBON6lrQH8iZixCQe91JxkWhQCmtzedAzX6bjQMfA9s7lq5hntiH4gQhZWoPXaUAE
UuDn0JZjfFUnpbW9PNS0Uv/mtW9fJkk/DQV0gXkv5mcmNCjkKmLQdjhUoo0SKsbnzg67W69XgvtE
T+OF8c5MjRM6yfRjemaxrMc7l4ocl4GI8fTcNzba2PRfzSD9E5d9c3V5ZlP6P58Znz+K73yTk8bw
8Uj0jro4bodxV7hh86i2WQqBO8mihZf9dBgqD1Tt6KTBsLXd2TAuBut9lfnaDmSvCe4tp8S0hgFu
/Lw8ndP7hboKiBqCJIpIvA3H03FcBZ/ByNR2aNBwJriIdiNl4D9wJAp0V3BTob4ld0Cilgq0p0dk
gupYlobgPFifuYrx6ChNkjcjKmhmpyClYLyCQBa3itSfqCOKzeV5nhuNyiQNSvh1eHrM7pOMvEHz
6QjtegNhPhtwOmrCYwo9P0lsMPuDXX9wxKm6bk7EGOTxJt/K2bXpKaWXp6DuaI+5AXI32t9Wt697
UYCpFnimXJ7f/ANgNJ51CmMTP5D2un68jyjfSPR23QbbcqkeSmLCvZLmk/Ju4oAEvDzYfDHfBiPS
hccEaYoDejyYRaqaI6OITVWrB3u9wFMkTtvyekQeea0WuVj45o5rClNlmclxL0+AMKrM+uwRdEKV
9q40m22vNdYBlYXhDg0Kz9oMbRrdMF79CRA4xsW1sB75f+UHb5dpfI0YjfODz9zJUa1jQqcuUppt
4yc9bCWkPwb6u6u4qcaFU3Oyj0AwTL4IjiN4DGAZx0vbI1IF/sEotl0thicJLD34WpRtHV2LsIi/
Xt7Hc4PhscaDRwWML3H28Rsg1gwN4j36wFl04zkxcmM5HdLGrYuPz4ty41SKsDicME9n8zK81iyF
WWxHLZhUG1xfoqfhwXdY5V2Z/frwxHio+fh4exjNmX0NcYu6ZCb59nxa6juyJOdHXCIeDXXG/HZ5
qPlLTlGF12DiD07VByptxxOL7LpFXd9utqnXNNeiFgdSC3MrhENahPYyNIgxXziPb2oT7x8hBqVw
SdxLhY3jMr9bfEePUEjJ661Wl8NXxeKY4KpdNVcj2njXXqxpN1AhvB0IONWD32ZAZVA0APay6bNv
SWbWhzJywVN/eC0wAaBwTh7M03hSfoOvl2k2vXw0vLJd1o9usi7NfNj6SEhcibQKd1VhQob44LD8
cWKqcFKv55YwZlvQwKk3QIogxi+tAawfoEKzsgz0vMNJILyi6KA1C+/zyaczjTnBDNkJMoG5MZPn
90ofxIj+mkMSvyKf7+5q4oVDXqj1Rw/zNBRCG0gZTA3UecRhRG0eWEPYbTu0UFZJmhjrSCYljGs7
XghLTQ7r0bliKHL7ycMDsyZwSceHORzHciyF6La1qZifI7sq1qrqdQufzLm1I2sjhJpSROB9x6ME
UGh0vUXA1jZKed3rcYkSKiIliKaUS9nayec5zWjqdPBpAkya8MLvS1CG1bRGWfgo45S6sUGpD0Uz
wDp3QRF6CB91Ype07ZJFz5kJToXoqdzKVUfAcTxoiA0MzmTI8bRR4G/MJk+uuX6Graan5e7DZ58m
DlcBZ5/e7jyu0YuhyVq8EbadPhh/MLLq0zWiod66L8Lme26q/d4jLX2+POq5CU4wSPBmU3ntpPOI
Y2BlVFq3DS35arS5dtuCXaG4hvr0fxkJVCQ8Y0oibyjTdxU1M80oa1sG31mo+lejQMqmdGsX2xhI
YJeHmofC3KRgO/8danaN2F6geGY2dFsH6utthHtvsZKFN1lwGgiiIkn6VZFIDytV3i0EODPwHBHO
NDbQdJCR1Oo5Nscnpoqc0C4g9GybxoUMQ0h8cGHzfU3svgdUnMYQbLKwtu5zIVwom87gflWl139R
IW3c8FBEh8GFEREjyUgnuKADTiqLBtXlJTpzP9Bq553jAccRbb7vHsmji6Vmt9Wa5lXLkuG7RLZi
4Xo4iS5ZC55ToBsANice+/FajCKJKduw5bW04+uC23fnVJ5x68jA2MLA1BZKDSfR5TQe/klUGkgO
DHua9LsjBqSq4FKVjFea+g4mHF3m1kTDmcd+46Cbv+P+8Nd1B+A/Kfpsf3lNz9xQDE/2SiRGyUGf
DY/+bNwirt9tofkkn7RSk+q+Fg5K06jXOisnT9ovjdVY5qfL455dZhJLoBNTu2yO2MBwteulypFL
wGdsyGidm7qx9Y1Ik2ojY2epGXDmjGMjjOrX9EwjHaXOvi9Zg2hEsxnbGoj23qTRGv2l0ml9hw0B
AV4mlbkbwOD+kVEnN1jAoL+pqGb5Nx+0GL5UUDRQK7yk2UoVz0dES0SONGvv/L68MKeXG4eBJJHS
E/sBbGZ2HnKZCsuUcqtLktICbr+2tSot19Ya5RVvIQY/3YYpjqB3SCFoks2Yfs2708fHZogCeNvW
iFW5ArYyPsHP4JbxcJ6RnqItXKjnxjPpUU52bQTkcyEzCJRQ6EZHbqFCyQ5gFHYsD3mCKcaqblF9
XjnsU74w6JklRVWDJJ8CtAHgYfYKNyYt9VaNsJstwniPK4HxU/UBW3u6H0Xry9t3ekehA0VVgWyR
aXLWjhcUBN2AqGoybAPInH91aRrghe3u5+VRJmmpWah0PMzslqrNrupEiOqyBAy1qe0meNQqNULb
gAj5tTRqW0H0NdfANCuy/Qk8FMVdALjbPK6N/SSvbS9cJCeLTKRjkPCwzJTDKYkeTzwhv0Mv2DJ2
GsYOmxTU01WO6QtMY2PpWz45RJT1sXojUaUsjTTL7M7yIVF6cVxZuzzEjwZMGWTqFDtndcBSZzXE
7ZIR55kBNRWFL1I5F5eiebMk6OK2CWxN3zm1ld2q7PsPhDzdG8cNrE9Biz/Vwkt38iiQgNNR4x9U
4TRW9ngxydySBkkjfdd7av5FD31xrxqx8eqbsFBWKbhQinIq7ZNrv3XV9KoOUfG6fMRO4pFpdAdu
Bo2oqYE7O2EEe1hFxFLf+VlQPmU0MT+rFAce1brJh3XcR/6mblUBSUMvF0736VFiLZHBeWPa8Q3N
InQ76FoT4xrENNtJiJQjDivXsNqDnw6mu708z5MHkHmitOCqQINwM5tzXgrDTixE2PUduh0ZBjK1
cs+KviKOEG7Q8MMNqdPazeUxz02QngGfJggvA7Dm8fZaCJd3PEU6/t+DcoOfJKLumK3YFnbGnuos
PLVnDhMwUF0Hm0Z2dVJ4R4tZQau8MXZkr+HG1If+ZiyRxoF6XHwziq7aqX6cfJIT2S9R9fzv5cme
3IgcFLCoULDoaRC1TYvx7onxo9Eb2yLRdqOI02uvtb3D6EbNwjbO4F0sIzEEh5VtpE8EoG12Kahg
NdMqk+ZO6VXvZ9ln3aFGbuaxThNfbBrUcVHGCOok2CbIqhbrfNDlL6rOmNB+eL4WPNCJg6JNha3Z
D7HAJNQFvbFdH/vWjxK02UEmdbmQK59eSRPQiNsB6grBwvzhFlXvNBmZ2S6pwldTh1wEhZ6dBTGe
3noOyPgPz4rnU9Dkxx6F0HN2vRvouuBV0Zk7ooWXwDH0DcLdS32b6SgcFQAmz0jqulTPeITp3x4f
lRr3HG9sahNtN8tf55OGMClYfYXJTLzwXJ2sHxUGGLnMBYgjAeF0Lbw7lU1WkdrBU9yFHVjtle8D
DRIZ6qBand95EQrsl9fvZGqMx6F0QYPzjNAkmo2H4ENjj43G8Qy8BxVcHGo8iPdszAohnoXNOrnT
GMxGEct+K6ueeB4rdmrmNQZ0u0HPhm+j29QPaTICSzbG4JrsjEY8RlMLkc+ZQafasYlSLZhcCLDH
M0xbpYLJwAwBdxa3hXTVG4TCrT3Xq0Btsh42jQUl9vKyzgal8AbNkyNJaYpNpOhxPGhdKKoy9qp4
KsLwNepAZKgm4Lt1ChlvY/ey+ZFQ8v5Y0PzPoA4oHxi3CEPNi65SGxLUU1rxJPtOvTLVYBJ/GMf+
nqq6uXKs2P9gPPDPiJOYKKUWClfzyhg+8H4iiwxDRtzrEC0cqvGGQpmNjreteZ9BvgDuw9CUkLpA
nHatwnpZEKmbxQNvP4GpgtuloUolffYoU8dq1ASRgyc1a5J9k8j6mpg7X/d2CTQmjjV8BJBjGXCP
WShPvJ2cd9fC29DkChR7OF2AG6dv+d232hqDdGK8VJ/CHtmjT1HGibgPEhPjLCe29HbbZxjjoI/k
GetBtNg7yWIIOjS3teBzbvV6cIDtpFxJ4bXjKxafegucuhGYbdY1evcvACiaNlplTaDdj23nYi3S
qfZtl0YAOy4f2Nm9w1yIjk0kOKFk8lSp0zK/m0tZ5dgq5QnLWOjtChfXBv/C3kRIp3Xj+LPWYj1x
ecTZ8//PiHyTxK0T82Xe7IcLDp9Jsawn2SntejSV5rFXmmHXBGl6DRtWu6oNddjTRuNbbargY6iG
t+Hh+JB2kV/yvcxiHTVXGrNLPPHkyqDd607ebPwA2x8/6Mfd5ZnOqC+oGlL0nG4eoVKpngKr48UN
ChMqdl+IJ9GhNrRqkeSjm6TB9s3p/jQb6bTJulFb7RNC7pl71fC5bfXOQPgLD4vc31/+PaeX07TZ
JAy0EAl/5ucW8gfykYMmnkpijTt45CWtriHZ2UGBsZYdqns7gXF5edDZQ/PPGrDgMKwmcsS8ftA7
CuIIRSOePIrce5Gr3XNk4wq4rrFl+1hv4H9joZRB6Ayneu4FP3jCqKsoFk9arkc/uoGsJEM26FDn
ebawt6fXz7S3U0YC9JWu9uyiL10Lf0h2/ikRsgGSb9rYS+oVRqT5IbR8rCPHNt3plh8unN/zA5tU
xthKmhKzDzYwKqmb0hJPSkfhtw9ldmVjsb2CZoLrV5tvZVf99iwtXbhvZ5Du6TATsDMo3Az69/Ta
jg+zJdsQG50y+WX2ll18R9nG1ZC+87UHQ21VzK8sPAZ3Q4qG0g6TrBLvT5pBGkzRoktvTBD/HPiu
QLC/RiYHy5pGGgtXy5kPjnoxqqVA++j9k/ce/8Ywb3Jqvr3xi+rYL89L4p0lo2BCNWCZ4dMO62LF
XJv1WODk0oO47X13HxVIP3z00FNEhU1B3EGrXszr9E2o1m0QSOeJWnVwrTWy/1qXUvmNi4fyP0Xf
/5dgd/pVA+qdAK+c+AkYMLtkSM0LAD8hDvMZvnSeZlQHL7AQKRtU5ceoAf2u+2rpqz59NgiqqK2Q
dtMdIwg4Xuho9O1kFDL8hRqZcl9HsfvUejZ1SS8wW6qVbf/n8oqeG5Ca4NRiQVPyBGSBhicEJFON
fqG3N/zUPb3eunDb9gqSEI9toz5fHk47vbaAzlPSN4Gl6TZVluMJFklEB8K2/V8lcmDiW47hZ7HW
gAKoN0mgIjiKM9pWSfQ/NfHzTWWkQbMa7EbbF4HjbaWosY1wuhBjZqvDrfaxyOpxYUnObDzZHGkd
So7UaOcR0OD2gxF6tfPkVSbZs0XgFfUNLHn06l7MtMVFK8AZeuEbO7MwE2yOJI8WlGO9qby/CxgU
4HGjMQhGNcbwkOaxfju6vfWo4hSwJKd7etdxtojtgESRqdCFPd4EJaGVHxhj9Eu1w2hd1rnc42aY
4OZg+zcCrcH7QWthDsR1v3C9n85y6vk69O6BA9AFmW9/E3h11wbJr3HMIXBju4wdUp0FaKKmZrBw
W5w5bIxGaR24EhUDegKzeWaR3SKBE//KJ47FOmtKCgKFmaXlV9hCWbOlaWoNGz/xUOdKIBLYmPKh
+FqYFe7alu6pr2pbOfbNUEiE9bA5cqLvcVNzTi9/FifLQmuGgq3tUFoFqzlPb3CpERBMm+AZhJib
rvMWIQWi5MHbOuA9vl8e7GT3p0iFvsOEZ6b/Nedkj3FaWR1qyc+p7sW3UsTJ3klTa6+wPCuZK8ZD
JcJbo5ZLwNeTuwYEIGhNi/iUZioth+PtCLI+SVOkRX5HvA+/Mz0Zb6Qs+rsiKfvfkYiXiLvnxwPd
SBxOZWpOS2sym0p1H+u/UXnMrvTEVX7KPku2WdtiOeZrarJAzzo3IILkIAFAy/BUziZoIwEchuix
/h7Uwvk9yl58zbCv26h1mG0MaS4hAObtAbguAp0baI7IsHDE7VnQMmp0yFtLV17w3UOOEYxTQ8aj
B+Gh8twwuzFQLJTPCeo+loIiRdHk9/j+NM23zBhwCYO3l3O1ZjFAn4XcmXic3TzK5iaG2hvJ1QC/
dxLXILQYVU2fyhekhAKsQHW3Doik6qQO7TWa2Y6FwH9DwcdXnGT8YlZUp5GgReRvrURW4H4ufD2l
bAKhc9NrVtp9booWKYPMNtX6qsrsLsNUyEdUN8n6TMXDCXA5tlmhGV5Vg6bKHQj6VHlsPAya1mFb
GMnWob7/ggM6ykfEzkTnndTC7D5GgxnxQkz+KMZvRWFUJYKGQBofHFQshkc3aOwnQB4qnVMzNJ/I
TyJktkzpt9sIM6dgXadD8hw0jR2uisx2fiqYl9eTzBnW0x3SHcHXUq8oVTSFwX+6tlSSEW/j1Iis
HHJfWOE9UortvYeicn+FmXD6DbRRMKyUUZjhZohs6kiYHBQ3g97o3xH4arRfQzq61SqPMS7/ImXU
3wjbR3JxpEKabAWgk/ShNntVPSANgTHoaqRZ1G2o2kS3btF7zrXpOwYWs75SgStLKkSV9bBwoa9b
Q1D+rVNPJZsotarfCIxy7qO4Q3qs07AFv3Wmdg/b53oPlt3W2a7WcrwjLRGbPwcHaZdNmBdxjTeb
r9x6aYqRUYhuZvVdoEqpdltgegU4QOEBpwmuMEwPnF0PRfZxVCLVfIkDurOgutGaw8tLMV7N0BuR
/RS547b5RnRDaC1hW0+uRbrjAAGmYA+KNNfU8e2kub4apoU6vHBFNPsg6dpdiNvgbsqqUXkx7A3s
bKxNwy5eSAFORkZlEFwALHtg5UjKzR5FZMzbClVK84/ocBfe6W2t+Bs0ALS7BrXUB/SHE0ynbIDM
7r4JEBZZQtqelA4IPCioA/6iG4W6wuwaGZD8stI0818bzB79O8NpnEel00YCsbT60gVZFNFKwKUg
Clr8slATX3ipT0Iu5DOoHbyhtEnB5mufjKWWkbjEz4T3GrTW1MQFMBtQOJeK/VnJxsJZW7VbuAtB
1/zCnigEU5yHjQR/mfMKX+KUDQ6rqngeFEXsynEoD4XuFHs0Hvp71yrRO7j89pqzS5F+gU5lD8oX
BS7NmZPT2wS9G8/u3We/CO3xxh7Q+sGCGV/gy+PMAwqKQHS5aGPa1pRZzrt6qqIUI6+s+0ylKFyZ
fS2/W7mf/tWL1tI+vIgQv6d4kugFdORk7PG+1KUPpjeEeuc9q3k+XkX12Fxjfq2uCZ+GdSmrfGG8
eQsIfWUGnFjf0GfAlczRaIkTJkno5u4z3i/BnS1d+cVzimEj1a45DGpo+2CTqBmkwEAP4PJ+wwpX
ri4v8ElK/PYjUAYhjuLkwss+nnUltQLMMxrZadnq1QZ1IoT/ifAegkYO193gmNtARPFL1/veXz0Y
uy+JlaHFjTm7s7v8W+b3xz8/hW4KwiDUjCcd0/cbkGSt2o+NdJ8L12nFwZW4zq5kOzr4T3dS5y7R
yvEaU/XoDrl5/+7y6KdHelIj+Xf02UJYPWgA/Le95xIx8o2onQGF5cBZ3PbTb5VxwB1wQ041iDlX
azD0vqPDwYKj7PfNdCttJ8bG2vM0djcidMePdd7eTpmY0vBJdAQk0ew9yKUjBtcdnOe+s4zvyJM5
GyzHuzW8KfNXg9HqwrE+98kC8iUy5qPFT2Va53cJoASYBazSd58Tv7K+6n3lP+GW3B9GM0rihWvo
3FrSe6fUAE+LztjsxMSIXKNuHjJWIO1+n7ciucmN0BlXsLbdbI+KtvHw4WNCT5qmn0bZBjrHbDlh
SHeOEuXes+JpLTg37Gj9nRrzlC/M7czXwEDTpgG2g3MwS/qKlEKGWYzec60WOZJTnvt7NAplK8LW
u9JRzVqXuVd9j6Kq3l+e4pkdnLIMC6gsLSqqN8c7iCToGJpl5T5r6IW6+1Edo3iFftS4VfF6Hxei
hvmbyVcPFpcE3qImS8YxixpEqDcKVsTKM3Ris54KsgPYZl0EL16hYDrSNimG3q73eHmSZ44Olzz0
HypjnNKTunNgCirMFsvrVf4L1jnyilQRPbEe/y4rbsuF7Tw3HjRwgF2kcIw56xXTDKwSTR2UZ0VU
yrXSS22DNdOQbDGlj25NVkFdGPHcNqIxSV+BPJUO92wbaTtFrjep+fvlCLDaEbG3Riw2ytZZEC21
cM/cnoxFpjTh+0niZruYWKjkFoH0njMTmtMWAb7yUdP6UV24Xc6dFuIO8n3IBByX2Rfvyqo04tH2
nu3Ubw+j3g3bOInDawBz3q1djsmhGkZv4ZE8NygQxyn5A8p1QmKGTpi7cd36LwqZwtpMKmCgXiau
gkArr9qixbZUD6P95QN6OiicyakzTQMVOd05CrDzpBp6qvBf8GVGpjC10NppQfjgTNX75W2mVy40
Ft0zN5fHPd3JiatJBERdC6rOHMtFxRoPncDmm4gbo1qVbAQhCSWj18vjnB5PLlBQdpONGCdnXpcW
bSRSFMmDF6wG3FtjSIdV1Nni3tSVJczUuaEQlAWvDomSXpN+fKGlfhhHeHGHDNWlt4OiR98xtSqJ
J/Pkw9eK4CvnYgF0QggzD4x9lNxqAA7MyjWyT6lSKwcw2HwKMrh1ApQvLy/imUMymRyCDOExAis8
u1VMr7DTNmzDFzSqrE2ICvKjq0CuT90ovME6WF8hU7gkTjhPs1hEOihQeWhdUOabz9Gy3AqXljx8
UUHi7g2KLhvDTI1VOMTGZyrMzTbHxuRHQKFs68aIcl2e87ndJLSYSmEcG4pwx7vpheVgl8j0vVCd
kweeyWht2llyb48yPFwe6vTSJnyikg3ujW+B03o8lJU70hpFmb7UfWKUWzUNsecByKToD1Somju/
0AX+DR8flFoYHxrJJKHNbE/TIo4zSQ7yguWMj8Fk7t5RFzJuhz4LrmDKfRAtygwFdQISZwt2Ef8z
CzQyV4yVSXrzYlS2tbJUHUPmoqubTQd+6jWiTLzw4p9u4PQK0pCi0DcpNUyRz7sIETBalPltn7yo
gz4iDOHbDzJEHKXWsBFcWMwzY5HTTVZ7gMUnsu/xWIQRSBt2RfyCQqgxfh9irL62nuulygFzgPz7
5a07GW3K4zS4lG/F75OldCrdLzojbF561Dp/NQncOo0AlcdXMeR/GIvMDITEVOqgGHY8MywLCqGO
YftiqOgRNapIvC1vorHpcPJaakGc3DMk4dRmp8yM2gp54vFgaLgOVenp/YuLj8mt4eFLALUfHyAZ
HaQbbUM9ixe+ven3v6+7IvNA+wo4MQUAlV7bbH554XhZ4kf6ixqrhC+49ZTqVqdWuJD3ne4Z5Xya
SFzWcEoglxxPzY0lzBm0C14aehTdqteFfx30Hv5HCQo6C8dxWqfjSU0pNuIkUDt4jeZwe622lECD
jf0nsVqQ9kFmPcA8iNboAaMMqYTZ2hg8d+vHevbn8tE8qTagIShQaORzxygDstC0xe++OqMXSBej
pvdKyVT8Dqu0uCGzGu7LyPSukfHt/hRqq3xH3aC/hiHl/NDToVtY6zkVlwoVZvYYHVBIJ67h7+Mf
EWZK7+X/x9l57UiOI2v4iQTIUO5WSlOVWbbNdPXcCG2qRXlvn/58qr3pVBZKmDPY2V2ggWZSJIPB
iN/MZvsKRbhGgdnC2RHjzS6sqItNXXNKI1V7UVxjFl8VkUlAcZOh3WSDWSfUjDP9B6rtQXybqlqh
btylVwgGsi3edUBUiblcK+sfZ0SAPdvU1F8rJzE+9SIwfiggrV6oeOP9lS7qfyPVI6hHunmu4ry3
EYhTtKcZ87AlmRD9P/WcjN9wgYXNuLF8+mrnLD+OIwEzc0krQOpefjmtdtK212b9Va1b9x4njPBF
M5UUR4jGMR6HeFZQfmwr1/YGyvU4S2EwInd9XQ43rZCD3Elkx82N9Vzfj8uP4iFMJsCrZlHNu/xR
dk+e2KOU/jpP6fhqVlrxx0ypqgpW7ZOeJNbWV1j2x9/nh/om6fAbLBvDDNgGlwOOjhllUhvt1xj3
NHxSh7xFEthGVaSSTfhYNGWu3tlywhsujTtnV3BVfwpy0XuFoWW/84l85iD1NvtvVhQL1oHS7/JY
5wFkArJYfQknLRbEvxb8Tjrzh5Kgquhh0oCEi52XN1lcv368HdbxmOHorRvkCLS9gVmuglbgdk3V
FXr4GnIJeLOa0BBRKuVclygIDkaOedXgyI2vvw5eb4NC3qfCb8OoXyebLl5+ZY+Q7Stg3MRvDSmO
tLxcPzQL7alzS+04mo1222AcuPHqu95nwBjgdiywWaBSa7zMMMvKNDslfJ20ePheLrY/Mo6Ms+jG
ZDc68uY/fl1g1vjVEqW57eDmrzIwMiUVX6s4Rl9/aFAj7ov812h0uK26fTZ41LWM0YP0tvXONNe7
e4Gqk/6wsjjwXRWENW3GRciJktc65ehU+cLYc+sAmxaLe2/38SSvvimD0dpUQa+wnKQQl0eprG0d
O4QueQVagdNglbaFAruR6keOBfl+sCYUzz4e8p35UcdfxMfABZFLrGIYNjAxjfI+ezWx3LmpA8c5
Z3MOvyICwvr/GQoA7qJosQSMy9nNwhFlopbZK1Z30T5zNQVBc13PPTuhQLAxr3c+JSJKZH28MNEX
dFb7hSokorhKnb+CXpR+lIzGTUcz6jhNvfKUFfNWseXd8eCmgXyhBnKlqQnjMdFiLSpeo9gMG88u
i6q9VfXRPIc1NsZeWQpjAzp5dfbBuiynYQk34EPXS5dIevJKYmevVhyPEA6qcl8XseXVXQLgRsW7
764SZnJYFJ+2kqZ3tg3XiwFpZElb0Mi6XMsJdmYMzyh/ld1Y5B4YluKmqYY4otOdWRsN/3e+LYPx
LCGOk8uvpaTy3IjQjGiK1zlPjH0hrG4PpHA89oER+sOE+87HG/Xd8bg5F7IKxc/1h810vZNlNhav
XR1bNxQkkt0819kTF1d+03DNb7QDrj8mhm+4GPAfnnLaWmW0Ghf3qkxLXmd7UD9VYVftKDBPTxTy
t7Dj1yknSRR+XzycIZZSylqdC9iziUaylL5irFg6Xj5jIm2ljvXNbRAzdqa52FWxWoGc6o1Ha8BG
o+nnaqOFeP2B+RE0CLg9hMrCrlJOqpKTGk8Fh9Oe46OJ27BfiNz4bY8lYm5u8V/ROoyEkBVw2IUs
h3bWKq4GRteXrTLnr80kfjRd1d6EBhdXOdu7iKfS4ePtc72cQMPoxFKWxABPXStZdXrfJUagdK8G
lq8PkTorhyR2o1th9K//fSSQhKQdNPcBFq8ynAht3qlV6v41GPTybtZduR/wUT1kKBQdPx5q2Rd/
ZXnAupBLAB0LhEGDgeQuweivp8o0N6kdK5n+J8wLcSy1Rt83mjPgl6wEt2WIalDmmOFODlH8VXVA
/X08/BqO9L/xF3AZEc8g1V621F/jD0A2h1a22h+oD0LsW6fS/2lF2x3zcIC9PJXqnRoG39VAd25A
cAPCseb5IOxmfsR7cyv8rULv8muoltAD4rVPfrB+oNK6BTKNHvofXeltXDwDKBhWHhifksBwjk0g
HE9mTaB5cVJv0cCWG3m1EqhTc4TpjBMu1pVTazTsXA9z4w9uCSmujcX8jx7bykZBaP0s/N8UlwmS
j6AisIbyZS1FzDzXjD8tmJ9bLV0cuBsX31y9ruVBnUzdy2PMnKZpnO/jRnkwxqS7jez2Ni2G8jP4
6TrcSI/WjXF+01upn/uO9yrJ++rWccZuxJBJGH8svfjRYH9yI0G4H7gjv3e4QdXo4Vhy3rm4ZH2q
8LvbhVEHEGsmqfl4O66O+P9+CDcE/AgqkbyfL3djWeWA7/VU/AHmGO0bN7ZuMf7uD0ovlP3HQ60j
9jIWoC9mS4EClsS6tNsNbgSlXMjQUwwH7VTXwbFpaMN/xzRsbudmhmTcYHWHfh7mN0pAQRvUz8+P
f8USIS83He6ydDy5D4GM8O/lhDVM1AcTxA42cHHjnjrHfS7rwenRIuqqz3GNuDFAtS7ZWvHlQ67H
ZQvSjwCJeK0tMgVxoSSih5o6GtFDaeMDd99BhfH1Spn+NClqw6YShT8QRcS2vkhRlTJHzBA6/Agw
5urV8jQ0NNs2sst3wtFiAAGwiBc2QgVrmLObmNJy8VsIPTCp6n04dvLWnBTH6xJ79GUejKdxrBrf
Rk790OujDcuuwf58zvW9Qbv6n4+X53o/OgBRycfYi1Ao1ql1q+OQ3KoFvnkJTPQbfLGCRxYlwku7
2GKzXMWfNz1fSDSMQ4nOWB3CMi8GRWnsPqQ3NGUYLacYr/VlFm4p7l3tOQaCEMSeg/LFcV/+/K+Q
bw/VONUopUBLDrI52WNzKPRd2kZziZMd170H+q8NT50+lMVG+HsDDF9sPAYn51yqnPRUCLSXg6Pf
KYdyNth4AVSr6YDfh9TPMi3DpygzzNFLHbtVwbEDjNxhQKW6Jw1/5xcYU3PhV3Fo5V6FZWrr6Wi3
82IdNfIqTF1hIognfG9xqscxqRUeqF6r2NeDG0Q/TKTSlGerLmV+MmOEML2ii0BG4s84kcNrY15X
pRfAY8U+XBih87OPhvxFZlJgvTTbtdHtkY90sISiYDXDbaqNNHr5eLO9sy5oAdC0g7UDm3sd/Kh+
Y4g0GlroWdwHtzlun/eGqDJfosL4L4/W8aXBJGSLxXB155LpwCRZQBCUAnjyXK5IbxZpIJpMx94T
ulNzO1TFVPtD3xjaOS17Oz3B6xrOmFGV2b6iYbN16a+yVsRXUSej6bR0EeHRrlFCFpQ0qEiDIb0W
dBxWaKJfDE7hHah+gY/3T0uEW3T2q0kzJlJSCO+R5S0l6stJg2oftaZXGFOYxe+ir3EjWbwdpY7v
gI601tGEiXCwxtnaOAHvzJYXAspKXP0LdWQJA3+dPp5yiekmOq20qY5u7Daskhss6efwU4vChbgr
yNizjXfB1c6in0/hjEI8n5lAtkrytFB0cUdRMwYtLITX2onV+lptapmXDSGm7ng+39eAbYKNe+at
Fnhx3Hl9gddcWIigXqAnX852svvCzQwDOkyr9hi3jzx9m9ovkRdNv7VVSte9EJ3W3jhjIqLWtx2g
RnejFeXdvZ0PpAIHXv+zfqgTJ3nsMA6WnlbrQOYzJevKneO24ihJrOEcls28YLujLIw9aMeh/Vsm
qdXtBKm8emsbPKylb9JfDM5uy2nW8Xi0cUNOWmxP9iLL1OjBSigI7VKzqctdCiAz3Ljg1hcK0C1a
q+w6/gvA8ho3nJDrq7zR9G+D2+1M/aubohkzff44kKxTGzpX0FohwsEzoEVnr19KLVB2e84RGdCS
OnzSdKX2RWTUO57IXF1SUfdFNkMc0URx6GipneocHNnHP2I107ffgBgFOTwQmYWiebnyaj6EAHRL
VBUyae4rte9xF5hTGkHBlsb36uZ8G2p5LywFTFLYtWFT2Sl6UOMSedADN7kfxik8zzHmqR9PaHWI
/jcKWfsisQpje83zU0Y3d6wGsZSqkOIgoyD2E9ybDgoXzzm0MnHGOnFLYv+9r/imE40tF6jVNbDJ
4taLbIeVHFlpv0vz9IQzRIQTFf6ZH89vFZje5scdwG0AAMcBoHa5YE6QqW7DuUQlKlZ3IPgVX7Pj
ZheVVXSnhPqW6Px73xMdluW1BYif6HM5nhHg7biY0xxqiHOPelssrBAt2A8JzAMjKEavs5L/WEP4
3yQ5fTy4ORfIplwOmumTFVeTi92TQ9JQtUlNyAeEo+Ibe/jP31MsCH1qFvRv4NVcDoVV2Kj3tdQP
ZqpMhUeBaMLMCXDgd0yOxS407Xqj3vXOF2VEhsO8DSHGtVZkZsXzUAGjPgxhOO7COp4xFdPtI9a9
9Z0+yX8nAvXNx7N8Z4OyLRmLML90O1fHXIJDszpWGfGUNPStXsSHweZys+JsC6u5urOXtWNe9JsW
rtbCbL78oKU6Cj1xA/Vg4KB8SIyy2BHli51RpvXimjsfGmcu90EwbGXM702SOLoU8sGN0Jm5HBlC
05RHXYadSBRkO2x8Wq8RBdJmrrMllPDOKVxI5Yto0sIwWdfX3c5pLSPBJCUuQ5xEqnH2467PHnXZ
0P9U2i2B0femBip/yQ7wfmDMy6kt3buwo6Z/CJeNY020FwMRZDd4C/z+7ztlQdnRzeNiAnN3OVKM
hK+tJjmTklOu/+aN01nPGnm75k16OL98PNr1d0SEjuuHC4jKGsrFl6NRV9aNxCVQl8AcD4pwE4Ab
EXaKU5Se1BQF8I/Hu/6OvKmIZVzqxBYgm5fjtcj3z5SxxaGTqnkjUgwFpD5X/1pOID99PNS6XMNB
WMYC58NeBF+x5h3D48KnOeoE5k6gwR5KEcj6lzXYKVIlYWTX1bEfmzg8mC3G0Q9WTXc688dOz/ov
pYNT+Y0+2OZ/VivlU79hYqnQIH+9hnKViKpX1BSQZA2DwKw8bsUk/DlaYs525tSH2R4lW6yT7D5K
tNuPv8g7i01rCNgOKjiLndjy53/l1PRSSw0Yi3kIEx6uXCOOfsql7hzw3658G8Mv/+MBr0PRW5QF
Q0HjBLrOarXTaB5IQ3L30DVFcuimPnoJnD6/hQ+s7uNKae4zIwg8gK3FRoxf1w9ZfFIBIIl0xAiD
SJdczlXarZHl3YiLkixVGM+h2fp9hfVOTD4MgdUYz1mOKXRk5tadOo7qc9WXxbGYx+GLsKuRBuGs
b+zI6+8PyYPW1KJ5BttjjR3s8VwHUVKQGolCnk296fbJVOdnCbvooTSd54+//nvDAd+jRrTIHcH9
u/wE0PK46jokeRVEeD9Xeprofuz0SQkCrZ/3VSrc9PjxkNfHewGeovlBr4N8eq17yGI6VCtC42Ak
Mm880Lw4mzeg6g49LMQtr4d1GYxFBmq6dKx59BOW1zhFSMLkZyG3atNE9U445ehZTad/Gts5h6/T
tztzhntN+y77SQR9oYRj+9mImrlZWMXG3K/T6+WpQukdpN8iIrpK1LLE0caORxdqx1mLDpE7JT6u
q3KLJHa9rIzDrkZgjk4ahbfLZaWx2vepRFsyyif5JUPo4GylWnYG1at4Zur8/HhJ35kWuiRv5MnF
k3vtcdEkVh5KgadTMvKNJZJ5D44s1KePR3ln4zAbroVFyw4n39VeLZ02LOdcRU8yjcWXdpRp5rnJ
MJy7HBKa9/Fg1wkgEABuVk4iD30+5uUXnKpkosYfoM7ZSPlDKq75gzprON8ixqo0+9JsR+UY1SIp
N+LhO7NEC5RwyL2+WB/plwO3mt0uGdvyLJq7sylFjSwIDUFsehX168eTfGebMNZbx3oB8q6bjo6G
QB/4M26/SWYnSbDcxUaJuJtGm07ayZZK1rvjLQLsLCOHf32zN441Oh2EzYOVwLZIYyc92SQst06V
iJ0Obnj//5gfb/dFWmhh964WkbS2tup2Egcji629q+NdVSSB7VM7aHboOrVbN8qyOH/VaAg0IBAX
ciZoSRAkYtW6NpJJ0gBxkCqqqXQeyry1PyvRCJ8e/nCzV53GpuFm14JOSQnbd2enDVSpCSF2Ndcw
Sio3Q87VfuIn0Zsh4LKrlqrk5X6aMX2qTXzODjlPQFTs9Wmfj1gkpPa01Qq5Wl6GYtYg0JFkWLRH
LoeScQ0khwbNAd3z8iEsu/Eo51Hu20VgrqdqutHiugo7jLeQ3EA/gVEF9345nhkFgVLgh3Bo9Rp3
3yZDZd6bJ639j9yBtyjAOwn+Ai1zgF2riSUiG+2yT/QjRzM+tKOIjxM6QXsi+bePd+zVlIADLsCD
BdFFxr22sEbXrLFChJeOBm6Sn9k05glvQLmh1HE9Cn81ddMlwKiLkerlh4tmW8dSrTGPGnon2R6e
i07NOhjTsXE24ujV9qP7SCuU47f0o5E8uhxqNlLRjkXrLFoIyS/Una2bIJ/KnZaowxaR/2r/LShp
YHAL+2GBcK2mldrUYQujco5RIhBvBvIKMVkx7gKjPaeqEmyUn6+/4kLxIFAvbBLaf6td0ScdUNW6
dI7CmsY9qqPzOajEFtX6zdDn75iCkfviJrh43VIxQ7Xm8gv2lo0DFxJkuwFRAssztDrN61v8xZE8
ceNSD3vYzqY93HNC+KQ6dorBEZVyaZywBLRSr6VG7nKHNHbqDTXyDn6awOLywrGZ6oOGAd6/VWeC
eSvD+jMdJecRmJPxZAaJSMmH0+krzlXdOUgs/fMwoorlhV3uaD5AbT3yhjg0f6EQVXY+Ztvq/eio
4w856E62q9BlPbcQtsTO1qeE8mytu/OJOhbxLxFlS3/engLDs+xafQ4HHbNEV8c4+UEt+ra/g6Zk
jHuwTdZvl3p+5utSyC9BnQ4/Mn2WGBXYFEjuwkYElUfwATQTmG34UDQ0nw9dZiv9wTKraN7RJs+K
gy1CYBZhosb23hr0UHtyQL7+Hroiy4/oqzs0pgJN83pznIffRoiP8S4cOY37QRjR0NGqMhFq8uuU
avguFfGYlaeOVilJnAWINbnR6I4ZBs2XsA5yNF+SLnvMmzSU+7AOzeDVEMh87Ek5auFHamRkt205
zo7vyKzSGj8SSl3x8URH7YBENKoOCN+5meuBV5GBckBEJh5vi7wdx9esrMyK4pvh9gSibpq+9YEN
y9GDPlO7xwZF/C2S33KALrYi1Q3O2NJXpe9JhfNyKyInPGvQNcN9FMYFCneITWZ4NqQeImrzARCq
44UF+l25ktMuhBmx+zg6rg84qTypHweCYEJ9Ze2w289NMQEoiveBNRan1m5+BH2XHyxHqQ62XmxJ
RV0dPUT3iVlcZ4v1PPLeq/kigSXTWdrxKTSyMjgMro5AyTzWurkvctMQu1lm0XAr9FI3b+2mctp9
A776DIG1c6Hmg5Y42iKO5kMfVGqwr6padTxLjzXOaZM340vRSFt6IBpG9b7o1CT4DKAZt1IjJ6l9
mMZQPQ2tYVReBoS04hCL7DkjAe+/taGtFXu9GvR2Z9kJ9QrTSGji1ygcqdipDlrwmPVF0exQkMzR
4bFDciCaGHn9vcEHxD5EiSLRQsf79kupD23ymOAfd6cpZVV4y3X7U+2jXuzrKo7zB7eWmnEcWlVq
N3qsJ380ESdm7qkVjyuPeBG7T4Otl6j29eF3ViqzfIhZ4G60JurvUWCa98MA/e0z2OhEPfNbx+hn
YqKb/E8YK+F8184Tpg2BUdnFEayhjddRnuD2fWMlQLfoMTbDUzTmuXOcFLdIMXUfjXu30KbotzHD
2uclG3S7hB6MK/YmQtSKF3fIwEvfMvEu9iwtriEZJHBY9JeKZuFY3gwRDeEbp0rn6IgEUajhkxK6
dutFgzWbJ51XqQIbwq3CJ2OK1fGzZcza75aETjtTMtPCYzmWLt1/R08zCGIVaE9RW07/8vHG59G2
Onr0SehCLQUB2PULiOLy6DUyGig1OcWJ5rEGaqOiimMf8O7mwEulKMLWg2Dp1gfHzqwv6RiMf9yQ
sPBU5oj5eUmBR5fXoHpQeC2Fne5mtvPop+rk8iEsuML3GcyV3kcbtBT7iAMRGh5KiJhkt/E46cge
Sz1/ZI8PsZ9nql575YQMJOsF5/CpV8KhfMbYTMkOppMFxR6Spxn5eZUbNRCEQVWju762tcRrJ3Uu
Ol9FVmc8FGgSJ/dKFkfRPq8yp4+QlSyk801MjZi/W8rsmC96nRY/nUYatt8JrWtunSgE1dLFqjE5
PvFATx/cKeid1wgWVEkgspp4emittNBOU5d0+wwMaXxwUbBDshLwnhH5No48zb909mx/Sssg83qJ
+NMpnqVZZsQzcwq8KaiqaBfNfTF7mqTneYgpAD4IvXCbB5BnefDdsrLe8pBqRjsn6uxiOsShmKb7
IIXSt184dq0fREZ8Cppa6bg5MwhLzwMyTJ2no1tiH0wQQEBiqME818OQ30yuHBMfpZNOvZ1yxQnO
qBq7z4qZSSfxnHoc4BPoej0pvqztNv6a6Lb+AvY36CZ/qDl9hQ+pQ9a7LG0zdaeCzZ92QVom5s4u
HFPx6WvIwvIbnVvOyxGJczCkgUk9I/cIzn7wYD9G6qOay8D+Zc+GAlpnMops3yK3NqgeLktx+kzK
Yv4zVnmTfKHuPO+UXIsdECFO+KtOU+1T2YW9dsvnV6ddZY/xS8v5CW8MCBAL5se2K2UXmLN+NNQ4
hn5kFXA5yzE0XoLGiExPBl204+o0qmPU5PP0IwcHqz02SBdOP0q3MVgmTR/ThzGRqCDjDzl+CTsa
876utsMOIy/asm2f5jdhoRdyNw1lyD4OImlilu4Ese6lg5mnX3NlCv4VStkaj1GrAVWL4kGVB6sp
sxtzUCb9CwjgKbprBselYlT2RfQlMJos1o9DisntrVuz+zuvjiC+VzsqP0m2n8WQT19mbTRfBX+I
K4OYEQDzjEjjwvXcGB1FcKFcczdhpcnA2k+iboQfxygX/bBnujffhiAQCmk5hPfxLJEPESc5S8c+
5Fpi3NWK3Qw3U4kG9710K9s4z4GSaYCP4rKnKS0TUCizM7p7vej09Dfts94983eZpKnAjcu9alf2
sbOmMC1BIcoRQfFQiWa/WAAInpE0TflvrwGk2TcNREc1oA/wqy/LqNnJbG7DZ6Uz6n+EVqGAm4P5
nI7ToIvCd0sZnTs4NtN9DSYYZbaU22WftppySzVDIe3re7Jnr6tcF0HySc27g7oYCI6+NWTyBRxE
WtzHQ9Z9rXJXV/6QfRm5Z2D2W56gcA+aN8aq9jtUZaxslF/WKQZKZEu7n+43/hoLfugyzsYCbLRS
NeoJvbk0PWpzAO8jsenMjeiYN5rmt12tKJ+34vs6vDMsVRFSGvDYaICtnrLhBMRAjqV5SkgX82en
nmt38imJ1L8MXUrrwax7CCFJBORgryCYNiIJmxHNxKiY85M7thwZB4m6P+Y0zZCii7xvOy8wFyG+
GcTlzwG4fDJ47YDmO+b2mnMnXLvSwWR2XZ9slJXfmul/Z4oLAG9pgFN9Xd7M6uptJHiLJSPt9ZOj
NSGGyUbRpbd6p7n1DnH/hIS5aKIfaV44X0VuVqChMru0nxwxGbwBEI0K7pQ8jNTlUaOJyivoPwef
eF7FcsbGQjc8cvbM2CsKQf5bk7TxSRSlZn7OBRp8jtlqradFLpbvVtllW14zbzCIy+mBn14q9CBf
wZmtzSfdFhBYEBr9acCNpDykuaredxZv6LKt88d4UhN334IUijw3HAPEC9Xmez3lhbGbctmeFGf6
LujqvOJDAxcTEYv+q+j63w4g+S1f56vEgXoMSDAdHCi3NiXNyw0t6LfWdjMNJ6hZUwlTuWziwgvj
kla0N7KhGh8pGfXBVoexOCzmM+ntx5v7+kghxEbCSFr6VgtY/vyvlpLoJF3QwFJPLdXOr7Sv2n2F
/5vBDc6VM4YZuevHI2rrhwq6BHjuofUA+QdA3LrqwFTb0lFy6wTMI1YBX5QFcMOex8XZLo3YecAT
LVN9iAjOSdEpgkxePen27GudnQS6hyShaz/D8Z4zD6ZS2iOYZDkxLlEm4mLj0EW6TwabPlj8v/Kh
TulObcxhXYDGURVlBQrdb8Vu3v+XXw2tPDuBMOicwsYZbksSokcq8O5dXcFj7eoBLXjcM7dKKNej
Un590/1ZyrPO+ty6Rgdfv6PwW8KlMI91XLvDTTHYvfMUplMqvySu0Tp3jhbpW23mt514cajody2S
/kyDpyUk1csZQ5xSqAqV2blJVPfOGRxg4i22oOFzREP0SamqofTiykDuSWtKU3+USdWYBxFOQe6h
0KD2Nyxe9DDFcV/n3lTVZnocMz19GUMd+0UjLvH8432T/2mYo3Eok6B0NxhvVzsPEjhYSIAN7LyF
oHU5ibBpZKeruXKyre4wueC+B7OdXrlLzCfuwnA/abKDcWyar5M5BxuFPePqtLtw0MDk8FrgPrmS
x9H7qMzncU7O/WxU2k664XCXtpVFnYbUI0PZP0lwdYSEW322KZRW3Pxm86T3szn6QZlkKL1CzA33
uk2CG/j9nAXZTweixf1kB05xSGaenH6BUkUzehJoGuxPYnQ9eaJz9PZpwCzubgIbOXqjEIGyB9+O
zYqXY1vxW5iK4CU6ThbOGK1mtfuoMmR4plfl6mdA84PjTU1SKpB1eSrH8JEGy/EpVrnQtk1o9tjf
oaGtHjfixXKYLrceywZYixov2Er+53LV8mF2KYmp8XmwwnH2DEjLJ62Zhwdq58WROkB8dumKe6oW
/i5HRzth59n++PhHrHfOwsXiEQ9/CJ0TwEur3+AWZRQGVtef85oe0G0akIt4nHEtPtHNo6ppGLGl
7oRWD8ZBMQs1OouoUNPDf/4Z9MJhSwsCgQMA4fJTjPM8aE4q23Nig8yG0AtZoCtVbfRNXWaaJ52o
3Zthotz3Y5Z6SHgWG5v4razy92rwJdBdAdfOxbVAHldfonYlxbhIVuchmEPnKFu3nb2md2rndm47
YKbg0fvqjidW/VNUIJ33mSWKh6QduxoNv76yT1UahrgE9eBRD10d9fWuhlOYtGBn9QmIbK928QGH
7+aumNV8xNoCwOOpHwrnnIsgGD3FTstT44b1wOMIRLt1QOZROeII3+UbXap1iZzp0n9fJsrlCsZz
9bQfNN2YQzhjZ8Wxfo2qo/S7WCbfZNWWYiO7veqGL2NRPwBawPrS8VuNFcetk0a876DnKL9GLF+F
F6RZZO5ReI+OZUdV1Itqwy4Odd5mX4cANYg5yrrvVOR68OzbZ2+dHSzcfPoqbH3wJqQoq0xxoqA5
1FNcnxWAr5HftrA28jypWl81KWH6ehPN7sbd+oYxuNxhiwoUWQn7m+CxTrcJJ5Y6Vm13jhbQwNky
09K4QViv6W+GpNV7TxRV1kfnRlVC5fOEXW/5WAl13iVT2qYvCOMN2YtLoeMxkq4S7nOINmdedrpN
abTWut8i14fxYFtzGhxj6vatN1uhHe3yJIlx1EIUnDvLyKPBfMBaMhmeIcxw6fKubV8UCDFKjNtJ
phd+3xOqvTRFEGsLQH1VU+LTg7BCOR3GwgLgXG2GcggUkYd9caat2T5M0lRDwCZNmd5otCUdrw0S
LdzVZgM5Ke/a8tdc4QR80GJYNb7TsD9PsC/UXQTKI/LL2JL/QD4ppptx1pR4V066cdubQbdlE3KF
2uKHoyzECwP1x6Uft3ottTldfzkU9dm22byPTcGlfh9JCsOaNhXpuUo080GdazM4KjoquY+Q3pLG
7wwrGQ9jnkT2t4+D5jvnCiALhWKwO7SbqRVfRk29VicnAQJB1DTK82j1gCcRXn/StOKxqxz5NECe
eSK9129r06xiTy1Ho1wwrOO3sAYtubHD3zlVcFARSwBIusD2Vks7yiwYhi41zg01ZEo9szV4tpbP
R1HR5J9Ves8bI14h5cFZLoBZGqQLLp8DffkJiq5PtUBR27MBwRfWS2nno2+0WaTuWMyszL1aDHrz
SQO33yL1SIV1p1AuAmiTpIa5sSLXH4Dp8yMsFoUn9frXDLYIQrW06rPZ2FZ0m850vnZqKHrrJ0z2
qNzBzRTK7cfbYPmqf4UVMgRQRsCFlxMFEWZt8YBP+0iwtOgOWBP6edrUzV+UqWpNMoqo3iL7vDMa
XRibvjlPbHKWVaqJF3EuRlqUMAK0Od/PKZKr/qS73cnI0vjPx1NbNTuZmgYTAmg5jVwO3dsB+OsR
l0xWb5bJLPZzO9eUDWmL0ItUjI1C9/Wc2DogX3iDwLABUX25iUrXHO0AXP0+QgBjuO81nAm+DR2d
7JtJOEGwUXdZP+SX9g6PDnijyysejuqST/81rUnFri0wYwu2HjwTOP6YCyS8DrsAqi4tvWo4DkrY
h7eZRg5W++jMdv3O7YL0p7LgXPY0eWTiBQM7q99nAq5rtavzcKZzKkosWRG+qMrYc3ql0LXjx2uy
joP8err4b5oBYtGpe5Om+vvX95SvbTFbz41rof1AIIipIwo3gwIr7+fCyv5VOog3cxA71g20yPRT
VpbDSyn0uNnI2paV+WvvL79lkcoDTwCyj4b4Km/sJtXMi1zIT3loN5oXitDyZTpq/w61tD/LcbQp
OLrpBgRkdcwZdSFz8A8njsbIui2Sxy05wtD3z86QB7+DTmZfAsWZ559KjrHPLu3FMG0wwN756ozp
oNepIU/BJbQKdHkGpIbqvPo8sTbubTkCwj6XosidzMuDVHco/GeJdQyaMCswlBqttPyucMnPu8kd
whq3iVbtt9RdVs+H5UssOmRLsIOQYa3ZoOUsgnTsm/FZTeZ9a6eT5bM5bgc9FqY/YvtzwpqFSEQB
PDduJOineiu5XJb4ry1A9EOkh3sZiaBFmHktU5fYiFsmU6A955UWRp5e9pF1rEtlVl7w+1Cf5jYf
8n1U93XvN3Jq5NcAFEh2yuEiqMnJkEmheaDKzWwXQutVt9rXb/3pyx9IoKCyS/OYJzo/9PK010WN
m5jaWmANKm2OT9AtXOizWYVhoTdINVPuRD0h50yZ3ZX/R9l5LLeNbGH4iVCFHLYAkyQqULJk2RuU
R/YAaORGaABPfz/4bkaUSywvZhaeGpMEOpzznz9UoTEsnhEJCVZz0n0VjDsJA4CZEwwqmyuusorq
yayspLuJyXS5Wmpu3X8lVBB0za0G8g9rD2ntrhSJikM5kPEB3FfFZjxFhi37p3Ii4osp/txk/qZo
GqyCN2aiGQejnB21m4w5KO/joGrynRYkGGoPjT/OJ7+VLmCIht3EVo7UQltRJI52XceZIyO0feqL
MyKC3BYjATBmlJaz6O8Y0Jv2qcnNZJ7DQhOKgJ5ump1NNbdgX24aN8PBnEhs1NASa498q+IVzImx
vuKFEtxCwg8Vsp7P5fXQTnfQ9O3yIa4rhKeXyol1F529K5xXaINxHgSNP+9UGq2GEWf3xkm1ajxW
eG+CN8wzNtSCtL8Im+o1fQ8TZ0XI5hBvzEnhPIAFMRM1MqK/fH7UnuEqLG1EcQxdqOywGzfOFV19
rWxsLOz2sV/ie0U62yEAeY5U0QF0VHH+r29X8cEY4/rCafPHDwYCBBNji3OevF+ymrIbM68a+TgF
dnpgVFaGXgWdjj8uH4Q/a68dzUIZSmLHD5//5vOKbv3RHK40SVDR8FY4p+anTcFaIL3nsVFeGmy6
dhQB+DHc2AhpTR65fVxYX7LR8KJFb7JHRVbp1yIQl7IIPz4DaIV8GRMaI+DaOU9fY1AqMVkYHgeP
lU7QqxkaRTkfy3GWe91usx9CJ8Co6F3t5fNHcHap8QRAQX4z18DOYTafNRpFYzJYLdG7+0Y8iV3h
jOl8zIQU9oYU2BkVKO6KYd3UwcXD9Pever8B+K24HyHDxE0Gmt77N69nsPFk0BWPah3UAFZbbbF2
L7NuFMAyK9exxkevDAnK0/H0DuxqeZomh3arnwNLpJtMm4Q6Km1kqEAzpOITKVTJ9O8EgWkWv2ZU
iup2hprCJFOUKt33iRmQdRyouDhOzZC2oZ/m5hy6zTSlTBOlwZA6r+RNrRKCvYqOXbjtR8Y0pS/M
OSp1fULqyIAffktmYLdgevEob+MF8f8OtLYed0AqmhBh3OZD94XCrH5wrXn5HnMCxienblt3P0H2
qLbwrJcAGYQuun3nZXYbLb1L7mTqDrr3tvRIF4hDNZr4GrvngsOhl4r/10qF+xD7SXmsBIPX/VwG
ThfVpmYOPCoeWH8t+7YjRxSwdNh4IzLvqOxMF2YAY6v2Cfq66B6q2O/LGzU5wopMmMVMU2tnjI0K
54wyYxo8lVO+8+TkP6IM8erQS2P5NYfUQBPaiWX65ril831t5X3IZkP3AOWmcvdDNpaCMadMMSNQ
o5KQV3V18MtKUy/KnuUhzyYBj8q1pHZUihIv9Bs1p1tXMPblmqpGaBxRYHS2+CkVU9XNmJPwV+2T
ubXb775KPPdhFSotD9CcNeMKKqDTpdEceMm2oyKyIqo4a2kPRJbot4ITWLS7RS3S3kj8Ufxo8Wa2
9FQ3Vv9Nuoaqj+g/C/ANKIC/EJv5D5Uq1YtZz5MfmhAYqg2WS02wMUtID/pYmMVmKZLgAB+JJinS
S6aQUZCmcBbQi/nXaZvF895Rfv29DmrmwcpfxFfayiLAqGKl8biFVbURUn6IDnu4erp4rZG+B/tm
aZqZFJIWTp2s/S5AruKkcSRnpcSwdWwZFFezNRUEfxnV+E9blEm+wTehbmYOzdF/7mg8reOQlIOH
rizV2rAmtMYrD20hTEzBXXu8MbzSs5965GFwBWYwu2xjl4E737MQivJHZ1Lm3MWTWasrzQkW/K81
TTR7b9D6ErKhyssbUIbe+YL0JBmPS6s7XThiJfi2LDMBYpNqCI5XJoZUObParE3x8CDoakucTLMv
PWUbXzTYNEuyc/Hxv4LwVPXmbi1qqKhKT3+etMZnrmi4TYx6JnbqnfBhdJR3ZV0q8j6cFPQ2IoKj
O412LYoHcxlmB+8XzLAusN4/HpJIWpiZU4SD34HmvT+oYPfCAnGz/hHSi7mBAOdvRZPqx1mvU+Ky
hvy6YWbxtxcym27t69GurujpeWAx4DTsDVRbpNcxaCnLIvviC79+C7wOkLpmPxs3INnxfdXjhXmB
h/jxQnIcRKx0HMwXQXvOAOrS1ztrSS3nxGJeDCMcsH2yyGdjgyL5zFx8FOK5HO9gDaLi2nRZnl0y
G/3D5YyxlwEXkniJVQi6fsf/9H5uVy6QTrPssZp0SiN8fvL7jrnUlV228ZM16vbBsebs4PaLd8KT
qttqfaZd6EDP2i/uRzYlcTYrXZ27+TzWZhJyKgKjLh8LB3PAJMr7bE727C9MjxJorPqVY0j3L73y
fn8qjmZrQAko9v+5cv/56UUJdmsXS/Po6Xp6qg0v/dXH1XKAVV/c6x1zlr8vRglbx+l7FcHS3J7b
LWLNt+ooqvqx85KqIqJwyqctdC87lIRIehvC133/bm7VS5VoYs9cGXvLlGruVqLgefi8KPm4+lyd
wQzYD4sPUGbdj//5+Q2O9LjmGs2jknXxveub9ljO2L3i5tzc5AxwpqhMOBXUpA0Xdt0ftjo1CaJ/
YAXiaz/UQx63dDG19aM1dOJuHCx9Qz7U8GMCXA7nwqG3Fb14/Pz3flxkDgUQjx6Uy7Cw1Xn/ewuj
1WQ9N+JxHOBhNpngFtQU2cnhlDU7RkUwDD//xN+/46z2srDyNBDCcrx82ODKlVQLXW2f8myB3lpp
tQWaQWjDiMFMnhton51iR7ASo7i+tSusVOI4DfqvnAZac2z8dr2Pewy+rwe7sMQdGAWXchybyxPf
HNo8h0u5pKFWz1bwcyaOA4puPk9YLhlxOVtdOGSSWu5vDy68BSBGcEjbvD+4pO8fJeIS3Ff9UTyV
nihwoeuc9qBBedwbzagfvCCr8YUFIoI2WHnthad6hlCwWFdMj1OLioL53rkjYS56ZZVTUzzZTqp2
naazZKiUUNYWbVTJMT9UWm7dWzASr7VMGE+fv9RzjH79fDo3ugi2z6qyWdfZf/aNhxYctrLUH9kt
ao1ZLYKaEnp0fk3BmJ3AreywXTDV2YvWrb4MTVoUISY03jMEg5LJYen8bXvB2eVx94FGrNIp+3xl
M25vtQINsciz4tFCsHAgPXqJoXXbzkHkY3wcF+xzPn8QH/YTdsNsXbzDkJab4J/vn8MCkTwGCbcf
21iL/Zt5tMpj3JaQyes2yA8Kourb5594hury5Fc3ZR4vo0fEQOcTzlSjJhimZH4cJq380rVa/ehl
hiBmlOr684/6cEJRUGJUQKu+jmGYn7z/cQlRqviNBclTkzbya63Mbyrz3ZuK9r4Mh3jIty4h63/b
pPOhSFNpUhGR45tz9h4l8z1Ybm1MvLCV3NCz+ZFutDVlXuzcua3n3bQVZR9mcPN4AQD9+Gj5ZGT6
DHYBxFjd73/vYk71lBdD+lSDzRwQWcGFNVYPrliiTrtwDzLQ4a97dzDi28ZyhV3F+Hhdu+8/rmYx
00Nl3iPlRytPECfwfKs7UrUV+srS7n7pHlL9LwuaWnIEEqMEdqQEx3u0HiaYzuslm4Zd3xvoNsxG
++m3bZ7tuiwrH5QflPHOggciQ5JwMwi+oEzpNcEKnVWEhu71ftgRYtwxqU/jlnQPZ8wwZEKWcaWU
UQ8PVOPG8GZkflDc5Y7f6nRZOdkU9/06+Q57DXnrYSBzPWMk47UvTZmVzy158AUsuIwR6xKPybJN
Br19MzgQ8k3tCplEs+isMXQ5pe86OSBsobDWIROllfzld/ZchvPQNf2t03faNwHHebiDANm9pLLW
XvFL796KxbDEFs3V8uA6ZWxHyZg6/VG3BufRnsrlDcIwzWcpKyPMR6DlCJFPXZCqacZDWMxJeqss
M8MJQS9mcU0WQf044PDVX1VVtzgbUuGGqAkyGG0Jw6cqJAGPHDU78FW51XFfSw7ePOsRwXFT+9JO
hhbsh6Rr/lXCz9kVBQLVfeHrKn2q6Ny1X9LEMfsBArfYUFYSRewEotZvYmCWYyKsQiOeWev/5R+o
6xSZ6i1wR2WRKo8rawhoMz5ram7Nr7VsqmvZcS9cI8+y/G2m4kFs5tQYvlnc6fUW7RZOAAB43Qjd
GW532MC4pnDmz4nOHqQDTdjM69q9m8mQZXqqM+d68OmWpp2vY7J3JKvYzJ6dTpTtJqbbm8gFSqzi
MGFfBmaQrrEbjl07B1lXpQG/HtlCONSDwJ4uK8vhtp3BTiIyNY3xxXPaPL7GK2o0x+1ixhnBBfRb
QfMd4+1xDJ02qV4GpGv5Zk7GYT/Ofmo9TfVKp7DMQkItoRRNQ+rT2QpTTI/XDL14mciFrv1XwPvA
fWslDNkNtiL9c5vYgYh6PHLFDdlnVb2Ze2O2j6WP8u8KHn72Y0gsMnrrJNNo5UfcomsMLZV4S7im
vibQ9r6XRVXKUNObagcJK3DuRJb4t71E6LFtYxV7r8DfNT5vvTt75GQ3KNQ81j8+xIiqMtRjg/OT
w7/vToOjprtBgxy6gWXM0GDgcBvC0u2ZimVkYrwWApXRQ94vbjyHXua6j34M6A/XrARxkmOgH2gG
OUXABHLVDqHo03bednnWZoSdWxPJ1oQ5e8/1ONkBDpQeoQkhXxVHt41bMkKKnFSrrN00qqIO4w5i
1KHJWGzsm7yctp7X8Y3ghljOrUhl/yorNbytpLefhcHijhSvdjp2Y9B9r3DAyo5VPIqaWLWqwfFh
dt3QzsTkXeVd6ZRX+hRrI9VYlb06Q9WVP2Pp9zaQwGC6kTkI861Fxxof8mYIqhCX2brYqGaG0WGk
zAWJYkfJBLihSvsEG79xo9ySqn+Lu3nMr8e+TZYnMTiFcajaGcsq5llavm/zqXRCs29QUrAe0T/4
3BYH3K0mxou1zLHHSMccA6MsayIdhvy4gTplTZwNXpJu9NGP7SstHURy7XkElvAETTGHvijNGASv
yIxNH0v7zlsmbxYbUTtZtqNcdQEK7aJ5RSNMbNfgxKhJQ/QA1oKjlm3NW02Y6a6igHCeeysehtsx
Bk6LSsOvJJxKd6hDOzHdFxW3iMBiW8rbgac6OJt2hvl/YzWpsezMEZAitDVDlLvJcZqt6EzGCDm2
jH0Ex124j4ELPaJAEJHabjS1OYZTBh6WJHoi9dvyF5jt3kX9+iufM/VrEU31bBlGNxzGgBd0F/ez
NyGh0JcOmxwC5FCUOt2PZrRMGCBW5o3UUrIwo9lqrPR67nWseIEKi8nbIACrzb2GgMw/pc0k/61V
ILTQK2rtl4ZEf0TEQAr2trVi75LrzTlDmZLI9zy8mygAV+26Y72/SL2m6SHMjO2Tn6TpdNWpyr9K
W4wFNjl2JH0ROk3n/pvkQXYP2KVpSBDZjUalS8ZPA/S/LXL+3ImKjJW0dVq7/GV4kuyNVMVNHzlk
Bet7kUl19OasvJQc/rHKWs3cKR8pdqA6nDP0EteDJWSk8qnEYazhvhqC7VQYfqi5+qhtbTcdNxlJ
vsWFAuRjC0HBCpscUJ4h44ehUCB1jQfXN08WqkKu9kDW5b4ffEj0y9SnnLh9r0xMlWf1qkhjVThr
58l04Vt8LKApnc2VQ4fGjwnB2btrAWILVRv104Ie5B/cVVPYT6lCnpbWWoSsSr/626IWKTXd/urW
D734nMxiW8rmaRKOBBsgOXapI5qNbvvVw+TM3eMIKRFZcz2ov/6dfCz0GReoDdmvftYwLRIr2y5R
1iN5vpRuS5ruuFL8u7xYyjvXrZ/+/lfSCwEJ4z71semG3krkvdlZj/Agu+/TLJyQBI8hmiAPzdHg
VN2hbfXib9EUZvjYuAYAaavL2bkhXd1AWxJjWjw5A+1ImAQtdiF1Od53GbGtoTY3WtgzXUM32PmX
fHo+rmdYbDDH4GgBNXygn2SlTtZ0OfqPg2pQUcFihaJtBlkkLSftNgNGroduAVyMGpRIX5XCV/nC
S/7DV4AFiRcETeHqo7FW/P/piqEMyIk0iOqpn3ItnFWOwaIyKssLkzZoGJEvVZjoynutAi0YsQ5w
xgs+Ch+3E0fhmkOKeQO6jfPuCSRXH/PW655oc6w9Q0XVY9Fk2Nd2IqrHzpTV8+cL7cMHBivnlKwI
cikCYKUz+LbVO6FB5zafjMHObluFQlFltnPNZKe9Rh1yKQ7hI1YLcAgfwgHUWcHLc96BV2Pqiv4y
fnJq3LGZILk9F1UAcSQcNC2pd6rO3GdCALwvtjtAdTctVd9rEAovWaZ8BEHWr8Lv5hBhXyNReP+6
PQedYyvG+MmuBoUvjl3d+X7b4EZQIcMxiirbmUalbVSix98KMy6izJDW93QejMfGJ7/jwvL7wxci
Kou7hMtwpfJ4Zx3lbDEG8jnfvhg4JBx1RiHfhgK3wShz0ErhjtVlmxYmE/CYuczXSWLQkOQBu8Ex
G/2ffmwuGZR92BEYIjmrM+3vd/UhfyaPg6CVRlowgdHlFHae5v/ou0J9t9PFOXJYvM5OZx2Q6+tX
eVY7l/KuzpcnNoQQZhm9r0sF/dzZKwpIC3KKoZAnrc2a9BpJiywevKbyuwM6LxxrvQZr/wub8PxG
50PZFUj2kD4yVzl3x62SKitF4fsPOdYaP/uernnf8afm3tS5A7buVMphZ6mylReO/XM4m/MPQys4
Y3B6QejPDyB9kFDWNIB8aCzBP3FfurdNvRj2VpiBCrbOIrRvBRYPdtS53ZxeuFrP2Vy4HCKzwuYL
zSUEQMgd7zcEjD0pUVgnp7pqpx+TqSHFrZayiayuyL+hwur3gZ1op6DG5Xay8+G5GcYl9CnAL2FX
H84JvsvqeInFJrzpFep+/120Fvd4uA7FySiz+Xq1ydvSRYlDjJ3UjWUk0g2HIEhijEi6ch/7S/4y
yiW2Dp+fj3/4HqvLdIC3EtcSOrqzO0FkhjUowOLTPOoV0ehzeWfLiZjfAYrSG/7hxg/Pnronq/K1
XwCUCXpj58Ih/XFZuOBaMIk5MwHnzvlsQY7KXxSjcyIYKa4jtxpEjS7C1p+l3tszwZRDNUQ2MiU3
JO+W9PjPH8LHDcFliLgTG4U13fM8w2bA11RMrT6dsN8oT7kxlbvFG4LIjKt6X1hKu+IRXaqr1wf7
X3iNUto3MKQkOoDoCv0cn481x1pjKoZT1y9DELpxRVq7KhztCmTnUlT8h3OGj+HZUvzo+JtgqvJ+
tWWwBmRbGsbJ14uBpAQg3N+RQP9mkx7vEhLros8f6fnBuv4uG0oHjDGL8cN5QGJXTp0SSHNP9rIE
h2lcqls3nbL5DtrFeMU6zl+YZDtbMFyPHbYUqX/hpf7pJ3OqU+jAVkdsc7bB7Ho2SABt9dOC4VW8
A/Ma57tkwO88rjLDuCoY4RUXxuMfFjK/GgI/Tw//DpOW7+wxwy8pu3zWT04yZDiz9Et3AFoZ7Ej3
R4+A7jgvX0EE4zKy6zj9+dfPfL1LONIBWyisz36x27fsmUpaJ+60mrxTK5Vfm9XHN+8xGTpwe4l9
lYJSIRnwohiR24UD9sOSJm50Hdzhvckuhmv9/uczbGj0WTPN08L8p9/YWaPZV7mBX5sM4iS7sMTO
UxLWao6ejIPL5Gevcrr3H9elFaZTCDRPlcDvb9O2o4POoK9tdYSK0Nf7octx+yjjtLdQQ7rQMmsn
n7R/IJNYFoj1OBLDWMEzS7Igw5A2GIvCCkc7hbwUtXbTlTd9N+uNhz+ok+6YlQknqoVDl9R4gx82
ZpduUXTjZhMuLozWIqJVhY07dimQeNY0I94bk585m8lZi/4+sPv7bJxEf2E0YFj81nenCc+Cmhpn
3bWgob05exZj1tdMk9xTMU9ATmN9EhhQEVoR48hVDzHlfJoV3s2QNfW2m3q1txu3+jH46fyKecy4
hzuqX/pS6ws4+1IrT5kKAwfr1c/s/ZdKbXN0UlxrTkYF2L3PtEQGR2IHysGICr/S9jzwBpQR54lg
2/Rmqe0TTrHsURhNdcnt4cMhj2gH/zv4wDQERMWcHYFw31K5TPVyIuMzLfBHSeNNNk/zGHlG42yR
OSvy0WJr8/mm/NPHonReowGoefzzmgORlIffS22cPIxWnCvNlWS2FnUKat22zagdO2hRu67t+wuD
qj9sRu4zToH1RqPjXP/7f5s9iYYTXp9+goyW/+tKf9mkUjNHyEOB3l74lec6znUvwl7kA+lvqezP
bzMuuypYllE/xWhGviVwhIZooC+rAPqKdANTYBE30PfVJh0az9y2iWJgYVRCXhlwjI++9ObxAX8c
93U0c8sMW21xvXBKpL6Rbi/mrWqYRjwNELTTCHeazNvgZdQeMtTMZDfnTRVsbJUViEfkuHLfySLM
Qjw6g/KS/OmcMgBNmSUNPXV1R4OFf54YYIo8aZXV9DeVwojyNok7kPFlFPjrI8zI4ocmt4E1mY+X
ZRQXi/vWoNBSR9x/07tAW7CxIqS8fan4bnkYDGO6GxxR6Nf6FBTaHskRHOsaIre6aaxi/C5MKYpt
NmvaLp5zq7rQD5zXxb9/DwUgiTOcIqi6zpZKLop6MaGjoxQt8u5LH7TGvSjcljkNMyYR5rFYMhLE
7PFeVt1QnSyQtyEkjVykLyjIqwv6krPigTubGh0Z0m9KLLPWdU/9Z+lSggdpy6zzmPOUZY4GeMmX
SM+Nztq4HpNAPWRb1S9m5lZqo2Y0gaHQltK6cJ1/sCngi/zuyhB/0LVwerz/Ip0jg2VyXHEUsT21
Q0TYWKdeawcOZsSUKceycPYkw4OsY0ZNIuHoepulMvrjDIe8v1G+7J0UhiO2PwY3Sk35FWpDYEgj
qq1S93/ZWTLhzwWH5+g1ci4wnknqKnJj+M4XyoOzk4jcPtNHsQO9m4aDi/PsqaZYzqk+ic0j4NbQ
fdVrI7tiKquMDeB0I4YIZUTs7BaJduP580Pwt4Xyf26C35+9xtpAYmPn8AXeP0h9DPCRHIicw4jO
niD2QyeNMQbLEMJjYliq8otoiKPnu2AQhoauy4sxi4pYya4L29zsp0g3RIzna+8mrwi80a92Y+I7
uwwWMJe50+c35aDD0TVx7YOHCkNcB90qSu0Gxlj7zfSH+hHOJlYJeRn08qjFmb7Om8y5jENb5kz1
sr7swnQgKy8ygsq67ycf6+diEHNyxIFIXvspxm9b7CCTPrJGKKMMp1iFr2U3zNWuLPzpFmtLuoY+
H9tklxhGMz0j8she+hFG7abHvO9N82CeHOvOThGcdLX/5mcl/iVlKcefZcz0IqTm6Wh14NiX+zqg
/9q7ntbcECGPY2dfmvTrObrpA45qKCO8WMBTDnHjy/xjA16PjLkDWyZJ15mDG0Anrd2r1jOu8iao
M36gPc7bC2+YF/j+BQN3rQFslH6rCdBZa10qYE9zWNIjxjeN2jASGQ62zqBnj4v4cujzyfj6+Sd+
3Jxw0/hAYORVhflhPTMB9bhzRXps68wefgajMr/juu6P+yIwiefKxWJwVbRxZXohYLoXYaCElyN6
XOEwgHQrfMFSnIUX5uyGnlzneWbM+yWpnWlji9p0seUKspdZa1R255A56R0GSEXWhdPut1bq/bND
jQiJhQKOo+tDDkBJeilGwFp6NGXTiyvVi6ox8J/A0joMukZcpaaKs+ugHeoAhrioU7OMpPSmnSLX
AOX6mMdHqoDe3NZ+X4sOk0lT/+pkbXDvgHdj922bBYQHgsGS/A4L6vlL22A5s5WBXewCi1P+GkPX
/ClfMqPas2V0ROyOK5d8M3X5NIeTJvBsjIwsNhEHdHbx+4L1/B6kLhCYzX7+bs/6KI4LBBhAtvQS
jJw4Ot8fF4MxzW3SB8GNB/n8V+N7DkTTDOs7w44fdI23FY4MSgBp0iq49DrOSunfH47kDBUMQxje
zNmHB96cLPgy+zeKRo2LuBcKVUHniuofLyXU8pmWqvBwJAuMH0BGTvbcYSPg/uP4KiNAAhemMXI1
0/iB/Uvfy7AyvPnegqo/GteGyGfxDBQIXYXMxmIciOd0Gu2FTbrg1eTEZXIXt6QybjCi9Du1WdB8
7VBE5MFLYqTBvR8TA8mq5pCTgAb4G1HTBfUdprM1adWTbP+ZjAn6xIVu6/czf79K1+EQ2w29H5OM
88eyOILd2OjOzTQ0ZY29Ac6IwZ3htMMWSkvb7Sw6+71Tiirfp45WvtoaZyWzY99plwb7KSj9v1qZ
utm1zhQtC6teA+4LZIsoQACCVTsPxwRzYzRAMSIqpdCHx0n6ba9ta+afVCAVGjSkemXBZev4wm73
aACScoMiL3C/OyWN/ZPRTn596+dZ0m28TnS8QcefMeucRGZfSQu16BPDzsp6yLF8Ho89oltoHum0
NJEystnZ2jAxaAbKxjQgpPhLtZek36knTDN5rLY3eidZ4h1xF3i5eKxgT0JPmNxZNjglNG38tSZa
M+HCAmGYt1g52uLVjS3MLjp2jvYMixSIr68mgZ1zi3YitmHnYBcWzLgWVloj/82y3MfYsKFlevl8
a/3uis/fo8eAAukumREQnN/vrazQHcxThjWlcp2rurn0f1CuJsXb0plV8Wb4oiJT0oiXLa7Qc7ad
01XmOnpsgM3gGWkiQxnPnXlLoZ0b9/I3M1vI3npOcOFfnehKXPO+15kzek9JmnPVOrpqLW71JR1f
G6K707c2HeW2QqkUB9ug7ewgCnrB7e8ny/QUAFVlaCWgEjQppeeFZuUPpwvfiUh0F1a9j43B+yeA
jsgv/DKYb1w4kR2SomB4sDTbGm7Zc6Z+Y8sRMUEwDll3K3p9ydSFL/CxErM8tJQM1AGEnA8qCoY/
EyPv0bgZXAD327zXk1tpDz02AkWsAykIQkNv8FRe5O7zt79W8u9fPgUYGgpKQcag8Nvf//S0qIHl
h1ocsatUOQJ/rTpNZkFone403oWT9Fxxz0kKwI1pAYI2m/V2Dof1ji6tHnn9jZGUo6QV8gm6P8RF
jg8y53dVvw4tMQiRslSTRxhJaQ4HoaYZu1LvTb/bFMPcqZt2FtPeJ+PLDvUlEeOpaqrCJGvaVGWB
yW/VJxce08cXxKpYDeYZihPvcG4VoBu5L9Js1G5QRfrGHkdDHS3mQgzUY43KgcvAGV+MgfPywgf/
4f2gb+FRYd/Hv8/FB0yJ6knrRXb0UzFMUCvBDp71IcGjG+7Q5IyXRsIf9wJTeAyJqKJQXXKsv18Q
sIyGNhWZOPYiqO0dJZuyNyMldPxANe1n974eGw0kzi79ZyA/qDt9viDXvXa2IFcXM5OFgikQMN77
z6fD8gTeC8FNO1TieorXpp9jVT8NDFBuzSJexgu1xW8o4v1HklexOilgicTePjcMZE5cNKWeeHS7
hofB1MTo4YRUT3Y3ml7L9rVI+qyL8knCSk2xpoNiUzmp/2Akc/nNTYwkxq56xFj7CVUqDq+mPpfu
pWHpH8pbBxN1OEMMsHHJOEdzdU15TeDK5NgGMbVjOGtjvryNqh/utBknlFCWGTqYfB3f50Xa3K+h
T6sNcx8b92nV9FWyQ0uk9Ue3RyYQumaZandBVbhQDmbkdAdtspx/tNjQZLYZeAfVLvHKMbmALnzc
S+QUc6qYLF6oNOdG7tXQNkvHfPtYT4ZxLRIBU2jUs1Q7ZGkBmZoceW7FLWrNqrmkLP/tRHH2rh3u
ObrelW+Acu398krrVPqGlnk3Sojp1fGh+xGE7Vawjr1GJZweS6/7BP/0cexu0Pr6WNDp+DKHmAnF
XTTCU5mfZoytJbf3UJU/FhtG4LNgurq8kKQwQHTUsqD+1razdXDcfExijFfTtZXvE+y1toEPZBNN
S1lBMPa8ttt2KtCmY2sgBHmTrdZk8j5VadfJbaqNokrCuclr5k1qdCvvOFnMgL+MJB5c4RbX2Luu
xEEv5NBeqdMEhnUhzqTVD7bpQCeDRNElB3zSvitLT6Zi1/idxen1+bb9gNCwb1asfxU0QA4/PyA9
4TXQ+1pwDnfRVZT7JgEc0tTKr0mCGWcEUQpfqJ3RQGW6zmqv+iFqw9aGq8+/xh/WFuyhdYzGoIeJ
x9nAIcdwesUDkqPPaVlutKCjM/DTRYdX3dlqv3Suv8mlgw30X38wMjjWM1QPCGLn7S5OmbQiCZEX
8AuGnBKe+AY5pjVfQZPwCstSHBHGXOqLznPguVFX3xWmapwKNpl263H6H2TMS0uq2DFeblZmt+dF
Uoyu3M14nhZhXfjjL31qRByOGMcH17HtL7eyr6p+G3fK1uC025gqq0z4N0LM/nakyvNWSM+Id0uA
MTva/qDE9lvHm/NrnOeYgXVdOXe3FK6Gf4iBIuabNJiFezPOztj/KGZiB+40D/+rx6W18x/j1IKY
aK3CEsaJcdRWW2YMWOxvOjuPq3GDO9Ul29vfl9T7Xb4681LQcoehZzbPlsE6OPCsSg8gVNcCETST
fLmx+ryaHwm9r17YsZQIGHMEX+gL6m+YnY/+tEEEvHTQoxlSVPuqEtpPaLQ41n6+VP7w7Th+LEBN
/KZXKcU5iDjCOUhjHyVwMSxo9TC1UOmVbWT0GMGS+94+MeruVqWDGz+bzVRSYBMYkrW4EiE2/BKg
AbY2mFxl9o9xbmRm//ViBvul1EGqhVaMffR+UfUeyO6EfvU4Okpc675AbiEl+EpyZfcslD0xzcTS
2tCsK3mhRvx4/6/tpAsdz1xtL84ZIWrul3zEx54siv9Rdl69bStpGP5FBNiG5ZZUt2NbslKcGyLO
Sdh756/fh96biAokZLE4e3EWHs1wylfeUlu/caEBxmni8A7woAWjZBShfifEuq52GwhB0aygNT0b
JyxpNKoZFWrkqemjGODZP7SJFxo72+utbRVmR5gl0+8Y/TQH8eDxbFQ9sOayt/OjjHBgcecCW2KD
P5acOh5BMlzL6wozgFWrUJO6eYymThpDFxS03K0otVkD6jFiUPQXgbbZc4s2ruSiUy+SYzuVHa46
dBphZTg9BNwA6wYZEONrmfedbqB94DXS5zqRdO/ILSQF+xrJsGI3a0AHLxPANONeyGxcfUkuYfDi
6AjPDCki2MtdlPBoploZ1o9+ZsXR90jTguwEONhCa57+7EEHnJwjWc59iaQqUoWQGpKw/1L5fbwJ
DQnbDp4uBcERiXJ4hpAzxR+XO9V88+DoZ68g7rOTTMsONYpk8r57cWf6TgmLPlnlRWp9Dk0yG6dU
Rq57up+euVWyBPYCoh1lqCcrVPX1/iDyOIQRGHjDLFcQER40qwbrp3TntV5qoY6gCv+7gZ9St9Kl
WBZrGrs5UjheQGo7qTV+PUJkbfrki0Sz6Tfb+nevjxTp0AyqUZ+kZDDmuMyA6gAnyALUqqjhrhFV
SA80BqKxb9mXpaP0etM4hUz3ea1MtFT2BoKm3i4YFFQDRaIS1qFrauLJ3tBc+2HENN0/jIYLv3Dw
boevkBixBV6u7q1E+mqgDY9QQKBVaCXfvsWuXlrUnuYUjqgZUIVYtmQEyuMCPxn/UTIypX0PRAfv
zYPlecAsSUIlLSDqmGEY927PqwSFgbnaaRqYlJa5JC63VRMU9EIsoNDjNMOucyEFu9ro1fI3Xgxh
fQhLpTB3FdrcuTtylbyLPjPepqSMq8aRh9ge33xBBkV3MKKzyPUS5lm7jw0cDQ6+rmBK6zTIXb8H
PCH3TBCXiEeON4Bj2mofUHa6hQuIgjrEk5aqWfRoSxQ/tko0mittFLA0tMp7pFuDMDvewthje0mf
bFMKKIGrR4rmUAsz8cRAS/1O8eH6/uM3Eb1BrubCQdRscd0jhiE3VZKmj+z5ZsTzRdcjMMd5ZT7W
PqQjF28W3mn8Q7RN7ZfVe2Z69hvkMDw4JS3v2y+3t9ZVzgstFWHD2ZtyzkCXjWq/MYliAI4+6kaR
UwaIUrxKgtq09rJB5Hx7sA/+6UWswGikPahmA4WiY7F4jROChSRuczwHYqsIEAkusSvC8EOOwQJi
rOhStAzhb+Z6UgWdO7Y9S7Cy0FgDTZH6Utm9KPAwsgcCbR9BVLwBbPSadUoVvWPl/pQGd47A1Qmw
aDLTh4QuCSGTkPvyBCA2Speu7cWjOaDs1sa5+WolzVg5KjzLV6jrkN5SsMXPWReYdzqg+vzHL5bL
mtUX5v4EgRWSI4vlwtgc8W5oxI9sGCuL91KtFF8aXc4x0+ktH4eSxtQC2vxZAfdEXYuwjoTnDGOF
m40Jqw4WJ58DViPdNtkJsAF5DxprzD8VSR9Xx1nyZ9xCaEyQ1sAIS3UrVJGPfdkNlJiRDNcC15Ls
doqR2onD8VWWJd36GStV/EuPsxCTJzXsYldJtTFwVbro5xCu1uCMaMuZa5y+oR/iMtTYD5k85CrO
Xl1twyACcB4C5tHVUkQrbhhJWY2ynPlvaptXj30UgFBwEnCJWuv6OD0cB02B63tnNy6vVW4GbgUF
QQ2TbgPacpffVutBXSbylB3wrU9eGxbspVCbCeOdyZS3oKLbE1xVnLXEbK1E0vUwijbdwPDLd3KB
YRXXdbMd9Uo59LIYHqNW6bk7LFyMbv/Sqx+qy/xnzjoI0ohiF9dwgDh0BHm8OsCaFzsrScL/cqrb
uxG+0rpQ5fw5if9RkYvbb0auCFqKCK0y/mJMagZ579VSf0hKFAvCoehcT1YzF3Z/v1OIRpxQM7s7
O355G3E1gKEDj0lQRnnYXBSkiqiAe22V7S7Tp/QsTFQEnYBuQePUMiX8Oxtg/r5/Hq+P0biK1A8x
HZDxl9/fbGyJFp7c7goMGSl8ZaHstChWFatRGQL2p41m1b9+SmY4l0QANLDpcAu5HNNXu74s8YzZ
gb0XX9FkqqZVYflx9qQDTMPsSqqSc9oQYt0Z+G9Ly0NIfgbEZEaEXQ6M8oKNx73S7vKmrlZmL/Jp
A907rB0gFOY9e4urpaX6Si919meYm8NLCYjKAIOUkezuU30IVkNsRGs7RVgJz+/3qiC+v31APmoN
F5+S8SBbMCA4qNkE9XJ2bWr38EUnY1chmp3gtlSOfgtqeQbbv8Aj03vXbCdjejbCsThUsVQYjwmW
JcVLmVYk2uWk+N/xSlFDpLkkCVW1RgMtEsEAlFaqEYk3S0nkHyUX2rBWR4SeVkafR+csgqO25r2z
7V1oZeoRATGELuMMuYDHrLKNfmeHSRp8tscJ+axN1ngwtddsON37GfqpUH4E9IF7tnmfN1PvlnLb
JD8r6k5Q3UtfQD9OI1EGaFbm1O6yLPQat2zT9qeKnFz4IKPdlmwwfjH9rzF5bruvgWOtSpzS/D0G
dF3pavoouM65ZNXHngB4nVnAttyq1ABIqr3Z5SVoB00h88kCuOPZ6GfAlM2uq85mZMf5r9sf6y97
g3qgTc3IJrCUl+6xkqKTA6EEsB9zX5nOahApQMhS+Vc/VFP7lIyxeuegX+19+tizZASFG0IZsZS+
t8OOME8k4T6ulOQJ8KhSbYApyt+lsAnz9e3pLSMGbFX+37fQ0Okmalic8DTPGwoHI/AezDk1ignU
CxHGH1aWh5kpKMxindUIWzm2lN5jtPxloqCLZjVPZEdIrhfRigh7y0uhP3PIBw/YhSoffKXQPumT
2v28Pc1lbMI0Z1qmBeKa8ATFyMsTl2ApR5JWGTvekd4p1TzCiAQ/s+jOt/vLOBaAZnp1c+RoLgVB
FbtG2DkPrZ2PVoL+tZO7XhzSSpfbezfk1SuLkAlCGzD0sCrgKlnckGGoYmuBWc8O9Lj3TPO1P8m+
hYhGmhUTZrUJzTK775I7TZjFfvkAb7I1KQEhcUwGvxhWIVdvq27QjkVk++skxs/T0ErsSytNK3Zw
5pPMIY8xf0tZoO9uf8RlQP4xOKXQGTUKKQkb1suvqCMEGNe1px4VGyktaOB27JVubU1dtR9RftVe
6y7qt4NZaBhvSSL7ZEPJTTAVFvKDH0zWuPZF0wuK5xgnforqrn+O48xSV7d/6OLO+PidNn0jslAw
gRSrLn+n4mPhg8m7cqxGU/6iZl4UuXE9tC6XdZKtKqsKX2+PeP1ZKGvT+5kf6VmiajEi9TcZqEOl
HjEom/znNhvrz4EqJeNqMDulgS0mK2+IBwf+XjNr/cvt0ef36o/3jPnCE6UhyD/nyvqyTDY2nVbQ
A1CP7ax9Xg+K+Gl6onOlDLk5CQPPFWRVe1MndOlryZju7Ivr5aaQS1GZDHrWr7IXkRGz1EGLT9rR
LzCh6fICQ0yRqp9tZIAVt7D0Zrpzay5uro8J8w9Ui0jbEb5ZbEQUIVsbk3n96GHOM7ixqXefpTyi
6KCHpfpye3UXJ/3/g9F2hXLFIpPWXe4mjPtktS4ycWxGasNPg9lIvxGHQNvY0OThE65yATFY8+8M
DVSxLYX/mvDfrOUcWdJIStlrR/oU8bskAYNwKeKYBx2Bynvdir/NEQTtrM2k2LP+1OUcVbQn+gbc
25FeEdFtNEjS0eg8+RlJTfB5AdyuVV63w52G4zWljT07c/ZnkL9BaL14/tQgNCo19/Rj4U82Ngk6
IOuqbc3CFaE2rLIsrf+rUZWBci7hRTsJfw3bS327/YX//jPw5pr1vrjPlcUnlnKUjwbJ1I+dJiko
n2nxxkDjGXUxP5MelCYwDkY0Fj/HILSegCl50EzDe/SDZbVn3miAL3gdFY6pQS/58iPgid7kJS8p
H6Fuy70yIu+zRTPDB3fjh+hndkCyXqZ4MDJYLjHKLHbfT/OFEiQ7WMnleOex+cvBRhqO95quMDKi
SxK+XulZElexfizTGChYFQYbJLfVdWTa8WPjFdWde/v6WCMARxSEdDmj0oO5XIAggr+D5673MpUw
DZy6SouvcgKqPaNEUd25Q64vTSIRzpeO8DxxyfIltb04kAq1iI/KUGTtc1NFk7Yd6r5baYYUYH1p
hZ25yoKyfDMwDPpmyx2yVndSketzR0OIbITLmwrfFQW9ocAo5WLMj3lbp+/8ntaN+l6r3DhPrWnr
eb76EHv4+tze8Fcflnua3T4LZ1IxgnN+udAKj1Ln92g6gJwYsg29WAcmNaqgTVFvCprdd6Z5PR7S
ESBmZ0A5gNZlbTVHwn8EFOod83gIvH2jtdlZL4CXoYnk18061ofp37pVwNcZkgWdayDcoMvAOkP0
HyEmyz7WoinafW6LcFsmJl7BhciGfitPhh7fWdZlDflj0JkzTS7Lzrqi1gQGzZIkT/1Toqg+3j6Y
mFXfkGOypvNQD3q0qmpC1INa2sknCggQiUcbk9lZoTsd9mVTVuW6641AunOwrvY6wkU4QJBEzVRW
QuPL720Hoyhgk9nH1Gzaz3GFTRbKThbiQqT0+nNXxmSrdDWTY9alGcm3Gd4hmP1lB0BgB6olQx+m
LbH4BZ2Slrk2jv6pw3froPqh+ublyGpaTeXHbqwk/r1W6fwXL4Ii5ox2xqzCCxAWzdDLOQ8eVgCo
fNhHlNQn6SHXknSfFJbFaR6w+Y6tqdBXQQitx6VMQIPp9hG7ust0NALQcyDXmS2olndnonQA6ZHV
OgWgfKJNH5vJti5iP9gKGkd3ztf1XPG9nec5A3cEHfbLuXZaE2ZeX8anSJKafQHo+jyJUvsORe+b
jUDcBk1NEOooDiHJc3ue12/n/E2RDSUOAzOkL8fWcsR3TSRCTxEKOF8Q/NW3uH3J+6aXqjcjEDnC
dcAVGk8Cl9Nn4e8Biao7h/0vB29WAqZaBiN8Vs9cBISZgZEPEuzmUatxFa1oCDfNazj4knimH4Aw
AHLpRC8hBPrZKHaQvJ0uZfHgKGUfZdgzBepj1avTdGfbf+TQl7sQOQ9ABRAgPorzizc9a3I166zY
JorjaV9jti3KFdJ7ZucklTxia47rsIdrtC+3D5ZRh6WLd069DoCT+TsLlxaEvaLei1xkOiKk5vIh
/YqrmaUd4PBIOsXxET3ciI7ApjXt4Tc16O6lQU9+OuELWPQubamyWAfQFd7vfPm5vrqcGwoxNnaq
lCYx4rjcdVEUT4rZdJwww5IqLPY00zVQ5qWSZDYQ5EMf4X9FR7MBeZmHZFRhbJhV/GjK3T0viqt3
VDfm8iFQQUNHq2FZ8255dkwDmvQRAJegPZxo/hffUCpzXcu93zmpZQHW8o0qer29CH8ZmEeNChXc
N3KRZcHBQBU/97iCjraoFBxaoG18owsQd1sEwjFai6fuHPiBdK/If329EJHJtJro9eJdvyxScRHg
m5sM/qlphJKihq+ULhDpUsGPdYjuFNqvI9PZbwPVVsocJHnyMsOzCqBJHUripzZJ/F9gcup423SR
1jz3Um+L9Ygw0GwBYwBhTMGf5q/IqEnFSlPiUlvVcindOVd/u3VIV+bn7APCsEwcJN9v9LIzglPY
Z+bngtf8qc1liFiKhsApguelQ/Nw2Kep7kGQkboBvF3QbG9//Q9NscUR+NDDmDm1FMiWIGAAuSg1
Nb597KU2K/Z6KE2WgyGDiiUQRMVpnYZ5h45eGFdIJ3am+OaLGqnDQk+idjfkUuZ99rSx8RxJT/Aj
Bl4dgJ8uzWcV06wXWFFB6iSUsUrXG4fsdcRNQbj4sYvmCT2uMXRaPfU/TX6Q/DJbAg+K3Zn2WNmo
um78WIvCV0sO28AFs2Eh0igQzqKDECMojfCxZxwUpUrWogX+uAkKKRxdrwRnsRV5I23bxEIvXXjo
7cPUlT17heRNHv6MlKCkdN7isRNHoxa5dce+x1qkrrGhFEodODOSEryO3UeyQ3ybvQAM78bHBppc
v2pzKSgPsjLJ2g9NJPp4qBtdHdcDnlzYZgRWDjIwLKdn7D6174WdKXB14ij8fPvjfWR1y4+H8jUv
B+JtMAwWUXDX5olQS8M7Nno2/jdmfTltA0syDABpbai7OZ4NsEVGCIJOWltp+67ylPkYpNtpsonr
puqcqiubJx1pVt/prLz9iQJlGbqxl9fFnYDio+ey+LkzBEAh5ydf4CdfXrdhNsDh8G3pGExZ2q1g
acIuyn1vlBlbBMFDp3ZJ+ew3tWxtJSBVFaY8PZlMnXqd7hRoopJUVb3WlY40tLK+Zmu3tJbqyHem
XlPeJ09mH2iJXPxQ+ih+NVM50tfoe8rDSmnQHFtDPk6fRYGT+1oC4sLAdQqJDblQtWSXd7HO/yDK
sk9K1sspgm4s1w3ghXvnf45olosB45ccEYjl/PZfLoZMQQZvI9s70snW5B88dBiNOBAaA58W1Vjo
3zKaY5gE92MmP0H8tQ92KEv5AQKU3AvX67BJzan63MthrwNdEBv4Y4HO42omE7j8YUZj6rkxatkp
poFePWtVML1F0FTCJ3DGYgePp77zDl+PSDWWshuBPQ1Y2AiXIwaD1gDGsNMTNCpVxsKHvuuYml3l
+PVIiym/h6j924BoAHHd0Z2kFj3/+z+QrSClKPZ7dXFKjd7a8QJixzK2tJkLgE7KVq69ot7dPqvX
zyyldEC0vON/qzwnvpTak9IWJ1TEa+HoGKLXiTYpbptmkau1KVKLFc2tO8Ne503EN3Pbiaof6uXL
sCKF4WGJ0MxOvV165lOI+HLuRvZQ/ocpESRkWvCTjXDy3Pmd8EU2wIKpbdU6t2f/lwXnxJO90YJB
Gc9e7KnO7EK1IoI5IQKGMU0N0I37MHgzdFjWeZkXd8Lpv4wHyZVWDaqe9N6WuUsz+L2EjlN1yrEI
2qa5993OgHXBRqq3+BQGp9vT+8tjztRoxbJt0Bm8MszMkBzqx1ErTx5uBMomGgM4NBZa5B5BsjZu
KuKNYE2Mo6gPHfVkHqUuT8ITxKgmvpMq/23uEHq4Hj+gTkurUxkRFHwiuurke16/9dWpeNRiRZsg
cObPuOaCBL49+4/u9uVVNlP7iCE5xehqLfU46FjpSBe0IDBDHXNML5DFOwWywd5NhUktParaysKT
wWdoGR8hIIYQSJ9lRAIzh3i3bwBilRYq2XImaSi6KyZMdPQqMSLUY1LsUtMx1vUzOXPldgIe0XKN
BFC8Wu1N6/K42wSVDJGwt1CcBnqZ1+LFHsx7Lud/OcPsXyp8QLOgsy3xw7YeSdpgNMmprNrkLAeJ
sYG+DBUg0vpDUUzxnndvf3tx/5IY0g6ZOSWEigbstsWjmUKmzipvMk86op4nPidoBnXQvpd9pW4N
qY6+0lFuNoHdstK+bxSHUlEk1fUAMqX4FirjP58tukQq5jy8WbNy5rxKf1yeo92EZo0A5MkPlRjz
5RFf4hTjrQFcqaU+FjEydncih+stPZeT4dbQwABPfcWsCYs+jrrYPCVQViTk1VFvZRHGz2GEUAds
zmq4E1pdZyeMqOGMOBf8ZnXcy0n2GKaAe2PE2JumtyBsdDeZptBwqjLr1rc/MWQK/trFAUK2GU3G
+f3j2mKel6N5Ii4J8gKbW9qc2h+B3iDuAfkeQPE7ZZh6qDc+dNYOwcomVPHq62MUqf2g9fXPnOzE
/oaYnFTLDieqHB8QHZXwUPDqKNmJ3EjkX5y32kDxJuqsVR6DpfvRqB6un8KbAKZFOPpWO+jt/mGQ
MSEEK9oQbyGmPuzlAbmFs99ovv40izDHTiHgrLEQStRqPyhQwYM4DGoxEud3lO+SFQAraTzgzaF+
Uv20Fq2LXpOM9r4uWpWMcrTVzxI5Gg9BEQxnctxuwgJRx31TpJq3wRMHJ2j4nG3sSJFnfjU7rXua
A/p4V4FN2Yh+CJpVGVH5XfWcxwTdH4CRji/JQzC6PY6F8mfYno3sxIScnlv01XS0pNI214mwu/dA
x9pyZYlcfk6bXn5VBqGMhiMyvfP2UZQX3qMR+BZw2VARx9Ty6gwtwET5KrK4HoGBK95LlA+wF1MI
8tUq1xr1F/Go0L5kHMP8IfcFTq1w6Mr3Cb+QH1VL+Wzbykr9wHmWUJBBNGJy4jgfw3OV03DVcFX/
hidkeQx1vxxd+kjeKY0pSCGtGsdu2lGmW+VlUj8gqJpHblgO5slAvv+L5/fdOTZj72cX20riUH3P
0n2n+v63wk7tX5QmFW+NgnXpv0KknzQ3jckDnAT1Bs3Fr6dJnjKt8/qnSO7zdzRvyKJGJaL8W2p2
gPZ/gvMISh4qHlwj9cJiFdq13CAzn9XvEywR6yFQgqjErc7Cggj3MDvYkCT6+idr8hr7CA4BOwBJ
To0HSx37z5Q782gDETt7IEyzbLcysOvgVQjQYRnDsTwaU9Y0a7hJfuNEkVFgaU9sbp5MDMdMR0bW
5rswzfxHW6h9/MSkgtU0dla7noDOH8A3p6qj93Lbv44WPLnVNGFYv668uPxVeKhhEu7J/eTmntkm
n1u6hypmCTkC+HpXK+YZl27vvddJb19h4w7dgyXHUumaResF2yDFs5aCzNhVK6/Mx8kt4HjqDZQC
0bDN6bb9qBraIW5N8zBdR1hEzsfLxww4DBtlWLW02zHWGwKFXMwu0MAOZ4CiG8klWuOG2infugzH
gzelKHX12Uezun3VWP5vVHDy7l0PTLw0HTwI1Hwf+En/KHdKlX/3e1C6R1qxEzJVfYVpIh7jtfmz
rf2o/10HoW481ShgTpsUbYPRKQyrOeRyaA/OTNnQ+ERolYq4tp8L3avEQ+xX8gBrpYNmN1bYbrv9
2JM1rTwcQ54QOxTpgf9jsm4w2RgMF21FypMJsdIs+UyssLM8Ms4vqYgDTAPlotknU9kTazbNODkJ
6EfZEX46matx0kvzhIqen/N949paSalcd25Tlf1zNU2Tsif9kbZGFwl7C+cUTFrjG/i3hO0YdpvM
bnBHVMtkRH4YNQt/b0yg0M6dXtjVE/P18s8RxEyyyaRCGU8pVeMFToSvrPW0SX81EgYyd57Kq4CB
VxsYxwxqoO1OE/zyXtcolxQ4UY8Aa1Rx9JAejeGHeGjBddAZDvoEMWvrJV58D9Bw9XzRqALui2IY
4TZ43/nf//FGA0LzrY4E72QkmfRfnPvnhpJFuFIxAavvhH9Xj7NA3pw0ke7fnL8tHRNlHQcmyCkW
4hRdvsmLKX0PSG1KxxuFOKlNNd4JcK+jbRoSgpY7M4MuD4jicnYTlSUEw1QMZdB4XiMNKj+FQ579
By9EeVKqejjIRq1tlUl0o4v+lFc6Q6d/u/1qLzMrmtxAVqhdcqtTGl+iqUO6nCl8ofRVHbVcdbSC
LpjS5uG7lCfRppIjUqkJ57oBq5Qe/cYqbf+5JQWPATchatcwy+wrLl2aA/7ERyx5hY1behs5Uodf
UtLSpYgrHt4DLqTqnXzyupAqUBYkIGXGJLTkO5drjwsdylrcEqdaC3MnEZi9RGbpfyrrktjALpTi
qcdV3FqNdVK/F7mXOZS7R1BlOsXef40LOV+z2Dq5DsEoFLvLH4NQGhVDNRtOVo9Y5hgpjYuiQYN0
g2jMo91I9/jlfzlX9ADJ78AKgSpY4nxBTJtT0mrjSRQJ/OcyELtUi/svY5N790j5y8tj3mA0+CmH
zDqSsPIvJ2dEluT5lp+/tqJS/ZWtNTbqkSV2nLYZNY9BW1UvNCDTX7f3tcWf/TMWZVgdlWDa+TCg
6IoswvugL1CDq9Ti1YIk5j17WcZ+4iDWXyct8LeF3+X+Ks3Itz5p2Ah9vT36coHn0WcrCg428Dd6
vstJC68rEF98pQiERnya5eYR2bFub9QdJjW3B1veXDj2UeICOkpEjkC8tgjyzSmONAPq06vaN/KA
jRNUfHCLeIzSR1Pfdb8IgjtDXrXTaOWTlmMXCP0VmfxlDRSUZY9OgF2eU0lD8tmZBbk0HJAyExWi
uEz9HejIXvmSywOxOvH8ZK8AzGjvua/S+qwsXxlddLJMFHMCWe4cf4isaAPWVn0UmmfwwGq+VLtB
ijwcGXZnb9C9Qog/1zB9/k+W/OHrCLL8LUF5zni9vaDXW5bJIXND4jTjjpd8hjbywp5cpjk3/pCe
ZqziY0V+cI6bYXSloTYehjAOft8e9ArUyYB0kGamOtUexCjmHf3HY5e2vlVMVpaf8R1HFimt0LVy
WzP0H3zRmmIf4OK9wpwyhZY9VsI8WEqB6VMtVdoWve2ugPrbjsWWdHbY2SNRzk4dpWY43f6d82N/
ebBmZVQuKqJbRBGXxfpQAIiJy1p9HausQCeZWkmz1eCI3bkUr48Q49gsKzk4pcalEK7S5D71Zk19
7co6GjfZZP4nQJyFrtLJNDn+fVJchsyHFJbDuzyvaVzoNZpqr1Im4VkV+1mwN3HLGu+8O3+b1J/j
LDJkIOxR0stYa5ALlBZUFXAIDrooo7ei6wOQ7Pa0/jYcytayBqQQZs6yOYdpk1kM1qS9hnS/CdmK
8EGIMPkpB3F2rzZ6vS8ofIMsn+9dhlzCD8Ioa8wgVMk0vLh/66XCM5yOqubnf50SVf2ZhDOfT7gI
i+ekLGWEXekhn/2hVHCDbZuJZ5NemxtGlfp+e7CrR2QWYJlVfmjsyoQoi5vVQJBUsfBfPGt53Far
IM3sdxI/9MitVh8fQYmFZxFGxe8JMlZ/5wBc3ULz4AAQYRDT9eW9vrwPAAtoU0w94kzWhGOgDYta
g95n2U7k+Ym3bYo42yueMe3/fdLIChABA4abya6X48KHgZAIv/QcNJVHKwfHn3Vmtv55wkD5nKPj
S22ilY3Q0UVp/PNjBoCBMgqIMUTuwNwuRjfxuJO0ooRNFVEs1foY7tqQST/0uiz2bVDfq8ldHZF5
PEJrNi3gXvSNLmcLttMLUmCFZ4SVLekQ9EpabIbWS0DPIIZhr24v7tUpQUpshl7NilX4aizlvVQD
AU5CLxxAK79JqZyk+n/2VNyz4LrSlqYZP6Pt5sASiqS2DCl1PUh4Z9PxbIWUR75jCa6hsltaPi53
Vdd+MhIqaTu1NWxvrdG4osbaG2VZbjNhj4fEDEXiJEZfTzsvFA0irKJA/ATH3boPyHrHajqURplU
Z8sKil0uy5WCuZjUpm7cTXisomtDVu80GRl9s4WVj34A5nQGhvdV9CMIa5QZbq/s1YdEQ5UXwySi
n0ESy15JRSRnNugNnCdDMkFjDOY3Bd/JbWm09wQ4roeCzE85FdMiaP2IeF/umX5SfYh4QXVGV7s5
B0Fsq24f1iec/US7uT2t60jrQ54eUhK+J+RGHxoSf4QF4G1DUke1OrczFW3rDXWyM3vd1lzUTZrq
ty03UT3jWyaxDbS2eAXxP1E3nwaKHYpXp+g7ZNMUZCu5NqXjKKel6pplPQAa6Hwd00Hdn35GvkUn
AhtJ9bcgWtvROxiLjdQgCYRMdFCXzyX8mvQOnuXqfp3NLhDAmQkThMlLFRWOeBWHRtqeFbPuUPLD
KgU1+6J9GdQq/zqqZrHW8cTeRlSd72yXq6B5/nqQiDmJVMivInTFTkvfw4zxXATU8hARLGicYzSr
t24VymW9TQN/ume/cHWlz6eR5iHEIQ4oQKnLjdOWFo8kZOWzUirtsEVkKwOTUkR4LRCu9U8Z1jKb
pI7/+SlhXNqHSCoQDUDGWWzYqhJ+GGpVd1Y1HMUdvqp8CLRpb8HPeevIjzFFNtR7FZWrYzJHh7C/
aNfKJhHcItjpgqGKGgSNzllLTRNDL2Acjt1JSbrxejMp1rdPylVOT8/SBDyCMB6PB9f6YpZgjUC1
ZWPweQSr/hCWtKKVoI8eqfR9Cqt8a+ih8jyrmz5RqBO7lik/lVVf/9vO4ulC3IrXiz4XcGcqZpcf
GXmUQIiCFriZElZszJEkdWOriCAkNQazroHAbf5vceXHmDpdJRyaCFOAAlyOiRBhis6xJ+GAZUUN
VBiQreCyquBpTNvvt9d58VkZi/Y/XiUGQPKPzPNyLLMUZYLHrY3oslz/7IfUW7cIoGOOY47yy7+O
hYslCzlTERhxmdqmfiJZvtkHB8sTSP12g0BDHF3latUUFniu26Mt7gRmBgmU0AemNecEoOLlzGbh
RANldG9fJLa+S+yxfpGjsVzhNWStVDWt/81uYh6PRwtQMnWHj9zvcjwViTw9tn1jL+zE/tLJORI1
YYNflWh5Kf95boxFV5+MCpCKWMxNUaF0T+0k9lkpvoRWqbzwZNcHGKe9W4m+294ebt7kf2SJ/58a
K8mTRUxFwHM5tbjxW5TMMO+IQYOsECnSHUnI+VprY8XxZGnchWkzgZ2yk61na+nm9vDLu+BjfK51
Fha+DJW1RRiZGqi0SU1i7XHgDd4Cq0we/GyQ3yglpG9WJzV0FG01djWRWY+pLo9bD2DpIZ10+c5P
Wbxx//8ldF+pQxmzcuYitRQaTeWBGvY+Q5d5Jdpp/ImYhrmpEEJ8ptQXg85CSngXo+f66/YqXJ9U
CLhIpPPk2ECglipqE22JmkDO2EsQwg9g/vAWD9Lw1czLe7zi+XsuvzfvKRtaRiYBk4/L753C4iEx
Yqgi04tN34b5iscOw1s8PLbGCM7/9tQWL+nHqsKPY13BDJImzFP/IypCcK0S8aiwnZVR1yhhRvWD
hVmpq9RytapGusIuq1rdGfZ6mnR98eOj8jDjypZ8HaA46J14g743wyD4RrMqdYypHTaDVssuSpnK
nXTheprIMRDTQqAgqqXCfDlNe6LVJfm9tu8SHVfrPlRXth40J8/LPOGU5IEvUqvSXrq9utcbh2FJ
5ukJMFMw85fD+pknz/etzkXYhVvFL8XeqokE8Ts0jreH+tsMQflYlJR4t4BGXA5FauvVXZPq+7Gs
5N81HcuvXkRJCIt7YxocinPTJ3xH8+FfV5ZyCAk2MpSEYbPN0eW4qCuWHsr/9t4AR/WpVJEMcjPJ
Fo9NOiqPEhBYt7KM8M47fbV/5lFJymYoG2S35WxNUEN12nYWNCjdfPHNBoEkFXrUD11HPMpJY926
M+LVp0QDQmazMi73Dxf/5TwHDIk9a1DFPjJHFY+ULA124Sh7TpAU8r0whAIdf+7yHkAX8Y/PuYj5
6OWo+L3USGYaWn9KBYSQfVEZiMBAPOptZ6js2HaAglfiCVhvIb+baVDDuNLMZi9n3eCh8h4KRAk6
tUfgA5SFUbnqRNUUsXxSZ6fOonRcp6KpTmam5j+sQuhvfjTjmTV5lM883UPtqggPS7Cf/Z5+qy/y
9kXWUi9dT52Xll9V1NDGxz6VKuuly9G0XZuBXYidPpZZtRp1z1O/AeoPO1e32JuHSc3/R9l5LNeN
ZFv0ixABb6YArqeTISlpgpChEt4mkAl8fa9boxZZIUa9jjfprm7wwmSePGfvtYN67yyz2aXL2G/L
E9I/2/nEBmcRtdKQABGbKIiauK3q7LFDEEYwaEvWz66zLPHUdpYhUrsp5rveaVvOZfzgu6Xwrf4B
8XdwMkqtmQAXfh3sisUdPtWUXt8Duwk+STfbiMVzIuOoRuH8tok/+WF6y2QkOPnaDsG6UZRxX0Od
jCUx7if+TBclVT9Xww6EbDGfxTzlD2prbP8u9BuoDCMW+PugMMVHLCzV15ZSEVQKty8O3DE6l5kn
88QhU6BLQBOGzaNltYivVaXcL6BCR5qWlrUNO7Fm0jmEc8t0vdHGz3Fwa3unjMGz0s0BMRDz35sv
QMBDYJ3NGMXo3Or+UgRrlNVxXjnLbbBEiCZKGIH+bZgxD09okxoEQvm57d/mpeK2bhD+P83DKLJD
s1T57UgO8xibYa9+VsIjdRbJywwhRRg/y8AirwXtV/1V1CXUJRQE42B+MOoeoLJXN3X9wKHQNX5U
zrCdp0aE0Q8VVU2517k9NOmyGIhL1dDr6Gz0k3lDbxCVwrSuA0I0qTVQHA+bx30bECgTN3Zfu3vL
79hhR9PqDl6O6OweCz5KwGVYUKGjeRLVQcEr1kkRisL82VtL2d+aARj/3cBUx/89RYXIE49ErPm+
a6Sz7YTTeL/BnsK4Y90Yb4IJCi0zFjlZ3n3maXRyob911T6ACpZCZ8nmJ7Me9WolrnTcGxkwPp5j
OuuDIpxl1cZLM0TbB5eApe07E4VubXdNNjc/oESU8qu9Zsb3Xkm+ngEPDbLlPlu7mrgducGwIWyX
HrLoxrmTTGFyU3wacido08pYl/oSrG1Hknzlm2vFql1UZiJRq0wxvebK+MTXiJSztrvlrDC2gGnP
pzH4WUnbCOjtL8G4JxlKrlHMBp4/V6VBY7xCpHcdZUnvp0m293CspYIzRsoXej3Ma5+kv2zOUYM9
fUCcaQVnfzL6IemKtX4Zh2JwmZf0g7EjiHVY+NumWj6DN1TyTGxycwwqmQMGW70uvIiuU8Ox3Szc
72yIqo97ONfrpZ4Hd/pFP6yYfi2G2/cPedUziknIO1j6Yyi9zkvcZh5PLTkO9M/WRa0x4Gb40Uak
TEBp0vD6G/oCbn1fKV3jp3ac9Rfk2kindcGyDYpyLQwk/CCid9xZe3pgJOyGKdQ863kcVftQeIYf
7sUY6i5e7c4rSIqrSj6MaZs/tT45rGAwu2iM836axe10DWECBiTBKFpI320G6jQ6EMKYwS3DWOTK
/tIV0akEM/DYAp72YxUI/oHIUVM8B75Ah9bxquxhd9fn0SV3D3ODb18a4xp90LSyRhjE8Kna1dms
y3SVg/kUNZsxpopYJbhjhZ5pIgZFcwqdkfBISWYaPZZtA8JMTqTtHgbiAdybYRD+t7bR4T14GKaj
kzvP6G5qdyl3wcJ9+DGqUgvmF7NYEr10GuYrmErA7b7OnHikmyX2vTfOgqTJsVCJQNREHB6H/xeD
EfhvVYvoh0aa+NkfncFLrqfbDoVTpH8tc8nq48C8vJRS5B83vwMcv0SKhaPO8+jJMBanPtm5WQ4H
mE7bqeQ1ZdaWddmzFvWABjqci2+6CszbYMCAkhpbP9/mdhWKJN/WedmFs6FPUTR1X2oD8XGsVrsP
0FUbEm9c5PweDXsC0+lPw7DLmp4W1KyD4hcJIy2d1C7oomvCZs0iBIreyEERuNt+Q6AVHUhDhm0i
x8WwEqwkPKRtktV9npOgCZDGXj/YJKrk6MS8ub6P8ko/oYGsP5RFVmx7I/KH7t4tB8P94LgGQ8OY
ojmbThqk+m+5XjOvRqcaqg+13rzLKhXBs4axtt/6TOqvZj541R5rdWTvAdOON/l1mEcgr3TvprXy
rVjNPk645dqAOgzW5t8ELaLeOEDm8rmmB/wClM8aTnoLFBCtYeKpuIDvOXZbYZ3M8B6axCFdqt4P
nTCWOJN9i3grg959dBZublyBhL4FquW6bDhuc7t4yn9UWW9iLx286MxgXHipP7llcxqzQU0nh9Of
3JGuOJu7sYsMYpnKGWliXU7DjVMsNaZ/v8intOhIT0y8iSll7BfSU7ce8Sr3ikP9kJZmO5m0VJur
YM7xi5s6EpHeh13rOzcuXsRf5ZihYswheRMkoBpZxqAqpo9h4wYoYMOiLnfaWOaXOWz6r9KB/bWj
cyuPnGpNxj0NTcs4y73qQ1Nk/YzA3KyX2DKqGW9DxMM6YHeYP6KCI1iKEtC6X7s+oM4invhrVNnB
dt/WbogCtSR1L7Y4t7Sxnihh2HHaDvIrkT1G7FaWDFiGIutn4Batgrqv5K00wvG7IUxV3Timml6s
hm5SvHVkAXwymxqf0jK24bPjTcOUWKpZXkrD0tVpJgaxPdpWn4kL/4QTJb0x5UE82fl8HzI1Ly9h
PqlfwSLwSeb+4Mknq5NVvxPTaNJ6rRvHOuJdvSY1bSvIy8K1pH0otlB+9PK5LPiBnAvTycnCkJDD
bMxOFbLdu3Xu0YznY2WVsaQOdl6gScjiEG52VqVD7y+7qJuQ+XToKF8W9hO570INW1wJjcLTq5QP
a1ME4kvkTqj/GG/YZcr7vESJJ3w3jG3sf/lJd81aHgwzXIN4nM2huMzW2ro0UJ2sPdaVyndI1r3s
UAeT81Tkw9btJIlBxKrNK3VZFG3rJ5jPejgUmjJyR7aqT8uJOg2cnKG94NhEUfXRKAzl7AVKyDDp
tyB8KIWFZqJFFn/bR04nzpM1IJ92VsutjnMlwpc8avHJQdNf/H2j27JLmjzPBvbX0B7Tqp956lGX
t/KMbwrnmoezI38ekAiNeCVnHEMt4sbUXynwUOej6zjW4CKo2nvfam4zYNDZYegzQgKLLivKUwUW
gw9R4f+I6TnCbW7XAsGYTTJb99F3PUudc156BMztkH0OttwYY9sQ1gx9Oup+kXdUYR7xKAW9gN3m
rGw40LOq+QCqKoOTV+P2IEuTVivWWnOud1Mk8FZMqIY3hM4bJV09gFiPXXKiyRINZl761C/0Yl5f
6rKhsy/ErnXD3MSH3gXWA/6lasKP1mBNNSMJFmv18upS6U2Hqd6m6t7v7G68NI0t0wmcVkOOTSf5
fqd+0/KzJ+doShl78RcEm9c8tg2Zm5/N3spUguFM8gHYWBP3ajQ6spSdKbdOnO5nq4p110t9b+Pq
qU62tzZRPHWQD1jA834v5DIqEaOxR/5xhT5SZQc2BHnwMtn03IWjHul0hItIraUuu31NpHK0m4bZ
+FDRXHe+hTn/y3GPSSlLMG76RtqDzjMeZO9alAasXH0ajj2XHWa76W7h4E6UKU1tfBy6TX0Ox6hG
IjDMsoIgC5DRGCXrd0hxCtzJkG13w2zJrk6uu6CEt6KOJ9dZap3v4DsGUYIIoFe37tRQztBoLI0H
KmtKL08MbfCJfBnjK1ZqJ/u2qWG8kyDj5cGYwKa9Y0v8t64CsyX6ULSPOQG/amB4Fb2YWQr3hG74
vC0IsWyEskk2G+7ebNbfV6Ps4e+NjH+aIq+PvkD5I9rjoFDxXfx50lZgUAZi9pwTE4qgvHHwYjpp
QwEfYCVa0dvbeQgUzsrHwT5nOctQ3KvFPlaeMdp7kqxA8vrUJI9oQkS+EyzhQUw/t/jFlIGn4Fsi
vzFHBHMp2A7/sxvNbnsDC9/6SYOt3dtrvua3gVfx8CSTTyOdlxlA1WRw2PzYB2VhX2ytGg1gASz6
bnXrhZsxVWVSm117H6qFRTE2SIfT36oem0PcbaH7m2FL5p6sJg8fTRB76003aO/Zl6A64pYt5DdO
NA6BkZ8ZxV66m1Fz+gqRmmgmFUPS2hPxLis0edwAXY2DSsJNCg8kM/byXAQk3Z3AOZlyT3tou6y+
stu9RQ6gtctXv3pco3DOH3sjW5uUIyGARHfGT83uILN3pg1vWrWAcfAEoXpgtEGr5NVbQ09tUiDz
8rMRte5HNTnbTdUUNqPxrda0qUXwE4XkeMj1/PnvL8/bLg2OGfRHdKTQ6SA5+fPdEZzsSTXrynMk
/XMYNNkL9P6r5E0V79mX37SgQNjiebpqzJAiuK91VWQXaRP/h3/SBWO/VfLtAZRdk35sMAxk9Tv3
9F868VyP7iVDMRS+aEH//GmM6ntmAZl38vuoONrFVj4YmyJZux799ckeyV8KdDBc7GImVXTJAmrA
eends4mH/+Xvt/nNA0ZPQ4gFDxkwPlqvV1MBykI7ki1aOrIgl+PYzzbuBSLSUJAiSmxY9b9Ns/2j
zLMseKff+G+XhofB84UI4aE1//M2WL3oGBea/skR17qO48ueUmHcR8xJKFWzdv4ScJsuQWUs+7//
6n97BIwBICUTvYNQ9J+EnP9rljsuuo8mWP0TIxFoee3gBDFLQ3YlEBhzQl+EJGNFe8WKLUmubgyj
ERyuZNe8g3dc63dW5395BYFB8q8rq5Fh4qu33XGCfhGwY07rtkyHXrXRkBraMM+zrvuCTlqp3zOn
/cvtv/IngV+hs6ax/WooO0Ww+qtOeSdQ4HYKiEEclAckGC9JfratVR+mkfgoZ3Obj3+/+/+yFaGL
Q87Jt+24rNd/PvgJxldVaSYVkZThvs5E+Z3O60LMemScZjJJrwEZW/PfXzcm74zer58eH931fvz/
I7ebTFz7Z4SYQFL4XteRk+8XG7OasgPVpbRTROJi54JCvG7RewqZf7vd18kT/2cB7n19+dXQmwwA
j56iCtNfC3vtEupVPQxKBm0y5WP2UxTddGyp4pt3NuK3LWgwUQg7EMWg2UML9OdPb7H71TQ4/FM1
02mIy4FFKeGgTq5qNKm2jEv03om2OTH5xeLfwpOu//P8hC8ZcwEDa8zi0es1r5sXJ5ry0DuBKLRR
6w7ihFzopgra7R0Fzdtv+wp7IuoAcisQWvs1MXEKFKTIjXVlpqe77J0WfjE7ZEjjrMnderhZmhq7
zkgYW7CPhqocPkT02vM9qvHwRi3W8t5o7k1YICGQEQGWOGuvuhoW/T8fgA/61iJzMjzl/eAd7JEi
Pnap+g9+HW0XjaKpJF1Zbw9BPcj6MpuEFFzcFnvFpQFrkcKxpmNRWcW4M5oJ+fx//CAZ7/NSsvyz
HqKXfzWqjMKJLTicy3PdL/Rj/RLbNWeB1BKB/bK53W4BUza+c9E3HwQXZWyI1wd9BtrVV8v/NrkT
84eqOnuNZeTx6Av7bgyq4ZILUW+nqS6smR7KWuZHYeIU/K/LAZdn/ANvzCLClFyMPx+JZw42e65L
UpXC8ypbpOPxxOCN9lJtDccSTyWCEUwLOO385dPfb/jb347v+59iHEoI2t1XhTFPXtkbk+hTJkbC
Z+weTpINBy0Rk1BnTJDdafSlGpLBnM3ff7/2mzxVNj3Yc7DVqLwRPr1eDRyORWvfrMXJXNv1kSzv
sT2YltScvErG1cgZo/5GtwPqkilvZPakbMJN0n5eGodGArnNqSu7pRXJRixj/d0KdW9fyI0S5qFq
Rufoz5X+8vc/+s3+eN0trqop5nZXS9CrD6hvlUHvz+0pmXDw0qT4shK7sre98deiI/e9xMe3xSeX
87g/nF74/9e6KWvRjGcHvz/VAsi9S2P1t4RvsZetNZXx33/am93w+tOYJF0pE1fm56ufZnakzekO
Ka9wEUxWM5otbJKOT/KjpYtit4yTuGuzRr0zZn67TnJH0RExeEUmyor/ale4khZYGRfrNEbNos90
Ve2ddNrltqD0+jrkHFtHgPsYpKO6yeKyM6aXsVtoOKNtEP9V+IPbD30YLBO6/sAqX92FfjVotMjB
OVkgap5xv6p71xFOdGoid2n/m3vTBEGHsJmXCWsjWtXXv5xgDuW1HVIcmlsoHQnhHq1jwYsXngwb
yQJRHSPm8hXLaf0OVvjNixyyyoJrxr6JN4m/4M9l54rRLVoOuafN17Ud23w7t07LbKqzl3u/D27/
/nK9eZGvl0OyYBFEzBHudZ0rSAHW9NSW04jpO+3lWj5gYCwPWtXv1Vdv3mMuxTgd0SpKCSRcr+pJ
z8XjXmztcrILszw0rp3tSmBjSSNodZLKY981lpD/+UleFY7M86/3E5Pq9Y/6v6IOKUggESQvp2hu
VZjmrV8vyVJjhooZXLr1UWzD8FIOja5Pf7+zb5Zw1OqsnqANrwpSaps/r9zTrQmAJ24nJGTZs7sJ
+wPtWtvbOdliTue1CMhmI5ILYAcsKNgOf7/827v9j46L4zGYXPCCr7avuWlGg9OJeyL1MMJgbwZ5
XLt1d5aqsnfV1LwMFnS5v1/07duEyvFKhKF69ijjXq0Yha6McmUvPXVFX51ry1uchKC7YEwM+kvZ
8e9Xe/OpEG2OQQf29tVw9saSqaKcgYAVjJd+6FUDsaFngiVEzvzQb9ULnV3u8H++JMbfq0IP5Syq
2VevU9ES8RTWSl6Q6FlMOlXN7K0uKRDQtWtx7sUg3/mV13v2R48solsEYQdvwtVS/ro0JJakzXiR
5otJrrl1yCUY3FMvGRi+/P23vUkQpVmEYIoFDzcJF3xd5Y2M/v2yxPUPkafrT4Ux+W1S0LotfolJ
+59Cb9JrlGxaFQA8sNV8NXl/m1vmKeUDU1pV/OzaQPkx8eLBe3rstw87uK79nM44kxJq7/z5OcF+
gNMmZvPSNzQnYxsDdGyjI/gQkoh2bKb1nSbMm88XjT0qpysz30Kc85pbRSYigFwdMbyttQ7OU7C5
d4S4/daWlR9E5lvzh3JwzGO5qPLw9wfx5iuKgmvb46oC/Ufmf/3P/2/NQoDtyYa8swt5los/x43j
IFD2dOY3N8SZ5e/U2W9fsOtPRU5Lgwth1+vT9iYdIuqytrs4YTe6T0bQmfW+qbGvvPMmv72lnKwd
cpKYtWFcf40LwCTFXNY3+ktNRVOsO9Bvy5UzPVfPjbeG+mQgvBrhPBvN8tPP3O7r3+/r6+sTI3EF
FmCCQ1CGbvn6iv3ffV0KYY5shfkFtm7z1alslyhHDyS8fSV2ZGNXfsf3vB1cY6lF+vdrv16O/7n2
tbvA/nc1F746QVV6MAgf4dodu2tcjEAkGYEwUQz67YtUTfuk81E///2ir7+Z60V5gzlUIifmGPFq
x+VjL8O1HotLkfHZxwWapo+uGkiBkpo0z5L5unhngXxNaGCfvUICSGfFxMDG+xq3iuTRJmFlKy/k
puY7MD/ZCbizfHCCQqa+9usjPPw+mUlptpJRIlgLcFS9c7f/5UlfewnI4MnC5M1+tViU6FqGiWnV
Bd+68xwxp7s3gA9fwsVFoOZlpT5HgaFSDwLLO1/TPxvr/6/X1xvAQQQxKMUOppVX+/6EgscCVFZe
cqaJZBswAcZgLhhmxS3JPo9jjZ6L2dtI8u7Wb9sJv6KRJZUwGJxLtRCWNdrrfl5RV6HXd1IwTP6x
R7B9YZRQfl+m/F0E9z+t1Fd/NK5/PgpeTaqV12ftueXA6Y/tdh5VVN75GjRuaiikqzEUPWhIhWyB
NpN1WCbIWmr9UJZC/J5m5xpwUFZgbEc2lM+tPUwvyLrUo6MLUR+N0vaN2PbZLG4iVIvFV/wstd5n
UVdkN40jiLVfGDbfoLdpxFM+uPmLLswq2gWtr54AYS/LPlvt8bgyzkX13Qvjd95n2oI64TAiYlJT
9sM9A4r5Bi/iuLUx3bu2TKdpnqfPKzP6aq+HoQf3CbfBtA9YC1yLJ2F6zfemG6wdq6qRfxu2YZ3u
OjuaB95KpDAJSbTOw6whmzx20hNTbKzWLOSucSbPPLpO273kQI7vrXybv7Xa8ltSzOzlUTB+gni0
Ffq3VFZvoOgcq+FU+Q4nxYglb4ldVxYXY8g8dzfXgdp3mUenaSOBaW87eZido2gkJlXXFkEPCGuW
+nOH6KW8Hy1pqqMDFuIOh85VlhDMgCiUt0nQux2TngQ0VmDsinGomtuxrrKTC29Qx1HpD/OH1R+0
lVgdE22qQeRwwMWmSaRDQJ47EGz6AWlhNupRyaxp7zH/iC7p2k2Q1R4u/mXFvpol3jzTFI6KTZ6q
fupkvHZwkiShrksMEyn8hvWVVFnbHnSVlkw851SQTvsV+KZrxqWSDPa8INc/ZsDnc1wgHXsJFWSK
u6VyiLWXtW1/jOZ15FhLYud627NO4MVehiZIqk2jU2lW6Vx8Ilyh7ZrhOO0KZgTfcGZOH1S+Vdf0
4mCdDpsogjxhhp8DOJqdaB8ogHsHK3N5RZDer8CZwqnaM/6HegaO1rYTophDcz8429gcVTOYYkdl
Q0qc1Q7y17KK4adp9l65W5jJ1w9ukPXVzRZmrnUwFm+wbqNscOjLzH74tM3e1p+iBamLF3hq/lBs
tWPd0EWsfwY6n80Y2ASTk0O59BPvGgfCT6EggPJlHrToL72MJJrA2Wm+Ie8IxW9UD3n1wVNNoH97
TPqqXYtXMINFRnzx0RFDT2j0XLUIFOhOHRQnD06p2lkfZqdsip3rDEKe1kgL2FRiQyXa8A30Kejb
aUqzTBPjNnWskiftLrTZUR2Y1kc+XMP5lOka+Uaw5ADxa0e5PxnHqjoVy1XxVBWta8fbXEv5iBDK
fg5zlr2HSZVyN3W1aX0u8hmtWWbBKE5XVMj+l3LNFEdpApj8iFSFzf1l+dwkgopdc0yCams+XLl7
j00t8iqdc9N7pBWnq0dQwWb92LqBnuKazud06kQBanMRRj0aEKY7ZeGYQQu3pJXaovY7y/X0nTnh
9q21SvOXSZhAQeY30ptvcqpA7ZrjFB5gAEdWWjnZsBwyS2Uz0gQSYVPtocDGtLDwD7qRFOPZmujF
xACVzI+Auq/tQS29G2U22NbI6gKTT/5L1l6GUTtb4i6CaN9tcqykDExcvbg753s9DbS2B3Pcmq8G
kxSEoCQZ8n14yyATvoexv2GGms07cyARKzG1T+/Nlnl+Jk+P3cRhY/iOv7cXMSp8X8aQxaKLNbt6
3G2dCrx91vZeh+xYVXrXlVv2ZSpWNSY0NqeOsVXUfVmwrA4JYNrxyxr1fLQZ59lnpxDR13IGI3Ub
2ERamzn8vrMxZtkh6lzDTBYxzc2RjhHAo7imiXvuN7uoDihMqW6anjAYnZQkCyD5hKb+0crb1T13
pJ7mJxvo7mnwtrn70DPC7u0YZl1upUgpi9vIreb1PLOxnw267VYKALP1d1dN/FNUo8dMKdWAiGWT
pQxW5M75mjeQcQ59hBr6wImtDNIQcYqZ5PoaD+JbEyydeEXTAUA6WtruU9SwvT27RW23D/08BdOZ
UDVkQmVv9w2e3XU0jl3ei5ds8ixswazbi7uTjeXqFGAp8uMVKSRhmczhwy+RsKNn0mmLLTHXpgkI
TAeWkSLD9QmQFwjoT8jZQ3UscpdUKGTaEv1UOdP7uV+lzLq7qfQXdaH1taGhblBmIMfqinaSX5WZ
98VJgTG4qcOoqm6aZdTnBvyo+XGJtHvmvATNj9gwY05XX/YW1fQynBwLuHvK+d5uTv2yyDJRRJRG
qce55ZMm7+zRBe3oHsduDfLnjJJUPVzFZF9ZQLof0smN2w3za33OV1zUXzy6HGqXQws04fQbjZWG
wOmqz6i3rOE8h4DxBpLjip1ZesL6ztHBAAhqD93N1RVzwuFO4mZT+x3UPH/qbQ8NEL7TCfdjsfUH
Pfdbz5es3UrebKDugrtNtmp8mf08eMnrruv2dMFceTRhx/0CJoseGDCHj8ogc0tGwRYD4C696igQ
NXGyOGxeM44/6JSqPvXD2n2JOv6UJFrh7u3RiFtuqn3hWT/73Lfam2gDkYzuHlF2/QzXry9P5Eha
+e9szmwXkmTWPusa29tRFEAIkrBuliMQTDc8OUbhPdUWvcl516wmPQE6wPkl8Fbt7cZ2NJzjagSD
i9ndtesL4fbqexEUi0xLzzCNSz6AFbi4c1CLhKAsN7jJltA8FPhV633XAu19NLUZHVbGOkC3TOKI
9pA+uvaHYJ0QSdsNRH0FAUyGRKMp8Q81+6m1vz5OH1pQFhXxJAHidy4yObwWdL3uWKFEkZpCdLt8
IR3hdI04qsAx5xPcgt4yzB5Pedg8GU6JKrM3ZjfbN63Dhj8MIM5Q1dgqtYvWzg/BBqJwT424IEgE
cVjGiwXu8LZd0UonhhLjvLNELebUl9J71pFaRdLzR3ZwRIeg3Kkuqn8MiF2wcUcLwkVZ1ME+dPOF
MibsMiq0aEC16xjRoy3WYPoRlF1hVNTU5vw76AKkYp0ssScuZkH/cMntsLwd3c2yZew3W3lbtX3t
ndYgLNI6awpvZ2zagW3ptP4aWyqYvKTteyfbUQKvqN+CyndRnhpB8Y1g7ppaN1f6vqKFSg4Cssg5
LdpwCe/ox0z5fRO0IBpXOImHhrB2SjomWtHBkFPQIp3sxIp0biBoEodOH1XghWKUnMEDfp6qvx0L
OiYf6SCVT6DTtvaooxF4KRWGPaQKtNwXo1vQuANsrBs7WRiZ90d4r8R7jUXtGTv8aKj3Bw+Z2tJ6
ekkUyAMdh8jE+jauh9xQP+2iEyoO+s5xd7zciNRCu1lpTNLLTlhwGv9bVbnVuCNAQVWsVLT2Um0H
4C6Gggx6IY1JJINyptvC8Sf/LujxoEWxiVy4v3REZsPjN9AFJzl1GUHmRmmhtq5d0NOmCqP2FqV5
P9J4zYyhTDqK4+ZGAZsveWdrA5EFUutrxU2T/wOxFLNH8egORnDV/IJOKf2mWRFRj9NnPbZelVod
OJtdEfjkdziaBDR/K431p9og8KXYUtRpMKsRtR0Qj+hWZPWGZd1hJ7Af+khNHzZTzNUN9opoxFow
RaNocRKB5LjZGiv/5htePp6yOVpZt+iM2B+NUFZAW51r7YkTdRK7CRxMDoMrrI0gjjqQksyCttzZ
s6POEGZLZiKpnOpWpK1QNah5IFa3OUFsPxDi94zXZRTkB6Oql2PhRLqHlV1VVSyR4Zg3alOGk6D1
L8bUojnV7JuCei0hgSz7zKWJTpXDunXnYhh9deAlGjzsS6U2k2yKnOp+rafNOHiT1dAx7PMhsYGo
RXfLXFAuuXneWk/NdtWM1mubV+c8G4EA6Gqeph0C2/7oi7owd2CxOOBZqIJJlKgQX6Ze15lMmhkF
GVkRe0M0dKxkQ9Qmi1EGDaWIrNSP0KAgiWsZenonoqg2U8xlXh97GNfWE/WILY/b1VC9DZE/ggk0
ggwFLLNEUpautLvrkZE00ALjgVdZVXjbRsLddtxl/Mk5aX5LLPvN/9z4NtXn1YciLtPaTANuIx9v
0yw1tp+60QWLVSd2qg63/DOE12wfUeWLNp1VND4Fmb2U58Htis9WsQbrrl7xxspYlhjeY7ufy26n
ixb46TLOY32cloF//9oXDi80moyGYmdE1o+4dvagkusK9XtT+N7XbFvReWb2ZoQ7tKFUziSJ9BpQ
stwk1Gz2DSvJK9aILi4IEqludOEH063h291taOvGPoqJgDi+ZDydRJeDw1WxyrXJc2vWKlmWMfvi
h8h/Yh//WQohx+NOoi4Zkl7pNjgLIHHBDgzy8m2dXclvcGw97ahAMu4+gmv/iQTvHn2sr5bqzJYe
7qCcb20KSCx6GVlBqgwVhC/Hn7Lqyq8DqFv91NQdljwzw2PYqsL5iQ9kWG+DCTXrQVmt+AYlY1nP
JrFFK+E1XSU/TNkoz407Wl2aq8ZRx0ra9t7q4W+gFs6H4tx0gSA5Za22tjwsW5R7qSBakI3MKWa0
EHQDjfAzSSjLeFacv74Pm7B+9wU8nbgOCXs8ODPPVrORNbtIe+aWtrNDqEHcO8Uw5HG/TdiAqM+R
QdoTPr9YIPf+YNm6MvcIQuvt3NJhlvtg63qdcqjxVIIWpHtcmwHRKNoKP8JDOVSspKa3uc8B8et6
ty6Z1e8shOdWOjiFncwM5JtnwPRbtG+I0fU/2WiXp8fBkIOfFhuhPqnYvNzdr0ERBrFbeFuYQDS3
tm/Z5Gt9xyasZMrK3XinheY0J1/PRGE2QP7WLJhlYKPH2erq7Er+fLwirGIiESW94gORxP4ENxlt
d7yhM8ndmADMpgXNKSxFkehvcsdBx+xiCkFX3c7VOH3AJzKVB99vbe9w9Rmc1f84O7PdNnIsDD9R
AbUvt1pt2YmT2JaS3BSyde0ra3/6+egrqySo4Bn0ANOdQVNkkYeH5/yLDeBqpaUZtB0rnrRqP2lI
YIL6wLrkU8Lh+VVHBIqN4fmxu4urLh4hEVRREm19I8yGz55dNc6Ri1ZzXpGLJ91fASiqf2m+JeIv
FWRh7dEV1FzXOFFX0yeITxr473HM1K3hVN5vIiv3WF4MYYnpNtnkSq1GoNq1gBWzTVulinZDHKgn
AWRTXddtCIDaxwcetOvYB//sIG5U3nG20gQrU4t8JV+oMl7WdA3LRKWTPoHL/3BlFfJdPbnWpoQ9
ptYPGsJR3VNsawHB0k3B9MOnLPe1Qz3iW8bO/aClCEVWUA5I+VrAosEvzTn1thELN06K9MEo1HyH
MD2BSFHggK6cKG72ArHw7oBSkG0slXdl+/m8UEgHF9UDIAE0+TxtVt1s0GhOA52RQYWQwvHSThXq
XqVOTzwIVBhZTvY7GBIIHDoqDiu71u11S5Hlr9YF2ULz+gKhQPPPoAkIbA5kJG3cWadEOIPVm5aS
PGQu8Auu+2k6UDJMC6ogZflagT9uHsakpmkF8+Nn7ISUBICvQKPTYGHcrrZfFJ0JHvxFZk7OZWlz
9w1lGNPQ05vgMeqs9KinU3wvNIQWiGIp5J+kRFyycSBWoBm/vT30RaHfACMFSpPOJLp77ly5teKA
tiYolIOD9+p3va39nWIaMD9Mo3uAfLlkVX8xVTY+EnvgUfDEgKo162bgoRVMuTEmhz6sinXY99aT
hTT+p4nfyBaQtai+OXEYw6UvfnHmGFnqsUjfPji+c02WweZhXJteehADiPZtMrp1/NWw2nGAgQmM
oUSGnsANzadcu+GQY6g2kuHsnBzVlFGt4QfZYzt62zrpcu8UK4M67ROik7kzjDrlAelDLvpoV4Ru
MV/GITGgFwOm5K1r8i5U5EOWgTVJ4lcRiGlrQmHNVmYoiO3QsbjkS7i9j5RiSmA0ZTJgSIAFFpHd
Ft7CVpkt4NsvoWkuKSOAXPg150FLPomxQxjiVwM9wmQTItu376Mp3GvlVH/3utHYIk+6BG59iwvv
4gbDgsFAAQ2/Mo6IM0dDiKaeumhw0tckj8ontCkS+PdqZtzXfTHFK18y8ldh2FXlyuSi3NcuUBcX
WzjKtyUcTzSqMI+5fWouTNT4UVTJkRMniKL3Mm/Kxb6n9WpAoCizPGxWUIXbjSOMFvKdQAdmFVat
QzIIqyfYlPlYV1SLYx32blooL+5QxX8rgvufDJZPvjJCgJNrPQ3bvejTfgEWNG/Os4CO1BpnASmb
6fYbaO/dDiLvsMRUheMzJ6PKyQRR08K1DO7lCocw0a9obyJbB/ZTw1mNR6Cyxt0w/c/slOw730aM
D2NZFMc21vSP+sLI34ZVKMhQ4rGrmbLDfPbbwOMZrTc8k+eKB7DZ3jddWJG6qvIyu7dY0SVM3Czg
va0GODAuXkKQzX/OR8xNT3S50g7PaeRDzUra0H/0eNSgLUDpLFqVg5EuCUReH9M1JTQMBNrcBrhN
ukzvnGF4jih8fnNsd/yeQN06aWMSbzj05n+3t+csyL7NERQh35uOuc1lfz5HaW/V8B2HZ3OyIN/n
ogB5m46veukoFaLgCnme74kvvADLBYj0taGBN8iWICJi6FWfD20PCF6QF47P6LmLu9ZVLKlHZf0p
SlXsktYy79UucF+z3Gxeb09aTuo8TkiZTxP/YRoxEtQzGznTgLcLRuYuT76iKVDV+AxRUFUC3VjA
hl0Zi348HDMU5E1wlTJUvtu2QVl5Y2aO03PSauK7NrjNg1TAahGGQKt3oS98ZfcwGJBaeg0IIs0l
7mjfdQlI4/EZiy48ARpyXw2Hz7YFVay2yHMkFQJqtxfz6phwCTwgUg7/lX/+boJ90ynewIPzmeDx
BymtnjtRmJ6yK5LaRBapEWWzkBNfW1ML2S+w7AYqSPZsTTXKRQaqwkwToc3nUi+ecpEYx3Qcf9+e
2+U9xql4N5Dcwu/mBu1SAoGn8ZnwLGn7MS7DNXI9dZs5rz4+R3dwKa0/twe9WFDgIaT7QCUhaUhY
3fmgVpVObho5w4tVR7y2vbCnguInnlXtogJoDmJBMDUXvuIbvez9mUA+CzSdDP2axEDN0QyiKict
dZzyFRiwUa6aCYXz7eClZA9RGWdfigoJ+PtAj/W7KqTfsXOnSlPvc11vvX0QGqI6TNrJscv6FIST
88WscrGDcD49Vr2+rhprnTodnF5UdcJ2nQ32qO7HykgUnu8W2t4Uiz0UZnBICp8D0x/uGj+o6rUd
itxeBWWMCAuQG+OLEYT0OXD1rI9dhAQGDu1j/z32QsP/S+UimH7l8VD+LbrRfRz0DqY7vpehgB6t
u8nCos2fBrzHeJ1AHwK/RQQFMXb+qcyyc/wRhPZrzfsAxk4Qw+DSm3Hw91oNkwssgUXXJKZY8ZsO
HrXu1Ood5HUsalP1mOML+bG9Q1ij3mJLpXQT0PiF62dZhsJx/eZVy3vPBFFRYDjr5wpuKTxbkk0m
6n7hMF5kXXJM8D/ymQQACDzK+SIEVNurvii61z7X2n4V8bpu1zG6GDk1oqk3t46WdH893JjddeUK
9VPg9f2ATkZn4vCrTUUNQAmT1GxhLeZRQv4uCzA7h4hQD9rw/HcNJZQKw+/LV6fpsk/B1Pp3oImC
SV5o1BE+vPAQUz1uURzkYPTNLjMKAzaunpRgTCs0fvt+6/4xA6MPNvRFevQDHLfPFnbfPDgxP7B7
Ev/DQxAVA/18fsJoQCU4VfuqZPR/ay+vjmDw1J0Qaf+nJiIWDyliMv0CSVDGvLNAAapOvoIZ3X5z
ATofNkO5kCabqbwYiJuKvd7YzpPRuuKH5sSopmUEfcJV7hQP8RQXSx/17bV9PjwbG6gkZTuw1s4c
SFj7KBxQMndekFSi52ENbjr8mOJgtDZWbTvNqzCw/XKz3mLLFf6rqxmKdTeOIcJHutkkv7LAiLx9
bxJl9/RwxbM7xki1JLrQxHYyO8xhm7E38w0dFj3G/6LObV72rVvfmX41KD1vB/hqwx7n6QikNV6u
qOJoida3m6GkqIHWgeq9uqMEoE9+XsPlCbR4q5hdmOyTgp0Asr+t2m0f+DrO9mmkNJ+GIfT6J1oJ
3j+ecW75r4/H0XweceIov1qoHTBuV4+wglcqUu/1J9tXPffvBzcx+xdwlg3wFUQfCcT5p43U1qnc
KfBekJ9AjMJBc+YFE7zsodSj0t7iflEsSbtebGL8eMEbs514tvKqmF3loAQKFCuogA55VAFxiEPz
qRnzlEZnYAdSzod2yDct0Ap/d3uyV0fmrFLUoLalz4m/KIFMFKm7/JVbr+ekUIpUG719cnJNRfB5
xMMg9ZehizIQvN+/FkQPwOnok4DxRkZ/FigcnMcMl9tP9kFQIa6FZp1QvnC8Q4XdhLOjFtd3WJJO
+DDGivqA94hSrFu0T8IDLlF2dPDcgoKp2kXNr4yW9FJyNV8XqlxvHGyCi2Hwa2d3mh/GamHgTPfa
JnZtrkDRlL9Qg6yLrT+aw6/BGv3nCvK/srn9Pebh+m1cmPaSzsDrfc5JCesOxMqQB0fF8ktAOAUi
DXXnfo26sNjeHmqOH8VNjDlKJDqXFqzzuUHz2GuACzRFea2HUjw0oil/dT5Wekqka+tSqyJjm7mZ
Z60F1vLxPW8D+76xHOEt5OvzWCp/hyQ9Gzo8IO7s2e5PTNr2uCX7r2M3uMbdhFni91RkOQ3UHqkb
UyKA1nnQTvpjFnFVfvDS4q7Smf+bURBs1TfRyHfp7aS5SenA+jwOvqrGkChQ+ukKvz/F9Kth5dJ+
W1j5ywnLEQncXMdUauY1xEAn9iioXR1RfGoPZmKVmz7r+89ZCuF9VRvczmpgjwVUSFvsb391uXHP
Th6zBXap6VAdoSHPq8oRuJm+wXT1WAWpuldFrz4WaeuDAmhiC3BW322b2LCesECstxTE84WPfbnB
38hBJik2j0GQ9+fRNQlH3wX0mRyDbuwfFK1w9hZo9W3SmsrSNXltndnb8nFEFojEw/lYwqFH4mtR
ehymMt91oZX9EI7ZrxQoZXvYdtMP6q1Y1DdpsvQGvYwfUs3ehh8p5Tog6JwP3Va9Qu/ZS47uZAPx
r734WQ3balsBiTlMwqtOvkIT5va3nb+Z2MnUbIHUODjqSK7k+aDDkNGrEVTEkc2CQgtsCQXgSENg
YR1FcTKswFVpS5yGKzOVD3s644g4kGXOqpyKhrBUHRXZEaCffWjaqXlhZ01ks5gn8OQx7O/NpAQf
30Yo6HgsLNUaDG9n8TluPH9qjSk/Aq840N0LjHVPdWWr9z4SV7eX9cqRoTyDVjWlNalWMN+yE4cV
udzsWPh+9zPzB2+rmQjYYJdc3iPerT+U1KV+YJClfYK1vfRVrw8P0uiNok0d+fyrsvgBGjk2X7Ud
suFhaGs3X8EfoYqbtYXzrRohyYeaT4sw5MG6qbDcsBdi5LWPTFkDNWsVjh14+/Pf0EQD1Wo/yY8+
BMIj/w+xSRz0UptBRc7Ui8dgNSiF+GBtTO5nlIpIcm383tli56OWWeTVfRnlx2m0gzvbG1R7i8a1
2BelsIP1UDTVWs09aDoVD6zbH/3aWeLpJIn4QHDIBGdjW0qccFjzozMC0lr3YGyBl4jhn4/eVLot
JsR4F/b0xUOaOiTNHoejSxFC0kjOxww7cOVOZMSnUtHHltJyDT006ptw21io4ABVTEEPBpryeejI
FPYk0NbBqaGSAS1S43ThjXOZIMjfAyWaZyNKKFCQz3+PboW47zZhdBr9wADfWPSdv0cWmMqIZ5bA
MEPeQcPWS8rI2apDE5ebGhvddh1RDXMXPsjFMSCKIqYuExVd9lNmizOqke92uhGQJ8bNnxEYw2PY
Y/O6b+MBgZRGqNii5GCfrHVr63F8nzsAQm5viqu/gWqwyqMHL4/5BzJGrNHp1EenWljTpmfv3Cll
lP5Kku5Xr07Oa2RkyJ7mfjitgyoJF+L7xSlkCehocW1zJmh7zu6zoi/7wkLe8JSrgbPlvFQxDWG/
3nRN4/3Q6NM/opsWLaSkF6UNmFz0kmTOgC4svchZACrwHJ1EXCtHhPeSTYEVvbqOSp5xqe5Fr5k5
OGgbV6NEwTSPJjiDu2ZMsAsN1P6pZ2Mu1JKvfQR64rJUzy/ixjnflQMPEugzTnAyBvRBVmEOk2IY
i0lFXiRWV0Y2Oo+Bn9R3xegWG87ttLALLtIK1kP2JmSbiPfh/PGtWZJ7a0/oANtR8AJ0xztKSa7H
1DHTV1sxbSR8oir9M0xJf7y9AS+iEkPjRmtzLHkC0eU8nzuQXbyfLXaANojiDgkkwZeoKCZV0Xiw
utLd3x7vyo7jOUrPipqoS7db/p53ubExRVoHrCM6kWH1z62aNjzFdHVtR5a6mSzf/BIG7Ibbg16Z
JHvbBHfI65Dahlz/d4MmboKMda/HJw+l3yfo3oSVSrPRMxd4VCtLlKxrc8T1CB0A1pZrRv75u+FG
ngY2VLKEDnXgIiiqTGudqgNk0BBxTTsABmzoqbcQXC3+rWd5OPRI7nLZXscH7eJWV8oeKvrgJqfc
wNJNzUP01NpJhTCTUG+5vaDXZug5MhEFtqCRIZ7P0GwFIRWqwLFz8FQfKFY/l9qI/vcUOwDtrIRH
rRp+vT3olVOi64hp0BtAgoAm+PmgU2grhtplylFpFa9cBV6cnIw+dzZBanUbsnWjW+cAPh+c2HYW
TuiVm5RclCqsDUKE4vS8oYeqg6rHlu0fgwKPvpUOz6aG7FTrIdrOmg/s1MYwMUVvHXlcP2/WJb6h
lGEhXa+SJu33t9fi4mNTIqcnz/uWjyAz9PO1CEkcxxKw/xEFcPXeHi2gnpHoVHeTNgAPFj73xfmR
o7GveIDIfT03j6h1PUhEq4ZHV4m8rd9l6r7yk0ObIxGDAvfoPd+e3dJ4s5vZ16uhGeBKHtsgif5N
ji/ClVN1fYaIr/07SoNG/z9miFAaL0lAMWQms72lZnGJWI8ZHqOq/BUoLYSkxkleBBg1JphH3z8+
QdnbswCBUd6fd9poCscx5cb4qDYi+gYENDtkTlDvFJ+u+ZqE0I3vb494uWF4PmoUxqSPKDazszgf
2UFPGa6Mj7ba4jPhdRpARJXSR1dm6tJqXoQHKOI8HFlOCLyaOq8Bumg5atRc46MbE+sU8P3+Ie+c
ptwMdTZOG9fxjXstBGG9uz3Ly43DwLL5Tk2CUDFXRNFGPbGEbUXHcABKth5LL1U2ihkl2hYgvniF
Wwap7/aYF2FJTpZ2Is7qHBAwuudHEd4CsqF+mxybpile/QhGDHhhz/vsKIP74k/p+Nc36gyXgjRM
lnynLjNqqlx0bCm0Qjoid5h916KJIlNJjORIcuP/zGoX/ewsNIK9kvnWb0QAIxQ1qkGHwx3ydhej
GLYwB6oPxyN+ho1St0zswUvMEkkfI8oMOlZ8pDE1dds6tpJgqyb9SJNOcV5ur/hFvibnTL4qM0jE
xebbC4b1KLxSSaC4qAgOe/kgftcjdVuX+3IXeZQMVuD0yp95HgB0h6qRHG//giv7jLfzW8IuRUzn
BcYsCic3mag5IT/Q6l/LqQz3SUBraI0dQrBTpzTVPpqkynImVxCNcc7VRdtNo6kxKIaVHKeqrcWm
Cjzq17ZbFs8KrLQ7eLTeHxg2TbuPWyNouA38cAHHdOVY08ymlghUCOnYeZqaYiWhWPghHMFmusqq
1Jz0U1cr3R+VsrK3pRnRuyeIpcXCqZa1+7PMhqm7xGTuXtCDdFHOTxgcTxK42k+PmRnHYhvnnT7e
AZrMFr7qlfnRcuVlQjkC0YX5vrJbYPVZFuRHLxLGd6txof9BTF8LCEMvLEfwNEA7Xrh5Lh9DIOvY
xzz/8NCh9DS77CptwLXHj7MjrrxD8CvxzTLdoxfaUoBSjOCZVLI2NyrXevtbbU1EFzRE3WrouF17
j6x6M22Vqo+XHkVXLgxUcqBK0A/lbTTPttAE1wKkwLKjZlRhuC2hFK1oi7jdA5rf9bCQoV8ZDRVg
BKxZfpgR86ZrYQJ1aEu+KDS2tvoK2hwpS2qeTvLXgsYXLcTsa8Px+CeTAQIOBXIWs+mJ1YVag6iD
19ZBITd4Y62pd4n/FMzJftwOFle2L+vH3gXHg9LD3JJKEy2WMRhPwL6wjGkf+tgHHfw4T15vj3N1
UoZ0T0MKgixttpHQayhiQkNxHMuk/KF5cJvQoqdLXmjdQgS+cuehoED9BnNn1M7mmwNZUYR70Jw4
2u7U4hqlVd0DvDDtLp1wdMqFrb0gax3v0sloF7TkroRe7hk0c3m40t+Z97NykOlGaIz5Ua0yHAxM
u2b/J76zF7BYn9smXnLMvhIViHZyl5D90pyfpdrDCDjUSJ3i6KiB/g37ynQjeIUhPpYmn0K/rIIt
/SignLe/5rV5ItwH1oTnPRFJfu13j0itqZpoNKryiIxCtcYWIdqWRlJsjFGAzEdSev/B8fieANB1
2guAs/mb8/HSEcpSNaba0aQ1/IAjgADcYtJ5h9wLG1VAD13qF15sWEaRZ50SFEUb+obnQyqmS5kd
24ljgHzqLkxH8ZSEDfYD2SAAU9+e32WmREOQpg2oSATp0QWc3SKp0RTAvDX9GGujeHbyqv/i9pDX
dlkGBAmdwNKq7jpNgyKbKikuWJVzD1pgSQvrYjvJviShgAoY+QOp2/mkDdqOaCRoxhFHM/UOzulw
wusIpoHb5bgOWnscyuIlH8cLBDK5ElUeuBa0Q6VC2GzyedoXY5CY+hHzqPQUhx0qgQjDfmlHoUOn
GobqtzoY2NCpzXTKyzreDIGDPxm+iFhrVwgUjHU4/Lv9SS62OD+KogwtWhwJqZTMflSRJEJVW8s4
Knka/e5ElPpYWfSeDunYD7K7OqoBf9we83LPMSZCd4hIgS5Dzuh8+Rse63Ex2MaxzF3nV4wn3+cK
iQVIY6G+vT3URdyX05O8AeD6Uk1J/pR3Jxh24iQvUPPYDb3ZrNFYydNN3StLkmPXdpSs3RISSQ7N
eTU1cFvVrMbAwg0tLR9p65s/gw6LEBFo4q+F10e6ag1j6Qq49vHQFwULBaAB8+DZQtrKOBQJv+jY
tGpir1qrg3AYCcRY6K8734fWQ8/n9oJe+3ZSPo7sjNh/AcOtm4o2RlAbR2gI5qMSOGa1T/sBUYyi
c5fEJy+/Hh0TJkaWQHBitPOvV2Cmq2RJbBzryNCVzw7yGMa2qYVq/7k9q4u7lFcT4Ay+IK0alDxn
pwA6KoCZycKl2FBRJTYb+R73El/9FhLLdrmLrPmmN2B5oFvrpAub9HLzMDpxEaV+mQnNjYOpGpZ5
2NrWsYw0ROGVEo2vvqruEA6qNwG8S2Xl2WO1uz3ny81zPqp+vrhpUkVpqiuMqo7dc4jMy30BCQpe
hm79F0OOXrjcrq0xWSzhljTdQ5jvfLwaaYMey0L7iFB7uk1dPdxSSoxWlR2IT6iRVOvYR6UZ35f2
/5gpc6U4gEwrl53cZu+CQNwFmOi0k31EtArbzdRUo3WYT6LeFh6KbuEYYIHz8cWVnS1qdaS3FyX2
bnDwVqxT+1iliXkH9czfmi3+lRsghTb42MSuft8e8domosmokhHS3ePcnE9SGYEoJvhyHZvSdk9d
PejZbojw3FnHgQ5jWssKmrqNQF54iQd0fWiGBTWpsf/ln79b34EZVRbSVkfQ+CEOSX6NYWFN97Cu
NXGPLRMrD0Z/yWZWRrezJykEB8otstiEsDG+2+fDJuPo5jFuiid0PNQ7C32fAZhb8c+lpdas0hT6
L1BhZ4NCSYAMm/3R/QyIkDq05PC5MDrns267RoVtrJSnNgp0VJhEc9Iird3yz/x1iZT3q1aPxoOT
1eHCyBfrLfkPDphcWhss+By6YBSDJVDfq05xEOfIMmjmtuq7Ym/0UYTwShkcoiytFy7tK6sNsgls
EPqLQG3n7YaqLF1Id6I+hTWcnboIqkd0AOs9mk/uFgsnbYuPfbnFC7T6ZvaNsnCGL1NHuueyOyj9
k0352c+/dpkHlpcjb3aykd1okXlQvH82qNzpSTXGydw7JEt4pdqWIkhdojy/UzA6t+8TLEYX4vXF
HchP4YvDY5IQAmsubVoOickHSMQJxhRup8Fk4DA5Rr9irbcWKk76xRUox6K5AKyMuh6wxfNpB3WM
Ppkw61Mah6W3Dkhrn8feabUtTnfisR5bJdiSzPoILMVhjmOTFJurcPah/BRGUCPNQYkF9oIppXti
H9QS7JIC7GpjxflihJbi7xLR9Ye8ETU9QFSB809osrZoaMHWd9ZhkUzPqYAm+sGAxcyouHDZAjGS
vtjnM5tSRCcaDAFOOlKpm6mQpmu2V28iDNvum7b8TFpXLtBfL+48xnQhbiI1wxkidJyPCSISHKYT
NCccRp2110ob9YFW0jQhgae65cdLw3JACdSXlAUg5bMYBbTIq32ra07os5inUtB7JPYru8BRlQP1
QrAuXVvFWy2e8mwdukaLoggWyR9eamZMF1T2AjwazefT7pDtKAa1bE/AmsInfumPNo2CfWcO2VZt
a/3Ob/QlLNfFdY9IuQWmg/CMnLU1h/kMQQx1bDDbU1qhzr0uONJASCxEZdpRNQ+9k7l7Q8fNb0XJ
6fvt+b6x3M6vBlns4anFX1iWWfPvrJcCmnmXnihOh699omZ37lC3zrrKgxy2cCXGHdbB6GA1Wdg/
DppX/wwbBKuUGr2v+1ZoLbS5Tin+9qi7P8V4VO1apFvukC0OVkb5JSx2qqJ7dzG0vn3UgvReSCAu
wy0z4L0CdpwIT8w7/2TJqHY1LirpyUrG+EcDNeuxQb5NX5lIY2yVVEs3WktfAUpwuKomQ7+/vYRX
TgrEF1oqVCTAkc9JH17jiyJQi+xUukb4pUJJ7XOoYJuKQSG6RUHpLJSU9Cv7RUeXweGDIS2szz9Z
myYpJvVafqKHXj8K3UnusMDoULecpg6HOLN48rwgfKl0J2tXfjeqyjpHqulrAmv1c4rY0vM41UOL
NpwJ23hyqiOV+mkD9N7bpJbdbMArKl9pYSbtqhBpm6wHa/LvakPPng0IYmtnnNAgzQyutyirzMck
CXlI3V5WXWa5s50pu3+8fiEj0yKbHcVB8ZBqLfXs5AFDxqMGW1lsA+y6yFeNJfqfQKU8tPYTRHRo
0xnBFuPspLyXvH1jh1WL26yzrox+i6lUvntTaNY7eGmmtRpKSh4SJzNGq5RjdgCtg1aUo4f2p1JP
c2V9eyZzlxPQodgscPkBsQAuQ2PzfIdWtHjqAhtwsp6orremHiPMWCJwstapGd+NjleMG7jj1mda
GTEGBfQq7pGs9V8CbMC/it7sfxkqvbMNrtQpQqfZZO90VUnXKLf8d/vHzk6TFFU2ASdjxAWlDcTL
7AUAAhxsaWX6BzAT1Y6+vbahWFCgemrA0BKVs+lQ2dqjRoIAbNdE29vDzw7T2/CUOmAhYz8C8Xm2
VLGfCjD/HiqdRpLvixz7m0TLKHi4bkiqHn5Qo4AiKT1tzi2SQdT1SBHPP005+U6dK1N6GJEWsoFw
9br9DcNlV5ViyY74k6GODOkwjReZz7Pc9G1oSd3imqUNyXtrPvSY+EUTpCj5Z+pnpCyyaG2AwHhV
EBuL17nZ/Reo4biwwHNoyNuwvHp42wFU1ACGnw+b+a5N33Wkha+qo7Ey+qTYu2MefwuLPkf3CSLj
3q4dNpvV6O7nJOugyZV0HP7YNQrbtz/31V/DwQAZArjYVuflakvHTEpCxA+NUELsT4bM33ZtaryY
CuLfK/wGdamr5U1H2rMxMb0vRbzGUXqKn6h0NwuxdRZa3xaH/jgFIuqupCKz7WeXfdupmZodmqz/
F9mi2055jfJW4RsUjegwrRwdPU411JHIur0UMpy9C3dyaPjokjpJAU4mseffJcXTT60RqjsoIZVd
O9SKcUV0+G1yu7zeHuqtbDgfix4BAhmUlkF2z6aJFFXedm1S4DUQZveGkcK6z1MRfYUgVxQvYqiL
H2NvKe5z29nNq6EYBVJUuOHsPaIWDIKy0YLvSkM9+MGkPqFvQAQW1gq8cvWvtzvntTXCRNupiF6M
z7d//LV1IhmmDk++xJ0rA9i7J3RaTU0XJaI89KM2vogqOMZj3X4yfNtfiNtXRyIFJqVwecrNU2BU
jytXyYPyECiqvpvswEEUlzfdNiuDPtndntaVnUcIYlYEAvhAc9CSB19z8A2tPGBED74Ygbt+uMft
I/jcK7WGknZnZM+oE5iolkyZ2y9s/CtzxZSBOj/1bde+rPOr8URdLSkPTZXFT22Y2V/EJPofmtob
dx+dKQNp5LvcaOAi5nhDpag7U4x5dyCzRwO5wV1UyRXrnvQi/aQodviJqv5rqwdLlefZAxEIJ6hR
DpkHIYZe8ZzTVuWd6vgIhyIv7EaPWetg9SZf8AtLeRHXKfdC7KOMRniV4hLnG7RxIzvS1bo9TE6q
bYdG0dGAr6e9qozKuqlrcTcE1en2ml7c2pIETEPMhR2Hmdu8YWLzxnZK2yoPtQ5OfO02abUtUGd9
UQfcHpE2K5wvRVlbKEn7AdJhSZ02f2//hCvTBo0GsYtXo7RFm90rAqnNUIfyc08nxkEmuy+xtden
6SF2e0xcCipTq7TNu4XddPlRbepKDuQUjTTrgqeg5kls9eiBHQoc7sOV1inJV6NBaP727C4vKvYO
CRxlZ+rPkmd0/lWVqAQphbn3IfQwrnntYSog9QWWpTjWk6cNqzGKI5S6vUhT7hNXz5tdj4JZsHKx
lS6au7LF0ffb7R91+dWlzZQEp4NO9hAfOP9NNVDGDsW/7pC2FPQoXVbYi5vJcE+UyY2V7w3JPz/2
+y1uNuW90WBAcvsHXC4+P0AiXSSTEr/o+aK06PK2VtofNDUw/hqjYrQrJTWnD58oKsPg8mQlSWK/
ZdL4PuTbfT2K0ukOHQKYP1IjPVLbcbfgLstHyHT9nRR4XcxM5IY9uyRpwIIzJycB6kJFYja5qGyQ
hLV13OhoCD+43HPNmo+htiutkrqUwC77l5I6ubu2RTA2D1jMV7scQ7JxgzYHlc6B7Rp9tiIlBE/I
+4WXRzpYa8PqY1K9RAhnk2mwLtfooqLPCLHbx6MAV2+TNEzgEeo4Nby5JAY7NWSN9tBoau5jwzm4
XbYKJz99ghwbls+JC4KP9sAIdtvpmvYl8OycfxVKZOUzwsI1mqpUPM0X0y6U9okD5d7l0ZhoPzXc
H7x/U6cJHnmKAY2ojbrefpS8M21VD3ZtrzqN0jyvyxBuLIqcDZtMKZoT0hzl0S9brzxUVmH8grgi
4GxmeTXqK+KDlm+QDrCtdVlhV0ibt0335VA2+YkcVPmXo2Tt3Um/TSQzWZZiBTESicUuG/4Li8F7
NHNs1FbsvcZFZ92ZvH0HoMhdB5bWPXpDpNcrXErqVzMek5eko6i/MhPfw5agEyCsfaQqh32Bve+L
AqmL9cJiwVxNiOZjFoPfVHia9MHXAaCZ8fAviaOwoiJNKQR9S4wB7k28pn6lwurR+a8dQ/mEvHf3
HKMaW/2g7dt98aMw9ze8KEt91TlTMD2VkAOqlaHXTv9FhyGirKj4RM8+8nTJOrD9NNmaVVm591rV
4HFZxRlOeCLqQwxbrCir/2ORkB+uaHLl6zZ2KfRhwOD+9NO0LRaym/mrlOuQqCHB6eQbkAitWd1k
QqbXJtesD67Rq8fQxdZ+Ffkopa7iDECZjoz9uFbizGw+ASgZdH+N4I7cYGWrPqWWF2Bf4jftgEkp
Rdld1jD7+zicEOVZ2TxpEJX2jHJaCsQyD54dS/lr4Q/TIQNWObteEzcKqGhE4uCgL7axsaDtVpke
Fwjpty2AVmf4hlRfgVtWnX0WWGdCUdK1Q5PU7k/ggNMSIk6GgYvf43LVcwHBh/Fm916HNk7W6HaN
Oj1u8LFvIkU5Kj0yVoE2Llx289K+/Gbw0LjopA0dMITZIwFCMQr+Ti4OHG8+FPfP0KP6CJiShnv3
JdOQnq9dHs1OWmTfwqEKd34KNmph71yZMwoRYDMI/LxZ5k9Xj4dj2/kCa0Ex2ntcILpPWS2ibWoU
2sJQFwUBehmM5NBGIQ+HSXEe+3WA0aQcvXnIar36miZ5hjt6MBIZ0iKstHVXhuX327faRSYDM4V3
BYsM1p36wPy6KXOn6Su9OphaaH0t4qy4Bx2ufNKLbPqnKAHy+WB0l/a1fHOd7SPblD5/EjQrIe9z
kFrc5XruNaP5gCsPpV6E4O2fMIw69HBtCH/4wotgZ0WWqNckt+PvPkZuZjNOjRJJfxN14c69WHcb
nTIHCD4oQB4Fc578lDaCrMqxHgRNm/uJB8uuSU1lo+mtstaHbgmEL4/tbPoU/ymEU3Oi1jev9k2d
DWahDs2HurOsLfdB/ydO9VrbTTg7FnQcRPw1CBGh+pRnCXpOH/zkQB1ZdQ6JzCahI53vMnMU4aDh
rPPgWxziFl01tAfq/qG2LATYkdnNvpheoai728NeWWRXSkIio8OjH6bt+bBWNRhu17r6A+4Y3jrT
3Kg+piSKf9IwyNVjbCNveHvEi5RRql2A04PmIDuUc3TnGGKqq3i+9uBEo350SyvfaZOm7xEdMf5g
Zelh4oP1D+LOpr43KfWVC6jsK98ZKhY9aIicxO85FSjoBTAq3dAeapgI37OhNZ4VxFA3OPQpd0k2
qPepHVT/4+w8dyNHknZ9RQTozV+Wk1RSW3Wzuv8QvWPovefVf09qcQ5ULKIILTBYzHYPkJXJzMiM
iNe8lLIgN9+f+03UAk/G90WKFNYMNbfFuVa7NuMPHeWcTO3UuNikzq9q7SAGHqDqutGOvA3VjAa6
CQEExgN3ung+0p8cCqjqypnDKuR5JTQeoKarbsgbd58T1x7gheX/VGjjf8diUx0eR3WMP7zc179i
MWe9B1iPoodyrmo/8IzCJGSW1qzhU+OP8y+kifVdmQVBDUEtD4qN+2ptxVF/AASPkh1g4sUaTBny
+/nIio+dT0cJiX9sZ1SAhLQ1rGjj897uLJQyQQ6C9hdJ8BKUHWRmJpuVqZ5DeUi0cyfbuJgUWfCI
5aEZYTKht3/5UjJHL6lfdPnG9749ytTsDBXEDh+bFq04eO9yFC0OpwIvUvMszT7OUAFy6dN+6qLp
s1Va0Z5GhrGhDrA6ooCxQDQQXItF8LCNoXMKaqdnLc/KQ4oJeuPKcq58LZ3aPPSSqn78a5LfU2Li
RhZS5OLefDdFvUNjAblZ61wp0EG1edCyQwaYWcY0qa02Blv5mvDLoTbwxKNos1Q8NyXZwPHeUs8J
JMfPo5aY31Gin5/Ufq7cRM4H1AmNJNoXpW9tpH43u1Y0m4D58q7Bp/CmgDP0iN3X2Yx0WRHozVFO
RpmXcTKXBbRNBA039u3Nd6TyzY4lIKC1C3BjUYyV8aHiaSNXzDQphZVS9IhOUHKOQI4/poghfXRl
gTkSBmn6QiCnub8Yz6xj5O+wIjsbRiwdy4qTWTpRuwvpbR6UIlG8RAqjH0raa18/GIAZmZeEBnFC
+Dbriw3k9JLRG+pUn9u4Vb/K5qx9TkAt7mKsLkr3/lg3jzjGAmxkEHkBHpGhX2/WMCOyO5Fenzsd
7yQjaJOnmtscV50eEINCLuiqcbVVxV35lsDu2T8UjIEdaYtRgwhGTh6M6rnJWiPYNUMkvdaV4Xzv
sVg4oPPUbWye22sGcA3yL/ROCAVQ4hchdg4j25TA75wlX0+/4Qvh13+ZcmwpbFkzp8znmpEe//QN
If6TAUN6RC/IDx3qUlGxKYB4e3Q0UiDUSshSaMUvfw2+Uxyt0J7OtVpYRzkTbqjB9BfPtq14e1uQ
g99Mg4ZaMnFXYNOvP3DRZl1YW8p8DqghZI/qbJKc97JfndQhp7KLELo97EcNpYgKBZv6VZ55zmAk
U+jTBBIpLuMf97fcTcjiFyEWAmlVSGFCcbz+RaWeAsvGtutcjm2A5JCpNOnOj0iRzriEoSiIbLcd
7YIwj9pTTuZtv97/Abd7nkBJ1KKNCYrmBsI9ZfYU0DwbzzouHWDngcjs6GKk5sNcRap+jHCaHn7D
FNM2iwmLrJxLD74cDXcytbdunnY9dwJWa5AvBJ87FGrnc2rxCaxz0jXg9l0Jx0bUYrKhCJI/Y5cn
3SEI5iJG0S9NnO9qrCMfSyegQrxbTM1SNiL6crPwSYRchVCrBKeBTObidh6VuLYRlR0+B+3k6M3z
mEskjsC+2sZ6sAsJ0UVZy0Kd0vwYmMph9inwpu5cWVXxKLVhC4yOmDFvHd/FlmG12DI8kIgYPBpu
gJn+nDtIgDkYdVLIm9yBEnbzEALvqPe1iSBhPxnTi6Hg63os+0nNPph0ivEpbr5l8TzHb5TYGrqr
CuuiPle2Vp4yu3NMLgNgx3/1uRWc1LIf06MzpUmSuaky5OUjSl7yhJ6zP+7QwfHTjXgmzsi7NPDt
B5GdoBbAdahyrK/3UZ4mkh9KsfacYkj30MJ7mdwQr7Gt60F88OtxYCrRKcEfgChyc+mmrTOZTQo2
x0ol3A1xxRsTFyUIy9qlOT7Whz7LC3OXR3ObuaBdwGVVYwNs8v6JXcRLpsvPEL0LKg4rhugdje1K
KyT7OTGwvHIziR/t1hXaCPCEIVpuDHe73RiO3gVoTFqMsEavV9dJDYipo2k/d7o6Hu1kUopHXfIx
ji3CZFel0bi3JMXcyw1aTBtfdm1sWLj0NynmIM4mrs53r8eoq7Jy7FP7WSLTR52I0hV9KH9QH0FA
B9JDTN7nuGE05d8heSLpdH+lF7FRrDQ4AwTYaSPwqFu2jaGGxf1EQvosNSjQ6VBO9kQs4zhLmBjU
0yQ9NGG09RxYmTOcGhTRhcwkb4LFc0Ah4BuJ3DrPpONxtU+1GEdOGknT3tSj+Bw0A4ZIwMG/avWg
qBuHe23GZLu41YCspDK5GDzAeQkoNjPmmJYHq3fShyn2tRdTVrwmD/sDFXT7eH+Vl8gC6Apvluw8
R0TjnK99/ZVxBgrGeZ6mFzkJtHg/xXpj/wdoofJaGDo63YHRO0KTr+/N11xOpuAy1iUdSvow0ZfM
To3veLam6TeQbPq4S41gMix3Gq088Fqz8+vSneVZ6XaOXE4n/FPmLSLj8kSKzjQRQWjhvLH9RIB6
t03r3pYKu1W0Z8z1isPkxEq805zaeenkaJI2zuPyE1GIodVCegMfisVaNhVlNZvVnJLYOcAB8qA0
MRbtSjE8mXE/Y6kcK9+63tgqg9yEPibGiwnoh46jDjCX6xmO4ZyWugTWrbNiJXDVUmmsV3q3Sifv
rBidnNc2A21GU8ofaXalQ4jK3a4RpKwNjPHyeDBpwWoWfVVMUTig17+kcEbcEanzv0yt5eDc7Ujz
vC8LZejNoyRNw6msrKF5mHJ8zn4jPuxgand/v741xt/fA4KHhh42rzYyBcEHuf4J6J3kWENX8rOD
1Giw5yOXAQqsgJ/duKssae8Hc3KOJ1kOHqnbKj/qAfYf3V6tgcI2FDjEaTtU+Yf4U+0TAir6X4U1
71Bjc3wf2f5o7B5yv1Lzz5i7meOOAc3mtQzC0DykioYPL/WjUPua+cNsnMaxHy9GqXTjo+V3sryL
m7rrT4GRFf0h0EMt3LWqHHxueOKHR5DULX+QOkhl2NoM8hzptV6VKxp0mb3v6y5vXfIHCcehDPFE
fk4z0rLE/bZ0aSgmyV4Cno95Zw8AuTnow5AqXwFVj4914ATjZ0VrVFRQYTDr+wE/R+tXPMzzqxyC
XHOVMIOwc/973BwIKHrE6bcUimqstbgkcAy1QpRbw2e0smXlaKh99TmoNOlTg5Xi3siyqnjgMblV
FV2kbZw+YpXYgjqsMoj9YqO+O/TaHAxZY5TOs61V866QkuaxyQXMPp9G82uCaeIHOyiMyIOPyoUI
wEINZbH1cwehEYSunOcuN+y9j9z01641hj0vTgyK7y/qzeuXwZD0xjWHyaEnuQwzyUh7rKnL8AXc
26w8JEYEmg0Qt6y5M63NiZqcXNj7Kp5a4ZBp4bRttZOc7CMjDM/iFKcbJ/92wflFIJ1oI4s1WDKC
Gt+m/Q2X7CW3a+M/E/b2P0jRR/pJwuVLaa2t9sJNWBdLQNiDuk3TECbo9RfmtTdG8AqDl8LQ2rPK
sEdamtGTOYzGxr17MxSKbXDLoCcK7V2yleuhurD3ybNM9bkG0/ipU6Pxk1TVES6qMGDuf9llKEfM
jFIcfQPSYJpxy9dyP9VBB6DJPKdOVEmHtqmcQ9/6hulOJsfblcrWeUSJF1FlPRx/Oflkfbn/C8S6
XcVPnlRCYJiKK0fHXPIlxqHuyqpOuxc5tMxin6K7nz4H1ZRNf+4P9CbuuBwJATcHGT5REzQWX7AK
IAImWNWTDoF23zWzZj2PA4Yf+zLztS9TgZaNW01KGZLEoQayCwY1k47cu9TAXdjapvSqdCDAX/BW
Usgt0m7Ay1EvMAm3Y4MePYaypvOzJV/HYgtAy08/cLTe2niI3mx9VgxBVwTeKPqBdF7MQ6nrjtIs
RE6qI+1T11jKZ2SPlCcfPdR/u1rawuisjMflJsgsRBqaqIvtqPSNUisYqLx0/VzsUt3P/nBTqZOb
aNmXrCzMjRB+s/2pREODEJAkaOQ8fK+3fyPFRs9ztH2xZzQxm8j0uWvMZP5DKtq93t8UN9eFGIvr
AkQfZ5vO6fVY4GCcGPWx9kWuavVFiUfp6Nixf1aCSj02nTH+q4bjtPEBbwalHQ0tAagPYZsxF0nU
YAX2gAszopPWPMOMQj7QVIfkpHQl+DogPtauT4rk9/2p3hw0MSqvNsRSKC3RnL6eqj8VKp7frfxS
KjOIQsmIpl+gDMPH+8PcfD2QU7yJ2C3C04gAfT1MSY9MxypDebFqGxdbNdezM+9X86s6WMrh/lg3
O5OxxIbkNDMranjXY8HEG+UIc+KXMdLzJ86AesQeZn4yIoSbsAjKy5/3B1ybnKgZ4hwCiozE7HrA
Uo6og8U93tgocskuuxeh+Rmg1SNqLMPWPnnDB19FLFJ6bgKueBYIROTipMO5hRQ4Gcmn2Q90ex/X
lIf3oxN3tHsV6L9zVWkO4tFG/bMozeQCAAiR4wD9CsMtHHxDEBF28CsJxvabBlKp3GUmFCsZNvrg
UmezpN/4ElgN1Bgcof5qxoytONVW2v/m4eZn+THtSjya+7TLfg7JYH+rR403opxN4P+x445KD1Cs
hMnE/XV+k566nrkqGC+QXzmdsMoWMcBHfAM8Q6C8mIkpNw45RG3PWFaRrk2HQAvt6GzgTPSZWluA
P2YQ6F9ircSGPtZ5+9MhbbLuCV52qT4m0WhTaooNa3SzLGlgpSMV5uCNoarJz2JAPi4/1HTRh+cs
Rbqi2U0oD9eQqyO16L4VDcv3i5ewEu39ph2ljWi3CAZv1B6eL7woODREPPV6S/VIiSFYWpeemSrS
ZSqy/hMqqjjAA0Q6hH6TPJSGn22s77Lo/99RiQFUNGGB0fC8HnVUE4QBQ6PwaNmkjyMP5Ice9+qz
kA14lrV8/plQCMWWTDaexiDNdtGEqfb9j7wyc3GpQF8BdUTmtIi97ZjJhQwl0qtB1LmoVCKXONjp
L60rx0+aNrV7riN/o+cpHuLvNpaYOMky/1C2o769BEwoekpSW2mN1xdmfRjoYUOJKqbHMFR/hFM3
Pxr4Zbp5NvUbQV+EhuuBGRB6JNwoyDPM+3rFHXyxO6UpBo/FHR7bRgseiV7SYSzlP1lpNxth+Hae
ojonuigqjRRn2UcB+05UysfecwbgrZYJ86Wa7HFfWKG2D7Q0/tpgevx1cLqtMt0yWWCJeZswOMeX
CgFlyeuZQgRQ0jFqJ6/0nf6pw0WcmqDu0KRLlR+yLyfHMk0ymDgVz8xYsqd9A2nqYZTUrbxlEa7/
+0t4JKEMQTWGqv/1LwnHucqKoR09f5zUf1oeHA+GVsdeU1XGxuddvi7fxhIiBSSdqI7ylLgeK+kj
yUyNZvKcfnTIyaN5hvvYI5K4S2bLDt20BOVI0yyPHDcyyvk/Xa/gMdH2NDgew8IJf/DKcrJd58fV
Z61EhnEflaMmPSXZkP02DCQW3VhVct3lk7bBbuh848f9E7m2Xoj40KEXhW1A8ddzsO2poiBgjB5r
SmdvKsGc4NI6lSdEsuqN98jtgbAo3tA54Aqnz/fG3nyXMod9VcwttE3PsiIf7ZfaTw5zNmNp2Vst
zjmVag9bBA5xyK4PIWkOFwpPlDcUwuIQGkGfggntFC/DXHCnalK/J1UMJleeZPsc1qFyyiskNNtE
nQPqIsm4ke2sTBqgBRVsscJo1y1u9BQVOxOxW9UbSC4OsWoWz1k2ye5Qyua/UVT03+5/0dsYS3uT
PAERGD7oDQNJ9etqDpES8aTW9g+mlWS7hkEPplI7Rykog70dov5+f9DVSb6hAwD+mTQMrrcRqQK6
yUAgvBKy6snPlfQx67L2kzG35SFnO22cvdttCwBCtCzZuXgL3FwkrSOlMwReL6DPdIF11DauFnTK
12nsDeVjGTPnnA0rWqRi2wp842Jy86zVedJonpXXSggrw6EUNiA9ULvEferkRUsaGehDXB1wOrC+
ZJFkfdgyxqEawesIhUVwApyi6x9Br7JEREgzPXAfSuTqiLqfJuCYOyMo5MntmgxJB2NT0uHmUmFY
G04VxCShD7JMITIJxVMDjoiXz/AMTPJiOqB4Ju7jWDI8Cy2ss9Wo08nGhvHhg3vKEaNSWgflyHN4
mTNxoiUp1GbDQ5w6/o3XXfzkTL71VS/V/DBEuBP9D+OB3kGujwo79YLrFban0Z64xA1Pj/WcsG3R
/gHvEUef7L4ITzXuqhszvDmqzJBHCQ9y6ocgGxfPIdR1oH9wVr1RkoYfeVnAT8U64CgpNY2fMO9/
1MDQtqjlK6OieiB4kJiUUH0RZ/ldFE6yeUiBAUveFFk/nDDwd4WidPtMJPjCe+ifTG6bLajyzYEl
BJO30bXGhIJ4LP7+3aCU6VNcDFXJgw+R/Slbk3tQq8offW9ZP+5/x9stK4aiRipKdgTCRSyyE1kn
axokzzcj+VwOYXnSxlC/1BqGUoOuk9y0PUkcyn9buP7VoWkNg3QTIj5L0n7Rl50yRmFw0ZAinL6l
UaN/c4wMa9kUEk6FvoxkHBUng/KSDzB/NgLVTRQWVfA33CjBStw214s8VbHg1dbhRY/L4l87n7qn
cbSqr5BeZYPHl71lc7I6IHhVSISiBL4UnNRHRxqcUg0vYxhkodurqIHA1vmFtmXuSnJqbByYlV0k
lC0ZiQIybI7FayVtay2bA83xpjIKGt5NPCZ2UocZnJvphKCN9VwbDrcS5CTfQIXLQmVv4uI4aZZP
61NLDkZF/9KVVV9+UOshrT56heKdSK2N+h6n8xbFkJY2lp3+THMTOWLloRt7/di2aIruDLRQjL3Z
lNXj/ZOyMj+GJDHiKSZwsOr1fikTs+QBGwWX0ujg0GthL32v02IcQSBVf98fa2WrIEoJXQELO2pR
S/pHSMNbs5BHuNSJU+5pIiafQZolp3Zq4yMY63/+h+FYR8qmOgnnslciQfY3JsL2permGKHIuNWf
1Lhuj4FizBI8ODgw/8uIwl0WaAZ1osXhQ0exq5U4DS+pWiTtrg6yqH9q4txS9/WcxwnWLwlWO/cH
XfuC1GlFusPqcltef8E+1KU5oeXoSXEqyS8VZpv5DvuvqT3C/DW2ruSVq4Pg9oY6QvHgBpsA5LMJ
MycLL3jp0kWkPyLlx9rppNMcj1X5ggLTS4JByQav5HaWKqeCa5mzTy9qeTMrWR2RPWfRxa5VrAfA
uBq7oh65qZVp6xiujkXsBsdL2e+m9K0WSoIFURVdgjxUHwEpa0fg6N0LYhbFxolfHwo+g8xgCBMs
olnd2vqklTXTQly72I+FrB5wWTC/OrLffDyWsYaE6v83mLi63l3A8lDaUiXb4aWMh6FyC6ufWjdQ
zVh6sON8q6B/u1EYje6hsErgcbPks9eS0jmSxtRKp9enXRfYCABlGHvjYG4Xn2bERM454eL1o8fh
DUZJlBGAnRtenVIFoWjZRhcqttGDknbOBUQjTKBQKrYM01e+HgUPMi2Y81R3lpdDaULgG0I1unRM
64dTakBPfEvIMBSp/tF0hzuBWjDBk8giavnXH69SpzGrhzm8TJmmP+MrJb2k7aDuhqnZyuTWpgX6
xyLNEK47S5FsFG1SlISk8DKHY8ZZaxodr+xuaIIdF4MVbgSw22tBKHDBv0B/Fqm65UaJ2Zedaibx
pUZ/4Ys5FD+G0JTgenTKazR03bf7G+T2gXY93OKNP5lFaKBlEF7yYQZBBKIw4/IZBue33ZjVZyeA
Q/TaDCVcroQfdLg/+sZklxmNFGGy5zRBfDH7qKceoPauz+vpizTUM2YHeraxbdbGI2xyw3PyKd6K
v3935nPfhwTJ/Xdxans4J04sfQ9sq8d8cDL+1JT+t6pvqwNC24GQJxomSwJg0apFzvURXfrJ8b/L
o5q/FGZQ7lp7Th8BW3cfYyqh8QUZHF4afScUSECRX0/Q0Tut6oHkXXQKyprbwEOXX7oprIZD3qn5
/OB0lWydh2ic4x39uS0F5bX5or0j9JoBkwMMvR6/l6w28OnTX+xSH2helryfJqvyslwu/mY1tjoH
a4cTxSmBSVYYdkl4TFMp0sLGjy5pWfff0qGj1qGBCnw0gznf0p1dHQy7KNaYKjaU7+vJ0SftIV/J
4aWQ/Kb7XLd99agW5VR+GgElbhTpb0vIQJphQEGz49KgJLbYq1geKAPQ1viS0Zfy6Tmjz7cbx8gA
jOTMrYv+SfrbBsyzU8Oh4U+zIXI7VUmeRxKxjYfxyvUlaFnQz8BZ3ypM5Xme9n1acnCUwjQ+a4Ez
0mQLfec4+OxsFEO6MHqgtAYM6n6IuPVKYR0ESxpomyoEUMVXeXdm/TaLtLRrk0ucq368r/x2+qGb
fr0zm8TRXZ24z/8qE+XlJipKLx+qnLdDazifprnrX1q13ALqiw99VULlJ4Ge5eDyghANhuufpJWZ
BWPKjy95ZmTTro8pg7k6B/t0f+4rpwmPUIsWD7k3pYLFOMGIQoIB0vCi6uVIgi6jIz/PTYoeygSL
uqsa6+v9EVeuA6IiiQddIR05t8WbXU243pGPzy5pkPnnaaJVij/rjPCDr85/R5UjfWt8pYHIhZrH
/aFXJitAhARnzrJo0l8vamKGeTLOaHNqfX6pGrmddooZVTj9STmSWuZmbF75ikgJUoYW+lf0+BZd
+l7uaZAC6L2ocdYNh6KCSOoiwmG2G1t4ZWZIklESQBSVhG+ZpI+pEoBOLLNLmehy4CagEfd6HQmY
o1FhLmo2W3z/teABAZsSExgSsIBL4l8Xa0aNyFd2qSNfPdYW/eCpmdV/qC4GT62eRw8U39odnWTd
2Im+HPDLOT7GijT9uP9ZVyKHTY2f9xNZNYCBxfHtKzWYJ77tJaxVR6JUGse7CJ0+kAONdYlkCwtF
LZEP90ddLjlwWCiHRE5yXRk26+LkID3eWVRLJy/Sg+Y08d88xlFH7CyH/h8rcYKPCrCLAVGSoMdG
jOIhtBhwrnvuImZKX02zz2MctI/FMNejS7+le1ZGJ/rgy14MSCYv+iciD1wqeABMCzLsf1RPQ3s7
fwgRYfgHGSGp2TfJvNXZEx/pfcATg9HX4/VHARqsq1judzE4pTJY43cne/6cpPGeQmrWfJMcKwj3
WpWn80YUWvt6wqRJpHl0jJdP7k61Wy0FROqVU90qL/gmZukzAhnazzkOpkM1TfXGu0l8nuUEuWqp
+aCgxc2++HxVHyrOmOODAp9vdkOTrkYtG/l56MkQd8VMBo8MX/aLqs186iIHtev7G3Z5TMQKo2FA
9Vm8m3heXK9wZZRl2Zex4kH+MDJX7VTtW2bQi5MCR/9PL3Xxl1530u/3R12GwP+OSloKm0T0UhaH
M5g7o5/bSfHkqlJyt8xJtVx8VPT9/XFWPqiOZIBIQnnO3BCSpgwCQ1RGsjdbg96cDKS/+32HmHp0
imJVfu3Vwfyo3wRzE70LIYlJ1QJZjOsVldoM72inUL1MxXbhiCkiXXgXy58ofup8CnwuVblC+nV/
pjeoEoZlPQEc4K3NmmqLsoI2o2WudYPmxc1cfAllPdvL6DvlqMxWA/8aAhDXIe31kx4e6nGA5qfW
5sbjceW80ht/q/YLps5yN8Vao3RJ1emUha203jW26T/KIf0s10jNLer18s0gZgz62qYPCIwWT5/r
hcbNaKywrdW8xJ9m50lWpGpfwt5tnaRGus9wKN00mlU8V461VWNc2cDEB04M6A7A2UvdoKjMnJI+
te71k9ZlewD4sX5w2mBLyGxlA3N1wzJ8E4/Hk+B6jnmqViQvmg5WyKgd/A7i8IRDra9fhmmOf9Ee
q5yH+ztpdVkFs43ONYF+CaevE4lWeOQztWEIplMTlIAwW1g1uutrmvTczk6q7PtR9y/pMG8hWFYC
IpJWApJMIY7uwiIewT/KaTqMXC9ogv4pQW3VpzHP1OSIyv/wNEpDPj02vTN8M9qAXCA20N3ZuMRX
YiKCoSQcFB0Jict8C+ZM2QMMVTzIFHFyniRYNq6VTsr4qQ7NREEcvJDPSh3K0fH+2q/Onnod+gxo
q8Hluv7cUQBnBnlS1SvrUE0+Sf6Y7RsZZ9uDlvaDtQuiaBaP4Lww9gb/seCKhMrl/o9Y23M0P/7/
j1Cvf4SkImk2K6XqVbLSfgZVlf3KKJEczNxo8ErItMf7460tNxRj9BMQbuDZuLgMKgstvAAnLk+V
QGNwM6c92nOT+hq3NAoPZZvOiJXpUfDRTr4IIFwqPJEp3AP1X7z82yltbaVPNC8s6uZPiGKy/xJm
siQdI8CY2dGfYvu3Kohc9ye8tsBc9ST0GvA/nomLBR4a8OqlrnnUmZsDfFnn6ANxTF3VnKPDbIxb
lkRrK2yxl0Va/+ZScD0gOuq06epG9+xCaZ4TZ+hfCquIoa5UiY1pcp6HIO6pXW15wa0OjJQDKEMh
qbp8vyW4EudWXWieNBQK9lLyX0NQ959UNE9kt4z8AmvRSQ3TjWt/dVh8EQEPUALjIF/PN9PHXtGD
WvM4p+UXq62D733W0/PxK63/108MDZE75Hm3GB1r1x9IGJFEEsHAlF6PWwGoRMhB0fBu0eitlVNv
jMc0KAcJL4XS+l/ilBDSo1RDO5+e/vVwRpsGA4Af3TO7MPWSUpq/QN60fTdX55KjWofaoQjpRJ0+
vn+5+OABEyQFfux63FlNwgKopu6VuB+fpLiNg53uNJ3pRpGTI9uQUs7Z3R9z7ZOijsB7iisdHKeI
nO8zgVyfRqPOdE+O9E9tGaheW3XaiZTSEP1tUNmaNP26P+baJU82SwEK6Tre54sxJeBoWsiD2Jvq
PA6OQNTSo9/iu7AR9de2DbkqQBCSRkEUuJ4bsoD48PYWsKZKsv7BR0pNd/PQAxbVJ7kdN0YTv3qR
cogUB3QY1QcggIvDEfjYhitmY3pwV/2zWnZFti/G4qWq64tUxulJISbaT6j/qm7m++XG8CsfkjgE
uJ4Ljkr4UuwYCBGWRlZhes00juZJ6n0zQApRH7w6H+f6AbEPuGt6Fk1bhu0rE2fP4n8MFg/NpWWf
yI8Hy4TCzsiGPgj1X23vx2rUum3p/8tDw4zdIFApcg1jgU3FWES6/PHAJCRpKWSCgSQjWeyoGPn7
Qs9kyyuggJ76TMG3UBppb4SOMaMYO6JYRCd1S5dh5cKhWSW0J3lY0N5ZDKvY9PoQ+LS8atDk6FAZ
WtKjg+v8K8VBp7qlOWgbX3ltrQWAS4R9rAqWNLpJm2U+c2R5nTQEXbdLxzj8T9nFWbiX+86Xjlo+
NdLJ0ecC7+XaUl9r/mRLJ2Jt3hSzBVZQYBOX98CoqpM8oZjkxXVWu3M7mK5UjWHtGrH/DYfkcIuR
vDXg4umEc04rpZNvenNpOfVBxobIfPLBmuxtBE1zV4kDqTrcj1Ir0YP8nTYhGEOwtc6inFirzTim
ecXHzcOyxDe7QbWuA+iw04O226B+roREoLM0lEF7CnrIIlRp6ohate4bXpDUuu/iNR3pbm7340ZZ
Ym1S5FfAxpDDBDyyCFJIHyP6Ao/bw/azmpFdQPnwaziWeAJFozbV3sfXUCA30NMS8v3LjaLLKYyb
WTO8YkKH9ikKbavZ+aVJ2zOucntDbW4lwxKVFqgQXGbApxaLaOlBLBPlDc/MYQrtoghMU4Ub5rc6
w+XPcDr5s20H8VPYo0V3f6KrQ4O1h7RFvedGMsbMU8oDg6l7IzctOHZNbh71RM/jRxW4Uf2kIrAF
oTycor8l/v8H9RkAO/NOQZ6Bj8oVpC+pLzhM9E3StpanhYhSYzsU/5b7St9NlVVvoL1v7xmgVFhx
sH24aXgMXl+qKpYcgx4pqufLQT3spKIp/0aLxpyOaaoZ3cGWI5jScpXTi72/xrdBQKX0wwpDw+Oe
XX5eSZ3H0DETw5ORnzghCRdke6TFdPW7MId4GIJUkf+5P+TtcWFI1IhYXqFXsixcKlpWBYPRg9Ct
su45kPQo21WksDtZisKt3vJtDAB/jRU7gq9gSm6eRbIzQ4pPI9NT+yL6S7EmpTkGqVNtySutrSMi
F2ifCLQab9zrLziqrWIGiLh7hj3X+TFJrGjex5MlGSdTK6x9YvrjlgTKyq4B7EItFAAn99eyum13
ltkYSe149Fu16thUBS2puIpNgdNp/HNp9/Y/sH6rrUrl7YVJ/ku1hURYmMksNa5YxImOLohRvygM
Z4eSeXCM6G1GR7sJtD9ZY8/7aVDmaCfJYafv0V5NtpqtKwv+/jcsG1OV2iCHHQTRJTfk5HPQtFF8
SEr8VPd2h4K5Ps2t/+FQKNJ+kO2i7I7zxOIb24Pddj3aYxeunDk8YwrUa7sqchLNNTEpR4kvLms3
nrL2px+33UbYv42GYnSENnTEHCg9iAV5l1REEylzQW3jovqG8jpRAfB3vCTM17rVQdyMefyF12mB
CH+mbbwEV04sp5XHEbV/sihzEZ60qjHTVDclb6QOc9Yl2NZZYknfW9BAp/vBYe2zCossXgiw/W8k
Y1Jol3M+JsEFbZbaRfUk+OLE/rTv5vS7OjrG6/3hVo6QKfoJQpQDBu3SYxoUjIzrVCJ5aR5i24re
zzgdMhY/OugYoo+BW08g0QJrNDc6uSuBSXDWGRYpRdLixeur6QI0Gk0/vFBmn8xj0g+BdWqtyPgf
FpTaLwKVJMDUVcTveLdteq2Miyo0oouC/e2JS2ZEkxKiVmrPfXOKDIkK+/01XfuEXCl0wuitCrmb
6xHrrI+ceNSiSwtlcThGwAPykzPVRvgAh8CqHzO0gb/eH3PtO9Ia4u1ON5eMZXE4ssRHj14HJ6y2
iDUMszzuMgm7C6Nona9mZ9SHRs+2zIbXjgWlX8pirC5d+cWg0gy5RK3s4BLCgR3dmGj4qEZa9rWp
ISzen+DqWPi7k+IDr6PMfr2oMYU5CUwRmPl0qL7IiVzufJRknH3RDXK+sWfW9ibPLr4ejA8w84vS
UG6hlmghKHRJ1Db7IytJEZzaNKry/ccnBUaENzqrB/dAhLx3e7MJ57rRkszx0sjqj/iBWf5Oa9tA
ezSmubFePz4aW4NOAda2PJsX+1IzEE1QJNnxenuQkepshDWv3sp5dGhiLfz7/mhra0geS3udqQEH
EX//bm6jX1phykvDM2juf0KVCQAQkKg6OdwfZ+1a4CJ+g1sRNpeiG4K8ZSdd6ns0PYzswQms6IU+
if0yK4BYEUCz8x4cFEKDf4LRkeuN4deeAhRGyFgp1yLyvlhUWe5taDGV5CWzY2eupGFkB72+OBdN
Dy19dKojSxydMDtJmkOWN/mP+/NfO/lCao99KlRHbsoFQZiUfkwED7vSf/Fhtb0k5CzPuTGntB0w
kmvqTNs4jSsNTADlgCSRlIDogbDQ9dfVcwUfVj9yPCWY6uSlKGrfbbD11E7YuOi4CeZ+Ftgu4mqq
eqZdln3yDRyjLzkiEP/cXwBFnMbrGhnVMTDF5A+kgxT/rn9LQMW1L53C97IU8xS3ZrkfoMyXPnIM
Svsk905wCpSkxXB1Mk4SiOBsR1qqHHyaZtMutapkXxn5Futm7RrAqonThscbyKxFEAka1ZhpAfoQ
qopM349NWg2PZSJHELynoHuQsId9vL8Uq0NyxDGSZifQEbxeCdR5u0AtdMsb2xlZNUmr2hd+3mAf
NH3UeJqFmfHz/pBvUWOx+oB23oB3gFfJpa7HLJHIyLOhMymjl7bihbKDjTE7Q1KOlJbrxoVhoWpu
EUtZvQujJjEOxv+Rdl47biPRun4iAszhlkod3K1uR9k3hD32MLOY09Ofr3ofYLcoQYRnYwDPhQdT
Ilm1aoU/zPrQ7OywYVKXzmPwGngqOr2piIp7rwrG4mQoHbYut3/plUDBz5P0Nmp5coHFbRU7wgsM
KwwY5JRJ5XtT3nmbiXr6W9vrSoLTom7lO8vIXOvFKhtj/Lv1YWTSf5cpJN8FAdrlQUXJpgFXgLzh
lEbVJzOxK9VPFVW7qzxgqPusovS9CxypXgxxw573tx9fBqJ330kuzxAc3Vu0FlGAWaKaMYxyQ1Kt
4Al1JoE/nN4Fw6aXdhuMcXFBub3a4mWzGpFIzsElPFAOJ893RaU50iBH6E+liIvN1GXRzjGjfO8p
SXxnuam49zisW6hM9UqRsgxNcmnZsyAjMVgaiZ3zpe1uasIumvUnuw2Tx3qsYtolkb1pE89wfPAV
+bYsW/2prVTjzp7c1scSollrniyOIr9Ctov4hwkSJKNlUCoiNTG7pDc/BLheHJsOHYkgJg0LUjFt
dJy81ujWi3sA8iZ9UwkABVHC5l6Gm96j5hVTy+WXp/Ofqk6+D9JaNx0pk/KsNTfJnLh3t7/yxZ4C
7AA/n5kh4FN4I4sQF7euEgKsTp4GocSPYTfav7zO/hF7Xr7Syrx4nRJWIR8MRhOvdjndmYzAVOtB
TZ/mVCS4I2tBWW2NYphs1GfC7gdMzXYNVHzt6QxJ5iDplHeL/Pt3GUxX9k3NACZ9ypK2uJ/DTsGX
ZwD5hada+Pnv36Qka0EXh3IAVu98rT5ymyZK7PRpDNCCckNN+2mAnvhlFHG/ljFdey44OCjw0jvh
2y3OpmD1PDS1lLNZIglUW4xWXLW7B9eZrBR51z4bKTRCckQfCUE8fywz6gnJQZ4RdEq57Tv1KR6S
5GAlOKDsklBr10yXL48B0YaIw5o09bSlt69hJCSADR8tpnv61YoT96sbuE2AgV3ScvrFjOYAgKc1
CarLsMMO5QiCwqcrDRxGvop3u2VSM1qVrsMX9ProZ2Gl5q7PGrDCWNy1+3KanB+24mnxJk/M+Qcj
gPGrji317vY+WqSjRAF+BUgYhmY0aoB3nf+KLrOsfppjXninji8qb96Kqt9pOPbqfe2K2qeimY0t
rjThBvXSNRXmi+8NlI1uuWzG4Wl+Md6YHajNbjZMR7PNRP+I7KnZ7oCYJZWFjquahUT83grclat1
abAna16mhUjEsSoAkTek87uX37ZxZdagJo5OGleu7ReVkn4yjArVok1Vl73oyX0iTFRaencfNWme
9igCC66EreS2tpkCN/mN+6No/b4Xg2f5gCGd4cHJrWz64ASxbvq0Mbpft7/WMnXld7/VLdBfQZYA
Xlo0lganRLu5r7rnGFvPrZimDi+DqBc+qZDhbkSDmaHTKMFj5GnKpzgV3iHx9LLdDLiYqBvVFNHn
NmjDlV30Ris+SxbYxNApwCugsiBZ3OfbaLZaLxBK3z/38dRhpllkWbTJWsU+hmXctjt8W+ovqItF
zeS7I16cbWmbDTlu7SYbLS7L8TW1IE5u1Fj3kqM2Joq2EjEvdrpsBkI0AfsEcByG6/lPjEVnCrVN
0md1Gkt3Exk6CpSdlTznDe7OW5EMjbn3gs7FY90N6uZgo+K1hiG5iDY2OQ6+juhRAKSn2j3/Ea4l
BtQD6vbZzlHP7+A1/rKSSm12rlfQoxRpvy1MZ/52e9tcPjr9LOQ5mX+BCriwWGitrq57xW6fQUJ1
+7EK+nt7Skbbb1HWd2J9I6w82SpT6b6WttOvxPQrqzO5gM8CcpXkZsmqFIE9jJ3qdc+hp6Il2w5q
t7cca9APdLrU8Cf08faFeq1kYtVno5SzQux2pd91EWjeAJ1gViVGwLkYjYmQ3jg3QPusK3awd5WI
hF5zp99uowWbSlfq77df+ZX1pOUUeABkeoCfLQ5E7dB/pSmVHBsq7NAfJyBuG69Iyxctz8QfG62e
9HB7ycvgwA3NQIozSAbJUy7yj8lNBBLvXXEMSXNdfxLBFCo+SaViILzWBXhc20ZUc+zK3FR3+ajY
3Z7Uty6F3wG0+mrpcCU/GGlnxDidmlWkjiuBQv6E8zgB/4dUQuqqo/1ykZaJIfL0aoiPejPl+fPY
TCGAproLvqYoia2BtS93HnpCvGUuFvYfXcDFadMQcByHqjx6TjFh/6wMEX8y3oZa9alq3e+oDhs+
egz2w1TF6ppqwJsx/OJpmfhQuXHsoJktZ4V1ktcJlNDoKDBePab9aBgbmOAifhntoAKOOJpT9zUC
YlFsnS5NyueoT83Mrwju35s6nQL05Sz3KwGtDjfdHHghvmWUY/tMzalAmmmyAOu6JROsckzwurUc
oY8HN9UFUwCrIAudGfb7jSoM87lgnz8he5m85h7Ucb+L4+IVzqjuHSpr6OqtM8bzuG0qtAV2gTCy
PGQ032BlCVeZeXYTKJ8SEevJaxQ67a8AU4r5s20kYIfD0GPnzIg+EEeqVP+cKU7wFYcrz3iw53FK
dk7mBNkf0CJN+ZjSTze+FLEKG8szstrYWpEZBlu4RH31kLdmNjAQlIUPEISq3EPLtsYHED61+VjB
N/g+Gk0Zb6zRmZt7BXte475Pkqk+soVAIo79TB9vEF4G6EYJGwcKp1pGyv72ebuyuyhXkZZk1g3Y
8yItVrGhjIokPlptOzxMtRg/69jqfQhoL3L6zKb6o6SVNaEuqsU52yxba9Be/gJ4LCBfKOH4BUDn
zvc3Te2O000Wg3ho97FWsuhzFOXttnZUuJ1Nhh9arKjmsxmXwR6o7Brg6XJ9TjFQB6QH2EXekmid
1c6MIrke0KsDiLhPhAeqzEPJKtvobip5Sl492+YpcbvqqUMlKdt6jDrTlZt92VJCxoWCixjL75Bk
geVoM7PsaRaeHh/jYp4dH7PQWP3k1kbzYRj6xvU1Pc8/cC87pwJP1geUM7ITnNvQ/Thz+dvfsqQs
k89awJzlu5WhcP6YZI1irVlKXN4JLsWalF8m62QuuAhHTYVYCooJ1VHD7uhh0hPoplHO1eQrUU+k
5toS/9zeo0vKnnw1TCKZFNBphta1XDPOMQvyvL449s2sDTtFHYrPsdsU9U70klabRRZu336qNXHy
ZY48I9/ohTI8DVpS4USpGGFqfb/9m94u/LOwKNNE3gHdYEmbX/Z6rLlAWWHItZda1Jn3XAZR175M
FPH6h1BNmmHbN0As/Kwwveh1skZLeXLScsLnSRV95Ot1EmWfUcETw0Zte0xA9Epp011fT0X6FSeK
oTy0+TR4n8eym8KdQPH8uUabafyIDGk+7svACNWVJOdNVHHxUHTzkW/jXuOP5YVvVF3qdoVpvOBZ
Pt+rUzj/43aiMD45ehAejLbykm9xVXEuvWiIvQcPWYDs3my79pthVyLbRrgLfrDNzDS/1VlUfXAG
2hUHXOI65YNWpH3+xbPiePqYO3QfN3Xh5N+yQI/7lRbNkhkt4VjwIjhQtIa4oJcshcgeisTJs+6o
NkjOweA0BEquqhDhx35onNjPZ8WL7vLYGvBNz7rKbwHFfZpDMzR2KZMF/uvRbsuVku0i1rzV53Tr
GR+Ail6OZeMo6bsi78djkQtHu0OyLnye40o8BHAdNmmR5d8B9MawX51+/DwPbrySulycXn4AawOJ
pi17GWT6IBH64Hjj0ezwSfSxRTF/53YdW5tBA0WgttGw8siXLQKGYbJZBlAO9ASqPOfx3YgYApu4
FB1V2Oq/1KF/mOYw2UuTED+hLPf80U3RO9OcQLw0FLpPtE7WgLWXtbL8FQz9ZauQmZFnnv+KcdQr
o6UoOUKJQuy2qyqz3SrFqD8okIXCTa8U2niv9mhEC8SgikdjdJN49vsqN0ap7wETcFRmI3my7LY3
t8rQQMDWvIwW+mA1sLesSVtzYL0MfPxq+qgQVKmYCYCLZFiDhQH4ZKKV2pR4d2Z6/4v7I593otPn
56Cd/3H4kSmA1drZKY2CGlcyFK+KsJW/BOhyosADIzxE1g1SDXnU8xdowhbuylS+wNJ09lHi/jYR
rfis4ur7nGZN6f1tL5313iS+IaDAqlz2dOZYUqxadzoSzmtk9pv5pWxc8+DGevgp6mbLn0eP8+F0
tXW6Hdsv6luJqJecU3DBdNXedvS7vgot+5o2dm8f56Zvv/ZB2sSIfoeaswsYJb8YTfZvDG/y6+1V
L48mlRZ9XkYHrA656/wF46g5emVjOQAr87z3QcWl+96x5+952yRPXRX/e3u9iyqG9gEZvWTRSYn8
JX61cfq6GZTIOs4zGI280sfPXVt3G2kUvxIDLsPe+VKLR5vttFZckVhHu8gxunOjGhMWFZTGNqqi
YY8yX3xIvTzbjcaYHCHor/EwL5Mr/GBpE9K3BzdHArNoWYQCSemEgdtxRNkwvTfzsmzu6qCeU7/z
qvoO2WUQMXbi5v94nVZ+b2GmJIesrcznnsHRL2Puk9cKf6hugxlqvC/SaFobnlxuO0Pi6lAyp/7F
RUZukHfbTum1ciQH1Y+lMiBuro7dVrXr4TMyImiK6cqcHQLmq+Jvhwy4SknpOynkRDtuOUKxPWOs
ExL0Iy7E6iZwnXLTRKbzKmi03tFnCO9v77s35vRZkoEMACqxYL2wS+d/snhOr4lHs4RMcpwIq9oh
Jasw/CDNbM0vVSAoD1GrIvPsqvZ4r3UDcNg2bDyFCxlexqaHVa9sktgK+gPWzdqRImocPhhzp2Aw
NZnqn1KP3engtEV712nqFIDjElXqV+7oiHwT6GqyFbqReTuQPIN16FoNTyw9TnsYlLHppr6eF5Mk
ljhzuG10xUpfrc4yD/D8O8SgVGX4RD+wLn6AKtW/msasEBgkL8jv43K4j9p+Ch5qYGCnHL2V17hr
uuDDQJUs/BrzbuSki6G1/tx+q5enGS0AgFB0B5k7AKs53zxW04hO1JpzbBmXRdsgtwJlV8ABZ+jZ
dcEa1+lNx3j5ERk10AWhCS19j87XA62jAONXraPW4bS6MYRJ8pcymfBr1VIPTuU080Gb4i73qf57
sTN6ovU9sDTlLoodvf0xiJwMJBEzpAM5+t12wGU0P/YwkEOWI9Xo6jU5advtF3Xtl5PbStAEdmnc
K4s3lZeQeMIhbY9BCPbOqXI92upzYx4dGqbW59DslA3QbEX/N0+7dJcyvXJftKotKt8uUMPexWA/
DnVJrwCgayf61FcBNXQ/FU+ITaO7RfaJNx7Oa9PlyygqGdY4LiLcgQ3vUhE9TOPOrvDaOHIkkACL
ReSrhWM8NEKUfu0p3rYYqx9ej4I+V8hfT1opStlcDlhniHUX0Qk7JLdIh649Tlycr5oXRD8E4FTE
lWPzME9d/bVu+n6NxC630WKbgTMCQQBSkxxoeRUrbabMqP6KYzNihLFFgi3YOqVr3JVjE2xHt27a
e8JjfpeHAs+x21vl8kamgmAiwN1Iv9ldLi5MYcWuldXHHJL7nVpBt9qobkDaShfyVIRq+vP2gldu
ANiv3FEWuqAAYRdbE2klYedT0h9FBaJqOwZihMnd5SFS/9GwifoypFLI0y+3l73ykml7SAohjh+Q
3uTPenfxtGk1z27UDUeXOik78QMw0nQc/Pi2Q9iUze+atov1VMxWIT45wdSuxK6r68Oi0XlA5hvL
LBdGakEWJrqji8dDCg4EG+TOmADFTl4dZOw4G9a1MiGUcRCKpa4Nfq69dolQ4QszyeT2PX9+Y8CT
MtPS/pjge1IBDkxid2+6ffBqFMjuof2p0PwelXilr3Flf8kckyYCwQgSweJzM+fy+nLyeO4ZkJQ+
xNAMI0xPfulBTDQdAm8txbgS/GDzgCiQI1Ou4aWqSWGnRsXuHY6j68TjQzEaxb/E+MzYpo6dNo/o
8Ke/UzlBPGiZF/wz1E6vbOtq7IONrvS2+WgMeqoclKJWcC8N7bSkPebYuY/kaQde1HQThMj72N7d
3qNvWcF5JJA8JPpANMKpX5dtukFPdCGmYj4mWjy86jAQjW2J3hejfCMoP4xhmrxEId3pzYy6c7RT
bPLb7dz3bf3YRFEsmIUi0OYLXFVAvmE5WvmTx0h4g9pU6d2VsAgan+5saTwWmtDTU9nZ6bAR2ej8
q86t9g3WO+cvpg3tHQwxIBI6zCEezrcf9HJTQFxBtUN6N0rI0qLOGjNHKw1HQdXAUJO7mkvpS0jx
+ZTDA91yKvqVdOxy6kkXi8Mnpfsl49ReDM9bDUtsT637o+ZWaTb7XTEmTILtqul9w+3y7p4waKZ4
jrmz+SPq4uGRsxR5OwvV22SrFxauo1ZcSSq71sWvmj3bv/72nUi3J+IhvT/ZJl0cUCVHWX9szPmo
e5Fm+B1GpXhSefFDT3m8RykZo73bK16GBFaU+koUukA5lo2weiy9eVCG+diadeIPZqY/hKPyOXBL
ApRQO/Wfgkh0uL3o5aenTyKlVLhd6UQvac/C7XO3Rsb7KHQxbYsiNf10hG/jZurdMDr159vLXaaM
58stwg8uMfj0BYN67Cf02GG/tD8QSz7lyaSvXDCXmYsEqdJ2oa6lqF8mp6lrjlpWl+qxzKdm7/RD
4OxpPVnZr6aR9iqp3owMtQwTrUYxp266icd09P6SsUmVQx8B6SMpRoBN57LC7uLcc6YosI6ONtWz
z6heBwYYqrsGB7SVY3XlW8pMnNAOMo+QK1/+uzvVjNxKFChKHJs+mw8gKiaUGK0Mv9y6se+peXJt
f/tzXluRC9QBF8AGogg4XzEKahMf41E7apVSfEycNDp4ozlmmzDvwu08NGvZypX9IztTUv8MBBBA
gPMF67DRGtBa+rHo53HembnVuy9qZnr45eh6YK7UqTLwnV8ApIGSfSb1VwDfLt4olmu619eedhQx
ASZXEF454GZY6ytN8MtsRIIJGW6QiMgKZ4FOUaJyBjOU6sehFd1Ga0zmQJk17HOsmzdUVeo9mkTJ
Fv9T2sh//Qk5IRRU0oYI/e3FJ+xDwxgrOrPHNKtSuLVxcG8EAE+wtu+2KAytokblsyzfKbwI+K4k
MWzWxSeMK3qLuAjqeCAX5maMkvEgUMn4UGRh9EELEm/j4SL8iveI/oRMvreJ627aocq1ap9wJeBK
ZR2aNGBboJ/IEPLuvFBkV4WBvdyRKzn7NNda+rsg+78zCbuDX2i5OW81RXeVlXN6bRPTnEZ/Ubbd
LtqM3VBOsVR4OzL0NQ7e4Paxr8gIZBuBs3KNXV3LgjCBwDJt2mXNTP/JTGFOqkdLVP2PKlHqT/gO
gofuNStcucCuriVhFNS6QNOW/W6BbEKkjzxXaeTj7z4IsbSlpu3Nn6JzMYS/vXGvfT0p34mFnSqp
bYt9pCWmN9c0Uo8o1nh3KNUj5ZYUzd5r1Pk7s36YivUcf7m96LVHBCACHOhtCy8bV6I0u66rZ+0Y
o+L+ikmE+pDrFWaEzF0YoP6HxeQQA0UB+qXL/dk2bjkFzDmOIp2T8lFFC3JnuApKv7GSWSuv80oo
pzMDPA6/H2BWF4Xn4HbDkCaEcttKvG2KFpNKoe3pP6pqULYdiuB/KTQl70aLfJMQQPrBJ1yEnjnK
I1MomXF0FLfaQhswCvjEbrKVehC+VhvOni2trcDWr3xCUGR0rrggmSws52GTU3dDN5vEn7jUv3Nt
Z9pPeinNHZecaf4tegpcETZ/TIDAyYJ0kD/mXYhxqQ68ebLpr8Z1dj8U/Z+ygW/RZjTI2Z+psebw
c+VUsKCU4udIkMAuToXjFuUY09M62kapdv/0UhPujh6k1R3Y0wHdbx370G2Lyvy8Itp5bWlyDweP
XfD9vNnzZ40zK0EEIzGOiqOUL4C38vTgGFPuHsCspT+okAZ4r/nwX/IeG/ka9BJpmtBwX7xkO0zb
IiKGH2fFTrd14+TdTovn4GkO3eqodpmoVxp61/aQNFyT+rJSZGTxqCH2SqrRGPqRtrHyEmPB42wr
0SfpPrXnPF15sVdGcrYjj6QEawDUWM7BRq2EzAV/+GWuqQbdyMvtrZO3tA0KZX4gQYv3vZYW/tDm
7YNiOGH8HJVK+EA/Rft4OyZdYuVwrCLxoo6XNAS4COdf2TWyMIWvnL3Eoc23Fn1rmH5cjPFHUc/j
I7dKe98kU4nMvT3AG7dGZOvKsf4NbJKeNTYwYgPtfU2f/TKDosdMY0PqJ3HmlpMlrQYL51ht/RJA
BUn9OChJK8BqfQAARD9YH5RPKdAqP57wcV+5995i43lKw+ajmpWMH07d0uUGEFsK38ps2fTlHzSb
AeBHlvUB5RnnEGlp/rGoi37X6rHp211YPwxW0q8EmsvD5+pQyxk5Sa73hSQwrXGshQt3fCGhSbrN
GAOBG2mPvKIWkXi+q8NMbCpVX7Ntubw22I80Z0EzMeGCfHC+HQpkCPvEK4eXKTD6P7PrtfdQghrl
C+h9rmDLDJ3wr28qAKZ0r0jKMVW46FiaU453URu5xzzUDlGd6rrftImAUJa7H/O5Cn7e3vKXh12W
kTiIIV/HHfB2Ot/F8GiOhxaxZQeHgVb86fveoj9qB98GvL4/3V7q8nRh9Qu+h/xJWraylc9fp5mH
XLZFWj9jeDXfd+ZY3HeVcNKdN+TBg5kFw7GPOnUXtalRbyr0J79YRhsJpMu1+BQZk/gnTjXRruzw
izoIwgXQU4OhLRAXcGvnP0uvg6oF8VI/551e/YHcO0J1YpYh7m4//8Vukp5N1JHom0hl+yXFuPXi
wtSCbnqG1OEOB7OIODFmS4luNWHxJ5xte/9/W3HxwoPEbs0JKdfnDqJGs1FcM7sLwrb5EAOHOcSx
fri93nIzSe8IJkDgC8CUs4sXd1VlNwqcpjh/KgszvedaNp6EERy1KP1rZuDbUsgAI53CH7Qxzz9a
VuVTEZZ5/hQ7ATMuE99hEH6ZOIGhxUrcbe2fGopu0ybVkFK5/ZjLcCTXZnQC/Z0GN1BP7XztrrFG
fejc7GkcmUnFWWXDAsxdP7SZdKNV5Rp/ChShv99edbF9JNcUMKNMluWIl2h0vuo4T6nbKFl4msbG
ekJ1sdvatVtszATtGE7btEZck5fdu8D/PwuCaeASYYYORPF8QafRWlUf1eBbh21E/sssyv4Eui64
q6ZK9Z4SvOPyj1gPWvaLluiDt6nmcE3aYPGq336DnCOQX0oZk4v2OsOzPphn5RuK2kG0rQpPpfSp
AKT/HmiflkC87CoAKhTW5e72+15efP+zNi+aA8tYnZnZ+fNrzLX1Hun7UzL2/c7twmRTqoG1F1Gg
eHeOlTr/VmSLz41Z1Ae1aKNkN9u1svIzrr6Bd79isdH7phmavsEGcTJEM9xlRjmCpo2NuX6143j8
M8xmgkpHUptrhpby+Zbfn8kZZ0tO6y5YWFmQY66VGso3CGbYh5eTabzCtU7Y8vj+roSORYrz9rKB
8bG94UXAwpKv4d09ZMWWWtXhEJ0ALtfqR1UvdMUfNTxnt6Q84aPZtG76hyR5OBRl0axFrmuHC/VW
QIHSNoIAfb68M1sliXQVnoIaR0SvzJPjXBTV99SDE0BaV9grSfa1wwUNhGuH6aTJyT5f0FAmLxyE
E2KaMbjDdmaasANBlxjblhjKANhUnHHbJ+6UbFoBwWtD+1qpVpLva58YcyGGhBKxxN13/ivmquw0
MZfhyUH39G4wvGBrTI21rWxA4reP0/WlJECKop46Sv79uw+sWBnrz1Z40sYh/VrrUjBH92AbaW3v
rBWK1xbjsiWZh8xHh3MRoQ2NGGm3uOxi5jk+0dk0s32ZVSUW71ps6X9XdL/tXdzbgXCTPFAvLd4i
ycMwN24VfIuqWgNWkxrRtB+UJpx3UH8HZ3/7TV7bq6DiKfDfCGtLjTS9acdQSLElq0LhcnD0dJuW
pfsyRUPoh8G0Jv177WXKaki6fyBcuGQX0s0Ls14tlW8miaFfeg4aelkfFp89M8rW3GSunAuXEt+T
8gY83nIyZdbIdyq4JX4DqhJteM75QQPcdt/N5V0z9d7nwoidvZEqQ+q7Ar/xlXN55WHJTQlEsuDi
X4tvWTJyA7HVhKdWm5K7ppvaxy4C+wHvibzi9odclr5y47AYzXfmGcAGl3ZTFk0gitpO4YYVdfHs
hIrzm65pEW9dt692+ZDU8WZOVVqo3TyrYlO5EtRXAAbqt1VT/rVnnfxBoFIhw8k5HfiU80MahGM+
ZpnG1iq14QCTg6ZVHiHXWo5t96DxDtbwKNe+N9+afiqEA+fifedprNRNZOUnU+//DZ18zrd0dT1j
0xD77pxZiY8BFKFdEBjuXW2sLX/tc0v1PdmsowfxVrK8i0qhnptaFgf4MlmJ8SNzB+S0o9n8WRD4
f9/+2leXop2LEoAqZTDl379bynbCrjG8Ojl1caQEGxUpn8JHrXUo/VHNqpU68sp9So3B0Fvj8mZw
trjQTH1MxhZKxCmbO6P+KEorV1/sxC6HLzSOHW8ze32f/xNoWnOoLXo+r7ef9kqQcrnHuVBlb5dR
+PnTlgCtgzBzk1MZmhMoDKSO/6W4NT87RmP1+9weozVA9dUXLJFzcvhC13yRryKExwdOleRkFvY0
buzRcjIyNsaFxyAZtR+3H/DaarIrZ9NXlgD4xWpBO9bGGFcp9mFjkDMLqMLZOea5m+u/4mEw//6O
Qf2HWl0FMCblX87fZ9blAJZUJzkJE88yfyBKFtu2EfNd5YhoDdZy/eH+dzX5dd/t1UCHt62FcXIy
WmRAXqdqroNHINrWb7eN1rQWri0GSkv6zqHuQHpwvpgF4N7sFQyGizIN2o9jkiXuZu5wqH3VIZBb
K1H32smQsGWox8ScCxAanUWhTPUUn3TF6HPfKimc9AK4lJ8bdP0O4eB6wgCz2je/0Qge2v9wMphF
smUk6A9p3PPHLYEJiLB00lPT1M7Pxpmcg5YM6U4ojfEag4Zdu2auvl/ULqWwH6YBS/WM1rS7WAek
fRq0Wp23XopWga9HUT9scrVanbleXY5hApon4O+5Qs+fry+jvi2Rpz7ZkQGztqm1Od00qpNvWneo
V8yH5Mta1CiMOmSrAUYvXaxFojcFbVO0WZKdvG5wq0d1imfjcYBKspK9XglnHsw0RqlSWfwC6WA4
XtjXlZGfgny0s70Wm1Yy+vFQT3urUub5QTiZuaawcnVR9GFRf9QRdVgmXoMROVUv3Si7MShQQRsB
CflKNw7NthWpYe81NHLX/CavfD7sXBmpoobGFGBZmIToGVp6paYnxaojVGo0Oq5mTc0dlDGE3AKu
z+1AevUpuavetJbIPhY31aTXYzg3Ij1Z1TR894rxbgp1o9yUlZa39NSHdq3Yk3fPctMwn6ObwhcF
GbS4mzTQ78mEIM5pzkXx0ZyJtvSUZ7vbWBVR9okRPTB6Ve2c/O9vZUSGEWZFs52rcTlEnmHAudgr
ZCd66Xm1t0qEa5y0yY2nbMZKfhONuhF3flgGqruplbx3v95+2de+LoAIWT54UqVf/v27wI52XI98
ip2f9DwVv93eU57s3rCDDYT48fD3ayFFRMEgMxAgmedreQrqvXFQY7AZVtaHWCuKL5RGQeAnavvz
9lLXwoCU0GA2yHiFdPJ8KcVsSUXQvz8VQaiN23xqnXAHh2zNXODa6wNRBnSL5Ngg5JyvI2pbH8zW
KU5h5Fq/GJa7OEt2BTIhBYa4t5/p6loSlk5PhL6fubgnENuycef28pPbWNkdaj/iBXtnx/HZYWts
vqtrET0BhTPhuaiXww7pPWiq2alK8cC6T9OhObQFIeKA41Xx+faDXTt+OnkaubDHNly2btEeiDxh
YVGa9omN94dq+S40lWM6IHLid+P4pzaN8f72olefEBwMIE/yfXS4zr8c9IdZdBkbv04b80PWZt3v
yar7aWu1AKC3txe7FtJoDiOMJfV9cMg+XyyXKDFNZecnWZE5h7ow8smPtRrIiDrrIR7gBRz9/e1F
rz0hRTqDMhRnJQ/lfFEP6WUlNrFhddVaxP7ogacVxuQ+lqGzhqe4upbkjyNiQU/AXKxF+8/WgznI
T541MPe24aLthDVgK6UZ0doE8trbfFMd5NGA1i4Pd2w6sWtnNnKOdN7zPUJHWQ72uK53Wl5H7gM1
8V8O/mRhDi0etOr/X3KxW1wQ3SWebMUpb1BD+RBnRv8Dy6q62riV2n0cKqZUt7/e1YeUulMEZcZD
S4RKUrV9M2StONkqvlww3cfnQIm1xO8xdb+ftKT49B8WpFAiiEmRJnMx9bLmZi41LxenyInyw8Dn
9G07VjddXjePXE/zSji7+oDv1ltsmcEK88wMC3EaKq49npCPSOvR/EPuXfzMtNJd6W3KQ7a85Wnb
020EigOkchGrp4btEja1ODlqXufb2h51iHjCrVZSw2tngQxBao8j68O/z89dOXZeF9LAwXS4q75n
mqHcNWEuXtvJ+zvA5tuulHBfEghsdrjvzleaW0mrKXpxwhgw0XcZwJCfVRatpoDXPpXUK5TSfhh+
XYy9wyJJYuLHKXHq8DUXVfApmZvuDlrfx6KqjZWkaG25xYcagA2DUU3EqXalA1+fF54vCk0R9P/1
sNzaTvMfSk6oV2Aa5O7n2y1SE/Jmb+50szjVlKXm1kkcY28HeV19smo9XdOVu7YT6Umg0gZVXpqw
nH+3CFOxNIwGgUa95bwkShcjoFeV1soVd6WwJTUnuZQepVBSFssMY58GzWQVpw4l/ODR1SO1O2Sl
XR1KKpcPrYWZxaYOIqHCPCrXtJyvfcX3qy/uPNVpZLrikhrNhvoaijRs9nmuCc9PkUdQt16JB9Pt
EHbtvcoXKtGtcji4CGFFbSN4lGjFaezyZDjoijZU+6JX16CK19eh8oMsiDrqchBYtTkNfUqFE2K0
SvmPF2tD+eLR/vlLKZi3Ay6VYBBAlkKsS3fbxBknMccdJ6GKc+UQ5fWDOSLrlBXOcyREUPyHS4fN
L1NZyiBGrOcbsy7nQKEKFCdzDPrKz4ZAbKcwm+/qqu3sTWR5a9iyq3sUtAXEBUCKjOvOVywqIy2r
RhEnRRnqB1fMzaYAGPbvzFjwwGltXjEMy+5HnZvv9ma5lnVa71ZeHPm6LQZjyNLyNDeJu1PGYbrL
lCb306aIDjOGld+8MlC2/2FRMKcSZ09vexlnEPEpwyhrxAnNNXSPlDpw/XL4f5ydV4/cRrOGfxEB
5nBLDmd3xV2tssa+IWRbZs6Zv/57es/F0XCIIWTD8IUMqKabHaqr3gAjOiWVOckc44NnT/rRlbS7
YC3sxTFYAWpjbB64dTbVdMojDhyb3smDNGSW7QuQ3cHVtzunv8TZfE1nlalIpCZJy9T4UGmTvzEQ
VITKFU15P0Gq/CWL+v75/qTuXbiok3M/maSfYAav11CCOhqQQfF+WAtpfkjRtpPPjTbX2jPqrMZy
cKzuhtOQ5RSVe54sm8SFV0M3zK2TXdBcUaW/MLMashd5MGpzdEW3OP3j/vD2Ph4KYjL9Fygg4LKu
h9frM3dv3JewlFoKdYqSkxA2rWMeOcTundj0BwQFjKIrioTXgUylMSosrPOLlVXJX32lRutjBWex
PNewsuABGtrweH9suyHFy49iL11vfTO2VV00eXH64oIzVxG/OgZg+n/HSum7d1GPn4SXo9rWHuQX
W9zZ27HKCMFiwMq99RGlh95YcmJJWAKukfGjW4EJn8mmCuWnoo/Veir0PFcfhhF51dd8yhUL9dG2
1ww09/QpHlyrgiz20DZdnDwvJHtf78/K3grjXQraWxgSUwS//hBdb0ZDg9jwRa+j9XMJiXJ0lzRf
nqLCcT7fj7W3ZekLgV3iK1Av2axmXr99mWhSfhkgf7YnOY7r6bPa62noylTiPSdL/7TttTAP4u6t
asBvbCEGeAuwQMOhJwth047tkDvfYE33UuIp8twewQz31phIgZAuFtzWbYmrnNteSuuluHQobYUn
NQmXfzFalpERDss/jU5ZHu5P6d7QhMYMNQ0EmW4K3lZeAVdeEha1VPTzx7hf2/yhrexy8u4H2lsn
YvNopkDk3mBGuMGMNSt5lfZZrsXuqLTJ8GjLy9Cdu3iZ7IMbc3cikalkq4JSAbR5vSyLesQU3gRS
V/bz/JAgDRbYK+5sbtInluWl8TyH/2UqTdICUaTB3nKzE9oMYJmsSuVFSbFA89cqpBuig3H/eX8m
d4eGqZdI6FiT29paVtRoEfc8fk2pT2j/DDH+qwlirJOn9nNsnlIAfEceeiLD2D5IxWQKUX9BQ9ls
vSLTqmxBvu0yW7iIGHJaDm5ort3JWu0FOjD9v2fgduFjkWb1B+qq9V/3R72393mGUIzlscpLdfNB
MVfidKdjcJFxk0/csJeVGrJvH0GdqoFbyZ3ZINSZWOa3+4H3phtIMwMHAcwxt8m90gW76JTH/8Wu
JNknWUcH2xx7xzzRDO6+diDY1oMkYXesJFxYTgopnm3OLte1Nlq9VFz60prSc+ZAj30nSfXQ/pDS
NUZise0xmnKRtMuOktz92JwEAsvGibCZ5yavjUmATy+rRkUgMtLCCjAkEegcOy//mO2409xRA0l3
0A3bOyBoKtDzh3l+S1KRzaUzF6mj4p4icYkPeNbNgW1y8H2CqJPGRyXqPQALiC5IXACf2LZbElfd
Ie9sZyl193ZSvhlz/KRPKlV3eZij59hqsz/bdIzfpbLVflOzMnrmYio+K8NifLy/wm6nnPuT6hmT
TuefC+b6rFKSubJWQIMXKeyac65JVmD3RRpDQ0JP063BlEARcObuw/24tyubuG8i0lw30CM2Cc0I
+iIZLTu+aNZYP6i5HqY+G9fovTwZVvGp6+wgH93BpYqYkGZoDAqSyuYckdcZZSuEI3lp95nljtaa
P6oURaevjqS1rUtrybTezYnT5eclzP7hmdA5kaumc31EU7w90vgpPADw9qZpcEPAtCzI9cZgJZe0
4WWzwpT5WU/JmrwrGrDKfjibc/8gYVjPC0EqbM/oM916uP8JdhYhPwKtBeghlGxvJdwpDZRGQUPf
SslgEe2u+r9LbTDcOutM30qwMcBkE9Aai3i5JObEH+YR0ua8UrpDUaHbbEDofArZF3QyAQ2LPfpL
h61W1x4B0zm+rLNtooih10pxppaHrOH9ce8GEnh7GvuUxbd7r1pkcEtKFF+aGF4vwsZZMp1zK2+P
cDUHgbbXRqu2ptGkDYE0p3lMKFKg24yERX3wIff2EqgdlPMEtp4D5Xrm7FaWs8yek0uXoSnnUumS
5QcdMbDp3Jgw/VFFlJsj81fxWLy+lFk1kFBh7EDqQ8nzOmhDq1YqIzW5RAiQxAHou/kvR8mj93NV
zvkDqIp4drVpHR/KpTGzg2+4u3YZCAmBYFGaW9FbNTEGRWsaTB7HofpmafH0PMZ9ZJzniPqQm3cx
Ct1RlZqrn1Kt1V1lHiezhOpgKz/LWu6b0/1VdXuFMB9kRJroPPKvOGh/Wb69Lqdh6NTpJZ2M8lsu
ry29FqzpfLNgH92PtbewEH1HNZUiE0faZqvEXa10yppmlx4O0vyCHIyKNHnbzs5R8Wc/kjDHECal
t0DLBM3JPu4YVaSby6kGOdv/ixFFfdRV2Zs+cmXqd0AL+O+mNpHmatdYUga4R83fy3Nc/SGN/d/L
uljRwdLZG5KQSSaHZSNQCbn+UHmI8l2B3fOFnzHlPqqwA7rm9AW6A+TZ3hmPqiAmMFw4wEI2101h
goMv0YC/JHFsLZ+casqTHwhYJamLN2OdvM/seAwhIcrN8DBKffTaT2Z4pOKzd8H/+is2F7ysjVhB
FE166ftOfhztHEXCgsT51E+t/s7IDTUAWTGMB0+uvbDicBAGR+AKt4CNlCauMdRxerHiqcxOURTp
T+jzyF/AWWFKtw7oVzzDll2PZOT3FhIS7mCOhEDPTc8gGSbM4hs1vSTg4wPAlOQvqoVRldC3N48g
5bvRqKO/lSCA424yVide4MVPc3pBqCz3m2V2PjtJvVDCm5PP9zf93nLidAezJfD59Jeu1201lo1u
1FkKUStGSRJjgrp3YZ2mqRd1kaF6naUBwq2zLE/cCN6rJyuxbn+6/yv2BowqiXiQ8CQBt3/9K1pl
GNYRBt7FDlFd8uQ5UeqPVZFMlquNFd6398PtXW1IRNO7fuOub28ZFU5aP+VcoTWFnp+jIX+bBlwX
UlQav4LpTg/C7Y/u/8OJs+OXQzxq9EVZiwKXW1PLWh/vOsv5WK8r8Aoet8nRLba3Sd5KSgI1LnKe
63BF19tqq1TRxcRMJ38uVDns0JrEVyd5aFNH+tMKm8nwY6k16/P9id0dKSUKAB3cHzelM67BZYYW
BVzfMKdPmC4JBxepzk92icjk/Vi7HxEaNIRDwU64KcwuE9jbllhxo0we5mpG0NSD7ALTj0+xNVu/
3cAWdAsZ7DZkYORUNie8pCcL8nJSdFl1vZxPcWFGzklah+jggN+bQ5J3yukUJrhPNge8NfXg7aUh
vXR9k7ymbVuIoouUFY3Xq+qgHgxrbxopvYAsBIELYGuz9ZxiLMKhIV2f6T9hCrXqxg9pqTTftqf0
2zprh3fH7gDfAI02VzKZ+fX61DKKoSYgkUtZROM5H2On9qSs6tEjRQ3odH+V7AajsSy6alyYWyIb
tgVRhdJjfIlVrS18hBarxVXRNOlRykOt6n603ckEQoVRnPBR2qI1zQ77+jax4stEi+IFC4f6RQGx
eQKFkxpeIifkir8fkfIjyCahec+r93oyFdg5SzrwvkEDuETkp//XaMPsY9kMk69MY3wwnXsD/CXc
9mZqTVMaKqSkLxUmWadynXnGoYnh8z5O/l2pJvz8L8MTXDgDiPZNg3KYIfZjjMTnQ7/xH4BwL8Zi
YrdXDubihrUx/oejmvYgVWOSRWF+eT2djRkmjUJj4TKapbJ4tdQsX7qsD50HMn3t6f7g9h47bAFD
sPBREtlWDlSkqKaJisUlVxrZV6n5PdbA7AMzlh3JtbWuQshbdtwVS6Af90PvfUeKnxCJ4diTt26W
DWZ4uYzbWHZZeu2PXJrl1MW5Nwt0ZcZDNZLz7/fj7d1J1DqZWE4Yaq2beFlWdEYpzdAzLLP5SWm1
L09FlZX+aFbaI+ms8+iErbr698Pu7X5KXvwjtH1vONOos8BsswaAlMOsPs0ThSivNSExlWktFQd7
YzcYzwxh1QzpfqsX11tV0kVynINSG7sLDGh2iGGNg99a+jCf/8PIwKLyEgA0A4T4eqHmclL2qZFj
kRNBlUBptfhoSzkNo86I/0tC8Ya/AzIDun/LcCzmqFhHFMsuszQ066OFa9APs47LD4gaGW6/4Jrg
qmOkHjGeN4tUQBnZgVTVWKM8dbbAp4zU1KmlmHpRv8qBWtnfFb2LsbJYn6eizg4y4c0S/b9oFje8
EGgDIr25CLNUAgdi9MWLKU+4zkYIMqvugv9O6NdK1Hod1Kl3a2Nqw8G6uQ0M141PSKmUhQ+p6PpT
NnGYJ5k+Fy9pGC/vorT6OjDNHZSXUHlMspkkoM7n32v9MlrqhHS1AXGAbUGO6TpoAYM0NMqofIls
ewH6l2tOd84TfeZUN0IN77+pqw7uqr2BApdDmQq1DYC4m4GOTRSqKQv3hbNXOWt55zzKGqZbEcZr
H7rFzD2054+Cbnbl20CRioHbzROH5G0TNIrHBRJPXb40i9b5Y7Iquh9Fw/qSgv44YlXrzNov5Suq
rrQ3NJ2OLhsFr4PNruyaJARaYjh+pIBvEbrpIeTcQp6P3t/brUEgB9w0hX4qQ1yum1E1mhLmY9E5
fhwi2BIuuv4JJ/LRFRZfr73dVwf34m48sjWh42zwStzEm1JVkabacvy0qq1zV7IyS95lPiCe2YPQ
fRBu+9HehiduffHSp0K0WZ0K55kdS6rj53bd/JlIfePXvZk8UDY+4tzvfDLQaowLLxSStm05VekM
yJGtjltCURmnKlJ7r1T732SasDBolNJkFEVFcIfbDqfRTGmolbPjz9iXu5Femb4e46igKmVxNiXE
vCpY6w9o8Kj+/YvidnxEFvcE0hHcvVvNTbwKCzU0R8cfU805m8o04OAXHbGGjqJsFr4aOWAmht7x
OceUgH6beY5NjAbuj+V2FYqxiPXHiw9IgVg2vzyks0nR6lJrHR8hWGG1OOlULCD320Y/+EnfOe79
eHujEhgjqhKinbZVloHh1rQ6hnl+t1rpOVl5zVLcU8/3o+yNSuB7DdpHeA9so8ihXLd9Edl+u9rm
YwaxLnZbtbTot2sLmTVYlN8dFwZAQOrBoinC626LOpGtNRzmXsnO62hXL725NC9woNPT/XHdbGIy
BbwwUKPhqGLJb75WlClmr2VYYTWr2niyyR06t2Xqg/850qW58UMTfl8ct9xm6IUgjLZZf5JZS1Kn
4ijURU36NadL+mA4g7R6haJaf+rF0H/g/E98rbPj2O0rI3ztzc78GRXdgBcRyqv6wVrdXnbiF8GO
AMnFHKPpvhl9vea4DYRTdnbirngqtK58N5MznWh/IClvrsq7BYnvg8f83pT/GlQstV83SBJVbY0+
zBkx2/bcK214CiXg/WOKY/fvf10q97yokRAR4uXXoYyW2ZViQulxlaBBg+0prtz9UlINTssj9Z+9
gRlceMIChubmVmpyCLNB0oYc548ugV7NS8E2qUTanXkGNN8cqSDebEk+nniWCaV6+iFbefQRx5Gl
L8rsDDk5eS8jFAZTCA2WFPWFc5FavwklUsRiAdTDyFBd5IoVB9Ev3w1MQjjqKrfAojcq6qTT7KOr
UZ6aiKzs/nfbPDpFKIgEEFtIwQR4abNT1FhXo9IZQ18vrcj+OsKdLR6NLK7aJz2nrevlOI+oA1bp
Br4/YzPhRHb/F+x8Sx5IAi7K+qGxuEm0ZaXXIisdJF8NJ+OfsDVT5TQXWv0hNJKqOjiEdr4khTSG
KQNOBYC2edDL0Qo7qJfJJLJqBuBSJjju9JZAv6fDNDlolbVrfQBxvJ1jNgbvQBIYgMaQzq4/Z5ln
aATZot8/FZanFmt/qid1OK9QYz6wZodTH7UxUiJ1dDDcbWQhlPK2S0TXEEb9Jk/rQxOjKHAuQYG3
w/ogTCX+TBytew9nC3Ydrped45lq0QZpFqOZ+HtfVrS/BT2ath7MRbAQ1+NuUyuyQoxCA7mw7dbD
grL5G1MTzR9pqx6cr+Lv+jXVfosFCBiPdpoX2I5ex0JwraOoEI9B1I1q7Lcj0iEoCS/NU64lan9y
mixNP9lmND31aRlZz6QMTvRwf8DbQ54fAZoJzBoHIE/VbZ6qxVKeZU46BbAcqsfQUaOPTrrYn9K6
cz4CDOnPRqE6n+4H3S5pIsF65/0mFpdgzVyPvOfXrFYNlChuwGv+hKtNMefsQHXqfSlV1v5HyTES
/165nYrYdVTxq345ouws1lSEmqdgatM1+6asVm6cJsCOxnfdhNvr8ayevtwf6fakEDGBkKBbILrE
PFSvY8pSZYxqly9BKXWr7aM1NI4nrNEyxbWTbjryT9iZWKArZHtvPmO89q/DjTU1zXJylgALNvNh
NProa6Zzb4+LGtfesKTJUYp0u36AQNNKQEXQJBvbHsaSIjuNHSdroKycFK6h9KC1mq5XnuRIlszH
kevgfY80wEGPYQt0EF+ThAy0JY8ecFLbXj+WCa0RJssU9JEifbXbcBjcpEgs5dSu5QfVbizoZQAD
P4RdaKbnVo+Vr6GEgssTwMH+yJDy9tQic+PkUFBWpwy6pRA4o95X5RjPQZMO0R+Qg6N3WSX/HKZK
+symsl4RPU4/cV0dVZhuDxGRMoqOIzouwiHm+ouv6VB0jdRMQTiX81lNtOgUgWP+BmJMeS7jOP04
0dt+0cO1e5UUE32v+wt8d+DAa5G64yhDW+I6fjgCGjYsPgN1rfEzEvNOi3LuiJYF+hbm6sVRkn9r
tCb/CZaw+nY/+M7io01Hy4AMHZz7Vu4qRi1zCGcGn8er5OM/k720zqzC+V7G/jQZfYcPoNwePO13
o/KIE2I9AvG+uSNmNIqQe7CmIK7ixF90awks/AhOqpzVLUXvvnzgzDyyANui9MSCR65bSFvr4oq6
KUArcmz0GCkCS0CyfxEUOFBUSYVUZ+x8KMI58cdqjs5GZrxKIvNTcKJ7+A8TDnaAK4t3LA+j669N
K4xTE+n7QIrD8YeDwlUcyzGVd1p8n8I4aT71Uuyc7wcVqeP1PcnAAVWLd4gw3tkERYKlX5Xenrnw
W/NBQoijdhHHDP+5H2bvs5JW0oZFhoDp3XxWeOlCdzpHlLubW04va0EQTpbk2pvVxIo8rcuU1wWH
4fogD9i5I0Q50RbnGYLB2y2sL/kcZknBKrbq+hwWffhhatovZVeUByt3b7MSx0RLh3ItqMLrz8cT
UR7UbpyDGgOVL12zLF/VKrMfpShXp7NlLcNrpLYOby8owwcH9s4oueuhrKFLx1G5/YrhisUlNdsl
UFFkd9lAU6COadW+01ZFOXIX3zkVqc5yIMBsoGZlba56Lc7tNUq6JVDaUeUNUmunWO/VJ57YQIqS
4h9VtrV/zTn9omtp/fdvL6S3Iji64sjQoUB6Pcsmj/h1VKw10MdwCc/klPDJ3KRuwsibl8GJn8sx
GeSTBbD1SE9k5wujrAsQhk6VcMfaZFaDlkJGzGauY0xqJBcnuXh91tclAb1sU1toU2yn5V7CWi1N
xvKIb/pmmrTZqxyLEDF5VWNyup34Qc/CKW8lvrJjj0QqHUM6RRpM4ZdSTdbSm6Qlr2KvAShYegic
RfJTuSppfaIAYarIzqZx4+tCfP5PucyTJsiSvDoN6mTJ48HVtXOuIEYMTAHnbgCb2wxiFdqHiabO
gdxOy8XWQ92z5Cb9zf62OLfpx8Ib0th35IGb5TAaeW8ocbEElBZSy1dWufB1DY4/XI0iLR9mY5AP
Xm87yx9CiDCPp5nHw1yskl8yXSSG6zRVlzVwKAvhy9iO4/s1teT3JbLWr32vRKULZqprnjI5738k
rYyNyP1NsLPd6VgiHAIogwrEto+gw7mXeiOV+QkjbCI5G5IvIZ6ADcp9Y57/ZtVIzDEnJ3kvGCzM
8jZXRAoFELRvIQe5WS0vtTbgGr0IYcqnMiqKI/DVzk3Be02olLxF2zqH4cmQ5CHCaoGtRdNDauvz
pwRN4W+yNsiPsz2P7uBky8HrZe+bIgxIig1qkNbs5kjjxpwrpYjlIMUyw+taR3/X1UvsKrVa+EDf
EAwEePxRspP6NdSa6OAS3hszEjvC+uqteL0JH09WDJBXUQKKkNbfxbBaz3SG4nd5rSiVR4YdVydz
EVYb99eR+Hu3BwqpBpuHYsRtodeW1DjK2lEJzFqbwgQdhzUf3rfc1KgBhLbU655aW0n47/2we+co
mlbcHhwM3JSbTTtrcpmoEhszljLthAaN9tle5NZTJLhcyIunfjvTXdTyOT+g3OzlebTe2LQ0GCnY
b7u4hky3I526NRgpXyXeILZOR12gVawvuZMNqZuOUMP/6NFYip/pnQNozOC3ozYYKr/tPyb2MI1A
Wj5YVKFAtKk+6aXOBhrrNYjLFjvNDBMyiEexu8j1dFqmtncneWwf0Kd0noYUWZSw0mW30+Ij3M7e
gw9YnpA5FPVoAGzXhxrS+1FqG/ySUhqbH8tg1j/mbJa8rouSx2SZtZMlmRWok6Glir4mS/XO6Smj
KFPEjry/PHZ2A6g9HtqAChBc3GJOY27A1J5UvhHKYI8GlTmf02adTihA1u/VTIYjX5Zxc7AJd1Yl
EBROuTcM3y1EOzarku76EiyO1MlQiqtl9DIqO5FfmXZpoOnd4Wdoh3N9SnWFquHBuHdOdWqQ9Hho
RiPys33taxKVuwFJxCBeZP1ch2vjtjb8UbuwlN/PVYVxCe1u5NHwg9zsQL2a25HWH3cY3r7B0qUQ
z9iRtTtx4L2oHU6mbrekWYHAg6Y1D/c/8O4uBFPANiSJo621uUKlstI7SVb4wsqYeKO+GO8VJcsq
18ZZ/t0sVc0JIkL9ahQ6T+yZ2rprNBXMsPu/Y2/ChbEq7z0wXSCsrhd9LleNYnRi0esKJnvlkpyi
elHxp0+kgyHvpEOUciimCBlwsiL1OpSGEc0AK0oOeGypHxsz73w1UZSP9we0c41dRdmcJ1HTAsvo
idKbufK9n/PwUlqqfVZaG21GZbA/W2WYP4Gxak8anhzf74ffblxYwCxR/sI3EScO6utBkgkmxmyv
S5C1ofNiW3lzyZo5/S4vRZJyk6hO6aKqrB/kJ9tR42+F3w+dEZ4VmF9smz8FPZ9WRX0zAEa5gksH
qeO4WtIsD1nR18NpMZOaQmvdfG56e2xPeUb164Acs11K4jeI9BPCBa/pmzPLUabOWTLFChY7HaE5
0DPVT0qbgvLIs876TcgVuSfdTBvRIFADVPK3b83cQTAaDp8VRGT8X4sibbyiC4vAXJ3p44KxK0Q6
+0jsfZstvAWlystc85nN7bkc2UNa62VpBxn4I8+p7QV0V99bnys9a9+jy2l1/u8uKKjPqP6CqObz
kuxfL6im7vh0cW0HSwjlWh764WM8y21gDFKXnFqpqz6j5l+uBzfB7Tom7BtZk5Ib5qCbsNlgVIae
x3YQparxpGgDrtrkoM7HIR7UU1EulreE1nx0HG3PCOZXgK1EW1i4E2xBNJWWm2jHO6yh2hwQnbFi
xzkVpo5Xzv1p3VmsBKI9ADQel4DtO1Zvh7CPkPsOCosCDOLpw7kJDfWpgHZ8cCTshgIcwaGAWceN
6FNXNXriTKkdGOsQv3StocJPa2pvUqPqYLHsheI+42FM99CGZnm9WDpIXha8RyeoB6N5UeR8OgOD
Mr5Po3Xk8LazExiL6P8KfAQNnutQPAodpO4LJxikaHxtV4vthwh3MIVR/KGrZ+fp/gfbWxlogIAc
p7osUCDX8WalQuPNapUgTbIe4P+a/R2q8XgwgXvLHhglTV8KUAIPex0F3g4wE7K6wLYqHMWXoutA
mli98VRD5g0fNCMsH0YtsY/gGeLL/PoMEQtfSPEJvMlbme46sBV2oEOHTAtqtVdWF//E5Z2O1dlj
Z0hK6AFAVB8KU16eB5y6JS80ikMM6zb5e/sJ2BbBG0PJ5wbyUpWsHScy1WAaGh2mmG5Vpzav8nNb
zCOqT2ZekyWkSe6uak5/6f733Zt5S0gfUiAFBL0lB08cB42uR1pgxR02gXPdPo4lGySR4vbzkki2
22EEfPD421tU4mQVg4aNv90vYG8kylmxEmjIxp8S2nZ/JX3V/HF/aDe5HjOL5RelZUOgZkn6rj+u
XFZ2DGxeDcrSSd+VNGl8s+8wVJN61afHbgFtk+r3TYQJe94va3XqEudISHlngjFD1Jli1hjqUOLs
+KVmoxrIlq2FowSzoY965GOf3ekeAiaF4hWzNme9P9K/ilQPxht7xLs/CTurC4dw6sI0vw3zhnKV
aOMwmp2sB8MURS9JYStfoqq3zjFyVb23rHPxU7NK6WTbw1FVeueooqYgivuciuJDXI+c+6TqlqzR
gySBMPCIXN1geB0cm4vWzUYd+00/yWp0cJTsnMXIwfDNwcYQ1t6gf8KoceQJnaJgRqbLD421+wTP
wYYIrZmP9+d25/DgHcNbRhA/RfH9eoDIKUT1VNdqIGlpWZ37Vp3M09hGtW4AsEWe0ot5UBivky6V
yecGI+incqqd+vd3E/ohfFymmg+9nWeMJFqyI0fFGtnJHbdP9Ny3rVpfD5bSzvdEMIMviespQvPb
7WQvk2p3eqIFfeJE/1YUpFp3NZrOjzp7cod4PCIU72wdAe6n5Ek7jgFsFtBqo49UqaUWjJO8/sin
jDZgt35Mxtp+AF08Pa+pUxyU4/YGyX6RucZF4C3eSVfHAVPgWAvyDj9texp18EZgYhVj0H0exkcg
8N14NHhZQTzAqX9cryFU1cheR6RSk1RPTlaoz5Cx2tJDiDN/IIEZnu6v2Z3zgOIGdGHCUUl2xO/5
5TjKuAnSYa3NIA9HFVkbasbO/EccL/bgYzqtzNFj2Dk0exGfj6X5PKGceQTy3DmYqfqDr3Jg1Qoh
M/Hhf/kRiJFUddznZmA3ul3XnlIocf11KgaLFKNNGvnZSNNxVP3eScv0C8ARlPy8Tq2Wwc3DOTtK
f28nhWcTFmA8bqj83shbzg4uG0vVmEFJhT33o6ob3mWpMXqRpmcfM1SYPtpd5nyztfI/XP/EBt5N
Q4mKCID567mYhxWKEIsrmPJ1nD3uElQfo6HKLE+Sq3p8nuw+GT3Kb0rkdmDdf95fELfnJYsdMRxu
JvreqHhdx1/VvlISKdQDrM0r3V3LYnoYi9VM3UbW8oOj6vbEFMGE1iRAWPAU4sf8+uFTlZtQL43A
KpPFt9O4PGdNbD1qU/eZBCT85uCu9FpqcfmwDmNaHpxgu+GZY8qduihBbeY6GZLawFxJD4i3PINI
o5NWGOGnKVbQeljC+n08AIc9TVZez67e8QI+SLd2ZxuRYjELnNTb3pSDcphlrRbXsVEUXxY5/9Sp
U/WUzPPRRt+LBLmUzAfoCtn7ZqO3a5U2ZmzrgdTEjzg5hH9HiS6f9XGOf7OiBz5EICYQoMR8hC+7
OcK4bpsSPSEDqIrT1R9QXUJJ6wxqoJg/FPGAV+MJe2LnAp5TjoIVDd5vv7+EhUcPlx+WjDfWYImW
pbnRmEaQrZMWtHk3f5LjZnDjBl+n+6FuM1fR8APRTc9E2M6J///LAs6WTBuq0TECKUIDzYPnDXQ7
MrXy+/04t9cCwpdUdKiLc6vf3OkrRhW1XjdWwHs5Piv2/BFN5jF2s1DW3CpcjwpZe6uF2hmiAxx/
VHg2GzOquQubgXihPi6z23Uar6F+KstHcyzrgwUjttn1o4vBQQoWRQAuoW3nVGpqq+GZYwWVnZvf
IKtPbeDgqlL8s9iz3v5QJ3TL3TbsK/3g9tubVg4YBBhFI51S//Xns/thMuQsNINWpmXu2oZke3Vl
GJ5U5GnmKlX21+9/R1IlzldapewRcfP8sl5arVHtKrLNAKGiun+0cy1vXb3Po9exLZzJhy51VCvb
m12ANSwf0m7gTJtPOTajrY2LZJLx182HZizHx9hqzFejHvLHNYnkzsvtpDyqC+7doZxn5MMaWcWN
YQznZoYUIivIavXa60FF8mBts/w5Ter0pBj9svgTWjSf50H+TeMHrm0qImAjce0gdeMyvZ5ltcKh
K4kTOyhDafDiNZf8pIiT89TI+OfhTXiwjHZ2C/QJG1UCoYp7k/gPqlx1ikw8irrGEwA9+xlVpuLP
SbOVg+ruzopl9QiFQDGzN9Vda+YRqzcLlTmz1nw86pBFDKGErLkywi6yjohFu/GoPJKeoTVGS+p6
KtMxD00rpABZ9mMDL1ly3q9mUf+1ykv3vsjGI1j43lRSS0aZTIORA9XtOl5ijdhyS4sJwLIsT93c
cxunAD9nbZGO4P03rUbSOyF3KHJ76HRoXl8HS8ui7nIncgJEzI1zXyTSl8JOMV8tm+WcGm3r6ZKW
ccpay3hS0P2MXCs0lO8UZbUD2NTtduGniI6fUGai/bI5GMyEHJs+iMN1hbwt5KP4e7kYyuivSZ8/
mcqifdP1JqrOaCaUP+4fSludY5HmQuoChY9BBBhTbXOLqa0dqdjOOkG+qjIU27Ls3Mlyuh+dnIy5
O+vF+KQ7xeBLYSUNrlFZOAkaTq/np0Uf7e8lXj+vlmQf7WOOqc3phcIayTBPE7G36Flt30NRU9dZ
1UpoUioqAKHKyDLNozzW916cRYXmmkUo56dxWayPrcFD3+3bZaZ7OGCLh6rU1JYnQ3KGrxgLG5o/
xOAAPEcbeFdpeWW0J1NBBipEz8PwV6SpNG+edQx5kaOaT/BOlvWb6PM8KnUuSd5khKm2eKiSqnPv
pamDcI1X6GquDN6MiFQ0uNNaKOnqjd2YhO/TVS6z73S72vFHJKtNci5NcoRH+Ctp3Ll1ahrhN2lQ
2151w0KzZuRhcmmJcOGx23b6OVZikh/NZZwkE93VYpq+6HobJS8z7s/DOcb+Wf6D0kK1vNZJVSZP
Wq1LzsWYYst+DOWFJqLbcQUoo+s0Y9g9VHADMZ9S18gp3tVtPiJSnUZm9GTKtY5/zGiHygfDbkC8
ZvUw1l6cRLO5uga8rBrFQJkZWrNs/Tkk8pIPrqKvaf20tCrcLWex2+Shi6ameF7setRf4whB/wBP
ZT15UPUut5GJVlHfcqE6F49N7cj5UwnjdP4KNGMuvFLJ29BXncXUEfNrl+wxsSn1+hoGGIuL2oNh
nKW2C20fawWl8Gj/RA0OLZHafZwGRV3/QUBI1V6kycC+GRpwjruWYyxF+16aoda5o00/8sNgmvH6
jyG1WXK2sSyJX/oB34TznEly/9GKynx9yEz0mU9Q+QWbSikgEQSg28ZofgL+ujpem+ezfcGRsZp/
0taeFRTXTV6G73ITBeC/MUgoq/o09dOSGP4E31r3qgZz2M5VtLXJc9eOyyguXEtrtEH1ZnpsQiG5
grP1VR2QtfsfR1e2HLeuxL5IVdqXVy0z4zVOnOM4eVFlpUiKIimR4vL1F74vqVTFjsczIrsbQANI
aJ4TI5+6Nah5RG6YoaZfC0kSBqciOFs9xnoDvZZIb9wtx9IQviyuVCo6gBGqF/o0R9PsTzTBChoC
TetQrNlI9ZbFmwefhQjmHXrQ5JkUH4T70Blsty8DmgWqv2GTTIv7DCY7yQVwudXr1K3JWV6bwHKY
9qsCNs7w4S671rg+C9otDjvCEcq6Uew4pKLfjlnV91vXYJk4giSRdzDAP7qXTNGC1UNmEaD7fM6E
HH/IHDkd4O3BjmxaamGPY0A0NkQ/ZadrDrflOcHF1DmHt3gAL7HAcDmTC/i60VYx26aKRR+nLYEi
tfc26ZqfCdyIPvSJmXzaz8BkP2fcdP3HupF440fi7WSUgu9NhzkXALfYFX8DJtMmsE+fjbpEDXIv
H4p8qfPnBhRnHOfzKPNHW9W6ugttg1FqXCUEJNc8zEL/mAVIgvtN1G18deup/TIk4bBZz1zk5I+i
u4WsJ81m2qGfZTqN6ZAnaX1csX6/QfWUNBLpNTHGdMZd1VqibizVjb3Dahhbn3x65OHlqMJxOKhd
ydw9+J1UsReSNeUfLnNEh/cpcyfradElH3LUs0nnP3MpkvCzUFLtb3D+9Op+h60h/0IogZ8LVnEI
vLaAOpXA3WH/1esult3LvKc2vV+wURkfWFIfeX63yNDMqj8kyIMxJwYOGxdR1dBLwLxY1D+WQifk
N7XnXkEhBOpyWnLL7JUrlepLbs+c3OPD3dVvBauJ/QlZu0lI+7rkKc4CPJAW98uSjccLVsNatvaZ
rc7zRhwMKVBmWpP9Br6fEtLD7DENX5J5xxcVLZ35bc8D/O040DrySR3ans/ZopPzLlWH8G94QJp6
KJzXdqj38lDXs868vi35mS63YFS23rNt9+evIJuGxYfdEFBP9blm7M4Y6ZBjG6g6cUmpBIRQTnaa
/TwhYDjuWKs3e/Emnf3PTaGgDC3ESPBWrWX7YYFZkP3DqNqp9jjeYidL2PzOusTmRkqWMv2BtVBV
3W9LCMFcVg+zqXd4QMH+wbUoCtkFZUfYa6fqTh0I28I+5LRg4cI0g4qMyYHNzqkbaqDWX2GMIY93
KOXSIKfawtX4hw94fFAs/LE1GHKgX1KfcsTZhzveQoL23NQLsE2s38NCHLyv37oBVqK1vBOppckd
fnZTv0YXHP1vITjVdykmVH9TSU4hMa8qGWi/lh19PE09G0ymR7v+rOqkdg8WPMiHYa7hoXoDA8DX
97AqV+dIk8WZuYkKUgWJosmP7Mp1FazrAzDt+moh+TFfgDGXckTHLoFN7qpSteohU8O00mkIBV8C
cO1t2lgL4UEvKiFb5I5KirAkhS76STPkgk/8bJPC9FAsEzoKrFwnw5a09WF749GG9hbGIvK2BLuj
WGjIdwd8tjksOAQt6xtBkkjsP5JQuoduS+UycbiOLd+rWnbhvqj9XrrJF6Jx9xC+t913e5wJ/ULO
LrcwPz3sXtz2vZm73h8GG0X9qmuV6zHFOUV0O3Ii/rMpFMOPNpZzcj3jRukyQTFMGwWfyJrGn/xw
av137DrFK5RAursXxMLo+CbZUnI2KEzMcQilQPLb4EuDzxQZZp3/FE1XhAtySMAu/SqSeOpyQJ30
8+sM24ILYlC0gbzs8Mt1w15i/kxoWOQDuDMsuI7Y+Zjh05N9vCMrFJR/cCttfjJSrCN8DbCUGfII
3+gtxlW/MJ3gowoOyYUD5DVp1Seqq/6tC6evzb4vJyo34pDurT0P9GfE2wfuw/xb0wMsfILUPD2F
pUnUgCzi6nvF2pY+K7W1/Loe7b5d7cbRgKfwwMCeMzx8LljsRKyfVXMOPBQBrB1eq822Z7fPVYOf
BrnzNchjznp1mvMPbS28nduW0B97MZO3vQgpZI2kObMLFXZ9LQoyV5/8Gh2bIAKxcNXhJpXdFcsu
Jb/Y0Gj76LnYyS1LLJSbmqKM3ot1c6++KGb/onWbdN/njWe0x85w/aUEgJx8SeAl6X5rgXCMTGZn
MaDtm19CrPBx+uKssoc0FfYPxwIcH9ZSla+HkcULApBj2Xdb3ukHeAjyMXwsAt2lMoUzh2q8YaPI
TI1OGM6YaO0QEOmHQEImr7htSXVT+eFLhMIWx6sCC0BRFPA2/d1lqfehyeAuO7b1bMkoS7W8zice
yCFrEvFKpVZ/eNua+Zp3VoYfUTTF+idEuHwOoeE1nuZFZakfYf+JxJ7Fgbn8gQbTdp8TrqV7Mzkc
5qDcJV7cImxzYJUpEiYe0ScpINkHRzOzo5hr9Ouzbj6jvNH03oGcLMeuDaXtYefbpheKxzWKviCs
+TdDu4XhrMN4eCXQrqirZuiWBxfkzKEJOEv7ku+gEB9tppx7LxPQVr2S1m0T4idId+MSpAGaqEjI
ldmaFNWoRV7j8akK30ymXBoEZwUE9HQZrsHH87QpvWYlSWqK9q6rZW/PKv2y8tX/ZekmzrHCK/nK
i6QzE0pYmfd1e57hU5xD1mGKKtEmIHU9ho6OEeYGaqhWrfnIwwl/e9DLYhmZzpA7nbSkUTeJ/fLu
O8qnqCaGKpVcQab5OPcxTfdkdBILYeCqW7FdedEe8/Oy84J8483ebJNT6VFcmStTOYSlqvYLXGuo
ezrCbsEoqe2QP4Ga2HVKGo4SRwpcZ981izK/+9AAUiwpON/dSOEK+a0oz/qK9OYd0h9RBCt6wT1f
ps7V1L1gsmjcWBjeMkg1dRbvcoXFUUyLsEzm80MqW0ZwrAvW3OMGgdS1r/Z2rwfGtb0QSPnPsXad
UHhHcwPuO/diHpGn45oBq3aLvkYsapm+bAkX3+SeFudFpIWKY2O9DSNv5Yy0G8TOpHceyXH1lK87
/DuZ4lhHLHhFwtfo9iZFqt0qw7BJOIGnOEJoscgNc1Xw5msEigohBRTanYO098iMsH3CarLSh2r2
TaZfkrNAqXUD0hKzHMB8DT5iPdv0vjFrVo6z1kfrMRIvpEEDi7XzRx3PDH5cuIrg/ld69ZcaXmgs
DOYhPNUCdvTPmJ238teCT1SMFl7/eN7OzGCGIyV+1NFtkJlm3tavYYb6dGTWYgjysN96byGSx9nb
k+I9lAX1d5meV5A1+eKKu4xYs9+rHHH0w9IGvvU0PbpXOB5W/yH2O/yo0MumvdcnTCU3G1SL3ZQs
rBNOcbEPvA6k/YnMuJQNiQXngo3UNcJLXPHirohr+Vlg3gJQcmSdvgtbgogwnW1F3cM4JLSj2uVh
euoT2I3ObefFmPjg20EqeX6yPINMKFs8lA0rm3PzwGUZcB9gRaxnwCfZGLJiX3r5Eex785STYlik
Kt+BeHT0ImlrioEItelBw1pHTSwqaLiKdmlKhNbyZeu3VtQBcX4CZS4K7Mkex5bWfZmb9l93HuT7
tsBOvG/Kpf6X7h35VccmisExWFEV3a4y/NMcnqrkQ5mQrtXZoOfoWDKpriRrnytSvTsQwv8Wf4pz
WJDSEYa6O8UPjhT3ZVAU18AI0bjE9KPYNt9Fllpkv0ooiPNipRUUn0BURlNSdPvIhi+zvoDXwq/K
J073HCSz7zUcLr7WO4aTnua+ZpPna5NAIdesfHDYHsXOrbNcjUlijgR3aWM/b07s3TADxXhMTpjf
9aew2THpMhA4o6PJTPriCB9G32WY7SDzXdBeRLtlA8VwsgxO7l3Tw19x+bT5NOx9DSPCeD0xg3yq
+fIhOZ8rf16wXI/YavQF5hFpV9i+9aWN71gExtznZh2BDmgPg2sCm5CvNmdSDq4p+W+MZxJbwske
9pv/OHuPJxI2siHTlCIO7eywSdyFI3tpi8hhj5B250tSltyONAQErG+QSz06uNE8YW1ixbCKCxKm
heRQ//KD1ek0Ix5KwVopkVcjcEePUEuxY2jg/Y9i6eGu2q8EY3Gf+A7Maew2eKoe9Z7/Syhilofs
gI3KgKds3YcTHq9fSryybILWiyyTSYOP40IDLPU4QIum59SKr2rLvetbr1AdlgMN/Uhqmv0WRerP
0cosYyMD8IjXQliN0gwh1YstPNKytjpZfsrcbBxrvTxNegy0ULtXdnUjOkpDLhHDyROkVkBBYW9b
YaDz2HiYYF5Vn3Bp5VgZaRtTf3MSQ7ZpiSeYe2vzBp58q/qiikWO2zkWHl55KfSVjkEaOPsDVmXd
YfABs6NFg9PGBTNBVjA74z3+6OByJAgsozT1nyb5WFEVeaBDzhuNhI6Ac5Nmb3w52o/JtvqlKMt+
eN66sdsDbHXSeWPP9gTYgttkbr9qEnZ62YsaBXeB4kf3GrobYCAyFu8wK81WrFJUCmM5sIMbjtlW
4KLUmegPd/iiZ4Uum3HLYyD4v52YYM6ksOVfwKmuh3BpcWMWiVzx7qBM9IfPshl7cKLETu8WavSg
DRInPgT1tetnzU/soZLs1H2jWE5gICiFGLOtTZ9repgUxTmFOSQk010+kJp1f8pCUuyy4eJ7p/lS
0b6eG3guNvspP6P/MbCrLpDu2YcamcR9jm7AfYZ4cYZAIOBlaZxcPRSmWOEiakKCpkcp7YaGrr78
VM9Q9OIdyfILtvuBcGUireaxohv9hY4hx+aNtskfJw9eTX7d69cNRVkM0i4K83XaLv9SZqSZAD+F
HyKXVo7CYmrrzYLNtCEi++R4hXCZiE9LY/zxLNNC3zdnTV8p21vbyyVjTxZFervEFjLf+9VovMjN
NpkEu2BnNZFNzIjZdIYNzKu1QnNfgHks0cffOMDEZoDhOvbwsBBezz2erSgHAUBiuUDOtspLCdwp
XIAfYmiRCF7tkeMZUdflOS9DCbtoM5AKO7wTmoudPazAmemUglHpvqZnnIFr1m7FoAgb5uAS2k4a
fpeY+ZURfMptyj7XNCnTuxwnxg1YjN3s7zVJoYyW617ax0wD4r+bLXYQbjONCAnt0AuoEZG3+6sq
IgPsApcmiCy2XAMVxpRsBh2OBjO6ysunADY96/0GjwdoresqvxJ/IAsinHbBl5imJHfoRXw6tCKJ
vk8LOGQMIEzBNWUbwpNuysMhbmhphT0ds5T419W6UyFtyAXxlCRxM+NZljjBOSKu0lvKIAKku6r5
FVbojIEGgeZowMpj2g2YyE/ag2BfjqvQdsP41e2uem8q1pyX5gAeNKzGMtEDDjXmt6K+AqGQYPYc
GGkbMW5tBQ/NPrYbbfEApDL7gIP/3zTZ+DVipuGf25i7N8jXqBqUqvGjNoMYjKeFAV2/bsQmrwYI
b97rXewUDNQpGzmcMcmwjCXn+l+ZKxS4De4vote0wwi8Ieka5x7SnmRymIr8EPMjv1Od0fq6QXbx
RqC5FMNJsM6t80rGy1zZ/W3nHTd9wJPGxhXznoD3CAidCZUekGEhj6WZykY0nwTyXnCAF2fSC69X
3Ha47tXUdDThA6iF8CXXSfuekqRl9y2JNnvJtRbob3I0bxO2k4+9R1XRxdMHaqsRABhivGsgyPpC
sbNxjO5YIBnlAofyksUTduM40tYN3YLZ9w5LKPOLTg3Rk1VV9gU1tyPjLNLt/XC20n38sG15oEgA
LSegqxh9OlcUX1agpbRXSAj+xRskZiC/BpcAFqitAhxBCf6RqCUvBluX+g55i9EOpBT2Hz775K+1
3aZ6jn7gH/wuMdxsksW1T/fSg4vQhH74RoFDuHRsJWwy/OzIxDYn22FtjvW3LKI6JgXHE9TfGM5n
aariV/kx+PRHxPhwxTAgCIjiVd5vLWbtMbRLPo9OnfY7FbL+WYMP/DdnVP4kXQJHwHlO9qxPY5n7
CcUFXRU7BMCwQ8CQ5ZEjcWlCROAhRw48AL8zprpeVTx8Ws9jF4NhofqMz7YJOMzl9lbqRnI4niwf
zrbLWb0JDDvZ0KpoS7SvdWMHvDYhL4RvJ3DDo0X5mmHSsfWyjIufLG7op49T+R8MsOZ9aLFtJqYZ
VEa81AB6XrVvPlwSKvffjhQhP1Iuor6F3NtX6Fi2ZSx3E1/0gQo3tZu08YECFA4Txix8XBQGDt0g
zgRUUI58PIK3/SzZUMMJYR/MrAs3KEAk27Qjy8f0nYWSrK/8umBUg0Ex3udlq+kQTRmfhf2Qewn0
vh4fKus0oIKDNmOz63Zk6wnTnRoGjBdgCTm5lOnhf2eo6fVEgiB3J2zC+Lh5kCMg5g544rh5AfrB
SrlcbLnhHdzgWyt7qenyamUNTB3P7vYuM+/RK7na8UHA5FH1xsrtJWqq9QhPb/YfqPaUDmC549/5
xGA0knXdq0Fx2r56qXVz1VHPPzqZrPcu2Y19JHW53NFqOWq095n7j1XO5AODssKDWjJbGLFXhPRt
Qxd2x6Nuuks7w6B5qMAcJZjszHIPrMWZvgJ1e69LaMT7fI+7G870WB6gQuL7sNb5rEaOQnOPaVjD
caDZCzOKA5kvwx4gOBn0rpYP1K2TKXYIgGsCQj0lqFxOPkJCdCT/HTBq0lMF3gn9GDoxNnKSmFf0
0/LszwJ5lr1beI6Fb6yc/yvmFivCPJfxCb94XJ6qKlncPQ0nRv1cVORnCx+mpN9PgNDDRyzvEwKr
Ge5uRGZ/V6EFgt5Sj+Azplf7HveQzH0QrZ4HC2wiXAiW595Sjx3PFKzc93mpk/9Kks4/kRtwtOh7
OLDqEDss6gJ+5T02hGV6vxdEIoYyW6qHAj3pORRl2P6LO5n/edzAoccQzT+V2CMteuD+0vYeRqvZ
QNIs+c58Ao9z3mEEHCCjjmxKkI4Gfq+QPu/FvLXrIGzyIdDjOeAnrjp4HJ01HsTRndginEoTKVq9
oKq6r62CO4/sSENHrJDbY2yLFmQiRmOcD892B2YkqTbRY+VJn6PbK8wC6b6E4r6yOsmG0x5AiFR5
bi8NUrSwcesNsr1gIyb+MN9t0CTNwr83p3LkEqouOUfgRed8l5B9y58TiEfXC6kB9qJc0+YRxtgu
B4Qj6Htm4WGIxjeXAmgB5kTkK+hwXrJyzbDaVaeolOrMcDYaHTT6zuDpt0Lh8bs0y2J0L+O2/G11
G2EmnhmK/5Y0SzkmoEvx/SJ37Y1iomkvtlqAoPmMFteuXNblmqwgF6672tT5bLBN2vT55gACgvc4
MSfv6GQnbA7pdkA3yyjmN9zRF+i+ZnebM2M1+pA8+8p8s8QrsGs0sodYHB8beNf4TxQLwTg5qwBs
+/Ggf8Gm0w7n+tXtGYoEEsVXHHjEvgEJ7KJzPalrp67UHPkkllKbi1QWoeLBtor3QBC69FaXa/UN
dyoeToREcDx9qyOhL2pbJSjwaEqwlr6HB8V3A4TSJSb0CRAr2huwfMDpCfMMLoKm7QaX1lQPOVvQ
P3YYltd+3jqY7kkg099ynNZ59HuO5AnpLaK88OjhT00yfi/Y0b1GmeA4Q/IG9PHc4scCV+nZzwAK
B13NBtnCtJCQZzeW7SGiq6vmn4XoYEpb+NXGMW2S5b6B+843syxQMWftjjkB6pJunVjtjEJbD8kF
dG4pDLj5edJkALNQvWE5l50D7At4HK3Ny/dNEw9zG120TzBoROOeZm5/BH8hyRWkYSbu26aa+VMi
wkG+YstMJzeITVDys1ieIP5VFr531GpwYgKWCw+Vpsx8wxNx5P1eGRhnMHQOwObn3DEk3dcnCL9C
FGyii2pw3Tf0bC/EzSC5kqr40u3zkk/ebwm+mtc0hTU0kWjQU2yjPn0I7MKzAwAj3nAMF8H7uXN5
eFq3jIlXh5r/NpNchFfYB+IthyVWKyYwvPJXuReHuOBlIaITEQVz8ekw2Oj7zn1m9NMMWbe9unw5
pvZEd3+Tm0BJVBFWKX25l/UPLwsDG2mBQ3eTcFwvbqlTW/paQr4QxxBEeUxHW++4lOEbE3ANmvg5
pUIEBAae4I36mO1Ldd0AXGW93kDoPAYF5KEv0bIaRC95/MmBfEcM5bB9qu5yMOrN+9pAkIKNpe70
L8obfKBet7kBXsoq+cqOJRFDPAvNHhB91hUXhcSF7iWe9ZlcTC1PNcFFUciHpUWUXV/koFBvVdzS
E1RzQc0gt9LJx4Wu2Hr9eJPcw9bFqv7qYFXvnzM8YQS9DMi86jVWB8IzJkgfd82mkmIwRjOJnKUn
7lX4vQWBunWi7Nz2Np/fHHAnrB6dHlxYsdq26bXd93OcOdl/2RO03wRujP+IEAgtE/LU1m4867Bh
39gs6/NZ1UHckcTaAXDQOeh0+YyBesedxj+h3rzNdTsPXb3vv1Zn9zvcaNU7ontLTJTI4PwRsXOX
PGeuxLB7YAMAJ6b9iahW9da46huHSwesx1b1Hzlb2uMR0X0hLC6useRyu9KdrG+Z8WV9SdVqABUs
/kdT+q5DrVpn+2ctMv5cp0hJh3pD1rYvtY7Jve1oKwfocoCFsn2HcY05q+5vtAZUBbbJ6Y3oqkOi
oQdwNc+k+a2LkpQXVP+u/CKboPLLgm7Nj4IRDuvFlNd9ddI6vyEbLF5BmhcPwLuA65VSfMkhRb0A
32i3PqHL+bvM4W5+QBqB+6ZkZtpbxc6L26Txl4J2efzEBHyDlgoWIRMY/21KqwWWbFgfq8YWUwmI
nIZVP9m2AAZo7cf1QkiYf4HGVj9bFj5BaN5tI28QFNHbvdtQPHOs1/VHskFhlui8mXZiAI4eyB23
Y3TmvCLfuNyH2qTCICIWNapfkJmajnh0Otnjdt1XNJIYLYyPZ4pjW2JYQOCE/XzO7rg7KDZ8MTR1
/AcaBPEMpWuKEazeq9uOZ7LANGYLaDMV4e1lXenyD25dNaBuTHPfC/gpZRjP2vBbEmwrDG5W9G+z
4EOpqriYz9g3bXrI5/gC8s1uz6zyzXpBktZevOvQbn+d8hxgc2qATDdmCd/gnEswHsQPAKjK0uSR
i27v3gMUQMUzK7bzfYm73YA0Cp/c5tWuDMKcvXO4VqBe6WOVuGYUOsHpb00OvnCHmvhazLGZLzpt
6P6kk9XVoPuW6u/SyvQPJLHk6LGNn6ZfAroirO8U1LHXsKZYnRTt2f5FHCJOzuwZn7bNH8u1cg2Y
1x1N2CMkVfweGqsMficEao4Sn1UCHsMfk6m4VF/wCGIAVMLz7JKa9HADrZneJ4fmV49YSpLmr1GL
PaHFyVFsEtz/2S3DHhMgTQ2QbSzAlpyPYfc6w4/THeTjKNDkSlmLqHZMLWZBj75Vx2XJKuIGCIS2
bhtWSED4ODcZMhXWzqOF32ONV1XPmP7WBrKzi+1CiVkbM4f6WKo+jjEuXCVDxjL1rV4houkdLS38
RXRkbX9aMkPc0BVARwsYXXRobkoUgzZZmqPfofWHGMzVnN6TPet875Wq/ibm3I7nkJxo7soIl0hI
UZADxGFL+hvRYEYOR7l7g/QxAvmMayFaHcNm1qSfA1P2fo0x5JePyQDgV4qnqHZA3HtU3XKeTED1
6jvfIHiOqKgn0A5QfnSGdZAclZaicUwApHxkLEHxwqAuwiAdNKgMhQDU/b6WS6xvDXb+zGiqnYS7
lfBymSh+mepy+rI9QfpU29LXG6ueFs/Wz2rx+zcMNDMG7iTdvpA5q+5Qa0w6dtFqTKJx+4Dq7Zrc
7SIS0WPTWrJppvv2JYDG/cV86J5LVSiHPman/wxaSgDOYGDlQCwIfQDd8cxvTSjQe0He9oml4fyb
JpSfvYd4ruiF7sQDk8zcaQCNcGAB1/XRmWYIaRZr/hdDu4DwsMjFV9kIzsZdZ6De+EHWrOc1SZsh
a43/vi7C36HexwcEfKbgNsuFrCNup88kpvgbqBOHleoka8e1XQNsmN2CN76ZU8jZ6ky6qgf9EbrJ
tOV+n7PVvZVwia8GOc/ST9SF9d6DmZP3cBxdSzhyJ7bCUqNmLzlx/Hw4EZf4j26QUfbYyoc3bQ4C
rEC4cba/hVzWlwNbPlAT5HDWvGzoqD+MrijDaJLoowFkwue1N7FDM557qv6rWib+4j6EAISTdXlJ
23SZPkp9HFtbtPPfFpLAS9vOIFpZVq1Qi+h5f5vhggEyFo1xe626uVpHLjbcBajkMCnMFwiIcGjW
EgXNB9QIX+7OIrYB27EQYxB3OaHZf+yiR30BWr0eA9yOI50g8QBtnMjTrF84y7bvpQBCMbgyE8X/
PdfWx0YSAVYrt0qFkS75AhIN+soJ3I9Zrwd+T0hOTVWJHmjTtoG/x2M8VftC1bjWugS/UDAMDT7C
BfuqMUZsz6azqbubARaBJEV4qtaBfTlAl/PJLIStr+vMsc/E8HLROwj8iggnAgGCENK0vBk6G44P
Am6X98iikWaoIi+BLyZQKTweBKPSiPpHsmuE7Rym7colkCyILQfeVydreuMQ3WP2D3CsGUwOu5ze
sHWz49oY88dzTma86BaBoID5Ide1GH5+1Y1c8hEUcbUMUBIW6bCmc/OzqjzMGDyI69ETjWV7ybvl
0iCI/HEt3f4b72ryN1VBqUljCE1vxdY0oM4goQQ7NRM0oQ3LdwuFIZPHL0isMbFDQJ4/Idc9fj1w
nORA5+R8COjF/ZRtLP0FX3P3GOC3tVxdkrZfHJZNyj5fV7vfahvRzVbC8HzAQWErlnbhVjgU4oQx
loGKFEiWniUaBQmbJgwIc/MWqwDYxuRn0d1KNav55VhLQu8CBB310JSnE3CtagqL+EBa5ReaqBQF
wCJNdNQRvrpgzdcuvYa6Bse3Z+vxHGEXpAeezYfEEwp1ftXPaeNAF+xdd17L2fv55vIdiifDEEBd
qRYNCWctK+4wBGGVzeK0VwPuSpdgkR3w3yWurHiGbygEIlmuaDamRwS4CjDWNj2pfKrQi29++bZQ
2iY/IgYocpUAxdYBT6g8M0Svqc3doUBW5wiNKvA8D+lRMyJ0ForsEt5UzcU2wDwH56ra3Rz8fsRQ
8zyiZEMlR/BMK5QTWYv0ZwdR619WmXzFS5iP6pphCGk+vhO1mQUcx1dwqcwOezK3+E5NcFNDaJN+
oaR2EChjBYr1ZQJuxTeHeGcztGVPsM0ly6Vwm//Gudnp4Ciri0uJ2Qw0DTKJ7dXa3eMK6Bqe3R0J
6vWVUzjuPiLDTiUXzF//4+i8luPWlSj6RahiDq+TgzTKtqUXlmwfgxEESDB+/V1zn08dWZohge7e
a++O2SyLnBUfqbGYYpYM8ZwTHhYhdmYau6tvB5Y6qIxzIEkqPl4hzN+xjqLhmBQ2C6hAimrlwBFB
9xDNfHnbxhTji22gOZkLhZ2/Sbs7Zi+QddUhzNZSPq21b9NdNPjBcIi4I+J/XqzjH1his/kwo2HG
lzJN+t8+7zXzj8ZjIqcjlmNtHAa25OQ1Elpl7VSzpXjqHl3tlNfS7YNDJcbpMdW5S7gAV8KtZZPB
B4gka+7XGksDUGDS+48D6MNE3+z7LzoOVrntDNmlF5awBu9hZ9KnJjBLtUPrb9jZOIbqDROg31wl
+MfIbDl30MeSTJyG1DBWiebWc/YxkiM9TVD+WAZp14+mbKPqtPIX37CEVgS5RQAxR1F5+gE/EKiL
GXFI3DmR0nBt49TlUo9ktIPynOQmmGxArbuGNMax32M3FwHRHJCJQYOSlGaWKRpRqFtCUeU/EiLT
5RjjOVp2Zbp2f6BiYYFzZtsWaSNYDxNe7L1b5NmFOFyr96M/Fx9LH/Gs3dXM12WR9O2Iqnd8XObW
2dqxKD5nwdh3E3EPA7pmX3XTxw8I1fMLKMryF09UjM+AMTcTGiBX0kvyqmkfxiKAe1HTGOyHIix/
DNplDDNxE+4coNtlo1F2XuFkhj/zCDlJY1DGz350X5StciLK7jN9fR3knFz6vE3fWyTjG5th6v/6
dKCb6olOuZSmCp8Lbxyf2s4dfjnaTyk60nF6MvxyDPp1WP8sDUX9asNh3ljdBf81K28q2BZZb5UM
m2tjVoe6CxveLkid+dE0DlIid0kTxmyV7dYmWv+4A4N3Pd7hfBs2v2xC97OUNXVNjeTlycjZmiSY
9/fB8b4YInOoZqWPqxur//Rc+2ebhdG5Hxz10bu9e5VBL5BRA1qiUOl8l7ZIfWHvPQJQDnv66OkF
9PRvrkbJ58Evo0qSiUTtUlmQzATJ0mTrqc7Tb/x3RHyUd/1Jm6MTa/sEBxd93F/oY+Uh6YmZX3ta
g+KkfGmPiUoepGYA7gVLsCHKF4E5NPUnIG96Q/s9pGn9ourEQ97krt22aXAox6W/SrIelDN8QSj8
1wwTKIJari2I4ob/ytpRP5ofet2371lHcOa20JA400ehBe0VaZ/D1iZ6bHeQctFHct+BtQ/j3t8q
es3HMI9iGHFtu79RtHrRoXLr+HHta3Oe+qiXjH47AwmftMAjxXjDt87TzcwA2jtRQ39Y27Ed9nlZ
LYTZaDfeRkkV/rLeKl5WDKA/ugRTSN7K7qkVSv6d4MUprUhx+I6awPk50FB8iU4E70o07hNqdvvs
9HVzMVJM/c7JK/8guSse3HZs9imD6CuqPlXysHjNvxbMEtCmnfNNEuhoP0AOob976W2x4Z00Gu2e
OWv95VawUZs6dctLjV58TGCkEcxIW/8RqSX5ttz6Fw+59F/aQBzFNxedxMDyD8ysqXPMAVJifiS1
Un1I11LFJ8ZcGZVhW2/kqt+8zDrfIc6TPWUA4u1omNelq/cpugBUdK28/dB3wUfCu3KqprFAzhgZ
ZBbVm+TefnZjnx8lutj7XaR308UcSni/cLlw5taoh57qQd3Twj0grsU/Urk2D5TIrPDl7Iqf3Sqo
f3I5x0h3mXdxBKGfQBBL1rKTrnCO85TUV0dBZgMOCYW84jbzbz8Q+csc4cupi1LcYlXNr2vZefPG
7413GLVXfIkx8z+LqTMzhotuOVOsiRHrSJC9kR3QfM7E+QANu0HxX5dnPj9fZgWjETN6XwwE7CuG
JA2tskQ8c3Nb83NKBPJnCHCWCFBjy/TsNoFgFpliYOIYIbRmSSS2gXHifZMt/hitmmI/tcZ/BKbU
VwseefUAODY2VuvTTG5YvgXPc8UunBQgZJJz1NX0kXtGhe1zqqsFRZ8J4kcm++KlQvQGLXXEzLhZ
tvJrWDI14LcCIbKraP/mQy93PWhcsolsmNI0hAVbKdwyXwzEYBA+ppSRNy0stqQI/9cfdBUIRD9I
1o9WpXj6UxxeGMeiuxPrAhbaj9/OOiOEb4bVy82JSsQNXnzrFN6FFozx0JoKMfzXNmZyNgzWnB9+
bvoIVhwb+2c2QsCfKiOn5k+Xa1U+cXT5/kNVL41Dl5dk3Z5mZQ23ySCqd/DHsIZIqZTb7IFL2Lxs
+lqvdFAqcokfWnUn8+28qips+Yumyrvg8aiWMw2Ghd67r+LE6DO3ycR1ELRw9LSYokleO7PU9kNE
OZDdFtm+WA9FbLL42bL03HuUDUT0PgxlcsYIs/4lE7totvnSDPkppwFon1VDpXAABppn55B3bpOs
t1ZEJtaHnuailMc+ZkBXbBIz6hEHXqqX4s0YYNyRy86uyadCb4joi9DeMTT4elkwKYRgyv3R74A4
CkxzK4tD2wWpYQ8Xm0At2DUzmIQF5ITzULdAiyyaQ4GhmW2d0us1SDdaktnOkHWz3PlTlLs3hbCU
nLymtxmfJNqN+cOZ5jE7nVbjjvbsZWzo+Nn06yiOkGeFHTbJCLrrU69nA1uynKRPlp7NY7TIziFO
ikm+DyLmHk4GUiZvUDDdwAij952KXaA4Bj4itx7UecRYF6OBUGZfAgiBlA52nqZtIL2MuPMaDnNf
APlVD3kQ22zH3130DqKZl8y/+C5yqPtomr8H/LXO+9JxMH71sdPMtAOsyqbNkb1snE/ysD2CZlYK
1eolGqzb3TQCrnfGOd16RwIzOsD4oEOL4RmoND6ouW6KW6SR8GAge8ffByg18bFuM2X/RZGqeoQZ
gOM3TAyZ+tn6g4vsPHkeAxF/NpSnY6Hd4jY3mF6Zk7NSxtsW+I6y4zpHM6IaPRk3he8IS53bAJvu
ZEK60dUB1MhW7B2JXxyE5xf+r9wWsXhE4Fz4erte9MstQ9FK3jGy4CdwVN4Sb7u2aflcQwrHYI/K
z06YJ+NsQ5j8sp6bBT/eU58WfYa4H/u0E6vgH803fFqJPIlkWGaAJ6e31tuNvgZCZtLYhuUT2zs4
gNfEAaFQkQ6Z+bCxrOueRD4y+thIYSqZbi06RRge+QvT+OQ6cQWZjBN5qM9Y1wfU4rhDOt9EUysl
QU50zOEvp04G9zsoowxTyGTxqOxxEusMiRPz0z0qKOvS4dhKip695lf03F1t+8Ae/YWdmv6Zszyh
qh6KjtmQ8rTvf2lH8IzEfSU8wQbomF57I/BqmZGsrIx6FV9NOD9kI5PaDSebaHcZ32c8QPvdhx9b
XygNf8EIPnN/lE7rm+cQQqh8ytwEHdzUtu7+DXEYqgt1ZtzhTspBteGBglJeXEuQ+xFxwopvIJOs
+9eZNuzPymNAu4fqzTMeWrmY4xAPU/NAsoJIma6XqT5ZM6vxKlSWZTs3BgDdplPgB1+4TINyT2z+
ND2X8Evi0DMBxMOqsF1vljhhJIb7GMU6VzThTP+kWfdCejriKfVI2dk5VT55O7esefgPCRNu+ZMa
0RqF3i1m37mEqSmG6cB14iEYdEVciCuLbceEY4DVDwjZFanqXBeRgmenyJmnml5ODd01CMZUI7L2
tgx2Jg7EYpmO2MV9EzNyA6oSTfhbtOILAbZ1/fFRVIuKj2GNBvQxzQ0b2jAy8N/vcjAcwdzh87pO
YEHjHUNeyi1LAY35xF1cTmfZun7IMYeLtSWJLiwxM6TalvuFD2VYTllIbu1ba1rkBM9vg/LaZtqB
C/alw8R/nzAFNk82LsvyS7ul5F2lt/fWetfGWGOzAwVP49nDULqt1meFrajpjjUfyaJ/RJb5/KeD
V8VbGMry3j+3SdjX0YeX+fiZNznLGKKdWwxJQQclTZ1clJbq38hRkm5FPZbpIZR2xLAMi++sx2z2
q+mBSHKsrysd1PgcLy33dkEOzUs8jS4NkF8183aqifHhzeh9r//dkrTu4k4MERWiQ9GyM+RpSNuu
arZMQEX5EIeVCD7jtWX3J0uNBnVQOmSBw0ZzFucO9nQsd2cTBWn20MSRywyiZoVecBF4reu9z4HJ
SQvHmF4XBv7tGVRhQLA2nmofjaer6hJzxSLeTIgb7QZsYEp5mNbJPUSKSeyp9mc2K+KH8Tv50xeV
bE/MJFPhnUZ30b770bERfvmTx36b/1QVyV0+/Gk5R3aDzrj20EvsqlKbsa8iaKDSwgTNbGTI9+HI
PMGjbZx6e+n9lMHUfmJ7k35Q1sVgQyZSFffbnkzU4kUlCNNqUydzC2SMBFhvFtEV6XdHSGAvGcaL
vMgJCyQj+xB0ZTB5ewL6I398SsJBrWcc1Vr9xg+BwMFf4YsXrZlyPrgJ8HS+00LSnzXTPGSvGLUt
CwYmphTZBm8wQHPrsQv7yvPlV0hEqwwl5tBMzMeOivVvuEbGXgKbET4hxmhAIYlNqt9WJ0+7X7kA
Iwg416pUXxCArGAEiSDWdrg9goy+puJzynd5MiFvUuuYaDvLpKqONOca20MdNvWfmuCw/Dki5KL5
ByVp8n/+dN/hySp54sgh2oHXFkq0wjEYtUyIZxPPoL8TnmxCxq/FKH/gaajL8wCW2j5F8Af5S+3i
szqsZRCr87SUlhpoJfGpPvsFtdS8iXERYulM1tBBMgat+x6V5VIiWs9S84xTr5vxUGsrSrziNl3G
Yx46rmx35Yg2cMK2iQif3be0XZ2hitTeNJ3736LqunoByw/7ESaVd+/SwG9dSo/BKKU59t9f7ZAm
2R+o9GESm3qAoN4ZKLA42UWZjvVvZ66ydTktUsbDj1CRX6E2uUeQ00aSUkKmCxoOg/tklFVIdG+Y
0F/N3hzFO9PIcTxopFbz2XQM13FDOu78E8RiVJgruH/cdx+khptJBEXb7VQAbnbT3pKgci2uI48O
YWDQL4GeBLMjt8oO3P4crCPDctSpxAgkxdGidh5qr7yDYkiiPgK6M3tn15u78phRMA2nNqa8LykB
y0p8row2IFmLwkl/BkNLYMOWcWRm580QB2X9l5JeAuoSN0uXEqK/Zg+Lb2NDKgfD1Vckn8HflrDa
VFxopupZAlwtPyTMFxkVgut61yYiCv5wvxjnOOEpI1o1KxhgjzkBAMXGN2FmDkVaeOaGzVIU+8Qu
OvibxU489tvAaYLpUJLWVVKTwCvP/IIy6r4ZVrEkOCDpqty6ImACtMFph/d2CWsPrlsWgvyAIUHB
EM5oCZLr1ahZOp2pPryXy1J/iHicgezDoSibg+1snP+zGccZhKic6+kdu3WyHDnjyTGn4ZklAeMU
iO7dM4aRETiQlsRzta9+L6vKJmen65FaYuhGXpBIjUv8Ts79VD4A1+DiLsc7D9DFQ9GcinZwYE7Y
rUE6g+0rf3kPbIrRH2ki0ldsxLRQIi6XcqaIxLf1RZZI1x1NiO/sZNO5bi1PshbzG5ESKHYHvfQM
YpZwxFV0VFQ9+Y4tqp67HMQEUXysEkmDy1c9hccmHCLoScAlz8dH1s8ZQHy7SIx1U+bV4QOf+7rc
hjn39SGw45j+xoPKibVzEmvZhSILb3nXbLv9hP4KPnXgztxiGpioeCiHkOHfHqyUJIbQG9z86npK
YPjiOS87eBHLzGnHoqJ6fbB55/U/KT9789ObsF+zI5iranqoHYHhk0Is7nbLgFm8PvO8qz7ZLVRV
uGjHmAtU0EKNNnl3KrwVydGIapDQolm5soiqVmSEJzqd+4Op+sW+eX5jpwmYdMpVgNigoTXPVQ5b
1J96XGGlJaZoHdonN+bNVoz1+5VHWHeELrzB3Iv8eaVdXr4qiBTxHZIsN/+uJAsazy0Ha7FCljpu
+s3H2i7HpYvgnzBLzqXcOY22M3idSWihHRYerH/IK8PaRLE2Bh5vapzChCN+5YXwN6G1NPw8h2YU
ZkPmRSBS1EaobG5vLtzIPKxEFvfdnvFi3Cp4hn6M/F0QzijVp4BSvPxgl0ILSQ7dEM5/01V2yx9G
AI79g1AXea8DjtX4Xz5Uk/efM5t+rDaIoEHtPdaQ01O/zxw1qqNxip73u5/SMU64pORkw507tyRI
bGMgT9wstWOL+lgz3yeGwcPDfkJdL4LjPEqVvLRydMcrkabGvlZKJ+GtMyJTrx2SavnLtKBch3xa
U31zUN+ijS+Ckp07tPbFd8iwPzuH4NLcI9yi7m5kaXaxdfKAVYwukk/wsTLvj16dhZqVtBNf3X8C
mvbDPC6J392RyYUFXR1XCAJn649Bc82ks9Y/w7AO01c8bPj16ZMrT+1czYl8SrMyck+GiVawj1tO
oKvluTBHwp58yB7tEBqc5Oyj2C0zHvMLyR3OdA8VWOlBQmIYZg6lxQT+MxzOGpwil4ingg/FHwZ7
7JIUTgaZe1px7oRLXFxGHrAo2mEaiJszMpTxVnKnAyY5g1wLsW8Qa0LLnQs9ZnZs68jBvdowEd1v
8mGaethOmCVJ41+MmIOrnlw1i92KbvX/Vm3GfgzfW+K7xP27huWygc70xX+TTzmi2SUZZfMRbHIq
bqHBasNa69XPD7LuZXiyAaOqnNgJeotLP6+YuvClt8MdR40wXj/yrTkLXbHbaBCASRrvjPNaBQe1
isZSfDQrpv8Wx1rySA2m3OcRl9zS7bHfO/gDOFmHR1uaSB1yMw+hhhxJneibUj0nRwzXLy1Z30Rq
i6TNokx60GEQnzQQ4cwTDaw0b4MAlL3fgVpK0roLjBtj+ZDOeaFozlVl/U/BbCp4MRUH1jmfkTSu
CvYXUyB31kgySeW6u15FSc7ssJSqvAwooyUZRSuHGZvXDDNt4mFMflj5H9OXMY+W7tgTcdW/dwAj
9/Ot9ePoR7PQvv9HUEKiP4ZI1Zi3Mm+OsdspJNMfGGgckksi2NkfY5v63cEUKm0/QQQWumeKe6f4
M2ln1C+AjoJCDksirzG0hTe+iIXkYnQzN1934JV185I0wx1ZcY1L+d8lAw7JMaonEW/S1mQmesjb
Gpi+k2Ach9WW43BciHUp9gEhFyGZDB28xUMlY1y/aTDPzVsbBDp90tWK2jjZgb91Sqje3B1L3Ibp
15Tz8Wpqn5Cz99iUzJkuNbPwah/y2afptpplGhxlnHSf/d38j6czXUBHRt+dvpPBkt54YcyHwEQv
R4oL9TRLAx9ijfPvK0uCglk8PZ6m5vfQGcofK2kEExUbsGxFYR9BcMKpZRgHYSO0+KzJMrXvSFFW
faARo4du2qHPp0fIg2m9/8OMTNspxWniKcsEu3BTtXRPbt7JKt4vaesydM6sz2oQ8FU8LKNyfDzs
xrPLjXuzRYQSFj8HeGVb9WOOuJ4H9ARlFfYNvLAPNlAy2CpuWRoYscUAarvveelXfYLTboutLCIC
DxLKHciiQk4EgLJrZgjDZDMzi0dYMWkyd49B7tfpx6zbFIo30IkTbDi+ckP/4ZHNs2E2Nod4XxLD
r5zgKt0VeN6Sj1XhrMdaWWQca/vCLdmc1IWtxT7emlhgKAulq9Zd62R1Etyk61F5nKvAsKs5Mq23
6GeYmyEPX2msfHZVs4U1Dt7L1PGn89zVBE5PfL49XuAljRk0lYV/IBTP8V7qRhX2JVyYeH9YshLc
X06C6HnICCapr3iHyW8dnbFNsk2Uh1lElEKsk9s02Kq5VEXfYgmVRcAWl2O+BBPLEzufpP0SJHfJ
IWvb+4ZStHCvbGjtQ1WX9qtNB82HkbvuZUpSUTzhgNO0gl1LKbNTmEDUUYwaQXgDjIipbxfJHOEf
pS4nl6CBusgxdVRdTNuKjSDr1j2KL+PTBGafPkwUUdDtyXAa0yeGuk1x4rRBgWLgJ7zks9VUvb+W
zniMDfn04PwxHjISw/XrBh+DWCiXN9jWQbmIX2SujAQUO/zKtF7lecRsGuxK7ilTbgupGGjGLF3y
XusMMsluY1XK9dMSfUEQHDuhWvgEIO+MR8sP1DDuUwNTCgiYl663JxwISq5xxqR/XlGhmPcDqaQg
Z2Ig5zJeJHA5SRR1cfIKa5v88R5z0+3rbl0gl3raMPVUMRRwivNwr8sKCglMgGo3jLaFSYLVjIZE
XqJppPe76SnFngBhH9rhH50w7sgtKs+dtFJRWc9v3eQSAXZgA7urrnT9i/Pf2pvU+Kzu63JPHLxg
rgYWBA0tn+i6ojns8Odmy0utc6d5JdAliaZzvPqBri+4TGx5w5BTHlqa7+o/BuhMmJCpgO4stlPC
Qzx3eHenaKB91Xb6M2MI476U6/TKXCKJj07bFn9zCX+6Wedw8GPGrk4vms3K8eUfxJCuPwNeir/Z
SEQTG4OIE9vQUvrXKpi76R/lvfssA1UgYA556u7CAXsShifjPc09M6pDLbK8OovEU4emXnIfZ+bc
v4zuHeMAVB7jL5eZakuyyESEDKQQIOWEQbl860gYVLecW7j6PeLjdFy68jQfGTp5vT99cM7Gib9x
ojZafnTjQoWxoVVy60PLaO6OoXrDeus1fkQcims3bt3O7Wl8gvHeEaBSsK0Z/w/0bG6AlbwZTzmc
NZj8oeeKJwojln38wsXj/K7rHOIbk49/mcI4b4/QzTTmI1FgHs9oS0e7HSoPx3uO5ytj2FMgpfvN
sno7NDr13+gpMu9jsKh3QB0fsIHYU+9X3ySs1ahbOLNTOGhTXcpE+S5p52nj7VXfl8NDAbloXkJW
oPk/AW5t8FM2weA9ZQnDjKtgp2l3LYAMSIWpo8brfjLCDMIzeVj1RfdmZt4eqTSFtSHW9ZhmOcG5
/LGiOpd1llkgVNlG/m/IPNU5264kCO4MgxOXh9xf8WpFrpOKW1/UI9PuZqHj2SDxJuuPvAqb6RFw
iBCI6f/p8ORq588BaCgJE7VN10vaiMh+Cm7LxFIuMtRkqqJy/g323bgDiBv5WiPICdIcmsJoJE8g
78pL5TBrXakdbFEohrBpE897vrg5bbBEQEkg57V1k1bbMFgrcC/i15iQguVmavzpMzANoM0S5vdu
1YvgShkVOVcJezdcBfanAC60aqvhZxCGRlycFCqf8Xs4e1BvaT92J48hfvgtUkP8GwsTwulsqwqX
qU7b6gnIdFZUXH5c7d2wo2Cgrpk4VZJpjch0ITSmgnGPUs6pwuUn09UAJJfNHOh9Uqs5OtRMqYM3
j9BDTIMlhla9gwux3zTN87RL6MIxkJbT8jaLsmSC6k0+4UoSNPLmmWlt76aM6JnV4+O4rxspp32P
5Fg+T9mU+juHGz2/LfVyNx9M5VeBP+cmQRFx4LngzvuoDpdXU8JUP/iCAK7rzBGJqFV13qXGu0SJ
TNHBqHyNsUi9MKTDvUlCk+MfjYdTGtCciflz51fZuebIw4o0QMU/cfcU/SbhIEtOd9wl2BAvoV2e
hASjWDBEEYamuJjsE7Bs5f+ZyJOQOEUD1vsISNalw8Q1mh7ImGi03BBMHNTAJB2RgFaFzMQ0VS8L
SfqyW6Y923pZSCAd2n1OxikghHZbdo4dSa4QIqW+bt1/nKc1MJLBNNeoiyyAV4MjxrF82LlMw9Z9
Py8yYKzpNb+TefF0v50T036S4YlxuIiHJrnvNrQi5SFlgoE7DGOrBmTU+Xhh6WLNl555RKUc11DF
EcntbS7a0zo79fJCaAfuKXrrfvlYcpBikmhUGSxPbVv5/4zvt//hAXXCYxom8uZnlJj7shioqhxF
j0KrTEsIDt6zURkXWGF/hWCr40FSbJ1jWZAYbTNREzixFj6/GykK95l1E9nqkCH8voLBl5i1cA0/
EBnY4haH0XYP/B3+K9Yu9e26XlWcSr6c5lB3XchMgUTGZRNTpIgLP3w+lCJeizcdzv+3cFGOXTKH
BbA7Ig6QfGlaeXGZK0WIFVP+x6+j8T3mhPsjvCBZHgpj4+5mW8d88Bf1wadsqn74HeaMgBhq20qd
3GLs2nNedyijptUy26Mfk4ci0x4fgrtgfkcVaau9Jl0C5DwvmuHFA2FfToLRNNElbl3JBx4t9Zv1
x3V0WLsiex0YBfo7HVBd7xtAqJGnAKsl44IwT3bEn4JSSzaKQK90veOo76WyodzycFMVFbSGZu+x
fqH6XamaECkGW1lfY4hWoVd6OwdVGSg9haPEYWbqMToRRSwJ3EhKykLcA5oXadmzWazVW5QY0+zm
kRn5lygCPZ89Q0TIs+PIbLmnQrFQFXRb1zEhDcalwFwNAOumdHoUuE2Kz67cD1UhIM6IgQtvEoXx
P+Z1Ivw7kGT6q+vdonxDB4b8iJGbb+iDBMUm6+Sd0cq45aVxFnFiypn8ZfRUX1JBQhcujCDXGNfj
+EXSi5eHqJ8IY8Hv6ZK1TBxwQ2AAy6O3dUdsHcEsmKfhZvFnPPm4WhkDZqYgbKBaUdi5V7W3HVH5
zQde0e6YMfReKLEq4jQIJdTOLSMnpzy3aQhQnPlyDS8m5fVHh3eTJ+mMqt3aGX3lwsRwrKmoNLF8
Y+uCNWoumh22TqsJH1immweNOW5bIr9cMKkkfptox/Sh44H5JwhPvScPtAs9Kiyqc0irrMmOeZ84
50bXJnhgZImfsq/uMS+0Vvl7xciHjD+6BW9L6GpyXBAYGe+HtYvjW7Cy8NGo2Dw5LESut6z/Un8n
Hhw02ZGl4RFTPBZFILALlpQ0CLcbt1BuxEQE+GNXqbhib/GY9vGJSgBhdJwqB8QM+YhdVtPavXIa
AO+uRd7PO7KLVthKlGc/PS7WrDcVh/rZZlNQH6O7Ih4h2sTHaNY9Ca0pXoDi2rKiK/APii+qOiGD
SJpkei13b0Qfxt0l0Yxd3B+uFqE1e8yEOSwAzpLmaxoit3yoeuy6R6q2xrJwNcr+Lihs12xwE320
U0m6nY/R4FcOB45QSs/8IyLHg9aP8omdGBH3hDjNhAjb77HGOnOk0lzVTpYhRyFjeSzgsoo8XjFq
5+AqyS109iuDruWb6BNE/d+LaRXWaSdr8pqAQZ05rEHFhptIIAmTXB3+z7h5R3nT3DSx4cgADeEE
L17cYWmQM928cCXsUJtn87LALUvZ/Kj7dD21vTvIX7WzZsQoegQijYeiW1SHswIydzdMEQEUvee6
/sbzx/RGou6AmmTARA5gt2hGQghihBKX9w3qumN7Eg7TCnM019cKTj/b4Vcxu/VMKlA7VzufgLB0
j+5PSm83ecTl8IRcHOyX3WlkV+UtWYp43sXNMrJAJh+Hwn1l9chY/Z2NMSgIWaIJ7SFcxvV/Ak2x
8mDv0Rq1Z6+LiZayqk0/DcpLumckxxS8qLU3nHRjsYUnmRwuGM/C5E+yEPPwizN+yR8Imeh2cwon
jpoyzOeCj5LBSJOQDw2fUfz1qohF09yi4YL+YKYnevhZvddkzP3rB/x++JB1TdyAx/7CTdGrvmp2
pphgiHEELfIhAP1knFNORHx4DXzO2SNEnpyTolnq41Slc3hY2q5e3gqPBaEIqWmiL4Yc0xxAyMvM
MemaEGetZqy7KVcQWmbB5L1WjCRRNE56ymf4q4QwCQk6Xx4Adug242muXyIkcb0rrFfpw5x7AwEo
dcXdKZN0Gh5nXeqL5lnHWxav4tjo+/K8QRnnJTOlSPalHw4Pq1lduO+VN/taQ5LikG7NcC59rPc7
6Q0VwP9SgIFmmYsEumHXlwYstHH/MGM6p4NaRfegpMEzp0YKtveOCNL86I00Mpt4Ccvwq7E4rDYV
A/+/XLHyOelx3B+xipUvYhIBuQd3sYi5czd3wExo8GJDbgfa1OTO4Vcc3R0qPCt07rgKSVcxOEt3
i2vy545AAv7/cZQ/e5bHTTt8FG79xZx98DeAgOuNFCMrt0yPYvhSJnfkcNUhyHgaewEQr8VSdHAx
YOttsoziK+qFnUErXFq4oSTCDZu9/T0vIwatezwDRFLEzjY2xmEmbwp6ZZetgB9zG1tCP1wf1orU
4ukrYrJaPNWlIwcsyoIwQ47MprPPbdd5mNzxGZXH3ImoYwcxYj9gkZdCR1hZLdLNPbaBOSU4Gntd
Uxy71tfD4/84Oq9lV5EsiH4REVCYgld56eh43y/EuQ7vCoqi+PpZmreJG9N9WxKm9s7MlQMnXX0a
KpP9mksewmxW3eUts7Px99qu4JsK1Lthx0KIMw30bHfY1jTAnACFz2zr81K/JVkRRofGN0YfTGmG
33nCQfs2FE8vbemEPWlQh3Ad84MPSQfbrCE7vAafNab+el9V1q82S15yEQc1L/4Nk7z5SrJetru6
bf1yB+RhRuvqRXxs164gANgX1yaz9fsEYgJTZNtW/2EszOq7Hvbthyfg5tyBK/Kf0fnrD5A6K2qe
yMZLHM+aRDlGHHxvqzWEJ9Nl9esH/GnxXxTVTJ4DMG/mgr+uGx6SKGzPeuzxkAKISN4JWgNRn2ti
1Divyt4+BE1GpL6okODyeS79PaKC3mMptOTBBl2z0qH0qb9hulLMvICLkr/RPDfWHALm+flQ9iHK
Qyrgbx96CgrSLdCJ5FKlGFl25BIrc6pmPzoDRJyOIAsnwgYmT3BqGw4nD2QpG3dfdNYhxd3TXUH4
DRO6wF57LPycppwJrx2T32ornj2VdKMDILL13UtL4dznHWLVDXmuyCBCBuAGTsFjm6n4Rn91uWRt
PyfyoY7K1HlBmkI9ipdQTRc3GvzxvAxZrQ4Fxm9nUzpJ8t8ypKAnak58wHYXQfwqGpfMPZGGZPpN
WgSRt6GKQ0R3Z5HhF+HyMubtMWKYcCsozbtRSy/tsIxbfEyRbyW64Srbttn1KSRtIOPZpL89kTBu
bNIxn95nOsDY/XqT2unJkcVLfTMHb6Y2cYbHStEZdZxqygnPREAde5xKV4IFmweMO+tQMc+OI7uL
7YrRjsGRfit11XPctr9HCAePZmLqvqYKRCyWU3z5LGICsOCbaSyj9sqGH5AYXLt5wDXh8vA3lsTj
rlvX8rkKZP075TO+jiXDDpl+vkiWlvP8Bg50Uiwc6xX9V1og+zDOkQf6EP+337eSVXjWV+2ukGvc
nyKLZ4vHWpV4FyUTeVlG63+EcdE8UFcMSMfD0vaRuwICVyAFZFKWmMur5fgE74VA+XiPaxLNPFtw
cBJC116383KnlT+roR3jQttgnB+LkZmcKZPd8K6HV0do2IGCCAaFx005EcXYigCW60aCv3lHu+UH
Lm2b8lzI52U6cLqs410Vzj4g484pv8YwMu9gy9kh9iDePvBKpNWVKjtn/I4ySTmeO+fqwM6idh8A
Lof3rY/cgFJZlL+tm7XXXNWq/DsK31V0srCW5qAfQzel1AHRivMwsMp5thMKlwnW4csQhSO60vC7
nbDql+8TJQnV+zStw32M+tv8xGEQDk/4ocy/CUpfua291fuP01TfXmBSqwYvhKl+9aFTPTWjW2HQ
iwQkOVu5CUZ1b7LmXoQu2SEmGjYnU+Iq9ZzkIWKj5Ne+2rksfms/dZ1fLtFYAopSWXngskiZZRi/
6p0nJDkgJMLgtIysAs7QbebgeUUgHr6YNJbuH1SmcLmr3VzEz5KYvL/DwL9UF69rpj+zl7j9UZuk
7u7oh6xRcooQdbI12M42QzwsM7s7O7o7IyKWS5spdNbhte6DJnnCfysW/sbW/dtVRRJcRBgLl792
1i/dVKfmMhbNLElAeN4I3hVv7hOjSZ2+9cQR0u2MTX3ZK2iwLwtuwA7FQY/npGTl/trB46Vaw9fh
sWpH8N8c7wEskUYoMUZ841KLwvsY0G6xmWP8npSI0bFwqhKMlwTtyqQ6jG6MJyxBndkGYKH3MMZp
4NRF4PhPylAqeE2twB8KCFAvW0QwtoqNSZbn3GZ0eHFyn+at9Yvwu1qU12XbLvMas2n6tMGZHYK5
w6Iy5AR7OBNAQFSp/zfo2BjcuxivPgHsle4xRZeQQIPE9BIa3lG7KO/ESpdIX05/QlhoKH0JixlQ
tHzZ+4afGW/NWHhsVtaxC3dFicp8zQf2eiJsdPAlp0H7v2IOn+eRPgS2gJTSVL/9wPrjlnNOR6qA
GwI3RDolFzYNHlP92vTXYqJhckcKLgWr2jFUbXN6HVA1y1F9t4GXI9d3KgwJDsvhV1K1MCHUGqgC
QWrC6w+9d/3jpD4DBBTo4M/aEM64z4y2aFxxlSIBdEw0w6gFkxqTcLehwIPTGuBdTAOzqh2G1nYG
Rgd1U3It1UE9PlKtwr4G3TaT27AyFnDpSK2jwnauACNV1IowZXU3xiBeqBNuiJSdmMYw4RXg9lCe
+mjcUlXbDixwPPHOgT0CvO+3gMSqChCLn4d6I3gr/fMspnJguKr7TT9ARkcFEwVP4pQ13cad0+mJ
kKfm5c37MYcTGZs3g8vkN4R34AxJMRvL5OCCA3P9GadzaMPl5HE2XjasYQh3DmCankfcq1gFa5Ap
mwHDkL8DAam/82oFIVqxuKJZJWii8r5YJaQMSTABV284d1/riN5+cxdJWFKmealXq49cMfB3QBw4
zwOWmZTzWjlc/CRxSVGGjgAOXOngn5+4bDUc368Pha2cX9jrMXmFKikf9dLzjEshd/Usf2v1gdEC
HqwsqR5jFSrGbdXfVsYeMYdbOgRc6C7xF/HRi9x9HZu5a/fo0fivK90Ifol5Xv6wJ2neQ3J/IQQu
lJqNaHxN4Q6LExhUgPYaqG9RSCq1Wb+7aqh/rZHIgYei0dCN1wSE2NJpSlncVVHEAp3V6sbz4+Yl
NxITUm3w2/LR5ui3BaF64keL7DYH2jEQeysK5+DmUU8duL15bZsq75+GphcZec6CfQNOt4n6EpvA
3aUgdq23HtPZm26j4Yk3Zw2PMOSBTnyxpcc+wnT90bgGz/ySd+unbiI8gNyZTb6VcxQ/Ft7MOYFB
W5ODFI6tN9oTeEQBa3bgdVIydYeUoEu8pcK58RgQShbgeP/7j3kU6w/IgFKSz8Q8naEXwpIP5/zf
bTyGUL+6y6uUVQi9Da8Vpzi+b45sGatP29LqEXTaIdZmiSW7FGg8DkIuoHXB88abm9vySMtMmxCp
VWTZS5Yhxbbkfj6Ds4uHi61Rgzc5GAvisXmMvdUQc/k2ojJ44CG+Ps+VQFaq2zT+XZOdBVkSkfM9
yD6KPzzbsDevOcK+sOLkf2JkvfXVFCM3pjPpXu7XToL2GIHsrXsRp/VzkXn5T69voEECds6h5bWT
b1U/cnUBv0kfIq8hPszhAa2QL4KXsU0TztIyS5ZuuxS3SaRpWw5JtYi6bN/N/sjOrywGvBRUhb1j
LkVsJwJzS17bRJ1nD2fIbsJn8NdZnewvxT9KIOTH4pxGzfo58xzU22Ss5deyOCpHcyqKd7LA5qtu
QhGT+gr0Ywwbyd12vgG1N7u8tTYFk+xrMnop+9tIgwpCwWbm90sc6+whcCESo6rCSynH7jOxLLUu
KV/eb1yEYENgxzHhr1UuLxIXa3GoO2AIeAAmvW91Kh+j0Dp6P4ZNfhXNwiPZX9IyB80R9o/z2Ma/
bcHtciCQkTgbKpNEs4cVib44o1Kwhkb8pX0gYgxd+wXNSYeL8XdhqGCqokV5f7xcehj6giUcT4Ue
0+eq8aFgzD62y90Cqrjbdt1kgFCpwg3qjfGF4GJxTXAhYOb8JGyfEo7gS/XAd4lsPdIAeUb54hOQ
/8n0oaW8iRFrXPq7rmTdvYsT3/InbPpf/RQtbdig8HgcGeHyk20nN00+hf1P41393EnhJvQgtj5L
zFHyEI+w+YkCsTJRT7XCGbuhQIm7t10HGBOIzFl8l4VF/MsVCs+336nhn5kxHtAI0pmJns8Jjufv
1QOEEmwar1fxww0GgBmNy6rD88aG2sfIj6GjFUcDylt/1UQAFNljChUWQEQYl6iTSYsT1uqeVQIe
hnmi+NXlpPslQ8uK/mAZIsMTdFQUTQQ1cMMI2bxyhjxeTsjNxK26WdlTSQ8CR0NZ5XR1JUSww9wf
fgoVqXgf514NU3mI8l89D6YfCTUY2X7qkpwBO2drt7QTAVXFevJPkvTRmm6bfJBTd1mV78dn9sA9
8doEVy1fvwqVDq4zL6LmL208lqF2GkV7a4BSt0kGalvDRNEnOvlPevjFduxks5B4GYrMUfRtfvUb
XMfb22EOQH+9EESzZAAIcNZqLLdrwcpB17lHxN9PzQ+SdIDzwOvb5WrhmSeQ4gVV8ny5XWNwDYFo
nYeXkJDFEJHskVR7FJzcyS1nrGjOelXqvXJL/jnaJ2z/WCzsQzayduKfJAVixamMiMGmxXJdPZms
GilgqdLql2Tjmpy0nOJ3R8XGYjeMSNP4Taf/DTYgI9YAi+SHcSDxUgrNUL8HyxerYzIO3RuuRRVu
NMdeKBWtbKjGydQi3ycKDd8MqG68BH4y2pO3+GCsMzp07DEhR93vw651m90kJ/8ByUdPPApYu8Yb
8lrVcGc8VUy/MlRW96+DXV3wlhhr8DrkvI/GX6KnzLBw/ewLg+pc+m5vzl0VN+S/IaV19ZZdVlH/
aOTOady1OfFizhQ2I3278cj7OVdmG24uTNLyz6wniH98FKe+Fu3qJ3BYxhA1OS2H8G6McWDSoVSk
5WYKwp4mKSBOo3ik6p5jYA/vf4W/mUcY4fyqKnGAGGO3qG45LC6cIc2y7906VUC6ReWbRx4tefM3
ROdWp4C9LT0fmqX+BmhQ1r4SZ+/si1dG9sXiYGVTtcwxN3gXASvkWi0MEPi1FK8ry/ec13gy5++g
nJPlMx/Lubu63iTEfU7zN4+7sgxgJxAXSO80Vj7ajBricHsZkU4ibFz9X38q1SOLhBLAUV9WatfT
3M1RNURg2bBqT8fHWCtrT0PdqTte77xqyNuZ+Q8bMdqMQuxHeA5sir9Mt0K9Z7Zs5b2pwiTcuZr/
4s9al13wRYjUk88SlCvfNo5ktq6AsfAOUYSlH3mIdxytiXjiDaXpwj0YrbMjp/FCbmsj0Nm5/HS3
aTDyjj9YwtmDgjXC8phaw+4ORg/MyKxe5uGdsBTciyxWqX5AEejCfadZsX/rlXuk5jcD23vA0lAX
z+DFEEiCSNcfeCaHaDMN1jzmowFo1K7zikMUfKs8+XXYL3douoP46MZ+nXdOqCKKSZC9iXCb1PXK
f2gFi39WRC6mp5G+u/6j8yMuE1YpbD1CDNlc9H8Msi52Itngxli9UQIP1VjtacU0uHUYSlraFGDP
ByRnUI/6OwZSxq4Go0/wTBmFit992FxkXnFipN+xiHL3BZThDO2LIfcCg0bJB40BZbzWqLVHVh9t
iwkf78KZZAnMntVjKfkL9maImIPvWTjnYnai8o0DIz55OPy1cudtU5JjeYulaoM3MmA+9EDWcCT4
8EE62xFeBYFBEsguaHOQAW8FVojoyHHfPeGMqOM3tD8quDxslcWuj6x4Mk2R21MI6+BqTOa9pUlF
ANEhLLCvdFtcwtZl9YZkkUFTKRoOS8nEpb9d/Lm+LsMtUBJppLPnxkFKv0zEb8jzkhYhajBbYDy4
CifnvGKJzEkxuqAIH/0xoyjSX0djH1CRcGpS6F34/1Ueou0391QZ7vF54vhgUgl5hesaC+d/FMXj
u5RsFKhuq6WaGzrqLQsLDrmSUMRGBrybL4Id13Dfdoj3BMPS6X5InARDoAtzTxJIS4inKtR7AghQ
pPMEOXjCK3Xv+8nwhsep/WGGlelPwsf80XJkoVkJUSGkFGv7j5ibilmX1QIJaVmWPD8vXZY/Y8Je
s90E7WDcaqiuwEpQD+5Z9ip0OX6lot4Oorw9jkLCXNvBacQuLIOheUltP3qHYG2YU6cF6yq0FLNa
6r5c+RjGTRgfqqRlURDGOUJEOy/QO9JmSHYBmhJXXVGYbjfzPnY+Qja60dc0Oe8ZgRuyFJ1zDCSv
iqDlG97QAyHiewpd1pnNjd/xWlfkiwRH1qR3yocuWFZCxlNVoE6qAUEttnK5ToJWao5pkMvp3Ega
3a+kF+Luvqtd9W4H1d/obavnPpUsi517BRE9eAKUXwVHzd2ujrHljvvoBMerzeSBl4Mxl8zVsZzC
5DvPY/k3xkHMgWBN5j9VEzV0O4y6h0AAv/1VTVFD1yZVOy1unHb5YK7F0mGL2bsGLU4pCr1MzmFk
IKl1SllgkrymnSQ/e30ISwiDBCnStaBs4ViQwPiR+Bbs6w1pYB8TPKeQTQc03X1ji6zYRhgLy2Pt
DgXNns3wu05qt2POdnp8k05i/FPGYa3bh3j8r0OCqr9jse4adoq9MBBVSXtjc67qx9kOIQISYBT3
AwAOEDrg1IyAs2zEel3WEjav5ye9PjXR2A8H67Jzx5sziHpLyavnnCqy2wzofgmSC+jAFG1pYnRZ
CEpCTrsUFew55BwJQBTU8TjiXdUF16F1WvsZ/L9cphyWgqStoOXtHof9cuYkFOT3QnT9F5NpMx6F
F4UwEEYNjz0T+bgjpdUTygGYdvCj1hwcSSfIhupcuxyaMVHFuSmwvAM+8RIWntw0LPkiI5djirzU
PHicENa7MIzmcD+lUtxqPYq57E4izIOnVM9B/x0WtEbTFWJHfUTMlR8pnWHA12rkTlLZMQw2OPK0
ExTCmQzjkhAgDSQnqiAaIo7bSZ5F/XNgvfocRHXhQLX1x/XgsRzrn6J5Hf8m2F5RMKyNveZu7DK7
0+KGvma7tO5mh139Hcta1A2nI9/wNEPjp+eGvMVTLeK+OHgcOG7FJV0ZfA145gmfL4Xz4/ku8TaE
nqDZY8bTfrGdYU3UJ9SH9WUV2ZAsR0EaKeCATURf8HMYH2HeXx3nDkcT9pCmSTlqZpGDDAtCj9Sn
qsoDjxPnCQNj7227iaR1QplfFTX7OArkvG1zFAXM1cpnMtWt/s+OcXUXLvi0tgmr9+QYaT8agCWB
8ok4SkpOuFvbRIo3OGkAeWaY9has/REvAtNCJ0YRWcEOrMiZUZ5gfW2jpXI+cyyId0rXctlG4HHs
geJAek8HB9sAJ0pOwnCM1ulzJRPUHHDiQUSeNEQi7MPdMw8495VGkHR9VoPkgIe02bWclRYiZ3V/
Qy6HYeMAQqinL3rq8HR42IgwxLbpe4oR7j+0RFHyGy4sMPBGCf/UNXHz6A1B99O1N1jIOoBIHpLE
+tfSGXn5T6tYwCiVnXvX9J7Vvxq3SPpnl/zigQNzz0xvw6h98/omzC4Snbu+uCzKjkHhKxwVSyvc
5x71EMuHF4mfwLtdKUUsDDV/XdiBPfFjUp4W1qHZRzSRpJxMtMfu2/Oyfrf2GVBveiHpCkJC8PNX
u8xpsGtwQ8jdwq9Q7W/o1IBHPM2dByYo2/Kmn1T5oqw7u8dA07e5gYDBkgVZDYTGLFxyOqzMtZMe
0ZIjdMMxS2V4TOde37SQ0V9fglwtfyi2iP4OHImuQCBz/AmCsurjqOS8vuMl57QRekv6R+k+m+6V
56RPPHAAYuFbnqCI+ZBaN/7EKf/8/0qQL9dYXpBY4FUqfk8yo+rZHciT7AGT8+Rs+rx1fpyRYK8Q
qoofq7wIP8h6dO432mobv5iW5yROSl6FLr3Jax9uvdBdp29/mV0H0ejmfNjl+RCnmEFILm8MEwAG
+Sbv1bmAwyvfsOgEkLDQRJ3vcQ2CO8hWVsELLD3SUkmlgY7r0AeX7vIH0FNDsjpAq9qL8WRmdgT9
6ytOvzG75yeqv0l0VnRsjL2caXfoxns9QvAEadvP893k5XTIbXK/ybih+cnbn4y9UPQV9OMoGBza
ikYuVq5Y1ZmJ+Fk0vy8nPAhaAc+ehtrtGJzAlewflJiJHMt/oA6SmGeAm85npeKlPdUSu+4hgMup
LjknvPDk+mF6XzNJrk9Bv+L5GOW6ZPSD5CI7MwVjxt646JTpZbhVbz9hKVjXo1uEvfuofZjjDWw0
nABeA8ZK1YPmlNryaYk/VokIn1u/UpdbRnbddzeBAFiG/xTBrforLLu03YxJCrMwNeI7AoDehVRw
hAbXxVk2vlWzGeffk9OM7YTvS0n70sV57eyVWW4XuhARowMnqbdMVBRBbwwX0g+CnCO+bwYHfw/8
MPWfPFPo5Jz0DGv3TSOjy0qTRXjFXMlWMOYWnz5ZYur6mNS+s2zzMZngwFg17kCn1NN+ZGnB2zS+
pWC3dRREy49N0xEcMZfvMq3bRK7m3YHb7T+GULxQn6mTZt2/661DBv42s91jalfDA7vEaDx0DBWY
MPKawR0/Y7X8TLbVLBZVb36Xpk/tUzgvA9ntaU7oyeF5S7ItNOH8zCbF87Df3exVvHLyB5CXsmED
x0INLZ8Ora0IrWmf6ecc62M+oyduDZUhF7eZIuotzMRTtCrKvttB65OPt0Qu4xJ1jMEmWrzGeWqp
ILOb0B9pVpkGcIsH15AGB/hF//vOhE72SuWH8C4YfCUfQ2dzc1BQBN6WAZ7+FmC6pC5lmXPUt2WW
mTw0hedcKE7CsiJKeDx7lFBOU/0Ue8O2pMmTEE6Js4k+jrL0Ggs0OHPVbgWgEx18tm6/3KS0KXJE
Mj6wDrp5M4HP7jLC2CvfxgKej9wHJxCTa2hgLCya9sACBoUdqPgNdCaojdzKCbS4P/SLonjG782O
pW73lJXEsbdDOjIpYHBX1CDcCoGtB19uG0/O7KLqTeFv2Te6e58IfotHFF9XbIco83B+wie8x3ZY
3Sngiut2LcmVUYrWlOZCr1751wMKlB0ySGd3vlRFBvbAH5b3thwc3M1T4tyVlChF18L11+RSFGFX
w8cKlr+J6HXxyaNsfm6SQnYXpFqishuJQPZcJt5yAxO7hk1iPGMh9emwpLd86RkuDIopiyiPY46n
JwK01FZP+7TLuy8yiGv9yK/ZthcidPSy2QL62RkNkUwBl7lv/5QceXhn6GhstsT6BMUEghX2jhcN
8rzTp4ZW7pYGIg7UaR1SNlJha++J38cbTxOtiuHkunhsi+5Sw44G4cM27CQHGidAB7LM2mmsUNV+
RTB9WTEGyhMqYbS815MkgzICbjipQFXZFif7rXKS3pvuZcqw70SJaZzXeCFZyeMNse+J9UHw7HTs
BZ4yviHa0fOUFU9AfvUonRKPao/i9dM1NAxveqM01gIZLEfHNsU9sr0IjiVPkItxF5PjDIG9+ZAE
oaYohQdw6RN9DeP2kdyse4wosYFQ2bVqPNgcP/8rcmX2Rm9q25/aKnaOppkoH3GHWF2qmH3j84Lc
Wf6Qktdg7eJoLf6o0qH/FAwoFz4CqT98zjg2LtIZXCoyF0Lr8+BkzdWshHI3i6p8sMaSXP02JvTc
X6wGho0KloT1QWpnAbRjaWvgTwxgHY/PuXOodGArMaOmUaMSZo8zxLvlAskH/noO3PMfrEONlQld
74XfP+fzxbKQ+8qHRICdYKr1Z12nHXFqiWYoqCRmA4ne0u55HargOPHWIZhDj5O3UbaGO0rSQl+b
Fq3qyVWEoNhdEB+mALXo9mYowQwigKwcf916osTSjOm6T42BlBuykpHXAHjpUz5TWbft87z6nJq4
9A8xLfMFZepr+Ghbb0r3xJSGkLDijbm9IuU846FB4GCn6+OGKL3kPzJI8G7giEzDQ8dSXG6w1fT/
gaDL2TylN7BhyVEOYWwmQONEdUk/X8mItwktlITnxLhYCYVb9s8dpzL3xKAgPsNRe8jDZWxO1I22
69PiYs7CgoYVmzD16t6VPeBt+jX6OHnJZROr/SpKxVp4Ev/YiBrGO668PxypzQWfKAZkl2cxZJRZ
uf9u3mcKJ2lR9C9D1OvnGJxRuHUcg/sHcxqxUUvP1w2GPVBJpKv6jzcWGNi3nOziA8SWIH3T8Zhf
PIiW9V/iSz64OdKvAiNfMQ7wBw2befq5/cWdjxr8xPIRMMy6f1LPH4pTjN2JpSD5ZQj5Xvs2pyH2
mTUoMuK/2UD15w65bJ7u4GHEgORJE+1X4PskFdrAvo5wQDhpJblNvqn+kwB2BBxAwCZt/kCnguWW
tj7eo9yRooBSuRQULxZYSe/SuCj/jTLCYhYBPptYysSlR0bhVq1Jdp1DkZxV9rqodb4ai1i87eig
Tbfu1FgaEsmZPQreNeNb2MZptxmHqS2O7ewEECGSJXtAUuODC6Xp0mu9TtwlEwjAjUpXIgMGAyvP
Kbwuvzhh64y/OGDvvlGaysOTrIF9nPToDMcuIKR/pJXgdjJ0ENrPQzNUp0Vh8N/aWq5k+jJP3cGR
XX5h7mlq+iI4aT3YQgfpLh+7GFSxxv6+g30YkkaNYB3gsaex4eSq2Ga0DwQpVXxeU6X/WBfxyAAV
opMdE7Pzgy2a6THvXMiNaRDo5qOy6YrMFJJcf2Wuh5TqSEbGLQ4JrGOilOJEY562h2jtov5i6jzs
rhz1Fv6Pwgn/QdebAFaNQh7TJI7Be0UN9tuMNP1wpj6Q0JyFNZaySucL+4inwn+Dsh6jEEfEqsDS
ZALcRolPcCWEoU5sN/rpK4t7KaM7n2Oy/W7XRTnnhebN+zFqSCKxaQw+Ikws0bYYA5q1QBisdC4Y
pxtxAEZ5jyeQ6ks4AG6ioiP3Tx4cTVJB7Svx7LyNijayE8TzHB6dKrW4NRkEAGDdkYUeQh1Du5gr
RkMv0ZVD1mHRt9SQG+8DNdhHSEIiwBybjLe5izT1XpR+Oh9AHFALgwEfDHc3u7Ha0CULgpQXrr7S
XnnjWWHOZTaxiwOjyS/XHTKCVrvEWPU5GyqcOMPgR9uzwSJ8EEuh30HnTtRMMgZ8a9UhJvd4iXms
Q1pz8fHTUrVJGWcSGpXH6QWiFVUUzKQOqTVX9Bc1mkhdXYbhG1xxkuboue3wwG2ar3e2moP/Sqdi
aqeUY1yvVWndn5Eeon6brr18H03VMpUT5aeIlCdpviU+3VgEfsaBPcjG6J3hOKM2ofSdgUIRN3lY
KneK78fa8IKGmuG952ZIHthUVwXvvLxmT94ac21FRxcU2JT5oFbIaPeVKYrHxTNxth06RbWeU+o2
v/DiqR4bxlaaHz2ZxPcLa1aS2v7k/yuBbxw9aSvs+iAjD2xBnOgCAHPhYSHS/ImXmWs2CNmRtzdr
gQUz72DNCZwwXE7D4HyR5he/43qgTZOg8nCk/af+2wun+9VOdKVhQkpZxDPJlmULZDbznkLqKgEM
BcLBiQlfj2FYWLYU29GbsKGn3oism/oTRa0d29vrTHeb2HJTA4Ga+hU330Zy8dpdttpQb/sAaM/O
M0516Fjk+dumL/zgGRW90vuF5qabBD+rdL+ukL0xqzpNf8+hgZK/zUyB4SsXTEvRIdtLpig/nT6i
quMo5pa0SJH4TjCNejM3xb6N8aTvgB8QFB8J+f4NxBy/VxxrKWNe8v4XXEncImIxVt/3phPDp4/i
t5eq1iErQwfhBGT79EmDB3ymCCvjo9vnmNapZsaxA1nrs6H6KdmSvAAcUfC0D1Gq5ukSNvHi7irh
I5BU1DY/2YBl92ksp2U6m7GIXyAasDcI2Fok/KdrCoYLvnPqlaDpbOijYMpvk5TKRAKheXyKh1Bi
5RGELs80g+NFhkEmaPajMfLDZ4ZwfmExTsFyGaXul9Bk2bM/SyzV7O2+MPpg+AlDUpV7Nk85IntW
B+34GXZpsp6Z1vQMWbRLIKnH6eqeFN80+2/K/9wbNCmsXyjesI9WS8aUnLzZmYhb1hx6CjK7B6Su
+A7wbshFF5HZgbjQgZleqamp7xrIbN4xVf/HsS9xDJi0g30/UYm1T9Y0UMcigOrxHyZ98WgWDoU7
jwYMvRUKcBenLwtrY4sBJKebZDG9rNWmBzhQHYkJzuQgQ8cTvLwCr6Z2wF+fZ+FLtr+VGZ8b8G1s
jKeQCNdH6FID8NNAqIjuErCysMQSmWmvf4rzAEv1jr+ttQ6v68pjdcHO00cM5YVoQCDFNU3HK5gB
LuxiZrfvYa55hahguoNZTPzMwTLo9tO6tHf9WLvzLvQCouvdyoHki7Eoz46oBjOr8EqMl8QHmrfj
sOEn+3qKxvfWasaDPncN0CFbhKdOsnPeCyWiP2SENQ9Hzetj07et+CxnEd+Bniy/4o5Oiw2NLJp6
PBUNP51ymaiHjnYFmm9xzGxCBDImHG8Kn/ByppTjyW6M95Ma247MY1edfUw2+mS7bgmOrGcoCuII
iXC7VBitjxQ0dN8rlZ3Ol+taqtUdoHg180w6nygrXZ4SMr4YLJyh6n4cB5fuNoF6wBk26rAS0rnn
sPrIVeP/B8V2rc4T/QH3I3yVZSNSO/0DalFGuzXwScuuEYHuE7UTJtqzPeuay2zWW3IB/hKuVUrf
EuQ9cux43cLxt/Sy8FfeDyS9Y2eqV9J1tD3nc0tUgpBqnZ/z1nOeCbcrMmkxlosrdQype8f5PMUJ
bcVgwmNHZ1Z2ppO33sGXxK6xBXyUNqckgUdyZ3wLhQYcAUa2gIX2lommye9Qbu1zWnCRnkhzWt7N
UU7Bpwp5hWLpA6Nz4GSPPW6VZghfScXR0tlkOvf3pI9IEWBUNQYyRkDxEmA1JpdiZH8OAN3XebGX
Ux1RlgGmyC63EYJ4CZQStX4lszbh2XHrsfhdVRUJRadRgq4V6Pt4+TacH1dO9vxzYPYOKKyV8nYl
eQ5/TysUdXtRFzDQNoxzKxwI0oEURfEv3pGrwrEPH2Lac9pP/mpspBPu4wEhqAsYFzYhYz97HFVn
n5nfstJ8jJBh0v9xdGbLkeJaFP0iIgQIAa85j7YrPdcLYZfdzCAxw9fflfeto6Ory84E6Qx7r/1M
PBw2SxiNIb5NXhKEMOe5aLX7SxWyZLuBC+q3JvrmU3dkZh/DwACzGlnQLAgbHLYmPIFVeMJd0ZwI
IYijkzat/dyFquS1ZFth7wrsVOOJqIjpP0KYxb+KKVBxf2GKYIv3RrEE7QK9bBoBkBstodU+QGsb
rVdnwAkVzSlTBuaNuUujHKdItpiO5f1LCV9GXKOYWfaPzkkH2M9IEvlMoVjJDx5AvBfrFtBTdEj4
8p3vRnXCPs4paj7mW3qyioPvuyLHu+rI/2iiDfr9ia/oFE2K4NiNZcsOfaRkCvdjeRkFeMC7RzZC
1DbiCAALP7GFlDc62DMP5SnC7Iqjw0E8yonkAJ+PPCG1T3Arauu1ihjl9htnAhYLOQXMCZs41/K4
xnqXS0hEiaWuGiSzdebOS5ZtHMJa30LdUOpm24a9M26XId2JgZ/4AXU04qyx9ZqjsizlHhffK5jJ
SYVTawDU5dLLWJ7ZxcYvHnhOIwLNBqb0QI9z+DN+V6ptChxL8pGyTJ5OIkGEx4zYC/zXEosDnLii
8V0WxHX/IVLtfBm0M+FLizkRDj4LwlM4tj3huirzb5zzFoFm88ioFTRBdRm0JHfTLCVSfQA24aFl
SUWMvd255x5s8LSnxKTZ1lYQMF3E1lJuvGCS3g6JgV+8uxmrj2MyUpK/hAkEk1XfxYm6kiyBCBqi
tEpRF2SlSp4ZyXo07zmDArXvDNBuRrvlnUsReuBZIaX77G42S2zRs658Q4jpMwIrWT4sYKrSHZO0
6LuqYZRiWUSOtis7IjHXpT2ykKJFIrZv8vX0YS3D9JH4o7IO2tO+vDJTw8qHlDLfNDBKfqpeS+SM
KnPBuba2ba1KrN0j2kLFoGlBq5Cv5kFgmc/6fhq3JTk3ITFWUlcHWS9hsAXRST4LaC6NMXwgCukU
93nwQlqtfmCgxsIkvKvxNwDU24IsIJTW3Dva/fQzUttXFNEzoNDIQ8C4YD8gmUwKMncCEXl/KSk4
Z9qK+mzvzIwxVhEyBwS3BZlG+zKUZM3j+oR/6nTe+IQiOyhefYZ59xzh3jnza80u5yUikk0ehWA3
XRdwb1joufgMca/PYAd0Olg31VaIX9Ie8grWX1Qcb1B8FXxB7Dzo8EdEA2rb9FmbniOCnZHmWjLJ
z7MeZfW5KML7vvihmuhLe47x7a+qZaN6wKIeh7vabd2HLqCrwQeexNZ6yCFdnLiFFpCUFIb8nbaq
rFsGwIqhzaLN0j2PtahzNOE9GIJTD7RM7XqPwdiJfUU/fyVOPnzc8abwZ8ZlYBoZRWIDuyGRDHLs
Mk6OWKt9Cyyw9tGGdvEgzlYjVLCeiCDUF1UMxCuGDOYYK6cyrkYS0DhRYVuAo0vWdt4ED/ddDFqm
LC3BTfZQvlbIff1z5kQxQeJgbhDDEyFOp4xECurrvaeph8XP9lNQZnJLBA6vlGohv4BTrNXwzPQ5
ADg0h5z4ME2scT3FKNlQwIaSu63u4ugfvpYh/KMb7uNLPi2Kz0fxZ8PHTPVz+0IgXpP9Uah27pqd
3o6oJQjLwdLMivNYAcOCzweuD8N9NqcKzBVO5Z0/hQ5NBCR7jdgvjaJ9rRKI/St74nPCWJGCVl02
5eQ2DinhvqzeaX+nP0K5lQ2dNsWdwNhMnQTrJYvW3pLI5f3ceSaCeyGwayygeWzxM5Y87By22GxS
Xe97ZYz/KsOUXpMV5bLDm433wQAC6hCDs79hJzWy2099x3/l0EUjjp1Y8ZY1fk8mIvitv+3gOz8J
jDnURhygwElDhkiIL4R4TxjHkkuJjpB8cqG9v1OaE11NgUI8PL0naZORJo0H4AmX6BPaIOK8XLty
H82sPGLVYJBTRdatz+m2MhFYH7zoDRAIJw9TsZ0RO92TT5Qn9gvU1hfWz2xXKpTW+V4x6EAcFv8/
FxmSH16RvnHESU5OmMGkV0Q0NyX1DWvDjpjSrpnkX7QpIEzYo2E8nAOm9eBXjVecw7Lxdi6jC7Jd
TKGmDQWlw3lLIB16c5VNrOL6HvkXp5KG1o5ngpE0l3a0BrUR/6adMKQu1gO86XBxf/qUKL64iNJv
OiNYFygTf0DKEvBgYxw/uiUDtBUp5Jn1zemMwD9qeQi3lI7kfxaW7SM0K0ASXupaAqmTbm+qQzqh
lUUaB738IaEJ/1sywco2fuNnL0LLx6mfwuKxySbn4vt9Pq3nxnMJipl92I7hbAn3YNQk4X+wJGRS
Dgsi5YhAwflM996pHRvXJYWy3lP8FMWcUZ+WLVUX6L9lrPBklnSVoIuQBcK1r/I/vnaG9No7S/7P
Xmppb8sSw0PPb2bRDK3p6pfvfEZZuC8XV09rNKvkb8c9neLJZiDYrivfzvTKylWNEKIqxXsz5OO7
sY1vdmUw2uG2yWzLPddxGH3wTAxmD9zUi9+HAkr32rdaxua+P6trOdNpbAJUgGRFTzom68lEzsy9
GzkvYTCSUKfDbhneGjPC5RxDT1xqYk7KDfQS4kEZh7nTprZl8lbNAj+Wm8POwIDE1jHcTCEqvLWY
2ra84jipqXOrCi3PbM/iLGaPxGqNHRViRhD3Ag1cVlIRvgjsgOI2YMxKz6Sk6eovw/QOWHSTYKCa
eRKnqLjRD8cfMPkYuWHQYtLV+1Es114sLAyKcYkGuNy0hA8gvasVcLl1k9RWd1kqv9frmW4ofR48
03CITb4XbkKEZ7gLB4Z/sM5wqkyIjxsTFZJDvRcY5lqr52e8K0+wqjB2hQ/FAz7Ybbyv6hZLrC5K
HQJSB9ikWW6YOGOilmlcPUaPjCyrVPXIf0crsBGN482j1Sha167FPiHVZFyuWJET1rTGwoPfPDk6
NfaOfkzXb3MlFuK7XFd34S5PoxZzuUowLrcK4/Ot1LLngwU3B4kC6XGPBZMVdzifmgVx424iM6e8
mqBS6pKlHefj2Y5lTbwK+u1ggHHHOSeBIWiv37Os7/tvtlOT9xGxN83emqRE4UwOCgCFtd2SbLvJ
Gr1UF8EIH41ZyVwXdlgQdTCkjI9lfmCwXuztij/+nBS4oOCuscBAvqt7zzplPdPr/SLKJH0yBQrO
FWMAw39UjmMC2S4mRAAl/NBcOnsqps8srh1S2KxZEt4gimodatmeCaSRy7MAPuee9FBAjLLsefCP
Pe3xtEopTMkQJaWCyUOlZopgaWAz7UeWCv/oikYcA7lvIz2jtERfxSVdgQaKYQnRX4EUPTUsWvt1
1LvOQtcMZ3tjg/0Ej6DEWG26GmXxJnSsvriJjOC/ZmUUCbrXZubiQgTWQXG6spRQ/S1z3La6IjiY
2zdvpCdm4pnH8cazJryELvJcgCaq7v51nrskD1jpnUtl980L4m9RHlzjgAxTWEQEY4SaTJvZpT4s
KocJUW1Xgv1QarpLNvXAkYsxmlCgmOGOCauhR31WGZpZzEF58J3zfo1baKOqIKKFQnTVJdDFEKiK
ECw6X4z0964J0Xqn8HnVYQ6XliUctWKxRsdFIir8ZjxKYRqSucg9SNHGVmbU16l2aN4rA2GavN0J
RWFOCEt4zDvZBx82w9z3Gj0wShikOdekyNLlwRoGUf6FO9KkT8QgcBKw9x8XROJNEfrPPd2b2QBg
GL/q1qKQrz0qkwMq+egDxbA+gjBDi49aTvDS02RdhtKgbezuhRrZjsyhXlhDGP8MZRe3gUCSaa9H
M9nToUdt4GxNaXfqKeHhxSZWgP14sHqCHjYT19530CCy3zvK6xN8kYwcV40dqGxjV7oITzzR5skD
+3cPbRj1J/uSotl4ig4BvEg7nya+b7EePcbNF4PaAC0HQNru3GgdL/3B6xe7/Fm8YLZO/A1++Zza
Znoi/nUSF8sR3juVoSwLIpynDAYnyAYUJ2udtYH9PpVymvM930Ues57GVOgxbyTn9K9O3D4izMbP
3lIWrGSt5bx8mPnuVPVn1phhwlI8rLrXKIvjBt+902CthI9X2DuPCq24spSOor+8vIsLIZc1P4oG
k8RiQ995N/N35UhmMq6nxi9hAzhZ9tXlUDzvZyV9UeY5zh2Aknu+s3GCgnFfX0Qtyso+TaV5HvnH
4ph7nMKcocyj5Uu9dNMpCTO4DIa7hcybrMa3rBUgecjB3v1RyzP1RXMm2/cSu+mJJ2xEWz8E+LUc
rWgPiVWXoH9jyMTfuLM8efCDjKD6BNy9fi/Yp2hip/jWcfjPNvIzA3dw56Adf/fIjH9A4EBeIACs
dtwRN+Z0SC8iPTEg8cuOwVUg3+BGKnLbisFyX1Huy3o/Ikeyj/kdC0Q5RabRTXm4fPqxG4pDARE9
2WaerXGDIpk7j4mOQ6KV8F5sXRs/IKWLFR2FnnAetUuWf/OSN39HvO8gZpVwP9gqEU43g0oM94ly
SG5mt6Y/Kj+yybEd2vhtMWX/BHuKeXaNBwLRG+nS+D5qOVTfVGXh+JtbLveL9sjG3MR9k04nLCfl
rQr74L8EJslIMLszBkhkA3BZWdJV+RrB+LS8+ZN0ji0hae7acun81h1zWs1ih6toz5o1QiBc9aBT
0sqTz3XQzDkeLDBVjV3cKyZtly7rjHuuOkr0bGKISNboMegGxDalHspyl3aTajYjlRl5kGDaiRVG
fkzo76RZJidhXCOcaVImmjArkThSm9kNsSW9s+vJKre2ued5Vye3epQgi5s9cr2wnx9CxwEw3/ge
6/x6UsZfpxan045olSnYR5N/B4ZD3M669yi/I4iKJogb1DwCe2Ybj+1Xbqew2AKoQtiAiUgYcCW0
TFMdt3ypkOvwnlPIydWIfQWULKZpp72NfYhIYIUCf3GuAwbj/5YUfvi6GaWVr8uZCQ+YBAJySlBv
8bMNwh1VngjnN/Z9VNCAAS0okcDagZamdo2w1x+t3zYz6VmWdZif6iXWycFScXWtctKzsQKaYXBW
U7q4BHhLZj2bAZvZ54RvLj6lCkzfG5VDdu5FU2V3Y21YX0fiJMS/2XPIo8K9G8HhsZzmg8cGWHeM
dcGsmSp7MI9UFr+5NpabvSkd9JdHaN/l9DngGEDUOnlhse+Zp93ABgY/A+I+1PlDacvPMer66Ur2
D3meqGahOAPorwkF67Dmr4LE0ewf7eof3ovgSl4usgYX78ezPzqEEKOkkOIxsBiFmaO9iIWtJ1SW
/qGyvY4wGdGU9pO3TKm797iNQgTilswbveuHvBgN0nSiFHqIYsgKqeArLxDzOaTy8+GU2b4cVmCi
c4tmhcU+S0Qjgh+8UoHkhyAE+oBKZ/DJPEawuyrTlvEDLscRRo5oZ0zUqd1Ct69mBVpK0i3hwyvx
wFB5TpdQE8+9k6MITuAmou/Bh7O56Qvb1R/UkUNGsD1nxZcDOeMNtklPVkhc/frNMO4rOblvGDX8
34QbmfwLm44A5zh5XaSdP4QoDkYGNADysKtAUaC/HubDJDIYfppUkDeU2hz62Oy4jU0k2I/4xmFK
k4zKi86wg5e/aFWWL8ya7l9Yx/wyTsCyh7keRrudj7Donq+DFS8l4WU5LD0lwxqXCYamkFLwg5xo
e+GTD8PpQDxHf/cP0pw/Mk3O1BOaqkogfqHiMlcvddRyAWFozRs8hD4uc3JVAALadxhXU9El8W77
0AIb1Fblt9FqbI8aahPEA9/NinME5MqC0kxWys0T/KlsFaHVZESMAp/jUyO3vUJ1zTEbDo1/W3RH
9Abi/ZQY6x63G28DscgpV+irq4X1gz3edg8+0DLxZ0q6iNsbjQFJKrjV6k3jlmX2cNe8v/KWEDLT
ZsW8ho2TOSxo5/zg2CaHY51HZHb9w+GCJLSLHHnoyUphbZrJ6aLCrJXHjGROQG3U/CDuMSIRuZKG
LPPrN6vIShqxlK6ZQFts8lt3KEngkf3gdMDYklH/nRqn8Teusbtlzzo3n08Bcy028mCYqx/UxSEf
RMb7XX+WCrrgHreBO+7uiUHzm5dbQ7fO8jsQFOQFESMsu0wU3tyM95zKVSqcZJj+IS8RrrZuck1k
7SpDwbIStWXCxzimnDqpsGwNdF6U6NHufp1DiCmI13Jkd9e8urbzUrFES9iNzm21dklbd9YLKZ3D
c0Eln+yAa4lbHcPjXIn7t8y4s+zSPaafPGTEUXOiFnE3oi8aS3ERIigPZE8SYEGLtJgDNB/kAxml
/Wc2+1gcQk7aw4D2ld8XUdoTlBoVfQMkS3HUxMpQ8kQN+YAsneYrWw3iLKLEswBiDh74roAj93V0
ZqR4vbTZok7KbcA3dta8FY5r3KdkHhZuG/z9SIRQVb90iTPjT1xScx0E13Po6DHcJdJmMsWatlrQ
/xaS0FuUIM2NfqLB2ou76DcojWvOBA+MBBhMaX/hvS991LpCvyDXIP0blQf9S2PlYwSlcO6TbV97
3mPG9nABqomNNG3M8l3zvsd0Vz2wY4b1no2Xk/UfeBRAtxEsBfyw5Bf4B5w4bMahywDiM7R/CLHc
0Mn2LqdOdWzpwoZtA3656nesVFJny/dqY4FPxoCNU9G7y9Yw3wnbTVOzf1F7tB4d56NI4VTaNyfP
6PJM41nWvqvdudl7Tsun4KRsGHgUY1QjmTWL1156Y0GzZaFP0IKZ00akaeT/TkuhI6KhiPJAfmag
6VXAsVFejVPLK8ZktbghZ5znh0xjuuJZhm1b94PmMiU+4cqKtGcg2nO67cEmeF+sPhhKT/TV3d5U
cOiPCCnRXaU5nIW1h3/j5W4PS7ifLYN5ohraa2ZR4L70jJoPjTU5HbPhuKNq7AoHCSDJBzH+IVQO
3Wm0uDA2WGM4Oglhq+KTIgQXgn0bxI/M2gEDjbh3xq0fyGV6HbKOIBXKhgRmXUxK5UeQi+IaxtAN
iGXGT4ONG4F458o1w1KO88gywbdEZgImz6Ds3bTMyxkxVEn/Z4lbYk+YPAQn4jjIZNR5FJ/t3ArC
NyP6/lAQDJKvVDAgmCAebEZjFpIdRT84NosU1R6QpzNe2Mkm/g0iElhfpvTBQ2kL0qtqHGu/S0rX
vUFWOcq1uJsXDqpMJkBHXkgXbiFoHVFbufKgkxm0a+8RQUABVAXBjvqlHx81UUnbggbd38bgOdxL
G4SN2Takm8jV0AMp2OWZQ8U1ELKWHSdYab8mntDdYVKEvklY4H/NQqjcIVE+rG84LsSsHFhJpcvR
DCOUwjSjYOdNlqSrw85q4n3HPodFr2+4oh80KhPf5dto9XDI87b922ZT56FzIvT5HvUN5IF7u+nb
VF9w1JpgOCgi+tpTLpzCRt3DdfphG40noRwhESHUMiVfzehM7DsNTsY18neojg1tzJfxdT6gQ5jN
PCDXBPryGYmi3sMYK8WbRCKe36B6RM3DBB2LiFbY/WAHATGqe3BqGmG+c1hIM1tc4C+gYsNJvDIM
2rJnVfpoEnzCtQPW+QkVcUbtjnspj1v1gJOCcCA2AHdyy0Li0LyunZYtQ54P7d3NUuYE3aU5A0Wz
OJA12qiyjiblZWUWVDA7J96uI/8G7S7HP/vyYmZhG21lEVS0UTyVMsp2TkL0JdSWHgbxLS+FHd6x
LFY73UKE+4gvjKfLbpUTbDnHOxqMQprNMtfhX88q8mRjbGtpXzVxbvmmQKf8gBFtek6tKBtXuGAZ
9Ex08cG6BWd8rRhI3sqGQpmNZTue3MBFu+lh57/FVpzSzYwkte+I0syOPlLqea/B18pPi249I7gF
TVC2Hqwshvm3pAWwynZol89Fjshz17zcBXRd4YwaTS1wsu8u7ct7KFY4KvPgMt7iPmQAirI98PIi
YomK0HTuVmWkUbkIPwXSJhNGxA+9j+jkHICWY09YRqgmN9x1ntwR1G0FRFyQUV4/cABGEqln7LGV
xF4PbQvdOGiUvWTIFngHcFUgQjf0b3XvrBzWkODcUbelxb/ARZvGacm5jDqfAC6oajl5jggVqQMS
62KZyZmvfRV7+odh4MT0JrKFwtJeO6m9r4Aiod0rsLljmwcHvQTdFlF+Hn/VdhA6WzklU3x2ALD0
xF3aUxItHxPX1U+CRm6ijGpF8YfEF1wKG41uZKLYbQv7IUvDu6OK5vetKXHv3dhGuvJDu50F2sOR
g51earE03naagLxsERHn/a+kh5ARq9YEYkYzcPl6D2xzvRKFYx0Bt6XScZPHgIx0G51TmjVY8Ip5
aB7weA75lnOwqB7BRkkUhnDv4kvqIeh4amwa7O9oaqFBbe1WThErZcSeCQ56ljTqn0c54dwFwVHx
4XKz4fzomWKdQgGI+WPGsIcwvmy1SNm71eyKxpHVnt44WLnDLUU+RBz+jzCIv8KpX1T8IjE9sFRk
xZL6+5qF8/DdysBu8Osm2tqNdaPsfWA6auYFVmACn8gneGPTohMLScQKolFgpS4psdaORbAK2+/E
ry9ow8OYxLV0kSxc0LoM8bG1G09A8zJqnL9rwoT9/SAVK1IwvfiVP/OMuhk5ppPEm0HWekZyOYbl
ZcqNUxOentBBDxFkkG979KDbjIyiOuQQXALRIyQQbgecfDarrDAR1oHZrz1tEsDj/s4fNKgXaM2B
dvZLtjTTA2BaXzJxg5uDDEhM4evEyKPYtmU4+/se50270yi2s2ldel1J7D38G/FMoBBxmwynnOYo
XN2SNpzKvODMw+jjgjWpo4HBM/xJyyc+fKI3w2KxOCl0QSRCKPVD6hsQuVAadqAGTZUfStAPssaW
wWFIpNrg27y15AllYjWzMdefedd16kUZ5LOEMDWKrKLRJwpzXWdj4rYYzOlo2R8zCQv1xs8wnPAv
2VZ8V/2cV2s8eO24muJIyM88SJosOfPe+C5m6Ry1Ps6BihP1H89aSYe9ED9zjUUTgTJTrNRXQWYU
ZMxGkuHANmyC+gTECMMBDbPmd2m4tz8mRh/uhXVFLn5Vhdwefe5kgTRGQS0DAiZyhqGQjEk0VwIt
PShHXx5cHfcuusOZjcKpVAxaD6MM0rsFUrgc6sSHkIOFowZhXsfIf+2h7/hbUMYNP4gemPoRa+QE
PQkpBnSKBNvScuONo3XrCMagqZIjz7y0jVIKUzhr9asPjlw+BS5YnR7OLpQn7KF10t96qi8Tnhhm
t9Dj1lhBU5g8FR7gIn3wwQiN2QPAwnoMdjXkNWO2mIGdEuxiJXwRrEHpY56eyUMYkbQH2TLs8irz
i8+IMmA4Bzx43X6sGvIqyjhMR7boVRsehsnuxr0WNql8VithGDG1wP062vNM4tKdPHpk2t8NaIMT
xJ1NWzoww8YgIFU9BgG2LXs1HQtaKySifEjlpkTExh4ZsQLzsqxIb8hnDWN+b8hJOzJ0DesZc4Te
VBUl/8Yaw47KiPEFzVpSkViHnNpZte7cJQfmNd588Fn8iQ0bLYGeIkvCgyBo+ZtDnhljmSl5qd2O
YFu0Fu+mEE6/FWVejXjFWyxdEgcJIyUvQkSABYGxqJ6S4UhsVPTb1i4Ry9qLgvYXzYjnfdHZ2Jqv
BFncWqFt8Q4ELpvxD5I6onD6yQW5UGdt6e8Y68FFzk1rrWvi1tj2uYM1sMvjQGo3GqPfiPuESOXv
PBjrM4KRDMpevtBE2RTt1EOFN+H8iB0cbgGYUlzkJk/PbdvU4RkSw1BjcS4Qt8UE2TtbNlNUan4c
E2PiZykPlm/VGZLOevIWzkRwjuh7g+TD6up0OZRwHFuebbuKzhwCaKe6Iej+JSwdX0QhJja+2NCQ
z9s15XAlUX8wmqJMYCZOv7YK8qD2VhMeOkgTs+IdsMCgErkUqvCvDTnAe5pd6pAtxY1Cf0J/kpxI
nPGHR/TjWXpsQ68TZ38qZm9LWkTy2g4yCJAE0wJeYZqbtyxAcfmlqpihXOXB2Nogf3Hjnc5t628c
eMVvh8284tuw29feWmZ8VuQAlusR+dc3BBl8/2TzskHQ0T2Tc1DC3PApl85xIc3tXxErXcN3gjqO
yE8vKSmC8eiw5cvGcwuR87cbEIZBKA3D5Q9ZWsljDQZq3kdl6Zk1C957oE0t/Hrrk/BM8EzjVwek
x4nc2LoODSNQlI9/OodV065riKp6XDoG+88sq0jm4PNJak5bIpNW7Au8PR0SCL2kzd/gKrj/eXWa
HdBZg77HzZW+SNPH5pQpFx4G2Tuw0lVgiYc5HrADEzda3gYhh3pXqtkOSF0KJfF64G/NSqq0fTbV
lDOb5jDaZSieq32Q1vFjINlsHwaXYRdRPEWIV3UgPnJrtUZBlJJJJFauz/z5ManKUYEf7yWOh7YL
mMfEmbVWdoovQTBj9Y+MWKajb9momfrRl3QJVYzjh1xo8wCrlwgeS/nYUG20QwTX4pchmiJU1r5q
IpIycoQCOcNnicgJpyFraMJGrac6mCAVArvJ3BVKtRipJvan+2mN021nFK/xVxTjbtv4keXdkB0B
su+rMf5jSpH9SCsTl4opOXO4/5O7rNBDy58vy/1AxJCPUrGcO7jsXcYkDURvdfFgVyAa61rBChP3
d0guEoyz/E4y7M4ACHw0aO3CbaPycvxn25TAPukGoDf8Oj0OxBPcx0xYAtEHDpK8Lmspu41Q2sxn
BO+xvqBYwycxZcknRd+sCPbS8UuPAcQ7jV5CChZ2h/y9sjr9nREo/5OB3rRP93TnF6tBh7lmyVid
DL9SuknwlzOtscngeKntNnyLOUdv3pTrAvkXh69AmN+IlxLMrj6S0DPsWPvxKQeRTzihq71x7aNI
b6ltgMlOAKGjb6ZWLmoO0GXFXniZ6xyECdJ/ixDLT8BuiRTGfsn2IVRbrHpWIYIDld7MljLktye1
WsT4V3l1QnpcMfqbEu0HcV+x11466IKS5ThPCmOT2gPnKXNGZqQyLaexH3ygXKjvryituvjIN+gC
crYRRG8q4eXsOXRIQzdZeQS4uyta+9xhbExXvTthtuLmrR7mJh0HPAujDarIsauNu4DcuSxLY976
IO8/MD/C2AmtIM+3fkwZue47+94gprH+a5gFAUJJmbF9VtbQ/jSLwI0fdiMBSWhFMhWcC6dSwzd2
PKazAInVdzzOvJS9I820YrcnfolCnX9ZtFb9xSwRGs2VqqL4n42CJwdet7TuIUhJ/17VUHg4TZHI
Ozu05UF17U3gVbuWrs5du77xmmdZRuzBiboLd26T9OR+EO96f2mb7mWMQbNs2aLe+YJoKAhNomwn
VQ0oDM1uViUuNiR0buuxk7go4iRxPhXbYO/SkhA2vVRYqiHduElJlC+aJRzQ1gDrx40s+xj0YUHE
S95QFasu8qozqjJyQ6FQ1P8ya2EYnVLXPwe1zD+wl8XfEXC8cVvN3N2IOUIa027wsbunsnmMNEXi
Ok4GSOp118Sf4LbxJMFyUmzm6sgwC4rZ4a18xmoRQpul33i+Sz4W4VVFuc4l1n9C7/17UKG05A3t
D/tGlRLOPBHZHTyVtnJ/oAgMwM9l434VCXKSAx4MGmK3RutDANjsbxURR9Wji5ck5/5ORf5gC9x7
D2PaeHc0KlAEnFUBlvNN4QXLERL7BLewnOAoijLU7iadbEwwesxbuXFa08PLRF7YHcxQT9DOQGzY
eztEIMhPVRJo1MEn2SR4jcUKy0fQ/xkbOp5V0OBfPdWtlx2qnibhPJvEAA1vGACsFvofb5tYfUar
UJn5SEchUQgT76qsh1HizfAPIqLn2eI6dYd3pqKJeCw1a4T/8Npg3t72voZAuhtQWKfxld0fwdJ7
9gxu220zH6Mp7YczeBmfcx4/W5PwUghNYdQ3l6r33FcOcd/fekmStevZL+LPFhtF+7PMmK7lllFu
Z6/ViKGbEG/pll8mKdS57/AU4DlBSVASDIXweJPPsjdXdHhzu+vHuUZPiCLGmjYelVjE0+5YWCNN
xOTuxooXm4QHQNes8rlwQsANvtO8K+Cv9R5rrq4fZuyiFl7KCAj0Gi5XlTyRBpY6DL4XZjaIbmYU
xexNQT1gOiclBxSZKta5JZfxPHIwpoeFAxqZF1GCMcZkNEZH5CMdvaT0h3v4gAo5NPDBFevFE9Nr
soSNxALcls0OVZFdbm0EiTcvxnm28UsyhZimWMVrRmqAc420onhlHoHalMF+I18ZyvW/IS8wtXLg
DcQEToprGUOQEiwDCbNd89Tcj3+/NuVeaW/wD9pmssxSC67Ngd2OE/8Q+YUWEoahVLtaJ6i/fVy/
yYFUndllby4bUZ29pO/6Hy54J71CiuDzynDx3ck6tXx27vX6DSFEHD2DnrovFOdFQiwoZh7r3d1G
nuzGBf4Xd1wcOAfpxWguqWL7d39O5nQfxwiXV6adcJrRkKNjp5UXzFUSm+ZFUTKCq1FFUK6zgJp3
XSFQsm8ePT2rhZJ49ewxCXCtcgPAlcoXcM8URaAgIToEgRdAK9LzE1WPQ1ZAACrqCvHR+22hdswX
phhB+zLYgiA4RuIG/ZBv+ccyh5z0Z0wpfT80Ngp1cGNmQyioqhE/erIMqzn2rP49SbygPtUjeto1
g1UtmBiZJnx066kVW+aUgruByMr6P8dmI7hDveYBPk2qhAmoC9zzGdH7UByHZGRixjgmRPkUo+yU
f1z0p589JjH32pBk3O3siAIDsIKDB2jO+bp2A2nud4REM41mjeMvIVW7adCc/GNAghmc5AB5QQs4
2QDkiTdAlWpFOnnRZTB/UVfMwx8TEupMbNFoe3sEcA4+IkvLoFwhQK/0NaZtzs4kOPjZg67Z/WxC
qIZsrDGAVMx20Je7uDjxBgLld1yQq8y/A+BMyLG0CYkPwMLWXmqEL13zZyq9KHvp8yFF9M/XwqE1
Z+ziuWbCyHpKle03zQudxkgcaWzHJQsoa+kIpzAy6tS7/h9pZ7IcuY6l6Vcpy3XRGiAJEizr6oUP
cpcUUmgIyT1iQ1NMnOeZT98fb1tbh/y6uSxv1yIXpcyAEwSBg//8A6qVEWeLDiE7f9GWd2i1NzU/
Y49r9B51VKf2AHUyOnDkSeMBwHzwn+wgrpo9ZQxpg8PoWgjJLcmRkqnGzh9GqNnhdmn5yL1QCOG2
TgRxizs13WxaTYJcEt9Gg+5niuKUMqchehb7C6OGc2RfAU0PVNgmAUf6pgxQ4WwdFTXZD1wKMLsY
Qzc6VvYQXNdGaYCRONI0Cfjw+xfTAeiAM1cN47XsY4RidjA4P/y4mZt1DS5NIlFicIi6Xm/eO8gO
fQLaWaub5QRzFtDVOXgmfkPg3ZhH0f8r8KqBJYQjZ97Iej/3olssrCpUVsKD7UnHZkpKnAY0/qR1
rucb30XfBOQ1YiRZ9VpUuAYOZPQ0wELBOmnhp9SpHr8ZeZQ+TqEXhqipQgVhEyY2ds4Y5R3GkvMR
nWQdvIgQIxjA+cG4M1A+IF9q+KDW8PGo5uGs2f0Syxu9Qrduf0dDCRnJgIFPQ7mMFP8TbDPA040I
H3MKwJ+osdElK8jEPi1kBIAb5XfoI2F/w0zOh1kfEieJi00F2/4IrZ/eXuSMA9mziA+/QqkxCREi
X+XaUUTabXtw8dd2Xlo8jZlN9zWL9A6jQ3DNNCl0d8BrNH2bZ7NZfNYG31iHbmc94h80PA2m334l
xzL/bTZ28t0ng/bGNIcOZ8cSXv5q5DBH+waz6A1sFOJVPVV1ua0xZzC2XpbGR6/L8cWT0J+/RojX
ng2o8SHsZtgnmwEd430WEqK18uoC+hXObvWPJqFaWSHzLV4QVJgvnrDM30kU/ZXg1HXuetZZDTm7
cyqBHaZMiAuEfEzzLsjlhqXGvjjCPE02NJGzWw0xEzskoo+rFQRGjJYHPExzNr0KUeNkVyQaoZmk
jxH77GskpdA3yrSDcsi0Y/bbOZ5QUVQh3LWVbgQ3Am57RorMzy5+13bZOGsSNutf1FlFtDWH3I0o
YHKsPOPcdG9bOIcCeZVNI1wXJc9aEXgTca1wvfTGsdIWtRH7VUeAFLxVLaCoQFeM/X7HZpD9GvrK
/m4M7LeLS3hm3HSlU/1w6fB5UPiynDRYDzx+GxjYYW272a7uW0vqZ86cwNmTzkemwwRtFoeMnHla
deyr3N6MyK2vaxBQPP/6IH2uq4agSpPzmpTfgp7tVtJx+W03nfFlgBC8n6vS/IzR8mK5g1dTQ8ss
CeGbcLSvBy82s13kByjTpjDVt3U6ey851hjdusPcAXJjUaAaiUyKFEggaH49GoIPBpyZ6nrItPnU
9234WPmSszCwCdXCiSAY72XT57h1wCS3ViGOZbco/ebvoqc6X4cW+dcrZ+QWToNVIrO1+3F8HcSE
eSaXUdqetKxryNlWDiQcetm1guvUr7tatY901aovcTAVd3FOZNYKygzAmWrc5jHFChKYJnDH3zKJ
oY7QCHN2VtKmxVUryCy/MgxS6dfQzgm11NU4f0NTVT3rug+oR6RATmJqNH5X1E2knPPdF/1aGJRT
21xF87AeIo3nFVw6sQLjSx50EcRch2bCVDHNV9EGYWP85HGxdaka/ezNEzak8M4PMKBjKRCcVXIn
e/LwAOJ3SHQ8W5oI1a23yBTWc5AZQG1zmbzU3gRPJTMG9SkoZW5eeZRO1cptYnbQoAZJIkuIjXXl
YVl2rMfRRZLssAAoG3zWBicaBCE2BxzbuzKSDwQkslFh0yXfIFLCLg3nwdk1U5seVWemR+xc8q9t
a0GsZCLsTzQc4i9+7uAQ3ebA9dd9Fme7dMQDcDPS1/4KDYcrku9WUPmHGRIUxUNM3euaBX6cJmzz
cI/3A83xBtFrf23n3J+1D+Eb06eJPlfN14hpU1lSD/Sg9dzmXYHHMZdHQiaT2f1BwHs9YG6m6mPG
dfPZcgySmBGAaORAlfU4oRYatwZKrG9pGPafB410j/raVFRtfWbPCxELGAyjufTFEDC9VghKBZzI
IPCGDXBPE28FJCCInA1A8KrpvMWUnW4LcE7hylfNB0xD3cmTaeW0IUH0QzJBdxGgfXu3wfZ4mybQ
AbawJ7CCJvE4OSgiwcRqTgYCz5O60TjO9SGhEVXjcxGr7MRjMgLZPkCMKccNrvhx8DVuQut3BNXJ
WcHhasDX0xYRRhYWbxEGDrciGpZIgEHiWcy1I9DErUz5ATdgOX22fF2zQQhkpLUcrPa6DpjENVYe
GQZGZoXfZ8zNpdjndbwQL3GmwA2qqkWwNTBk7m8xsKSZaNcwPEErpLp35sb73Xp586yWXw3FbpD4
DtcBLt5TJmG/I9dDg9GrhfKa1DgVenFZPSdj5n736mbgGGUTRL2KQ8h2EqaN1xJY6Ce7szHf5IaG
gY/GSo0ASRwYYTzTlaNRY5rZSCACtnJ8iYgLcdep0h0xxsUSTMKHtu/ormG5NFC+byNiSooV3grE
eHE7RoAruQyR/mY2ZoReUQQ3ORsRqDERMr+NnkNvbWD6Qr/DwRkIHUw+2bCcYlLnzAQD0ZXwGgRI
+OmWLy1mg/iQ0Tr/RFOYPpYQPbc7IYf8kBKZG2O6X/ivMPVRe/rBYO3Kls4lbweZuSStcEnSHPUi
u865vZll9rVOszy8pYSwP2t3rqCFl3H4HWVy8ZLpDAC69O0guwkw3gCaNwQYQUQvqbmqe108+wTn
UEAngbqzkTnhyjM6w9cgaDmn6XLY9SaUZuBue4d0+5UwsxJiD5j1ZqDVpVd9jEQSpn5Tf7a4+iLZ
V0b1nU+dmAzH8YvfI7IfUmbhWMBUtbv4TXsIq62Ou+RVLkLsoZDmtY8eKUSAjXGRX8NgL3sQKJcw
sqXsBO5wR/OQ4j1PR4Rm8SJxJp0GF0udX6dBuDQAmgTCYId2mBgDGrCcR1UI3dayRpYpLzS/H/Hh
/hFgX0QGzlxF1Tpsk+C1gU868uXm7b0ustGgjcHXujKTDvlKatUtwQee/4sVDqCDAXEOvB6LZ7bG
7DmY8zrfqLaZvkm0F4+0HFq1BmCvcADHJuven9uFu0CS3cF1p+Ga/FpbrPkIxGJT5eOpIYM+CfAr
GeejhOt8hxwQZYXo8Ndg+gTAm6v6EqI+EdQDZqMh1o9MBvf9aZRYegk6q5QtiaGKTeoZ1p1kNRLh
EmX6lkxwtEq8TrPYWLVF73AaLcqxlthJsTaG2qSJTX2CFkjO3rCtE8Opt7C0mX3MPd3X1I5AbUPY
PSAfVWntG2N5tDKT1cExNRe4bOxBMloYz49TtmilKG/1Jsd1P16gHnSxFUUtwqHU5mLWoRrY18hu
yHGJ+v6FqMP8mat3/30M4wRdUUN6jgHYUK5zUEsOE4LGxTqYM7nDwouMr8YMrJJaKU9e4azXrw2G
fDHH4yJliIyJlrWHxzc2DTExX1Yfub/ZVbS7QXwSIx1O2+EtxCzrMJc0YFeOBY67JUQucvaVRlm2
C6haPze64/IFPTyG/DWk0atlI1/AoZO4+puwMfIniIUhZB108wi1/Hz8GpZUW+swB6vcYOEor9m6
uNI3sFDSjQFfYNijJQjuUXPR17LAPjBrjDh3yCvLVLxGbOh4SPOjoF1b9LrxTg+K4XuW0vO5QhrV
bCWJAvQJK9g2AJ51bWxo4/fhEwhzQMFVFsZmRAop7tsxpiPu5SlEs0nTqL1uyR39gqC32eMjKGgQ
zvAdadjSZKWHbcbdNu5mH0cGloS1waDH+toZLXaSNbmU7XWo0bhfLctFMb18RVva2VhxcAXFxBLi
YE1Ul+E61ZWB7pkrFCHhExaDZJGPRUWBlWobywhtk3kAS4k0WHqrjcAZ0SuGnZZD1a0pPzk70ClX
Ty4RZsFVJZ3xWxONixFMbaIYpulqQ2GA70GaV9sVb6CtNm4GJjqUlQHf+CXG5wbzGEmy3qrKYV9u
7CTBokeICHZIjdE27nVRId/aEu/pNSJ98/OMDRE8GTUQKdVD2iKetbXZvLW3uM02YTLM13KMo+Yq
z5z0oKcpVKsS8y0YGBQM6b5tSo9saaR8/o4ILy4i4Ic4mNZcbn7HXYwI0myhc11nhttgYkgtA/po
D7a/DwBLULyPpGJjQ5TezVNvG4jegj7/4rikomzQTfjefcz+/K0Lh5BuUVFpualyf+ACS8rvd6AB
LEi6sSmBlejmWY9YxpT1BsFl/BAltTXAa+CPG0HsFN8FWhKSuDVVzsZSRnic7QzadxBZwUPa51a7
JfTJ3vWuIGppVEl3R8E3RjuTS2W0sjmIBF9/h8lOYyTyB75P8ZvssIBZ16WR11+wb9ePmejoLQ6z
WYud6qCGQlyuud7RRYiw9caYCpTHrOI3dKf5L9Tlslinwke0QSClnLeG7YQGki7kHWzrkQGqwk0F
Az6qu5AszH7DgVlTymD4dewTjX9f3bXOm+3MukYcY0mYmEG4ZFY7Xb/3O2XDhCTZLr/SlLy/LCDI
YBNDJKfCRNfygF6IA1cVNO5QYbW/NCBNDShhungsIYvzd71Ado9bhcpeoQzRvCub1t4CqUAJAdPj
KpdiwPAFxK38VAHLIbJK63z4kuFz6K5g5NBvgZxD1jI8ZhNgMnbjxcWfQNIgU9G+ESpzWcXZhBc+
gGv3c4ZaFW+bGpLFRqbudEzY3X/mbEfPE8600TpXzrzVXDqxzS8C9Wp1cX4rGgJONnZh0Ue3VPEt
cy14NFhLlQ/4nYWfZ0vbKA26dPoNTjv+EuhZvlJKljcaxDXelDj/YWZlt9k2xYT0NeQFP9GmgiqU
dID7UVjgZ195uQ2pPFuwNq/smpE2TkYaFWqe5J4vDKsjit1+KHGCJ/C5+0n1BYrKR1nG6SOsmdCB
pKqL3gSMYHveyHDq2ESEqXrv2UOMll+1Ye+4K1NOQ4Lephau368yTSe6W89ynNpPUWIWdJhhWjXf
iAdgmtyELjMQdxMJ6zrAvr+jeVNMFdQjgGU67flsgnmtpZHRA45Yn0u6RmtFu5YUwZFu9yT4UioZ
eInNqQcZ9npoOrSBNP5wFWkTzxofTGJUEVModrDqwTddk/YN5gIOsWyxk3bBq+lIkel1xztHAlrF
ijwArLNwt3yOiYrGO38o3e6WRDvPvrK7KVY7h5zD/AeiVtPFMMIsmwFrxrJwtjg74J14Y3kYtlL7
B7LDiz5MpYOMF9hzbO9C3blNvtceUUzOLYJ9WhDbKNQREzJaJUY82yZBHmFvcSgccVcJibNbCRB+
sdwcuOMj6hsp1Txjfkix7892cL5p3uHsySaZ2S0HPidU497ExAoa61HmBWEUsJ2IYUVptViEDfi3
x2SSz/jokBe8DkM063gumGw/yH/CQ+xhPLaKa4ipVBZRLhHROsrihk6tt7EJMr1XcOsLGv+QRdKG
/WmFANv4VgO5/XZsu34Fza2bdYzXAAVVRn7Luo18daCtTbBPV5gSEp4iCn0TFShoNiLQqbXue6f+
vXCGiQYY7HhxQ6kVQny47CSgJxZOpPiS29zHxum3dlBaE4+djfSE4PVT+aBpSLYIscQeTqGpACHK
+q7sDDWtMAH3vrvpMF1hAA8+T9JGC/eoa8HRXNuCFjd0bfR1hKP/LSA/L9qOuZWDPGH9TBAZnTG1
53fQfdeGLeY9iimqfHyDKcrKscLZPZhVZ/Ofhr6zM1QxYIfKhQY0t0gOR4dqdY0xqF9vMUIiNr5Q
hI1Efe4dwdYhsKCFzZwbhyY+nMomgQHptZnxJBwbhEZZcfU7NHNrWmezUt2tjmvzmZoP7lbgURiv
ZkGg6HawYb2slMJvyRbCiq+JREFQUua0VNaoH+EfRaYm2d2yDbe6aZclsonRzRg7MYxzhLGUJDTE
92M3WJNrFuP5IWf94nCbpZ0Kk8IkUq83UYJB/iRipErIWB8mGGIjjSxqOBPYpyxRgLM9EIvGBRiG
N3YEOXkiXVhrZ9/UeXsT+03gbKLeHPq1Vr58I8nK47+N3Y5axXnhf4dL1Bw8aKEUqagsfrmWWb/B
cxy8NVcbVnZptnjIj9jZrqIWT9MN2jb74Anw36scnPoRyhgIE8+W7DtI9o84L43fVW6Vd6ZDzO1V
RBfH35JgY3tbmHYWJ6a1OB5ZNZ3rjW2iPF4rqM20InynTteEbYCrYfHqiRUGXJgW6N6faJfG8c88
zYlszZvcuMfrKcUSzhX1TZ7k2C67jq52WUSu47WH5v5WtHVydEM2ZKJD8RfcYHgACRF6Mwwm2Tq2
u/LnKDvA8pAI/fDo+h5GyQQT0CX2Fj2K26zUFETRCmiYu0/g061ZMR2c/A2o6IsTmsNXc26LB1/x
okAYc0CI3MDOnmQxCxfdaRBvcaZyGvVd9JTIBWONMmvq8V7XrDebKDr0dyOwDbc9VAQUrygC3GCI
30SBl6tMoh7RgoGTA8KnOTp4k3SdTQib0LsqaVGXKwoCegV4LStUepLDGt/zIcQpgtwtpL/o5wh0
c4cfXP4mwpOrsb3lPXIrj6UfLbcu8LhVx1aExyUWQnoxVXC/Ks9edMlzhh0Nd68cQhwxFZ+5Yo3F
BkGB6vZgk3W17hypHvDxGd8QMNZvMTeWH3Rzg44L3zweU8TFT3RA2yNu3vXziHV5uQJ5wV9HWg5P
jDckE/GfSN8gyVPpbytsS8t9JdwQZ43aw0zwqitpBd1EEPtJrXIQEpjbf/3H//hf//PH+F/Br+Kh
SCca7f+Rd9lDEeVt89//sv/1H/QVlv/v9c///pdrKSFsZXvwKl0gT0io/P3H21OUB/yX5X+GIgqb
uqHVXFpZe9fjkF/6Yf9weRDn/SCKC4LwbE9L01ae5Tju+0EADV06pW5yJEm1/moXWt+7nBe7ObIG
bGglqVcfPNbyL/7xWH8bUb8fcdaR0vhTJMemENMD+x/RoUYVPNa+ttfWNCMZwIom3F1+zuVf/duo
jkWEjEXbS1onowIW9LrDP/XouW77mKrYebas3DC2hJRFiMgmiII6dcSOahXx9uXBz06ya2ERbbqs
A/vkTUJkAfKAwXqMm3r6tEja9COFnP8JC1k/vy7rekA9dXnMs9OsTS5QWN67lrv8pj9Wj8wIHHZa
kR4J80KdPdOe+UkbN/raz2jhplAOV/kgyeG5POyZeZaCIR0XEM4jJv79sD3ktlJVUXJ0qvEp88Gy
e53ADKLGhDUwcgs+JHKhPkHhTb315cFPvphlaTG41vg5oQ2Ulnw/+GROtDbzJjmmZkXpWyCquYH1
nXb7y+OcmVspbAc5imvyoI73fhyn5oLLMDykQdiOYYScJByBQDlD374OWE3ucrIfvl4eVfGvnixh
Cc2U8tBxbRvxx/tRNR3u0c/d+MgiX/xP0YFOZBiUMVTHoi3Du8vDnZ1MPheWrI0cxF1+zh8LCF0F
SUFGyc5QB3RcZawOoRXSH7k8zJlvQwpPOJDbNduPOl0wcm5GTDTSo1+MSEwJ9qkJdqdf53LAwdmq
QtO/ujzkudcnBcsTgQAsX7X8/Y8nMxZGbw3z6RgNthk9DTqhfjQYadoGQ2kX33QViB4rUa7jN5eH
PjepxD3xgbCpu7A13g8dNFji49DN05YTXYEY/98Kz92g/wcr9M9xTlao7pNZy0ghSoHkh6a8Cp6h
2VVbgthQN4QRRr9FEH3/Bw8HvGY6eD2bnFnvH06WegafttKj6xVt/zlJKrN/dKBPbf7JOJbnwJLV
zOPJJCL6c7MRrfFx5MKHA3kj5uCpqOFcfrBQzr4tR9JQ0RbebKcPBB8AIlOXZ0dIz2qXkLISbHFW
JQfy8gOdXZCeKWi+Culq8+RtpanyAfjC/OikbvBCyRLKrSUsD+u/uHG5UyqrkTD3YurjyyOf+/rQ
7/zfkS3x/pWxh6EBgYd3xMVcfJZuiskjW49E54JD8femBVm7POK5ZzWFiV8QjHmTz+D9iHhoxYRZ
Nvkx7iAS+xQ5d209Zo8Ch2UcJAsaqIBUyQejnts7TZYkhAPHQYB8MmpU2XM5NHl+JNvFg+Uv5vI7
tofl0SVA4sflJzw3p3+OdbI8aScXI7o63mZkta+e0S4+XhURySOa5cceifvT/9+AJ8vHg74vrD7O
j5lOax7OcKJ8i5ypfJaNaX+tckS0/2DdsHvhhgxEwlX2ZD5DwizNksy9YzGk9o5unWrvdEzC3npO
tcKwzY2d6vbyY577Gum92xy7plT26VcCHR3Fbd2lR/rPTbWufVJutyP98g+m8+wK/X/jnH4TKo8r
Ges0xSA1fKP5OyGtCK3HSCdKfyGLdoiuyRJ2PyrYzi7RP4Y92T1b7EXC3m3SY489lgSvyXy4UBVt
xl3oj3b0wd52bjiOP609V5q8ypNFE7a4eMxRlEEYFP5VgjbrmsowwOk6i75cfnHnJtSSfO3K0Y4g
ieT9J89xWAYoayl/TXv8segdbnILtsMq1cGO+/EeR/Dug5d47iNke1FC8X8mfIz3YzoZLQMVcgAO
9J/cNX5L5TXKKveW0LAAyDKv6k+Xn1Iue+VpfYZnreXCmzE9U5vvh5xwSGwdw+ZY0m345kJ1qPv+
2ugLiCCwtxZACq0sCNRIn9LQZXulhiXh8/LPOPteHYhi2HR6rlbL3/8obmavrVVm6fhoBDhxrHDs
6G4x9EH9zY0DlPfyaGdfraYYVpImIu/2/WgqNkhGnML46EOHvkaHXELoR9f85GRgjmVa6cMIAeaD
HfbcTmBhYrrUb7aFpvv9qDYubQv+u1TCoUDAMPXNpgG7HDeXn+7cXFLIUAFrVFhKnizcFGE51JY+
OdqkEt12o192V2MyV5JI28r/YHs7P5jia9SmuZTD7x+qLwZyN7wpPmKgar/hR23ciCJwcIcV3fby
c537OGzLESAL9Bw8+2So1prgdRkWb00KTZg9rab1GFbTA8EjUPgRJVYfvLFz6wQAzVYYK2hhiZPP
scoKkbkogo9dW+MaHRbj8H1qHICdzgLXI0mwHusdCJD8qBI+N618Doj5ba7eQpxUOLrxKw5ESbFP
j4DA0aiU2zlX1rDRGEx8UHbLs6MpE1SEtGlW6MlzciL6+QTb7Ailtl6XwPJfTOliK+JW1s5AwLVh
E+gQmTvT8Gx3nYPxZOjohwZh4i2dSoXJEllvNNNAl18To3KuL796ufyC012KOnOBfYCUKKHfLzMi
YIuU5NX0iGQfcjiGEfvMqOdfCewbOHMygSisrMfeIzgTw1HZkpXCvc+8ConluPxbzn3GXJ89l4/L
AZE7eTXtMAiJlXp8TAvyJPEwFHihFINown9w1v050Olbic2xScqCq2wmmm9ziTHMxuyllNddAdv9
g69r2X1OZ5g8Tu1CkzAVSv73MywaBS9UV6AQdKKKNeRcA7pT7bg0mrCYAw4kXxRieHSP91Gzvjyn
y+s7HRzHouXIW6635vIh/rH9t2MDHRqZ5IFkdANxVOtpBCOp+aOJEcc/EDhhG8/4+k7xTpdBaL+i
RqvMl8s/4sxXQInPNwD+hCpHnsxAVw5h3fDbDsrEGAuz27Rz9nar8teyQNbwwSOfmW+OACgFnHZA
I6d36rTHVgIYzUMD1NXPeG3i+CYrjE2uFEqDaOPmDcY6eTDUn4wakuA/OANNlzqDYoO+MLD8+yk3
R4SLSWV7Bwm7Xy84OdsrbYPKe5wkATq+DXv6SRE5mH9wPp3bbjDBMW3HhTtEa+3kY144aVVMv+Xg
9A7dvb4zJdtMMHsPZQa5+QqkOsifUC1BddTeYByooJFqCFL8tobv4RVutf0wfgowCiL2pJw6624a
0VAcLy+I8z9ULzsw3zo73smytGhQom01/YOH0VOxA6UjKFuofnrARkTgqjLRipO9pm+n23Hurn0o
fsMujKKRfn3ZK38XVBxZJGp7ibtjNeidTEX8QQ13buGCCHmcwCZfsDqZzxpB5OCXQh8GA7WojRbs
U0Qexg98W7r53y+dTMph3shf+/ApvpZgxBkIYr0PVo/zMs23mU5lWQ3y1ujzoMLQtBlCe1120os+
X34dZzaJ5etUfJmWzWX45DFJjhhNqhDvAI8eN4euJfxiSCW3fjuHefO5qVXxG5eB9FtTyvRpxO48
3l/+CWcKAgAixVwj6sFI4WRLTmmBIkz3vQOcOjrDWNWgaS4L+6XzZ+Q4Zh/rb9iFJ+r68rhnSh8q
Y5y0lGXx0ZwWrMR4d0gLpX9AkzPAcOHczRfnOiy3gzmJdngUR/kHz3pug8LgWEqOA0334aTcmu0E
k5nS9w8Jbs7RTdnT2YtJefGIH0SGi5qyq+lqod3G+C3sv15+4nNrmmw/GgEeSLVUJ6NjyZZLtGnG
Ic4Mc9qg7EsHsoF0ZcX73m7raXt5PLn8gydHEO5BzLJjOWyI+uRbH3pWD8nvPnBxA2MY/bR7PftJ
IV+DeBRPfVVMz3E7LSkBUQWXbzTjvTZyXBczko2ZmrwQW0P74gNA+1zpQ9UDzCykZf39YCY2hQSs
0jIOCq+P16Ce+7uEuaGhi2tkvOmbPsMZsHXwQcxTxK00272HNMQ2ahely3RdnqgzS5F2haB3DQoN
QnNybvguUBVhJ8Yh9WkbcDFUsf1rTiMYeiBT9YbifTQ/WP5nliI3cWlhbUMbClnq+7Mqcx1BHGTg
HbrKtW4KMuzJ2SVxW288p0ogxw3Yxe4AQAIfummU+q+Xn/lMycfjgqWCfgtp28ti/aM8kSkxetBA
3IMxJBnRqF6J1nnqYWldHufc3NK5UDhk0Y23zJPtRcIXrAgU8w5plMHWyicpPrlhTxxIgyMriQNF
3z9eHvLMjmaxp4DgMC7498mjjbL3ipAghQMMruY2Hqwh3LWRmUDCI/1wDWWLxnYRDOw6lwc++6x/
9U9wFGB3Wd75H3OqOogz3jB4hwZv65us9CvIWCZGya5w3ZdeBlge/IMRgd/ZziwpHX2yinqa5hNe
Gv4By2XvxiCf8SvyXZQ7ALdYIJPAKq8uj3hmE+Ok4hq+9L44NE7eZ90VUIX91jskbKZXAV7Xt4kZ
fUnqsXu5PNK5FUolyc7FJ2mqvyqZP2YTVkDVUsHpw1Tb0QYFFHEmxjDN5j94a8hjYRYLupV/2yVx
DwVrzwx9sKum3dkwzPF87pz4yTKwh73KC0N+u/xk5+aQDwIqxl+N2dMj1xllF6FZYJ0shnxojOgj
rkkhxfGk6km3+vfxDEtJj2kEY1zQqPfLcgzDKCbpGwAIKh0UzmKGvxQOGKsIjQjm8rOde2uc6A4s
EKpMCor3g8W4RGO/HXkHzWLcKho1C+UJD8x/8Nb+HMd8P47VV6OV9rN3wEVqeEo98veuCgvdC9ZA
i2+DNtvs5+VHO/Palo6L9hTzKKnZ3g8pJ92TdmLpg2Gab7afeIfZmg91UjmPlwc6B2Aykna5iXJy
Y8z/fqQsH7EPwR384GlyLbO2FneETgXuShl1vsOUhexZ5SHwLYxIH9QAm99syvTX5Z9xZjuzQQSo
VhRFqHsK2LRc5YiYGlk3LS74VuzIl4FoyTXjZfeSMNYPHvvM/HJRBiwFrRGoCE82s4KM1qjzPeOA
kT8F+KyDx8QPJTY6Jpqgy892ZpkudadSIKaEBIqTsbyk8rPctP2DMecYuJM6NhHfGy2o6eWBzkyi
IhtPArZRcIJFvH+VeAeSeRZL42DrBs4vRvYwSetMGc2ejL+8eZExpO8PrhVnigu2jOVzt2AM0N57
PygSIz+o2zmgKUQu1nOYB3orzZGIFDVglL8hLcUM78owiAjLHquPFs65+o7xXZgfNIYhIJ+sX+I/
nboa/eCIzEb2VyYLyUOR0C8JCDAMH6UKzGtgiQgGaE4GUTKm+VfE17hZI0cnWeLffwf8FJrHHoWi
sE8+XAeGiJm7RnBE7IJQUWJbS2M1x/UigbEfq1l+uTygee6tcypTOAIBIZ5Y/v7H2QXprsTFyuUF
aAMDYnARdcy4BFX7aZChi9ch+ZbBA8RRi2DzsoztY58iqSOtjWCnK4HlZ7wPiHDBCUHPMrrHWBXv
24GOWH3lOTamUTKzAwIFZk7/4TBygt7FujHkZ90sIi9OFpFAGE0HyLB+abvbElpH8Akjsrb+fvlp
z21XDuWzcqi2YHQ5J3vxZBSY1HZxcBxq6uSQpMMnJ3DseGsTGWVvnQSjLEQC/nGy9FUQQmK8UgVM
mX+/pIYlYwkQDJw+qBjeT3qA/Vcz2J1xIKvddxP4qJU3fs7klH8Z+9x9zKSbXY+p437qyYnaXp6E
c5sX1yx8HvE1ZOGfLPmqgWsfecwBLvjNqx9hXkSiXd6sEhDXD8Za/q2Tex2sKpcS0wVp4xL1/kEx
wcDFQE3+ARMNrqo4Tfg1Vhw4N+E/Pdy5bYDMXyGPbvBGH8Swwg3fjj/4qM5U2XSb2T3ZRU1aAyeY
sWU2XT21y+USkzZibUn6Cp79PBRPHCjpsOkQ5d9NrRqz3//+TFNbLM0gJgBY8/3TB26GNslt/YOP
y93WadAPk3WLEk+Eat5dHusvauffptqDF0UTAdb1KUBTVQpyNZqhQyqiI/Tj6LOP78x1VGb+J2FA
IcV4KB4fZEEg1pXWrYnXmkIYRlYj7G20ovVYfgCNnbvWKw1iQxuMhvHfiFo5KbKSwDJwBEdHnzpS
6h7M0nN2epIENPpG/uySU0GyiIPDTaasVyclr7WpjZmtAI+xVTQGhffBOXduOfBSHFAMeq4Utu/f
SucBYHS99g+lmeET7kD7FvuCTHuxIl2ilCuBHyTeQuwEl1/R+YE9RZOAmto+JZQErlfJkjTqQ5Rq
RIxuM3afRbhE1QW0FNazAQNsSyw3GdeXBz63x2tYeUrRdIXPsvywP/f4cFABPonewUpwuNTYM61E
xwLJY3mNy/zwwWs/OxzOq9SFi43R6XVIzAVi7zZk2Xt19uKMALKrMjbM9eji5HLDSRz195ef8Nw+
w0ZKJU9jGTLZySeO28RQenHHO+3JtV5FvuOvBA4ZyX1JexBdYWVnSOKSLn2p7Sa/ssNWP1/+Cee2
VZ4W+2BqJ8kn+H6SC2RpTT063iEi+WLfU7S1WLq6P7s47IvN5bHOVU3LsUHBAl6hTmGgKAHZd0Ye
V+EPs0fMiDqJQ3n8mQmoNZJQcOPRmVusuXUJ8/SDrebMkwJMwv8AnXQ4RE4+oEZCVqgxRT+0izBt
NEu32qmhfeuNqoo+eNKzYwE6eBAEwULFyaxmyYw1F6kFxzmro+sELx4cL0n6vFLKHqoPdoYzC3fp
NlCB0IEDdV3+/sd30vViJFUnio59pePHhY62mvwsvevR5ZErVnzUUz+zav9qqsK8QNvzN/YHarwY
NWgVHTsrsZBZx9GIIXbd1uknJ5j+cvObnO8im+0bNAhheDuKjjzdy2vp3AwvoMyCXWBR/zdmJGHm
CREgcAiMpc0OEa74MkD+PNqNsD7YGf7qa50cUs6fg50snbZHmNSNZnTE1c/7EcFPFrsslt2unnDt
p+TGfGLFUY5/ieIu/twWPcb1qxFpGToPVEGg0JZy3rRRzOYagfBUf7AGzk4HL4PjAQKH51jv14CV
2FD8Q34h/hAjNk91qO1dZrXYlgOG4+J0efbPLjl474Kdi3akdTIc8XwK0p3HcDXC7KvUJP3qasQS
G9dKSD/hJ9vpvl8e8vxL8By8wV0aKZT+7x/RD8MggJESHHPTg2W1QqvmPJHJM+FqgD12se8FNkLX
LTZHn/LMc0jm8dzk/xjSjNeCmgF4q0ogJhGbVf7UnT3IDzjP594CmMxyYAHeARi+/4k5z0/yK7z1
ENuHGEswmzAJQg/2Ro050Afv4OxgSx8YlufCSjqZDyyn3ex/k3Zmu3Ejy7p+IgKch1vWpCpNtiRb
Jd0QkrvNmUzOw9Pvj17n7K2iCkXIC+iGL2wgK5OZkZER/1CZUnhUsAf176tRquvtiNtqvRuRlPt9
efmniDU/AlMjQZsyUeBms8u4aI3BwucgOqZFFiRrowK7+IBa3bgUps9lhDQkyfN5SypgaGYjgVA3
euwCURotJDRAY0reb0hGwF5T8V0uVqCf0JxQAdBSdI76vadFYgO2NccP0iiu0LNvt5fnfm63GwCw
ubGoGvHsPv2sSS2aQOvk6Gi/RmHZHoxMKu4ULwg9hFj0aimen33uUSc1/t94xqzMXemVr6GSER51
PVLaPXZfTbpttB7OuWwG1wXVFu8b9hr+yjRr7Il4gcCDT4MiD/4iyprgUCn3g3rj+5/OfLpLyFwQ
SFOztBhcXHSj9Zi12j8GjdTV11eZkq1uUkKVycFm+3msO2eEphpB4zFwH6h6K8WmsgHihxhOgV8C
KZG8kBOcyUgopHKLaBSPptByOr8eDzBVydPwmPK2zG4dr4/rnYLk4i06rX68DYvOH3aNQHQTt5Y+
Q/v+LyZtAtkCK0rTcg4Mgi7SqENMUBtNUBOYxUiwU+WA37oJW3+ye6UN4y0Mei5ygE9VbAqgVD+1
6e8/JAySZDaezHE+arnU/uzEgCl04nAxpW16vDy/c0NReyGxM8j5lHkTuiSNBkZYBccAAbLoYKL7
t8GzQtumWd7IV5cHO1cWAxXDgwH6Gc/3Pwfrw8S6XjRwr6gFpirVDyo4OZdDpsnjIagT1BtoRdDz
Q4ZIknc0zXB9gPsrQAUasJajilksZA7nIgc7WoOEDCIP85LTlQ61JrNyb/ARGJSsgz+SFzWFboUb
MSA2sqYDk367vAbTjp3HaQoknB9yXYaePSlEXSKkXpb+MVXj0kDruUMXfUBaL78RkuGvCslukzXa
D12xECvOj0xb8D8j/ynZfVh82YtlnElttrJtN9qGnq7RPkCcdgCw95J1mzop+iQOKVC2+Ys525ZB
og06CkzL6Srr2MxIXCf+cYDG9B28oXewK/Q+31r+ym1B/NgHa5SLf78+7B+E55SSqJY1+7gKuEVK
kHUANlepty3yY25I4L4KUN342YqurxFyiOLxL2Zr0xzkQMHJU+evKNR1jab3KbbmeA08eljmPFZY
+h0KGQ22bZxiuOT6iYRB3+XpniuLEC2416cgDcBpOusfPjDqSQb3bSg9N7LSDdc2Uud7RCWQ0vHl
2sIeEvJ9YoeldQ3AFs9ky1pLBZthpZTNiCCBLNQfNcBq/y+yLno4NMHZ9yoV0tPfpaGaNCHD/GPd
47jjcrHCE898Lzq2JcYIC8Hz3JGmJKdZIHmmODMbzUQ0hn2s+0c/6fAJzlurb9dFCXvIapVmnSDx
9DcfXGdn80KH9m1OqdmHdafABG9JTsLjZLvz0I843tqh6H+radwiHMwLfi1Li33Gs/PUqYICrpwi
+Gx3o+QQopMdBMdoDMcjvZxG/tY5hTY+eECayrWOjO1St33aQfPgRUZL7YUiAdfhbG2ROEK02GjD
I6Im1UsZVZPC5WiLlaWldrPwIc/FK17LDKWTbXJfnC5rrqZZWEIdhEIbVKiJYNnyHZsJvCXyXiuT
bWLFCI6UYY541uWTdG5pJygwVRfKA5QZT0fWxqjmkcb9GyAw9NbGgX2DIlaLgLsavBYDDYSF1Orc
ulJg5VKcMKp8ztMBPSlRkW/QgiMQWHDXKn438iGuDFFvEKqJwgX40ZmsimYmmv08DKnYz7tTaJaJ
SRKI5zJP8+qmwhlLEA78AYG1dKyGu6aJMSWxkkldKcSBVWwvL/CZ+VrADSeCIS0p2uGn89UQiM5H
3LqOaJ6pa6EK3gu1Yf8zgHB8vDzUmW/Je4gtNKG6YcPM7h5sklBb0tPo2OsZprTjqCviIFH/wc3Q
7oF+dk42/MVVSzXBdCYSJaXg+dk0G8xLskoPeSK1ytpxysBBlFGxfqMwZ1yjW5nsPAWM68I2mgLN
7Hjy/OFtRn+e3HFORrEQ+mkl3F6fAdVifgYUuGy/487RxQsR/czRhFVgAt8weQNBFD39foPpqaZf
9uCcdTzlV0li4XURU7r11jba2sl3jJvMakWvHnT/178n53KiNlFmUOxZsNUDFVOZIQFe4Xf5DbJj
+raNRI2ZgK6ua0UaFqLQuTUFOjKxbnhgcmhOpwpPq0iw5gJk0CIrvFeMGICsJZJuAaNyrnyCQALg
Cto6Gk/Z2VMOtbFMclDfewaL2O0jJNkR7JO6/WAN0grJn/hJTRFg2vlljmhyJ/1DeQd5G9+sTRT6
DBMdsdGqC2xjtXZhX52LF/AcNTAQpNifCv1FOqJp31T2M0ghRz4UeJL6V6pVd81ThBuE5BaS3jwA
otCKnU4nyN9//ZuTN1CBg2jFn7NvbrWtgdAfSFmMZfCbCaphPQDX2w69aawwdvkLYrAF9AdEJJFD
tedY9jJVAg1LM++5gl3+LgtNzZHaNbF/WIdilEKkOakYX/cjNtzfL0/13HYDr8C1Pt08QAZPt5uH
RDXdgFR69izQWCtNKpoWiX2r+vUX43DHQVybECBzKK6HTVKK9ii9mzHsr2JRWslKpyi3hP44F+np
rSLaQG3KUuZFwRwNYTQ2gCKieFivEOBKrzUZ/UcIgeGPy1M6PxTFRxJNnpjz/lCW1hJazwylSXF8
1abye+yV3Q9RcZf+xUhgGoBAkdBSejn9SCoKWZj7ht5zGgb1Os5yLHFFK9+wh72Fq/rcpKiyUX2Y
PtUnIYMiNtoxpcX7rITokQ9pleImH+KS6/rC6RbuynNhnSwEpCpvU+ix04/5kMgiiV1peARIz2bg
42oVyh0285ZoR8w8sVvfO7T4xoOjjfnCp5ti2/zicqZ47sikz/q8yqIl1GANwMBHHiflG+dDPCaW
/C4a1blRosBDFN6c9PhDUdzUcV0upCNn5m3L5COIflAL+NTjljz4sLXf8kBJnexRqtJ+WA2tI65V
o01ezcIJH0sHwcmFsHomNeG5xsUydYy5SmelgBhBxMG34+CYWHb2kjZ46NhdZXiuKcX6A1lDtBBc
zg7Ilp1COG/i+b6tkUdvhRGR12LP8xPZbe9bX/mPStrEChdJ4i9M8HMwAwNFYXJCuTPiHOJdTFK+
OVJczwNlnAd0HrmvSMK0t8vH8dPngzbClwODwdOR1uU07Q/bVovkNJMwyT1W4BMenUyxa7ftLRG4
1qDVSNxpdogup/FlrYzZuLPUAJWOqFfwrzjC7+ZS8CzjO8KJ+S6lqIOtUyijLT94X70Lp0Gp4CiK
QzgAPX862aRnYwZYqRxbvuaap5++jkvEfXHRUh+Q1cy/GusYj+clsCb4slMMPx1PgQNJdRR5ChMO
ewtHQmiyi+OskO5DQD7JV4/iNNxUGqQ4ZnPzztJ1DDpy1eriAq12GzmaoMvXuAtlV9TKyl0udHOF
Z7C1cC4+byCOP6934jN4T9A5p3Mc+lykutHnx6mAsu9V5zr2QrSOzY4Kd1pEkhsFXbkAUfwU2TUG
5RVt8uwj2hqzXdt5eRmgFZsfFYyjrHVAjeohGSJ5WBf14ivo7GAAdvmUsDxosJ/OEDX5AbWPRBwL
8p2fTZ6L75YAiYLQuNx/NWOeJvZhrFm21oZ22alDJo7JgHXMBrV0hH8BGqKOevncfwpn00AT5I5E
jQWcvyLVUUS0ojqUU4Swv3cx+q8YXscrz/JVZEftZiFFP7dNYKHbVPV4DACAPl3EntugBK6YHWse
R/uazbFHbH7oXDxNjWsrr6TvRVhvLk/yU+7NJD8OOtsmihFi3qlF+TEt8/GGnSFhMhv2OIXbWMz8
bIrEfw+w5nRbLKIWAuu5XYPkEHhCgH2aac2f6ei19eg15AAJsgrsVGK3675Fs3tNO7t/vjzRT5fF
NFHSbdT/JqWMuaaYZycW6PU6P2IEUHyPsYdGfz3PMn99eZyzCwoDHya+BQNrfthVSbOksWqy4zjQ
knRS7Kx8Z/y3lL33PrfkAVVYI6CVJrJkIXR/ynL+zPD/j0wP7XT/FGOr+lj6ZUf07O2fwqZ4Zo6A
XdXGF1dJ0zpPoyZ6bPOwAfMmoLT0dHnq5w6MAuOJdxS7FyHH0x+gNwi+CxwYjwAhrlVV6HcqdteY
LGCc2PZq9np5uDPnBWwN4pHEVJqG8zKTcAjanH2UjnK9doXcp5hz2hQlCR7xE8Kk9k2HDcT28qhn
JgmnjhcAY0OdnZcNY9RMMqexsyNQfes6lHNvB7EuO0B4xGYxRhKk+GqaA2SJixhkNUgLizvkdFkL
0ZXVlDkeM1HHmz4o1eKqRG23/vJVfDrOLP7kaLT0SMlmR2SvPayA4Jjv2qZVsQ6pKX5cXsYzm5XH
Nt+NjwGad54rNmlIQhDm6bHSRKHA53aavdKU1a8JRX0s4ghaMkYFPMbccvKVeYiwrXR2l3/E2W9p
QIEi++B2nhdiy6ZQQoq/fEuk3CktxePOrz37ioQEXdAazPzl8c4EPLBntgL6jTE/JTuNIsF0brXs
KGLMR6SaKOdWdF6vxtHJsoVtc3Zy4HhRNJQhr80zOdUosHL1/JxAFDYYXuXjA310eV9WgXKH46a/
cBzPTo4X1oRB44TMRYEUy8ffdmRyedyWN32jS5Urmi7I1lLYO9rCMTx3+NGepDxI64e+8jT7D0m5
KVSrTKowP3I6cOON8HwZPUv+rthN841Lfdx4WmX9/vr3Q/UPBAxaHhRvZtmjb8pZjDM8J0RX7FtH
KFC80Op/zax0STHk3NeDTwFvnh6TTKA5nZ+SI4XdDZgK1TWK6jepFoXSIcdBbLglR+69V7mR6C4u
7JmzqwpjFUwXxUj+Px0VswHK1TB3jpGQ5SfQY7a2q+U+flcK1X4qvPg2lwNEqS8v65krU0H/lzj+
p7YyL/datQ5MUqvSo+xV4Q8HB1S3blRhr+0uVHBBzQwncIPBVvOrANPsYCHPOztpmGBIBEzCTnN2
Bb2e3FMkRLuSBOV1z8MIqXUKz3alulQ2TTAir5206GlfnvW5L2xAmvlDiST2zMI6ogV1gKMvwaAr
U1BM9oiVUyauomKSdAcj8xfTnMgMQLgId7xjT78tbDYtww8RsT5FTV4wyijWJdzkb6Nct3ujBkW6
ilVfLECcz31b9vCk/ECfgq7M6ai2JHsa6FSkwlQPJe0BXSDSIP9ZkTFy7LtG2jSaXv+K6yB+vLy+
5z4rabRNtc7kD3m2l3GjwZuyQqSsaGvrFpF0rOSwPUhdIcSwVstUrB1DLGmjnbnXiC4THoBRadoq
p/MtWxnxjtBnviR7V4Zmdg8dzsDrbIBNuQ4rgfVLjDMzRmKOZzwEZWu9X573tG9Oil2TuiywAOCZ
bGg6fqe/YIxbRfYKfkGmjnZ0CNs0uKd/Yvfby+OcifeMM71T6Foon8A2ahToZWEhNVRgiVKucO9o
mn05lnGOPxxOCFd/MRzsRcrJk7TBHIRHDUalHG9GRyQv2Ek53C31xvR0b4RnlicI+n09KrFv/2/A
WbAfu9HkvYx6d0OkxWLIknq3kZzqWZQ8AnGPw2GuD7P3uOjGBRDPmdDA0EBpaKNOFJzZUbXKXI1j
C10lzcegyDUbDO23+IQ0Pwunc/6J0bRf2DRnDgsjTkBqlPSAyc9GRKW8r3XMU49lUQb3shZY4LR6
HFdxhip/Z1LrYB1m4qhz+aOeOy0fh52tcdPiJqjoUnx0/PItF7l1nel1jHtN3hZvwiuvgRLd42TW
HPBnzYvN5dHPLjPlaGAVCJmRKJ2elCobVE+t+cJjK/wjeMPrIvWHt1rWB2jqVvf1/JrnAsAdnmj8
N9/BSHbHUtTFydFs6veqzHGj0nzlKLWKsSQ1fSbqguyjoI/YGNJc80eK0jRe5sgBGvCJfPAKkR60
0usbt5L8ZhfWYY0ZceBNrshfx0BP4efD0LNP6hR2HKK/nByVMoLCYhWOtXEk3XiuSQMXVvTcruWe
BA0OjIOIN7tCwaDT+4/16JinTYsNy6jW7UEtkhYTQcly1rGkYpnWFrhMXV3eOueCH4Uu2nhwIMCO
zrZO1vhOnUggvUG0Dte9AfXLhgzwS2+qZiFPODsUOSCvwD+gr9lQHqrgjRJI0RHYcbm3i7Hatzls
ywQ18Ye/mBVtVKYEBYob7PRASPlgxAN2oEeMeFFNw47Q7eNGvwstLpK/GAr/5kkjkSL+nLBgjWxc
ZfJGKMcCe8Y2HvStGeh4UQWJlfcLcebceUDw5X9Hm22Ueoh75B+RRlSxxMMjTgDtulW8Tl+FCR4B
BT5LnouEsLUTRpUtpECf8dwcCeCBiIigbMB+mS3riIW67LeMnjYkhBiwdwkqnqraoaUAJQuzT69X
byjDGY8pzuGYgoDsPyQ4jC/xNs7tJUTJCHlwiXnDzHIDtWgGbCCj9Jh2Vbdtg9i6pjFfbkwDJ2r3
618YDDvyMDCGOSmzQICJNQwrRUq4UrB8CNMmUlYirABSFzWt58uDnVtjcDj6pEWJ3icNjNOtmxiV
kIYsj470TesB0K8Sd5tBHptNm5SNvtNMpelWFZazw0HB2+3Owc5NrEF9Fd8v/5QzQYn3IbEXAwxc
E+YAQd+Jgr5KEJYL88S6ycJOc1aW1LmG98tL4+mbp+rS/j5zk9H8xrAQ3ZgJyzZbazphJi6uALwK
UKfvBtA8ZWvhzGu9dFFZIAoQ2ln89duTLh8IGZSqpwx/ljLUao7q6tiHR7vJooM39jne1k7XX0Hp
lO/8Vpa+LMUNwmd6mhoMNynkzCIhcg4ytqHgOqVBslwIuvYe68/kGzRRe2VGfrc04JlUGswMH5IU
AdmMeXNK6+pctloGjJTIXDW12uebWOkUeWEpz20ZlKl5APPo5kKbbd5K8c3eV2yWspXi72pU4Tee
5nrnX3e0OP1dIWxqix76Ev1XR+bE0Jqa8GuUiUA1nB6bMAQtoSrQerLO4WHdUjcPkG7SRAKUN/bR
IsE+vFwZTmb988VjMu0brjWeaAg7YmhyOjLCQzJSw05z9BXa4ysLQ66GzrQZQJ8OzV5bKdlYb4dW
WQoVn2IgA09VI0ApQBSprpwOHGW2HeZ92iGIX5e3ed4e/AYdYuzn0+6rJbEpqZwUeWlyKDQbZxsW
XyncrZ3AOsZ6NTzjUNk/hNhYrZx2sL4abaehaAkTcQA4cEpOZ1WUndG3SmQdG1qf3SaXwANstMDo
r9MM47nL3+5TuJmmRRWMrBncDbip08FEpJFRRXryYsMI3/iVP/7WO3N4Dio5/zHts6V89tMBmSan
UlSj2g+9cS7hPgotqco6zl66wEg3elmVAV5dTnqdOGJ8RYCs3yOz6fzFNHnHA0vDRQka1OzzeV5t
Zj1k8JfCKc11lsmS7EI/SVzEANIrfHdr5a9GNLBL4Sshcjpr4QhOYkQzPHlJxdi5Pbze29Rq/NsA
W8WtyO1uYbxPeRHrSt5sTyoXk4TubIaDZopO6u30pYcStBmaUNrUstH/oNvSbDGLDQo3jfuIh4Pj
fdHCiAuDVzysWvDIxPVPT840iwLMmofoUSglxpvjql4yL5rzgUhxyLkoUXAtQiYk6Tndp0h4SI1Z
acqb0hfDNi9F/UKp71UdRhlSsha8iL6StrEd1z+oO1Q3UVN9Bw5VP10+Ln/kgD6UZPgdwP3+aBFO
AEfi7envyPIapIg8Fq+GmpiScDUp6dtrXJ0btNYbB5EpN4dTEG7QnZBhSsSRr1Wu5VVRdz8mOkbw
fmPnza+6Rv9inaJ0/NPCq+/digF2wXDBiBz5/TAHyAC21Wnvys6s/gWrazxjmSxXrqKn7Z0mzCb8
tTC1Ka6cTg0zNZAxEOimUDePO7VZdyL0lPC174A734F0qF+x0sWYmrQXbP1gyf4mRiXauAq1Qtc2
hdnLibbJwiwZrwdZKMo3K5SCxB0DqwvWQxb5A+zOcBQ7achj704BUp3vI5+iBxaZ6OvsRaqmyvc4
5i8ts9WMBeTELLpx1wOc4MBP5PJJrXIqWnxoLYwA+jzLKoY3oMb5g9o4YeM6CtYKter4WzNrF0hi
EFbni4hoKcAJoH4USEke5/E07DIpgYz3aiShMHZSNfAQcwHGF+ZhTHvL3xSt7vgrC1iMcls2UMcc
9I2GjeHlSoZxt6Wn2zLy7Vc5CCRl7TlDGrnAv1p7VYSmCLaRFJTZQ4rhZux2+ejfGw3cjxvDrjUM
62uny3aBXSjZc6V7nn9domg0FvdjX4uivsWINt3pGj2WhzFCUPIqzhvsKLElkASewnrZtzu6MeVB
jrK0wmS4V8Jvo+J3t5lZqrZrSU30blYBNou5Xo5PeobuzbqSWs5kYiXFNhqGvr3CBzT2dnnUqtWq
T/wc+7ikiKJtI5y+OfT2WFKB67TBM+/yNk1+xZTFWtdSvbLYWBrehW+DPiAoX8WJFa2SNDZ8t0eH
U4+2ZtJ54SM8kOTFGViy64xGubUqjDSJbkWBVndDsUCnNe/WRmFI11rhWa8W6VGw0QonuS/KsamR
VcD4fGcgn+ZvKmdI9H2P16xY1yq4yc3Ylp3Y4HGb1G6d9M4D0qqqcOXOqJwdSL3YcwcDevqq9ysN
62KhDfUWTk8T7kuJOg1qBqP0UHGZeVc5agOpC/yqD56cohP2JlPMwF5XDejWm0yWRYLctpk67QYV
DTlcgcXtretWzxWL5gHKcqui8CLoQUNv/9Qok5rX1qA6xROvJ725M3Ij08EAjPFBbdAOeBQBZ/am
zMr+TjbKpnETIwgddGrH0t8Xrdo7XIBlYWx0LVfSndQ4VnQrx2ps3omwNkH3Iq0/XlWhHTlubQeg
2NMxg5Sv99J12NCQW7Vy1GWvPqpozarnmn+3zcoaVoWZi2+Ez2nVIt3vsRNXg+FaQ08iubPybvzH
H+sAnew6twR2xkiWIPiQyKVnqa5ow85ecWeZw87HPCa9GztZUhJXiwmuYi2lyAbc6iQm3hNWN0qz
LwrfUW51uZSyvYcTdp+vtKbI0ic/TSV/26N7GLwprVlk95VsJXW+rurEUzedpwr0n6w0lKOfnhQ0
gep2SmXl6irtwtR4lIEemtdpDsRqbxW5n9M04vWw4ug19ZNsS2rmb9VR04S/6kLJat0uNXXv0HVm
j1tJGfpxCaO7TeyodrETQeKx9NQ4WKvm4FFZx1jpKIbAl38Efik/jDQHfbckLkT7kNCsbJH8V//1
8Ay71hXUAdYwxHE6VdtS1p7GQBq6N0UTGnCUVm6iHx1S43e6pAXFjdFwN7lEKESTbdvH0bXwOqdf
+YZal+vWMQHndGqeyg84JUf/NkBdjTtZ5l00UNkz3V6K0nGFP6yxG5F4Vly5tMx3c8y05wIJDIXt
HeDVbQ4jXsee0LoEGqhVVW6OopC/UgsfO9TCqvIKlSsbOQk9FT2AozFUkMwdm182Vtzpqoql9FsF
cNF2AzO3+6uMZsvgtpXvYQZsZXl6KLCkqrZyUAf7UUs0ZV3WeKe7zlAPNSp4UtTIG5KqPF2jTmvf
t9IoFW6lm5my1j0jD3aaHqk65soGvsfbEs5ovG9hLlVgETBxNF4QI0l/ea3OuU6apArWCNK2+j18
vLo5JCVatDeo0Udtuo3kUTcPYekFz0YSDdU6GTUjQKhfxaXcKnzjCep51K2lcbCwpUXzsc19t7B5
R69UNLPvfT326mPigFxa0SZSIxwC5Wl2uWilNb19VWzJAhDEEg0h6nvequ2V3GUqj7YSLskq7YN0
vK66xGvuoWAjkpDA0T2WNI9+c73p/g8/G4Ztr6Ak9au2TF9dGdUI1AuV/6TaGWLMvslO7Bir3Cwj
Y6P1eiO2Ay2ndiXMQu+3Es1NENwxTpjuEIN8vErokgTrzNOtZ/xgw+G6qye+sZ0YerNvameyQYWL
7HZjXWc3ZQzmayPMsDf3mdKxn6Fsq6ZLHzEvH/QwC8UOLFNrbjw5A5NeCUtSbtoWhTxlXSEPpbwP
KZJQdzJEU0T/jD5K1Bt/KqSCBvBZT4c7o1l5vGbEcxN1Ig93UNVxhV4nIhjT1eVsaNbOoPE3+SEB
Z6HmRTVqLnRP89xrnCEe3yLfqNqr3K+TpwKF6ebe0zzOuM01go82U+y3eV1rwk2zxv6iNM70K6jw
kbdQLUGeZc72w+dAwQ7bVN48LcE9maB/VGonzqCYLAlRfkqVGIq3OxVw2Jq8qPXTVAnyQhT4tVDf
iIrZsRpq/9oKwvK1FuPQ7oRixUsGJ7MXC5MzqZECCUaEkXf8vGwQI0sVk9gG706iB4YrWaK7U9pU
uaklJMl8gZuAlQvcE/paEQufd1Y5mPq6VBcpVvx5ExpzgF1mdHSGSil6r2vRF6t4MMOXlJLU2uyT
ZOnNMC3dSWJtAxT+05MDKATfelbSq0rfNuhPRW9+UEsPEZyo+pa7I8/XCnwGe234FHJ3mdEazn2a
QgDfFHJdtJvSH0nKYi2CWQCnrNh7gPKfdNDALWXe2ml/e11g5/oasn4T/uykQJa38ExSeR86ZfVP
kZlmQty00/x6BOTYXpHrZdoC1vXTxoGuj6wITzMOI4/dWd2pjXqzQkbKeBvJlsvpNlf8b7EalNed
1JZs2qLJy4Va16fPx5gTgX1iTk4ib7NXWNlk9qBS8H2bbq3GhR/RhYdGonTi5o7fLCngGvOnEYtD
aWSq+8OCZevM5uh3SI2OQSi/9RFOaFshlKz51ksV3ugGD5luY5TKCKuHr2esMzWxX0FntOqK5gxs
qUFKwj5xIxidyWNQIHhn7mCSjuWdKrJGucJe23QeRvzEBQ7pk7ty5gpNC8S/4SA8g/S8hZ3Qo7SN
8+QPwU3mbzykONI7x07SdKUCXYw3aqMqL+g6dopr6kUBdlLQReORI6LqkKfBGDzppTDKb36m5g3u
7Vrf5GtQ3rK/kvAPl+wVEpletE91QKVuHnoqhseQNqWNpcZG1K5qs1WsLUrAeJ6ver2y0MshWFAg
36St0U525nmd0UTzItFWD/rIFfbseH6avVtBaVRfrF0RqyaiIM87GVoMtatZyEKBOAq7shte6Bf4
m3DMcCwKQvvOGrV3LB6lhT7X/EowYb/xQIbLRSFVpaV1GiHrMuiVLqjlFynnrbA1h9jfDlKsfpMT
I/F3sj22a9VOtMiNA63w3crMY31h488PG78BVV5CNCUQ2m1zJdHOlyU/cTL1xTd9bWXZcfyUdXng
UsHXSTmgsi0UIz8VXv6MyMEGPYF+AJWB01nHQmmMIqrUF0snqwhryPtJUIbbLvc8V+rMcYc+h7LK
wvqnFErRtdLo/soukiUx/TMzZ+U59EhWUGhSZ/W01AhSDniivXh1GO5lmFcbvS2H7wCv5Oumbrqr
ywnAXLyKvgSHk7IWUGyWm9vidOLlYDWd0Zn6yxA51T9WnZh3Du8e8xo6jSW7YRPZzrqu4zHZYf8l
8cQtpXLTqK0Y114HPm0L1sJbKGjMqqf/+VHouMJjoF6rz4kFPvY7DVQ3/QUYULBS0Vfa2HnRyO7Y
Zt1rmqNFsB1LzZOfF1ZjWt6Pd9i0GnQwodtwa36WDq3iAXwbkfElCGzvJxiTMl0jZCmuiqDWnE2Q
B8O4jr0oeImdvHymexptIN7Kyhdvmz+/g/EBK1GZpiZ4+lV0J8wjo+uNl6Zq7W9RqVorzwnMmiSw
sEg67TxudpfnPltzOmMkRZDzEWaj/Ajr5XTIuOlqbVQC9Vl7JMBILjbf4b2zUDmabe9Pg8wqVXUA
X9qQfPXZwN1eU1a+dEBu0l7qmCzMZW4Ta1o9FDDUBZmLf2U9yI/DfmkmszA5n4k2uytR5DSEmkTq
M58muFFqV8K/55f/VP9QHy5/mGnhP+zJTyNNt/aH6l7Rq4Ell4yk3McH3i3GxrgNDgDYLg+ztGaz
CKhaUZTnHWvm3WbraC0/wu1fQIktDTGLNVi6157kheqzuSpW+tpzg420vTyLP7ivS6s1OzkhoE3w
+UyjeCvuit02RGzcbX7gaGv+E0pueHT2/lra87g2xMIlMq+KfvpS0+7/8KXSELXGumN+kb8r9avK
Ww3pN7maLGUN5HhdbtA7w9742l7RJFcyChd0uyRfj9WW37zuiHLmE8/ZSv9is+3TL5u+zIdfJgOj
ipKePRRY72n3vcpemvLx8sqfPRCwzlBABEpPCD8dQg0atSNqsX9i9yk9KK/Oq7/2t/nChXV2D30Y
ZnYa8iEKnSBmmPx3fJX/Go7SfthdnsnSELOTIJmi1tKULdRs/M20TbGeWP93Q8xOAqp5VDKTaYiD
uPEP6r7Yx0snYVrwTyfhw0rNTkIZ6MIqkQchbmSO296kgwtOvXwXJcauq/gf+f2/m9Ns91e+I0t1
yu7Pf4/X0k/tkO2WPv5cE+Q/+/jDnGb72IqVQEi04Z69V3Gj7vJX81sXuf2hLbf1z+CHPrr1MViA
sy1th9nFWMd5XwYhYw7DCiWAYi2JlfNk/vjvVm92M2bCT6iJsXrdpr/6z6bT9peHmD7A5w1Bljf1
aqmyzPY1mMQxrfJYfbbKQy492vqj0Y2u1r38d8PM9jbGyB4CMQwjgo1j7KL4IMQqXFRdnW9vzDto
cUKkM0FjIKI3ize1VTZ9mcjji1PZQeYqYd9892yVKg5NmUDf5llOLYe3Q3glAW/K1jHVrd9hXOqk
HYBH3r426wlVCcKH0gCpNKrGs7g0dH2pRbWnvNhxAmBe7rP7UhLS2sDszG2ssV/IpKZV/PgxGQ+u
JjUzgCHUW+YpMm9Tfk7sBK8+/um660VhAg/Ws4aFsD5FidNxqHtMvDdSUSpm8wY/xto0MnXVe2kr
1S5Q03fkRj40uTTaysoSefVFjDPpvsVQdPap0uHM+OeS/XBVJX5ghX6ZiFetSA0cmNVMXtkS+F/L
GCFNRrVYKrPMD/hEOUBgCLYH2ltY886OXo20kDyGWvhWqVJ4PQZxeG/CArmlBWTfo8uV3ySZ5yxk
+J++34SontzSoEeiqDM35Em1RO4lWlXUPFV7U/Q4rwKlUFeXd+WnrweOgISeFcX1HkrL7JBIwqZF
nSrZWynh57eiaZk/OhMJdTdKXbpw43yekg2PZMLWQUqiWjUbzBaANoAKpm/CzJqbEqLL9wy3jIWF
m6fDLBbVt6kwAXyal8osisne2FUSdbMfikLHXUimcdtaoXJlDXq9bkNziFa6H2PyG6Xi6fJqzjGb
VKexZEeEgQIBr08eihyWD3vTkJO4kALf/lEEXAluHvd2+Wb1cqPfZnnQ0Aewy8nnpcCgJ3uifofy
t2uiAi79Gyf8s4UF/1OLOTmcKJtBKZxU+2Foghs5/T1chR5tbN3/WUt0iqKVF1dWtjOauvW/p6Nv
WddlnenK2tDssvofzr6sOW4c6/KvdNQ7e7gvE9PfA8ncU6ttSa4Xhi3L4AqAIAkuv34O1T1tJaRM
jh0V4QiXLILEenHvWSKCslEQ6jZm3icBTT/+AsZjN8LlEbmGog3dlKJKEgZl4zb7ymwcHlPPaGUV
jQQF/+1oN7n9m0BQdCkS/3CtMec/wP1UJk1dBgCB9IX9ZYRu1jXSQSjBSKSRH4VfwSgKZSQGBtTl
cXy34IGNmmG+WH46qJ8qqFhg8qa+W/lfkPXJI+C4khDqzt4eFXlrl0xufWXDFH53udF5LE7HCusd
tDJ8LS7YSLCdjpU5wOeqyFnyhZtyclcCOtwleEeN5WxRqfe9TdlDGHOXVVKna1ebBrJB7dVfct98
v3zA5QCcEP6GWI1QZD19DTlfwWyPaF/s2qPTfa+1gRWCr+1au7StAyioiL5mK6ajyrdiNXeSu8v9
8G5LQlcCZe3BlukVOqr0g55z28l0kz1MBXTdUEvNh2Ht1AmEUGnnkqVN6V1z6GtQ/DG5wPuCxo+y
RHwiPGCTvOKhhHcxMLgNhRK/lnOoHBTo94Ud4l3vwksMKUREV6+Azdds25sNoi8GQZy0074AnDve
lZ3VRby06IYXpIcwqNvFY5kPsU3B/r3cre/3pgC6QjPScP4PUq/KQhqo7iTCLsWDlQrtWlRBcLRl
HlyzsXMifLR9sIrKvDMSO722jfSnabTV5vI7vFtXOM1mWTwo7oP6DwvZ07kVOFVha6RGJI6DJg+r
zCpW3OyLH33v0L1dk68ZQEWry42qXY5K6CyEPkPoUaABM+q0Ucfu52iicx4EZ/S2IR2766velnco
tE4/e6jyuXHlTHV+naRTsqTJ+q71uZiISy/aR7fDROG0ddSR60L6/fDgMs8/JmVGu+8NN4Myyqxc
6CEg50O1wdHUb9iIEsLvjjqygzjVEXdCBG8+nJQuTyQZ3MzNxoceFyMjSnPT39PC74q9JQHZC1lb
jtcUqJ5Ped24eyrH7LvFkuE3vbvBLJp9UgEcBndrprcrq1pzjD4Yu1p/qJsW1iIIELjY9GZbil0b
wB8LRkgVX8gSz898u6NCSAtwbODPQMIGmk/lB3dDBUwMgA0PMFnz49aWwc1UB89+VWixBIl3IZZS
Z/es2zXzRhEFQ8sUG+jpUBcOpPebhosH6Asj5yfb/mpqsmmtBQExwxoTHRWRqvlxeXrPA3j6kaCG
zMqHsBCZjROVZU0Kx+IewqgHKLN3VjwOTv7o2KO1dCZ+1A4WD0oBaAyVJmUiV10PIewssLBPSi3b
T5Dg9aLKFGJJpEjdkK2ZtT5rCCNGwz6pauo1wJNZZdkZD6QY4IVnJGzVo8wZptBj/92tYW4KET1K
GxYsF1W5nqDLqQ1IqvGAcjA7WhOEvrveTsLCwRTVCz2PW4hMfC9lsISreD81AVOeUfsw38CYqdlh
A+TbsulM/QFQc29NS+FBJRQRhx/Cz8X9bHUAnV6eJx+0iDLrLBQ0l/sRoZ7Ozr6getFInTx4adGs
E9dr14FBA4gipcCAe/W0UCZ8txqA2J+lWTGK0CtGPHzaHqG6rEbaTQ85M0vYCiGlBI+sNNKxRnak
0t0VZ93T5W98N0chDqhDDhEa5h5QyWpZEAZjNPUFnR4KFmg3RWnZa6sZ2cKs+bAViEmAtANlQMSn
p1+WEGBAOhAsHgJjaOMR4q4AaKbD7vK3AJarrmwkCTBBwV181c5SS46OpBMsrO3sS6IJrT0kYgS9
y7VYXXwf3Dpr9DAtdGiFhhZYx0EeQlAD2guTkE4118/Bi/sxJnkzbt0eJgbQiy5TcAKhvcGbCF7u
ZvAdZRBvLMJggEXZE7Sk4N4QaanbiyC0oV+r4YgeXHeKrKlPqpvGYl2eQI+wad2N4GmHJFc+KzhF
/ShSp4gT0ODGIRo8j1cHwhOgLODJayHru2kgDAsYVw6BfxeZdh8Ayx1wcHXahAlzIJMVQb5ATkAu
ljaXzrYDZRKQppGZteGGKSAchYesZJc5oewtUR2DHHi+6xKFcdHHRZUPdbFy6sYvDvB5TNlTlpuM
faI1wDv5DnB4O6dR7+oJMKgjvJJJGnIDtt1Q4ehEVWshxJ1KQPlguiVxz9FaF/YzvVPXO2Q1jPxx
yk0oAIRpwnFrDaeep26HmxJyFdtKd8bpBtbHrYDjG/WLn7qFkIPjlllL7SZxxg4pTxA88rUAjDh7
TjKX0lUGbJ2xzcH28PCkAWO473GCJGtcvN38JxvaQl/Xadn3kVNP0n2wpkDUoeUUZrUeMjbptz6B
fd7RJKWTAfNn8a4gYWml8LsDtAbkq9CzYbR33RpJCd7l0IEJuy2LzNO2hFitvLdFSaqvMHwH/SsY
gtK5LQQQbV91HUmWITLyyqinSPdy2xKYJJTBHQHuay+oMUIqktXmkK2S0uqdtUOAh9sEAdX0eDSb
ofkEFkZDNyNC3XTDkZMfd6nLoRfBByvJY0lT0sSerxE76pMe2tAdseCPB1Bb0EeitgBStRPJxR7E
HNf/VPha5z+NyRiIKcolBJBWg1YyEmWiS51NVutVCnCn68s14rGpiBy/ASWxnHwhwxHPzmJp6AMp
oiADvisL7ZT13hiabu8XApMdgOOVrN0aVAbwQtrxVks1bdqjGkXam152ZvYVIG7b2fSJ77VfJlla
4NaTcujDqoRI0DeSg5GwAnKsqyiCumaGuyPx1uifU7vO3RAS1qnrr2wPilcIuphtrV0XBP0rDYBX
BykJV+o+jHcb+FDR0C5HINFCOHrBkcmC6If4jFfw+92AW2sJQRUJh8oOYkvVPWu1ib/UuOYXgCMy
27kdfaN29CgD2soAyrX3AD7C9ANEsZ7skUW88JyRRnppiAZVfUTFFRTXqZUBNz8BanbN7dQD47TM
Epn8XeOVAGPUAERPnLiERnvwva9pMnyz5TBAWYZA0mGE+w02gqu8SCqyawxIGroR47BbGCI5UqjF
6ZpnMGjjU5JPTig8p8OZalCiGVspiaA/qO3AEXVbmDl6IjZr3IV+TEbnZyuaeiT4fnl3fXcaQij6
30Qo3MOQI1WiGXxGDih8qX02yob6oaVXthXBZWa4cssMW41OebZwIKpxDVAKsxoo6uegCGLSKoHa
KKyxr4VWfc1Tr26hbm8GYt1pmTU8g0DiLCk7qRcPe44ILTQG8Ctgk6/XwTc3TViKIjsGoTE01wdB
1CVcpC/FYFH/UAiJ3cYsck9SDPnUNpvUdAbj6+U+fvfBr6aUUMkBYGjW0JrP0Tdv4Hg6h5ldXj5y
wNsfg9RKf4Cz3tyZdg3aw2+3BdYVUpm44+iAaChnstWA8DG2Xv7Ylbm3ZRyGazGy0a0M06qGxdrl
1t71LdBPuEUj2Q0rCGTYlNlj2qMGhHtXPBo9A6o8ACXyHjy+9haw+WoD4ob5FQFuAaMGr2SPl9t+
vae/DfhnOgPMl6AZM3N5AKg87dbMdpCSQXz4OKZ98pm7ORIX66CtoXEbUg1cknVJIAEQgWtkPjMx
kqECn4bDAjUyJ3sw7qSXaMNC0vW1nHD6VpDwBF52ZsDNnGalSxqo3wGdLPSHbPb9yDapQ3VQNqiP
mOQWu9UwlOt2RHIBqZx88pBFzFPhPxEIjbGobmTZsKhJ4AmD7qypT7ZIBVKXxICqY3exeK+Xv7se
cRtGLh/0NeiEe6CznvYjbJvGWZvUfBoag7kbWD0W5rbnAWIgxEbp0l3jXf4FUamJmBHxMOQhkACZ
J9Wb5ZDVmInZ6OhPVT7Z1jWS7uYQJ77V8HU21JVRhT3B9rAxTa3NjdDDFkRuCXd6ay0cDyydy/Po
3RyGKwDCZOi+zU54eKXT1xlq3SQtjLuemibxVkZZDCC5MLlxcqOJTbh9rJPJqaNBK+hCZerdvoBy
0UxdnJUSZ0CpkqDH4GsZ96v0CRcyRJoWDFWTA08CGwwJQB2r38wCQIINATT+wEBDxUC9lldt30wV
gt4nb/KKHWhr2c5tAu0eCOF853Zm+ZsgFrQ3O4Zhu8c2hISH0rGQ/xGwEhwaQNRZAkioK6sH6M4l
Im5rZoqwmRwBwmSV2AuqHO/7FZcf5PWQxES/YimejmiP4u281Q9PTgaA3r7OA41epRmd8tijORhy
lyfQBxN6PtJm4WkDCttAB562R1EWq3rZiycNAkz65yxH2SVuap+ygz4SO98jNwB1WDY4CDCqqm2H
OAVaO4t8lhVL6Qn1QMelDxKUuDAh9YL8sarzVxWVnxayT59wMTTi0XGTXWNdC8+KCLJZ28uf/r6n
ca+AnDhyxjac0lQz5CExgf5rxuAJisL1F8Z74zbnblcipprI/eW23gGW8GEwXgXsGukzdKT6ZYlL
28DthPZUtZTgRuU5YBplEQQ5AtQ/GS+r8Y4hqq/g1NvpGlhyXVA+8BpFvCO3NEJalH1Mn7WoAVvM
NtYcFxD9CI+itNxXAKmNTx0A1M6XdPD7T5dfXukokLT0udw9156w8yH7ezpFJisnA8Jpdt93ubUD
a7rctoGOKBy2lAtnstLULDSBSQj5A+gFwC1YjQBaAmKfR3XjERUiL91j6tVffdw204MBSp8W/9aH
oTUAQcEUgRrTa5Fkfps3m7lVCb1x08p9hNSX8wheIbBqruasapB7FtbZ3EcnJ+trUyh0w9cScrlq
gX10RlD7EhdyU0ATz9c8EmeQTNpWZT3Bsb6xwxyzZodTPV+Ryf5NOfvXLwXVEuXaOb8JUY3TL+0c
QJGKrPYfYcANqMTUBbRAhNGmuOITPVhSzny3jkG8xgaKIgEgrsg2Kh3bWRpsrUxde/adDm6DcrKi
vCNkjy5oVnVB8wXwjtoeZg1MkVAAR2UfWWIVlVZkYBZDTt78Lk331vcl2Qs4HX/uWfWIq9YSMfpd
a6h5zKUA0KJhMw7vhdPO5E3fFihWDM9eq6OgPwkddESPBdnG9HjGVyMEEZZSjWq6ChgYiBqiuI8q
MDZsVR2klK3ou2LSn4MgobeQyqKHLocTwuUF8cGXIe0NaSfsifBIU+sMYL1l1PaZ/qx1iXwAhwc6
9kFTxmy08zI0tSWrSnW5w60GW8ssr4piwqwQctqTHWjbA+dJ8QxGuR7WQVquJAwrQ5nX00K88v7T
UL7BoGG5Iy+NaPG0KWS40LeibJ/p4IqNDh2LDe48Vxzx6dU4UPmbVxnc2KAgjXI37hi6hZLCaXOI
kfN6hPjR96HvC5gG++2a2KSMXObS3zzHoGOF8UZPzqUDBC3KdISZm12gc4fnxusY6PLVtMs0kxxT
sFUffnN+YKCgGQbGCM5onAhK9JtwcH6tyemexzYoIbDU7H0CWx7Qb9p0K4i7cGrOQdbbTRNiVVhe
wAkh0Y1zWp30cN0B8CHIhmfice8J7sswwzAGvQe/uPMGuuqQE4OeAPBMv+ndCZkscESg/4/fRbgJ
JN3p8Nk918fJp9VzwHCghggSk3DCJTsaJMi5C3Pl3dRES6hbQLgZ+tTz5DxtTLhQURiFM2I/cYMt
gU71T6/rpke/TJwvHWFL+9c7BLMz2y06M91odvl693XInaWlkSTad4gi+gMkEEo67aAaCMGMyC9F
QpvIm8aCm6tJNGW/43BL5hGtM5buRoh3Sz2UGSZjyDu/reJWZjltQ1AZaN4ecpwLZmjoma51IaVW
UhlhB8dwD1idMgs0EMBEh8qMXadcfv69+TmDTGYbLMQPyM3YlnLM6Y1RVaNLyc8xMcZ7iDqU2zIY
69VgusVXx4BnxeX21P0LlFxkRBCvo0AJcq16S9A7riVmLay/EwYWGQAnQwi5gWIDiTxv6W6ungBw
h0GaAMrbcG8A+EC1TWIZ1oCNm/Z3kLml+8J1CFJ3IRlJp5VxR5CjWJMJhq9rM3dwGkYyA7JyCLMa
RzWknVo50DKqtCy38rgBUMw+ToEtuhDbr18uTel3+Q0YE80UE+QRICsDBIiys+PkTGWZ8PK5g3FN
/2LW4PtBbFgWPejSSBJrEIFq9OJFEg3Uf4i8tuSOgCiKjGaBCJlsKI77aikuUTaUmbo6JzbmDgR1
FXvz6UpzEltLEm6090zThti0ZLAey7bcDYx2UdFkHlJoabC6PEnUK9Zrq2AEw4QGtwzImimtVkTk
iVs67T28f+jaz/t0W8LdZM9M5FaE08sDAgi5trFrRy5EKW/ARltCuyt7zPwOQEEh8AQeEStE5Qh3
UClhiR3U97wveB61fmLA9bQb/Y0HF4PrlmRpuRDLf9DZSBpC+A9IpLlEq5DcAA7u+cCM+r7oRuuW
wgV9o8ligAtX0ELPAVvOlNjm5nJnf9gooJYo6QEpgSzN6QhrUMHgbdWL+yov6A4c4nKjG3V2pWUU
9sRzIUFjeb8wwso28Nq5s0cjJhVYjMBcnTZaOz5Hcqdt7llBIUqH0noE/uQU23WlLRz26sL6d1su
spUoS4G4qcYxZa4JlE9McZ8yzaW7DvkJPaQls5PDBIkgsqZ2hcohlkFu3Asjt8c4TUyRhzaUPtrQ
AKG5XsjBKTvTv++H8wmNPRA5sUDpcx08UrPXKbvPyoxcaYEhVx1LlyJg5Qb12spsiIEemOOP10Lr
m8taa2TYEWpO7wc2plcda56nShs+tTpJYxJALBRyKe2Gp3m9BWDy78vTSh3h+QqMXLENij2ouSi+
n45wrhEvl8TO7rUpyO9wdGpRwCa5dzKEXJeb+qA3Z+zgfDrPQC9biQZQbhpKzanYvSY7C6Wkob0x
y6D4drmVD3pzxoAgHwF8qwORvtMPggpRojeZxu8LA7y8MtVFlCeJG1uQBVzJzq63crRRlK5nzjfI
6Uvm4ep+BE0uWAxgFmMS45hQT+qyLnoLnNT2HqQ3CHsnHDVp3cr0Mh4tk/9NHZIsHaDzKnwTTWIC
zWBQ3MOh0QBYg4qJBIaDF2ltdvey17RD2pOBrPpJa34A5AO7JSCJjWuatN0zlDT6XYWq1nMXpNWz
kTXD9xKfkf07evhfz8P/Ji/s9t9tN//zf/D3Z8ZHKOWkrfLX/7nhL/RTK15e2qtv/P/Mv/rff3r6
i/9zlT0L1rCfrfqvTn4Jz/9P+/G39tvJX1YUAtrjXfcixvuXpivb1wbwpvO//P/94T9eXp/yeeQv
//rrGdT6dn4ayRj96z8/2v3411/IJ76ZjvPz//PD628Vfu82xU4AyyX60rz7rZdvTfuvv+AM90/o
FKA0MzOkZ2WEv/7Rv7z+xHD/CZg7IleoJmMlzvsAZaJN51b/GcxXLdwZgFXBv/nrHw3r5p/Y/wQo
F7nNGREL27k5nfv/Pv5kmH4N2z8gA3PLMto2//prXhu/JhI4WwhnoJynbr19qyW8g3zUccD8sPvh
2SwrO6pwLkSTAdmEsfSRbv89wtWv1pQIyu9zQua8xrEz2x+QwvqKIPzJ1ulnYOG/5caSy5tCuvrV
jrp7j1lKEqMejoTZ47RCps+4G4RHrss8b+/cXkdiMsn9A6O290AdCjGAWqbYgfvZ3KZkVL8fTOg3
QJmrglbWm3nxn65/29Wn++6vl1JOVEJRZs1EOh4poPcBUjCx21XT3uLBUhXwdCP61YKyozOBFCTw
HPJoaMm29vqjmKgXt2T8WltsCb16rhElBErMseh1v/J3HpSAJYdGSrUFvmulyYUI5EwD5rzNvzkU
YfDeeJlTy6OGI+IHIoZhK8xci9zJr+5aqenR5fF4Ddo+mPsqb9wjlfBx0++PAffqLzZjbO2xhEVk
RG0/ZY1cw5K8jWqhG1tej/o3t0y7NRapQ2Goq3VHLcjSxzppfTMiss/v+yHI9bARZnYDXQ7LDKVv
F/u0lvXd5VdWwu//jrCKdWR2ZVUWisfHvBzTb0HrmrHDif4ZjiAyDX1NtJCRB0HgaTRRyII8YA5s
egbTwYU5fLbP5kF7MziJIabE0XB9LwuO2DO9ra3mmekjFAVn88Q66mrntrcffZNvcHMIh9KPszxY
ObLb9U4fIZMVAeNwN5FqpdF8ky0ZgJ5ZXaruAJfALmgDekaOtzpZ6/5VzheimHMTUtm1bNnUUITB
skp9O8q9myrNQ9gORg1f8hE7jZN+DauyX5l62rumhhZs8WDzK6v/rVzyr+cqW04qULetSywlwh94
UIVNliEkug7E0mZw7sWVHWfqGmTqDDRQwwxctCugDxdW57knK9sMqFoBM7P51Y07HR0uk4Xk6ZmJ
olZ+YPAyGj5kmQ71qOUrAKyu4Ce8K2qaLbz5uQaUMLQKTEnAqMqO9iCaFZVUD+3KFSsb4K3L28Dp
xfC/w/pamHuzCKFc2vAa4OpDp+s7WwMIKsmCH0yj+8kByMlFtvlyQ2dmvprF05mvUykS/5CRYNPq
eZibHVxgIWzifb3cwplhVsmgHYOamQfo/4F33bYc6KZm1fc/e/Tc5Jte0ms7S0en9Q8VJFnWeaG/
WAKCd3/2cGXFalCx0luOhye6iV0shUwskHG/dUP7Nb7Ksi1hlVil8PQ9IPI/jm1xD03A22Ss7y+/
+7kJqixa2ZeGoWWJdyCZd99kALHYzh2y8Os/e7yycuVAkHEXjntg/bjNjeQgNYhrGXYTX37+mSmj
K/GBqYOrpHHiHmroiBnFF1H3C29+JhjWlZWb67XZ04m6h5SiVA9lxwff7r+Sglw3qflpbCyoYfri
zxaxikvSkrGlPdTDDpCo8kIU0DcZ4c8opd7nlFdxI6eFrzqzW6huvM0Ehz2rQEOMARmqZ2uJO2pI
kmQn6rKMDJ4tRQdntgvVBq6BhnbZ9WgpJwY0tSWaSXx7ioEq3bcZRCP/bAIoCxtQ5qL3GZppIYMJ
zcXBDH1rWti9z80uZWEj49imcFGBumyt2XudBSIa9aZfePq5HlJWtuiRkIVrCl7d/0bLb3Z3RfhX
OS5spueerixseCuaDYQ8sW+wO9pe4Zhb97A97ZphYemd2TnUjCsq5L1JR+wclNnpNpHsBeaxMDzV
ibsAGfrwE+YE7+mmTaELDG3SAJMVvuMbMgctuDaxUGeNvqmTJZb5h6OMZpSVrge9Je2h9w6tWxeh
STxoHdffLk/PDztpzs6ffkIp65TYvIZCdOL7KH2Zqxkguhn47/GR/nM8oIG5794cbCaUDpFVId5B
h2x5yKokrjWYNJRN9VtJ0F8NzF/2poGUB9BIAJL0oJsd/Dh1Oy5c1Dgud8+5rp///5uHAxCcjyaD
RrZhVhr4u5BU9MnvgSd+vbmyemVuccPtA/cgmh4q99pXVvsk9ITBQ6mJhS84N8DKIh4tYnHQrNE9
mfWl78yvktTfTIMuOXGce76yjEck8wmAT+4ha48JEXFuVyAhLtmqnVthyvEM7UpYQaOicmiyHcvu
6ra9qWwv1rQl+dgzr6/SWmmbTHOBGTtomz1TSwRPVUHEp1KC3XN5Cp1rQVm9eeGjggkG0gFi4wDi
WjSJmQSuOp0Vxi83caaX1CpoJ8Y8h8D6LCb4zYFxhTCrMMtJNAHLdLmFM+tAhYWJgZPRdjk/OlXX
PlgE9r+BWzS7y09Xaiv/XQkqOA80mlbrbKc8TmlJotxpq3SdyLL823e15FpvB+9RljPdR5tKSUJo
psPGwPAa+TnNrXbhLRRXjl9voSx24KZ9A6V3dtR6iJCWpBffjVbvdhZER+uwq3IrC8tSh3SybWtB
yO0SMUNQWY21KTXTBvu8HQ8pwMB3RZc4UVlO3sE38zqNp2xMbjNozcwALFTeiZbEGVTpRWgQTzty
WS8e2h+GhWBKKJsKDeQgwCIQRwsc+SkcJyC/Q8EnOCKALoQd0ht70wmzksM5Cq5r1VLiQUFa/uo+
ZacpqoEEtUPLo/Rk3CfyaYBLBZPJHozuKxmQuEjzvWZdtXgtwbyroYHJeQqVAMPddJl564KeFfpw
F/iznU9liiCRk/myzcojLPbkvrVrZ2fkjnYNAc4lMZ1XTad3WTn0trI/WZBt1QuNl0fD4X5zHaS9
nMKiLKHloQt3Swsy5rGN5DYE4Uepb2SmAbsBpln62AypfZVVfDyCn9D+WFhJZ3YbVcW2QpWMmRod
D07orHGYx9nq/tYPYX6xQ30nLDdLzuAfp62RRlQm2tgVCZCMaKmCav9T+bUAmTn2b71V82z9BO+v
JaC+xeT7woedmdcq5g+moXXKoEt/8K+8G3I9xHkdQxOZhDJ8zq/h27yGDcoQWat0OyzcbM9seion
PA/A7JGMjQcyQMOLyM9ja39e+Jxz46RMHCODqI2J8PRQr3BjjqoVrE3CIoJnSwSHs5Uei8hf2LvP
nA4qct/lFco3fTUe8r6/abl3a2ezk67PV1qvL4kznvketZwZ4OLWTUGB4an121zX7kTm7B0bDp6X
O+zMR6j6ImlS1LJlvDhyWzND3HjT2HISOKEkZolid7eUz3+1NP1gRasIu6rlmgQwkx6Rjyz+xmZP
97relHtKXCOaJnPq4KIDZfLGLch2xH6yRvaDxLMkyZEBOvmQOPWwh38C/wmshQ6erK6lQ2gnqPOG
eiXlLaCtYKkQzycH8Nz623Yw9ENpMuMJ6C0j6nIydVEK9uSf3VJUkl6jCUgbu/4AYBjouuzvuu1W
0OzYBWSJ0n1u8OdBexMlNzZ2vdEPhkMrduXYhFVahZr56fLIz5epDwbEnht98/CeulpTwjHv0Mmu
/doWHHrmliisG4LLxhHb3bCuE8PZ5VY3gbcbGAs7zpmPUqvVQ+ZaFKF4cSyDG6Mojim7zbx6Ia97
bjorPdb5eqNndlUce1pC/ZmPbEv8wo4pzsmD0MYlDY8zW5hqPEGAqZi6nBVHKVo7Yl654hb0sy6P
zMcFHsCr5lbfDE3bpYEPMXt25AHbJnkfWSmS1NNPcNNCYd0EPnK+oJ1rD5fbO9dpyonTNSwHGqJi
R7e1Qj0TkW1+okWL/O7dnzVgnn5P0PEU/sMcDeT7VD+22TGFqR/Far38/HNnpopioX02wKrNoEdu
+tP3CQjXtUCNLG5SnYJumcIRJ+f0EVzw8Qg5esSQvqR7lpriCxTajbjlMt/SWlQLJ9y5HlVPIZvY
HXVsesyFD+OA/oYDel4MzrHLyqUrtAJ6/W9cqKqn+byuodUk2LGPhrhc15s8pmt75a2NmEV+PERJ
2O/kRm7EFd1oMYkvd/arCvUHG4fqfYvqH9BtA8J5qEusnPV3oGA3dURWLHqR4ePxeG1F37586qGO
rIciNMNPP34sadmc2TtUVqCoWWsFLGfHus83sOO2Qz70d4Yp15e/7cyyVsmrycDhXDMM+ZFQzr+Z
mUHXLevsBcrMhzlYgL2UHTevTeCAemxORL8qyGeQFSJu3xXTM+L5y+9/Zt65ysZRCiDZSIcWOq0H
u9UBkVlv7VWnW3e+yZb2p3OjoOwXA6xtAqOeN1lZrWSG+DDAtdX/sy1cNZwZtHGkJkLgozllcaX9
kJSEfqbFXFu4j57rJCWzojfE1Jv5jEgH4CK8LKYWiZl3owX3l0fh3CxSVr+D+ieIxR09BpkFrWq2
A/huYfGdefQ7EmUaSOxaKKv0wm2PmlOsOi3RFgKaM+OqUoAbXOVyw83yow5Tk0k2j2Ct7RIzNxe2
6XPPV3KiQsf8pHqZH+G9fDVk5kueGHvgpF4ud/sr/uGDjUl1yfVGD/jqAAF5G8PlYFVCPB3zc9dc
y5synrbPUPFaG0D1fxMhj9oXuunCLoLq5KqMrIVPPDc+86e/ObmNhkC6ZsD1AxInd5nubKgu/mja
gix8+ujK576ARmmw74cvBlRqmJ2FAb/v2p+Xu+/jiyBQ3afPd908LZKOBntQbszYCzprBTdIPQZV
FheD0Sm/a8ISu8n0cRW/3OTHEwIUwtMmy1z0DCekvyf+tW1e2S3oGSaJLj/842UO9tfpw9nYDLY2
SH9v6OLRF3xH0vQAucYvld0vIDDPvf/c9JvRhh1a5/dQcdkXiYx62z7kDn9oqnQJLHbuE5TZNJqV
Y2qT6+2DpvC8kOuwfEYeR3xOjWzUo9ZmS1mHcy3N8/nNl8is5XCPFT7ySHnIkiqqPBEigIm9/vPl
4fj48AP76LQFmDLywaksfw9LIkjPQJhGl5HfPPFGgxrUUlB0rhXztBXHKYeiooa/Nw323fbLK7CQ
63Wg909d0V3JxlrSsD039Moh4gwO7+ANaR18lnMYJFSr2qkrKD3r3y7317kGlOVuj4WfWloBy16f
fy7KTVI7nz1nYac/M9wq/MUee2CGdQy3ldpwzYSxpv+NOEepkT9b2aoLU2cELawBG3/vEWenkxFW
rjyPkyx5vNw75z5AWdyTlhZIWKD7pyqzIckh6ysHOcIwZazZVHqTrP6snbn9N+vCK+DL2WPL2/vW
U6/lUcOm0G4yiKi8XG7gzDCr0JceCeq0yfLp0KeyQ/JIPAfEecrzJWzWuY5SFnZSd7Uk0PLZ44+Q
pWmkyZ+VSFdsWviA1/Ph/akLtojSRanrTDqEdA5uyeCS6pr1bZZJGsG6wdrios/3bj/Bndp2CYMG
WwY7E83JVllnJbFJJ20jNN/ZAIXgbFL4ax/LxOdXmgENAd8yZspsjcrXlBMNeXZibBNzaiNWTxko
fFoTZ3Y9XI/D2G2rjsDAFegeWKA1qbUQs58ZHxXNMMJIFPrOU3bA6ThFoy++FpkFSsaorS5PgDMD
pIo1cItBpVKX06FLy8dEDjfwDF1NoC2FGoXV+OVGzmyLKsUEflRFMaV0OrjBdW72W+jqQeP/2uhu
RlDDLrfxcegDrc/TeVDBaMttOtc88AL2S7OZcDgQ8+Hyw89cdl2VasZqR4jOYcEeQir1VliwqSts
GMuGTeuM22os5H0yZuJL2eD2NlYOpkxT81sw9fjLWHOynuqky8DXhCd2DkSVDy9h7oWNliLcNTqy
7Ynh8XWNmsJz2nrlkk74mfmjKipDyr21zKT398IKfjJPIr3qsdXgLgnYnnu+cg5ZDSPBJJPhQGyr
hkrQaK10aeVby9KShclzrgnlJHJrdxpAP/H30tfWaStoSDLypGXBko/qudmpRJ6zjjYcbdEArKz/
L2dX1tu4zix/kQBJ1PqqxbYsJ846yeRFmFU7tVEUpV//lQNcIMMTWbjBAAc4eaDMpZvN7uqq8TCb
NLlNe+OZV8XodVDl3ENp2P7atSqjuygvUOhccDFNy01m/GwgvTEbWzX7tYlc/v7htiA0hTR3woq4
7Z3J00EJ7pK7RLhxlbxl4O2+bgtrhibdSfzSJ8IHXN7YcsdPwCnJCjMPrg++stkyuCdRp8Lh9bDE
3FB8jf8R0Je3trRWP39iQB/x3/VZoPeqTT0tAHxixpvaVPyNOhPYxnlvdjtwDkFjnWq0+6WSudza
lM8drCmXK9EyCScA5utjO3WgXMRbH25k31fNbV7mD9dX7fMtgeajPDEdDltFLh1Kd5pXtBxyH+WW
wtnnWwJy3H8Hh1vqhwSsDEd1RGEuQ32JT0keAlT5NSwR6CmlL1ijRtq+tY7gPwrGuY2scg7y3P7S
Hfofzn4TjHgKHUDskSK/PNMSxXMamuPXRpdRXFXLZl3H0/jozFBNz35X2ghA0eP1jV1ZexnGVRLE
sZypCJRtcUwT+7Uqx0jNsg1rWzmbMohLJY2o7cq0j7r9ONIXqIAjn5b59cI2PrByMN3LvD54pEER
dUm5NsdkgvxkC2YDgm7PDUe0tjiXj34YfHLQUmlSPN8zK4uE6XybbDWHAW9R4a2tjhRZ8hYSthXF
6igF99Ts3h4v3Nd/q2bDatfG1//9/VZB+65v0iXW8lNiocZdPS7WmSp0Y/E/vw5AdP/v+Plg1RQq
eXgEUYBrEmGfFGg9+ciD3fLWeEzqeqPDY20jJPfTzxnKnErjHOuiVn2ztPdEQ/7XXLawVivHSEZz
uWLqCoLyWTyizaAuUbD7GpgEN9e/a6TrVV8MBM/cFI2P/uAuEVSbSy/X7a+tjYzh0kGnW3Tp4h4z
OIqnWmiZ37bWfBAVa3dfchIyiMssGGcFuJFAVzbcOjr70RbVj27aSjWsHCMZxEWnbOmzDIvPmOMe
lolAwVmpwDifDeLY6mO5B33Mz+tTWTEJmRQVNCY1+HKzJXbpWUtVT6cnxwQrzdf6H0EsItk0K4eh
dsGQfNSNBvXsBoQNjldrW7HRiiXIlEFJRjur0ATyP8xGa1blMVANO8tWemllePuybB88XsI4eMwG
PsYDcnMeyOwpXhgT1BTsSd1f34EVU5Mryzno8UCTptG4x4u3MtCysvXj10a+/P3Dj59dHQwurtPG
Ke+gGMRI4S/Klq9eG1za14pPgPa7KgUcP/XS7lkZf11fj5WYURZBKHOzImhUQWyiske7nG+Fy+/s
bOBeWs0BSHh0X8v+f8xT/1dS/Q8bQmLXad6WVYemGKEhmeTmIE+plQD1oo3M2woYEm3e/+4CtMm5
ZjbWHE+CFTurtoEWzAfw1ud689i7zDwos1XEFFDQ+1Rk5NhMFoiY23QMoCbuhiyhfDeBJoR5Zto6
kYWEcACieaAOkyxr/ZqCZR+eQQ9HmkJ13ukBjuWV+3R9O1b2Wa6QjgloO4nBuxj0mvqua0kWVkb9
pX4/lLEudvfhiCqVleNcml3s8NFHgfutUIzX6z98xXTl0ujkOjxTCwLwFDCwhs523TL9NpwtZdS1
4aXzrwGXZBiDbR7B0M/g0CrhNQUJQFziX//9K55ZrvabVT8LhTsAwvKX3kI/xww0O2Mgh882vrA2
BekqZrbVsAGa0PGskl9KqyXHQTeVAAJtLLw+hxVgC0hD/91fCOl0ignmlphdgLkFLfjORJ1m14HV
wR86F33LylSF7lTnx1SbtVCpc/tLtXGIt/z77YQplHdiRGlOhFWS+YPxMjTQFEy+X5/c2gZJ0V4P
9iWQlrIuRu8b+uH7vkHzWEs90XbODgwdu699RvIfltrxPmMQZC4BvrArLynTQC1PebOFN145BnKJ
mS08v1Bb4S2bDF5PbxFxF/lWRWvFfcglZtNV2FCVZXLMkUyfxYBG5K2OwJWLwpTOljOZommgdov9
RYOnnYrcHzWrLTxFsZbDPEyDD4pJ8cBZuUXBuDYbKRzolETNnd51j2CzT+5UK8lCrZzc4PpOr8R9
siQOGZNR0YcCOG/g2VudBIn5uDiJ3zqtJxbVu/6VtTlc/v7B5SZZ16kLqIGOS6dYvmKCg9Aa9I23
+drgklck/VAXLMXgg34PaP+fRXF+X//Za4sjWbOrFWNb9XkT12CAvUWO8oB3reoT1bE9hGj3tVUd
rn9pbQ6SXbt5neO+XlrkzvkNwJDRpGw1ya4NLdlypU7EcKFwEZPccfyhh5DjYJfB9d+9YscyPHns
IPXZQZziWKI/Ao2YrjnfWA0dZq9Wqr/Xv7Hi82R08uDiaZVDGPKo4VlFyi4YZuElk/DS8ulrX5Cs
2iopbQAd1mLwF/tLQXyW60fQAHt2sfHkuaTR/lu/MmVaqgzJlsUUwj5mPRc+CItrOKVJ9elcMN+s
tH3HQU67sJ9Q0NmY1Mq+y9BbZWYW14qkjpUlyVxfQEYTvUVTvdWh+fn4UOj916bnuSRDIYAb7kCc
+lgowDqOqrGVrl8bXTLqcl4I1UFTGisgNRBoCWyXr2WUXJkXVThOB/S5JeLZuG8bULu1R5Zs2PHn
Z9U1JDseShOtyLomYme5qcvfJbk1+u9tsRHXf+6PXEMy5WVSG1C8VG6cmb9nAkQAdN3rpPR4zdCC
+O26Max8hEiZ4JQznrnuLGII/IS1rkD29WS69W42ek9kf65/ZGWdiBQGQnBGQxkDHQf2qHmu+6sc
IeJk/MptdWMWax+QTJoPUKSCxoaINUD6xGLWftcOp75sfyNR/CX+DTBmXT7+4VqDls1ggAhGxEn7
i/Lx5GYiWNhWEPa5b3X/Q5jFU0g7MlPEFee+At2oDG0yW3H4e+X8vx4JLKb//naecWhrtIaIjX3y
1+XedNPcDAEP3b/DE+iqHpsN+NI73OOzD8mWPBaoJmCd4ixiwICEy8neWT4NaCA8bW/fJGfzWP92
dt2O7uuNj654D1lovtNnAnku7L5R8Wo3WEbpq9R8vn52V5dOMvIqs2oVql3wfL237EiAF3akRqBD
OfXeHFe+s/FWWpuFZO51lpgkQcQZ5xpkdIxXd1MadSVBAEY4affnhjhimEQ8uKS4LYfWvYMQohNX
pEiiZTStEhcGKXeZzo2bqrOqwBGJFmnZrD62qjnunZ65p5J3+cF1O+PFLVuQ/kHt5tQUvPTrSRt8
bc7IbVtMeYC+UEgJt7nNtupt72RLn5wqGdUHRreULrhS0SpHI+devCb39a11dPaNl/kdClhedrZv
uQfttqD8zlBf3CnH4an1t8Rt3136Z79A8jCLmukMLZMiLj1oqgcAvXivVQTIpHd+Ch+i3PtZ7ehZ
ePvT9x9zoPk4HKr34+7SKHZBzReAruc7JXDCLXjdir94b4r64I2sizwpRKpFrBq7DHArlz9r0Fu9
fuhXsBFgCPz3xNTlqDiDhekqhyEUgeKZB/CXeYr/h3k2PAcLHcDwywDsADAAdePGW11lyU2pdJwV
xYCtTf6yG0M0nJ7Mi9Hh3xzO/uTP+FdELGg81wPUIjSD0SPYhMHTvAoNlNB6O7AjaCnfilvrV+J6
5uyZfhYmG0b6OU+Z7sqYw8xIe6E3+IU9ToF2SmO6a3zb78MJa5Kf0n0bWmhRYPhmGqDF5vp+rG22
9DRhQunsXIzYDlhWk7YBGtIs7fn64CuO5/0MfDhJIDB1ZigfiXhEatg+V3wjCl7rz3tfww8DF8kI
qGmJgfkviLBixy4HiQTjbX5I9m+dl3tpiFZnfwzEX3K87NRxOhVeezNsxGfv/uETq5VBiU5v0zJx
8AtMfDvZ62F5QCk0TEN2SE7Jyfa7oA/dG3WHVp2wCJUgCZ2QRGw3+vXLlqWSy03x2a+Qwp/J7qiN
6x2n+n4Op317To78tAQavEiF08Nj0Ng96JEetQfq/QB5vJ8d2U1zbo/DWT+g6HZnBte3eu0mkBm+
uo4LiBZhQSCHIeDA0gcbV9ql1YYd2kMJs3pT3iAJnt1q/uy5wRArT91h6/PvN/JnKyGFUD2neD3Q
y4kIDP8VRXUvD0A1vc9+F3fpwYRy5S2JcQM+JzvnPJz4D2NXB80OxEnYHS3koe4pwda+rLV4yUBJ
USzQ8MgusQqQcWf2hMza8mLd2c8pAqTTcAYl60/t7vrKr4UR7z/igzEo7gLRPHDDxMvZfqR3ys/6
Br064bwzj/oJu7xRm1wLwN6//+E7uMGnCgSvOGzH9kTvulvIrO/tByzoo71f0HJt+qoHyoS9GW3x
pq84EBmQ5gLe4049dnXKNL/pHV+DeMf1ZVtxfO8sFB9mMy9dA8lfrFo7uh5UG6Hd7AMAunXNrQ0v
xVyq3VPVulyi/Y42HsbW782oO6S39YHE3XMX6L8qc2echx2qJD/LG8OjuMqhMfaHbKR49YsL/8Qk
ZNYxi+IROVyuPL6bfRq1kbNPD+O+Csojek32pT8EUyBw+MfIgZNq91udBmvHX8atqYu76K2rI7Ct
POW1vZtuymc9ms9lhATP9+qYP/KteGLt9MukZFDIScy+ISK29vmBP6k3xaOFGNp5dQ7NmXZetr9+
XlaOosxJhkp5WpMEc0rNOShQLSGog10f+p2c8LOduhyiD2dxmqEw7WQYOzuJnbU3X8sDOaRH55RH
0C2Oxsj0y/NWpnblZMoY3qEfqQbCOxG7ydl2vitqlHQvX5yI9EYTzuC0mVgQOt7XD+iIS/5W341n
/XvXeImHFqAs9fIJ1VxPibYa5Namczn9H9YObZUOUWp8soOc8ZzHiVsHZr3R3re26dILDcRk0wS1
XkRHVgW17/2yCS1YG1nyD4OGPuY0Q4KnH4xQyX7WTGyUji53/38PkyPjFjtIHaWXnteYc9MbaQ7n
80stnlvxy6BY+37jabxyHYAj/9+FB9Q8azNdvUTUxlEPK/TzFoHy0MZ92JzqqDjku+LGjjrEPVsN
Dp8vmiMD3BaRYGodPNqwPJX0GYwuG5fB51keYL//nYuWLYNCUuwGkjtegl6f1Jh8lpBAzM2Wka/t
i2TkqpVCCf3iQPpgec1/pLf6MT/QnRYrt3ao3DRRepc99Lf0mGy8eVZ36LKMH0wD9GGTY/ew9OSt
R/td7mlP5kt93zwn31Ggx/Mx7HaztU9i/ZT+Gg8kuu4FVqJzKOX8+13bAMGFlWKmpQfcSXIWOxZM
YR+R4BIglz44/oLstv1bRnXU/nCP9EEH08klcthy1p87BUeWAqkhGkWtBvs5sOm1d3YQFL4ZdB5c
n+B7buszE5PcAslSyJ+2mGAXdqHpqXiyD/vpZsBzsQ/enjKE3tXO/NnsyxsnoPGAVzue6V7/pwoB
lgjx39C9q262+jjXZiv5EofzpV+0EcliqMh7uomuOIeqfsvt3fUJr9idjKhbpoKAzRA+tgeUjotT
Vv65PvDKqwEkaP8elaoxLWoXOKLgpg6VMyhM43YnIndXnMXBClo8obTjjNNBb9A4cbYOPVzK9W+v
rJqMtRsGBqquCZsoGKQg2x+5qUP7bmPF1gaXHErJltnqJ3iqiadheqE0Xw6KaYbXf/pKgAWlhX+X
LZ/0tGgW/HZyNl/7J+ObelM99nGyY9/y3/Y3YPm1jSjSxYifHHUZY5caC+SbS3zJdvNAhdIoy1qI
Vb040z3J/9ogQ1u0LWW09/rDZx+THUeN5hOIdYv4VfffAE0Pnt5uSg8P/Juf+XH3s/F2ufeQBcgU
oV3Hd/cWkr2q9zdDQqzw/sbf7iv/2/UVXjvxUlTBJ1G2fMTlVqnkr2l1IdQuN4ZeyYBB+UXaPMWs
QAWHsZuw+UsqXzRennrzc/toP7hv9HaIul0B8ifzXhx5aPpWXHwphnVk5P+sOoAcdthMs20AOx+9
Zlo2fOLaZSMD/5OkgOjjApebPM++Go43+bE4J1ECyQHkKXmo7NWTHlA8DitQcTxc36YVM5N7AWhp
L4VKEZ9N6o1hPNXZj9k9XB/6/a3+yWGUqX9akLQp1YzF4jvlzE9mnN/Xz85JHLs77M8xP9tBt/Gt
ldMmIzXbNO0gto21G8XoN87sMXsjOXBJIn82CclR1JBjFeRivkvx3IDOWMvMgE1maDoQUTQ2Is73
5/hnX7nM60OgUaGHpO9sfEWcyXk+tpHrgYUJ+Tf13IfJr+sbsuKJbMk56PWgGK7AXqtacuLsVu+Q
elNdL2HZCVLMoTqbhzqvNxZubUskBzDgarDqAl8z26eW/OjIxrhrs5CMv+bqPGv65YV0KdjPtwXE
XubJDOrhscoG3+JgCdM3jtXqvkiBAZlQvUS7HQIDILBzGvVN5w8X/koDGe4cWVGt8XTj2c6sU9fd
jaW5EeuumKUM/5tUrbB4BQ83JneJdVs031Ln7fopuFygnxw1mc+HOooGDirsSz8uz21SBZNtH+ep
vh+ULfH5la2XcX8zmSso5jE7cguoxzGdDg+mRrYO1spj35FBqeVSJfWi1HYEGVKGBgVgIvfcHAmU
XDQrUkA2urMrWu1FU7V3s2KMe+AAgD0bXOcg7D+dnjCf0KZrvdnkwgm545Qbz90VbyEjWvtkdJu+
NeyoUSav6L6jWTNwl3vXbT2Sp+H1HVw7HJKzsMqEprx2najnEzlni26dSWEBHlA0W7577ROSq7Bc
p2QMbf0RiEf7H1OR831t5OkZcrPGxlW69gnJP2jWAjwmpGKiChlRL1nSm0btf6fLlg7K+zXz2UGX
HEXiAGvAofQXET0dY93IXK9aWBEsVjN72pQ7v3PwauwcQzh7dyySJ71h06HiDjmQtOlyr+zbGRnF
YjAjHaTD4WAkw3lRiOYzxcjwv1q5U0FzuEtnDbnArB2+1braPGlZQx91YWW4uYvqkC+Le6/r5RIM
ht2GlZX2kZ5qLMiHftnZg8t86M6iwy9dlCd9sYsTyJuAJREjCLA8yJ2LiBM3X7xl6VBhUtPjIFr1
eGEqjuq8VF+0vhG/Lb1sftplrVv+qAL6DIJzrkWd0QyRoWrkmxgZearnqQ9r1TTbHbNUlObSQoee
7YQMSk8nkIZ1fR7ZOlitUXOa1F3Z8w4ccUWpI+JwGA+GetRuBlqbXieY3e4Xo0YJL02hkJt1btAI
F1o/Gih7T7PdsHvFndl5qSfktoXav37p+MtIt8qtCmpmvROlqhVVPejPuLjpiLa7PvyKCcsgt2qx
0q4rHTdyBVkcT/RoHealVYKPBfxLFEw6RtBMNIuuf27FV8rIlXbOh7pkHYupyS/E7rzwc7HVfrBi
YzJwpZ4q26Km3sWm8qTUt9r8VFkbnm5laFnGtx6hsjgOEJQYFL2DYRknltnEE0P6tW2WgcmDOre5
0E07Ekpe+1VTCK+rQBfUd1QNrq/9yhxkeLLNIPq9VKkSkbrwBWxmyk+F1vrXR185SDJCmbjAJeSk
caKxGJ9wbDRfSawDpIbf5tZRAtNqnq5/aOUIyURY1DEh4le6bmTR6q4F3qCqxEawtRbDy6hkrpjU
0CrDjSgZ6kjrCPcrxkB5NDUM10FiKXtwFQUOGTyX1gkQ5FVzQCI+JSDuRlgODZgJKmXzwPIY7Qxs
A2m8EsTI/My0gebxIBQbU9b2c7U3rB7CayY4LDdqdWtrKl2AA2uK0a1sNypZe9eoaI5v5o2gcm1o
6eLjtm7mA5rWosS02r1IW/T2JZW1Mfrayki3nm5PpgoRbdgl8D9+AZExsP0AlKMO5xScGBvx6doc
pLi4TCua8Ny1o3KwHlJnPqjNtFWQWpmBTLTLmhRYE6VJItw7zg24QZxvptPx215v1Qd7UbdedivW
LyOBScNyICAcO2qtZddriaeL8SDY18JsGfTLBqLwGsrfEZpQmD/XVvfELUIinbDiO1eVrYzE2iwu
O/Th5aiCIAcEnVgt9M+8UNN5As3B0c753+u+ZW0zJDsgCRiXnEV1IhUqs0hcLloaON2xFBvXyNr4
kjH0pVEUAM4mkWtAhXEyK8Pv0+SmK/vbpW43PrK2RpJN2EaSNZAHTaJmtqKm0qhnOBRKid0Yfm2V
JHMoymQpdROuviwfi5T7VDsONRAL5oYbXrlKZCRwq05a6fbAz/bG7PgO71BroMMNYyI7JgSWV9li
w7JXNuQ/eGCe2Pk0CC1uzW8ib73JRNWjq71i2sh1rGwGuczxw4FtlsWodNGzWEucsKGIynWWnUvB
X67vxVpGXMbT5pY7sbSjWtw1hXLg6Dz+VjVufWAc/dQ2scvHsteqneUo89/ZqLuzrs0g9reXHNmd
iWV3CU78vZu11uA3CXVOZKIjNP344LVtNt01ljuPfupeAgY1nSp3xyFjG7F2Ag3R9Tk4n7/RiWR1
ila4bHHaOS6TwvTHeggg4QIapJZ7Wt3dQx3pdUq3OsBWZEOgcP/vjqiKS6vEGLSYN6MNmYeEPuH9
V07BaLRQuM84xP/mEW0ZQVIoQIlVBVo+GGSv/WkiW37sPQv1yXPtHaH14Vywqk8NxwBpVWJPaCsZ
DKuD4EKCF3VgJDlCi9kh5U+3qRBuTp3avJnTzA9ZLwYP1E9kr/cpHikVEgJqoxneImj/RO2FexZ4
9fySjc7tJKz8x1DW1Vulsepcdy37wZd69qY0S85JN4tHYRtqaJkt6f1u0BodrzCCYGfp+ticBb0D
mKa9A72z23sFlHb3kCVD2yKn8zfusOVOBXVjYJnNEKpqw4fAdUYS9LMy3hdT7wZ62+r7VE2NlxmA
Xc9WqTiM/WDukZoDzZVQBljypAcqM+uAdoQ9z3VdjZ5ZzPPJhZDYEXLSy25SVADSUlruNbRQ+Lox
UzQGVMY9ni4snIlF0O9Yq5AnQOEj0/1JqHkT1M2A/KVd8uG4cDrFWd/WjWdRiI17VPD+1/WzuxIa
yMSlY5kPPOecxZZY5qADfjWAkJTzNe8hw6VT1MyTvOF93NfpLygCHAvLpV6JY7Bheiv+T4Yzu1x3
2hRP77jTvvfwrFp90yQ/UrrV87LiymWeUgI+zKW1rC6mFR4BAGftLLykfRWNr4VNvoNj+elL+yCD
kIclNQbIbDuRW6KkkKlvY7NFx7g2h4tr/2Cq6MFjGWWNhrZ1ZDVY1QRp3Ua5wc8zwyN2dIvd1+Yg
BTd5QyquXNLiqdCfC9I811kXXB965Rp6vz0+zEFM9EJ9hcwu3ApyQlqlRVSFXFvVm1tF35WjJIO4
RJYws3JHLa7M+l7vJ8XLR/Ub79p7xXZ+XJ/G59ZGZKyKPjqtWpduF9fDyaaml3WGf33kz+8gIqNT
LGYomQYcwLGiF7k/ayJRpZuxlrkHZZlTJKayZ7qIh+tf+3ytiAxM6Z1GTFpvwfvzADIr93wUp1oU
MQjJ7q9/4fNDS2SEytxqBGG3APOiZobu0HjEZj4Fy2NWZXuwLmz4j7UNkWzDrMwxg2roEvdzFdpA
uon0S5ki4krGUILLpq01osXNLHybQfW7nt3v1xdn7VdLAYc2kWpW3BFMDLib0IT/Qhn9fX3ozw2N
yEiSauCzQ5mhxWZpLD4Dbv9Iu8QMranfiI7XviCF93qbUXSa27CBIivihbnlTSY6EoIO2tx4Va+t
jxTgm44C6sVkorHaF99ZVt2W7RYp2MrQMjQEeS1hTbOtHFuz8bPuL02+xgBDZGhIoRdoXCSg+FZI
G1IzHpp6wzesrLiM/GDmKPplKN2jUbcjEuqkB0yJ0PJ32tbZxpKvfePiKT44aDUfbVPTLYCbxs4z
1TIQ4s0gW0xpK/5Gxn8URVb3pZ4lR8eIa2C7rOW10b9paN/80qmXUR8DdEZMEOW6R32+GVMLmsV/
G/Yl6XidyKxKQ2dPnPX6ApZa3u1YoilB5rbWBi5xZeHlsv2SsVrjlHZxBppfz8qHe8etbxFoboRw
nxdwiVyrz5Am7JHiSSAP3BBPqTvwZepBJSbgiNTfvG57z5i6Y2aUGydpRVKP2JeZfjhKUAdFicQh
POav4+L3390XEwDa2rNOZAastr1Vn8TbY3vvpN7yeH3/VyB8RBb1mYZuWaAa2seiMbUgAXeP4beT
Q3/q05L8MRuz3plWNoL7WakB2OqZ+TiXZblr52QKeVt1qdcNs6r7St51fzuIDJzBU5v/qRpieaOm
AedQTv20L6EKg2JPX/YvJC8cfVc5ujF6aY0ONG+Zq/y3kmr1FsfditnIpdequZyMtMbbuqXoU507
LGelV4HbEPO2VJZ0w3zWviPtWC4cxpKh10CCNnk8hxZBDFK3YB42zviK05XpgRge2BMESrXYdRJP
g1eBfs/XfKMlXaVQSragq6aCwoBmfIcyvhWC1aPbu4bY0q1ZCWVkbhurqoDYMUYjHjsr32tjEurC
nVGBHG8gI7+f+nwDALviCizpZm1rrvAlc6a4hXjYN8VxdJ8zxMqe6o5fY1UhMioFDLGq0HlfxhCZ
PPLJOGmUvFw3wpVd/g+ZmKJXvVGAveoiX4kg5Kmh2u/rQ68cUFmCqskqZlCqa7Gt/nXdn2n5K0f/
PCm/OLwUbzjUyTR9TIzYTquz3k13giq/gdOintrmr1+agowxSZwJuH8V8WQLT+FotUeNBf0F92Bv
/aIVO//63WEZTDNfhBFTYYRdvvh8enPSGj5uKxBZqU+BDfzfT2Qs5Waf2kasQfk20vou32XgQHvr
Nc39bXZpdgZRl3Ga+4n5ouydsFI7VBJVw8jjaagtHAtQB4HEJDN26iTEl8pHRK6OWl1v0HoBzbui
nQgTnm5vecYVk5TLoi1K/yZ+LI87SCGbk9cppUe+VlYjckF0LtSe5AbyjpXzY7RSCsEqh2BxnFey
lCK8fu7WZiBtmWYCwbUQOJU+r3g4cmQ/So1XnpWJjct3xe7lguhgNZDrMO0pRm1a84xMBd3eslXW
Xfv5l79/CCbAJA1QRK4okLKcgf9sGCTeQEhUPJTZONsbl8jaDC5///AR9IqANtYyijgf8sAc5jvO
xofry78WDcmKs3lFuYUkWoG3TLMcCDgU0Ofa1qqHmEXbK9WkBobhmPeLbaG62znK8qZ2ZEk812oG
n1Y0BdNA2vwo+ta9J9wtHgwDf2OupX/NM5mS9zOSPlPY5ak+uTjdTg1NM62bUP3oku5gjMlWj+EK
QR2R1XAns0OrD78860S6BEQfM89uh+M8JwBmK69DptwliE9tE4lhZ9xKAa4k3IkpXasQRlVV14JK
QMasMMnRVzKAMTg1rcJHpjkNlqozD2o/FqCGNrNDMQ6Ol/bjRjVsJf6W8TM5US23WNwZifbxhbvt
7xx06R6rlNsl0QK3rQZPEf2tYUFO7vqRWzEZGVKDPm9dKUbQaucc70RhARTw2ifaxuhruygXjLGD
WMcMJLOOkfpVZvqpMoS9qnt68o3MXTg086MomKfXGw+KlctfrhwjN5L3eN7ZR0PvQk353oDnoUhO
Y7lxe6yNL7kYbSzbpFCnJVbbW1BiR+2IhwnUb4dy3kiGre2I5F80rUIdhRQ0dtubcq4Cjf9wDbLh
vNZ+vhQB00Ir7cytIcWFOo67dIBZovQB9YVl3tjylQBYJo4qTA2Se0WJxiBWe1l/1o08IuVjA7Tp
VH5xiSQjnSGEZmQcZmLTswW2isT47WziJ9YmIHk4p6eGmds26D2n1Hch9jWK2xHcOAlZ/HL8dt3s
Vj4iV42hijOobeposaGQQ91XOXoXLdAwO5mHp1rlGdrXdHiJXDQ2M1dF06RCkYF7cdCrk7tZ0KZo
CtK3aGZWDqxcNUZalZaGDarYRpv+Gh0kypdiOkwmmYPri7X2gcth/nDjovaXggxito5VSYWfcdEc
4KSzO7LoW1KqEJ7HYP+tcRIZj0cX1RrUAiR99ZxZR8KTItA7pgZjMjMQh3VaD/IaK2liZ4bG5oQO
ml0CtfYisAH5PSqL4UJYqzFDZ0kLkB9yemhre4F86ZI23oha321nq21MMrs9aVDzRvV+7o9obkM9
1BbJCepZANANo/E8JfV4Nh232au8ZU/jaCcPsz60QdkNzgNJWzSKAZwbdKXeelBz0AP02y5Br+Q/
Ld4DCGo56TlnXRcC8jmFBZvys84A8/JEo85nQR20F4mi9iqnz3e54PO32R6mwHD7Iqp4vhwsZxLH
xlTKo5XY6Gsn/JfZFMkOHXj5EfFPejuXc/0yVm76E8XwwvVyqMP8zZNy3lsFa/bdonanJlkqv8vG
bk81cIwmbTLcDkljhPkMRnbBSedPrbu8lO7S7Aqi9KHVVdmNw6oytP7H2ZU1x8kr0V9ElZCEgFeY
HdvxFjvOC5XkSxBi35dff8/kyVcZhqp5tas0aOlWq7vPOS01zoyqFaSRRAExtKp0qBdRWh9S6Ja8
d8L9I9CR6ZcKXJnwMW4wm+2w7x2T+VNfO0GfuI3vEOn8FIModjkpsnebztF7yyK5kU7U+u5Evkh4
W3SD52w7z0Nz7Br1u3IgbpXKITtYlQkS0z56a6BU+jWNBoA7LehWTqiy+Cy2f/QZka8ZdAHvHZ6m
d5Xd5M+x3VmeGDpn51II0pXzmr7XghnovBtTm9tNiHfRiTXNvjDTyOua+qkbk5Xk38LdoDdn9DaZ
k/bsVTmToVfE6A1MWvV9rCkkSOpx7V24MA29gaJvkdPpe1UHRmU8QejyMerrtzQOb3QW9P+dhTAj
lhEO0lzLUugcecybyOun2zhamd4J4XYdlDLRfnKqlf1YmMkrHMXP617ufL9fckDavSN6R8aFBd7q
KmOeZTxQctvAel3eKis5KMMtAzlabyKeHjqTr9S9FvZSr8jHWVf00zRMeM2ZXlvtG2FuRLjy1Fga
XHuMGjLlgGv0UEyBhp0DKYrKYB502FcClaXhtVulnROzm4u5CGaeNxspLccHkSPgDrYyVs7igkX9
Qwc2WYaRl7k49SGaZFIh37nRbkw5FhuBppKbzg09n6fPt6MI49ESLA/S8oMWX7v2/bZxtVARXNlx
lWVwgD2TzRdApCHaRudMrpzKhQhIJ/ZRMRsNi2N3hxR2CpU3s31O45eiFh6jKznShd/4Sx7zaWki
UUhgHawyGAUFCyhUSCHMbjXtrj1HpbYzTQ8mKev+xhOlhaUGWrVsPoFjOafY8lrszKj2QG6/Ersv
zUZzEGZd0rCODY6naVyf0g5CXZWJSxSP0xKUv6m7papRL9d3f8E6/iJhPy0dyQlPZcumYHTR8Ql2
MfLklmtqwwvYPaaLksay7NpwxuhzmvJTNdjj0QipfepRYfFDxcPdODV5QI34K1VRt5/QGeb3xciO
6NwottenuPDY/puE+TTFFmoxbZZKIMubUL2MZ+RoWAzhrrBczy2EfaxHt9sxCNUdirI0V574C27+
L3Lu068SYgw9O5Pfd8LB/fqlidc6Ey9umcl1xZWJzDHNBp6emBVJL2vU13Acfk1p+vv6el38coyv
He94AtiglUV6sma6p479KHi4ghlYGlo/2g7Eujs5RqdsdJL7qDXmvRvWfGWjFxZGR2/XThzF3Cqi
E5HRjs+v0mK7zFQrVr/w7TpMu27RtqcGvAHG5DtBIgrt/DeOfHYEn44KmnwcQ4wYuU56L4uVZ3Vr
NfCLN5PJ9UJvqZBBbtwqOtkUeSV026gw2tlT+Zgnj9dPy9Kin//+6eOjvohnNWYgekJLjEW/9t3s
GWh7vD76RV+I7z9vxqfRqWk30GHp1akrGbjCq4EkA7J0it4NcZs8t9OM5XIk6W8pSuL3tMswD+sC
yOxeniZ77O/nCEjmKjFvkq3C6PT/Z1M2ZSFa5USnygBJmy3ixxq0T769ihldOqOa6dIkd9K4YjES
4/Edr/K9aIwVf7a0E5rpjsBpxrKt4tNg9R4QSTsLbb58tjaNbW5pt3KTL0xAL4jZNrXjCXM41fNM
X6opRZcAj2eyEscumIMOvHZiYUC4Z4bUyWz+EbO5h/Rv7SH5ek79rsYHS5PQ7HlOoAUk7Sk+tSKG
LO+7Y/+5bg0XbzKT66X/yFTFWd8uPmUDRSRAPpwG1UhVBFad+iDV/53N9jFey74t7Pg/QGrTJlVb
D3DWir2FkHgAkVR0J43hvnYSZ3Pmx1ux8qVt0azcYD2VfY8Fs8d32SQnm73SIYTYjrPyAw4M7J83
FxZOM+uI0L5jisYnUnb/2WV3NxLHs3rL8pjMAdYb24Ph2jexMuLXNDNXtkrAHVDCClV3b7UgLFOj
uIeg303JfPyAZubSZFFlDkSe3HAXT9OGW89Tv6YIteDQ9bppB66cOY5rEMXnHxPoVWr30Y3XlmbB
NPTSKWuTMqEAR5+SmDx0UPZMu2YlrbGwx3rhtJwiCzCcyjiisURtmMvkiSej9Lkty90kW+velkX8
FE2CrLzIFo6tji7NrUT0hRMbRzqD17tqh2zj2NPkUfQTbuqmVyuX0sKO6LXUMZogX6Hc6KSkBGx+
pPFDPgIwV0BpdOUnlvZFu8UnYXQ5cm2AMtVDBp23FilxQW/zujpStOdJYht2EZ+4ql4n1D43UeMc
WsUhWs7yp+u+cWkGmonLqrFbpSZ5KmiOWp7lW7nYXB966WRp9jznEDGSXMQno6w2cw73mw0+uoB3
gAfdJw75mhnUv/5TS7PQLBvKRiEPGS5whhpa0uX/CTmtXB5LQ2sXOPJZZhFCjf0kE+OxdsuNoPWK
6S0Ygl7OzBobOsnTGJ8aUR+F/D3mYgdEqiemtU74hbtIL192rGG8pIg+GAOnYfLFNCmkk19i+jNz
1rZ5YYH0GmZv43ItCda+snKvK3+oWw+QXqyEWkATqzCEQ6LiLgVmyaPd+EEa+wd34sdZGEFiZc/X
T9CCs9BBr7aD3iE3gYfl4XaaLT8Lv6h2XDmel+l4TbTt/H8EWzjo5ZrnkZ2GdCKpT0LueIVFmiCX
pvGfKkTnGzIe78IpzI8tyay7irBhKzs6fQet6uBnlpmgtQVFqaFxyEObzeami813GoXdDhBRE5Qf
TbGjpDIepqFNttdXZemEat4BaMIIxWIRHrHLJBjnMn9yhYx+D50ovbTq12gjFyI0vSo6QfSk6niK
p5yZfsSZk/o9ZU9kqh8JVT+SbH4sVGOeHewtdWpsiOYwQGZtpEVhhUdLHOYQRcwSCo4PcbrWGr90
nDSvweNEOsSyQxSH1PcsZf811ZkPsHm5vi8Lw+v10TMyYeIcn+9GoEqMOwgbyPxkO/nb9fEXXLde
FQUyMBbmDHoJG8S31gTlG0nan7bJT5Dvs1DJ6/cQhNpc/7EFB6IXSLOyiMLBRJNMbBAJCJbxUp8B
qtcHX1qp88n+9BLmSYcvNycIktC3cYy8M4S6IitOY+nLzz/6aXD0ogC/NJvGcc5rCIqDZkZ9YZMZ
7277ds1r1BTinGM2yxMVG5aNO7MEl6gQK2/GBdvWC02Qv20Mm+DmL6tjD3WgJiu2Q45HKszw+vdf
7hYyuQ7PNTtei8jEBNJEFTs+VvQZfJjVQzUhpcKSyNyZWZduUmLHBzMs45dBoHJo8/ImdlR8gGbm
EMOL3KkpjGOTU0Y8w7KZ9BTYMTZmZa6xYiwdMc3Wi5STBlhtGKOF/UkgeJUqH/J1K6u4cMj0+pTd
JWlbFTQ8lrV1FCm4j6hx65v7nwpVT9Hw0BnhcZqOIRqxmVOtGN7SZ+uv+ZYhKXy+OlqREzBzh0g4
FejKWzlaC5GNjhEVho3nXJmwU8W75jHME3bIm5rs6p5BdCHJ1UMxcsNvi6oFlBl53kqK35bbWXID
b+P4I53agGQFPTq2soNkhJoyToYUKxfMwqHQ6zeGkw/ZTPPwmEfPVvpKzTtzzXCXhtYu5ZQD+M1J
GR7pyCblC6NwkYZJjdZTduz+uL7AC9unqy9U7pBndoSk8MCH2k/dWf6COvmaOMyC79EFGNqmZTSn
1DlOGVDnlZF9KdPeAl909xvAr5UzsjAFvbzY8AqaURQnUND4LomGbRmXKza5sAV6UbEteVvBt4G6
ZHzIrXJLqglHrVsJFxdWRwf4OkZpgEkAt+84Or6dzhs+umhzn7fZWn/V0vfT/7+4WkD8C6s5f39R
oE8nVpumcF+NpF7r9V4IIHT1H0WQIGqKKD6lEBRuNkSY6slwanXqO6P6hvbjzPQ7jvnMMVurYyws
298my0+3cQvO24oKbhw5N4Kyjp/yod7XUfeTEvP3datYWDddVoMqSgUBcdAxq4xTFZH/DEqeJqhD
3OY0ddy1U2bRaKMF6mQ0tbMpc/NIZL6mTLMQZOtqGW6HdgTgTfNTFtrQ50FC6Tv0vtxtQ0E/EVM+
o8GoS700J1XpS5WvHeels6Ddj1kcjmkC1MIp6+76bIde69JMkP/+lZDBb9K1C2dhb/SSbFEhMYJe
aGRDqwE9p2xjVYmHEGrFKC/zbptcL8qOQPSX3cjObxSoHA8jlFMyORR4lNjpxlIk2kzUyTfhhH40
Vkcmojar27gmyDP4kKDfKxPOFwf0GCsftHTctQs2ScaadSNMTHR9s+eAwX9t+axsL7cmVEfGBArA
10/9wl2r12SlAItMRpDatPPSS5LfcQ1ialDJWv2dcm5iNcDynrf1k/X2nWU4CYgejpBT3dQOKIig
Hl3k365PYeEuIOdF/DR6BVg7uHrC7MRGdKO1IaiQa6tJd9dHX7Is7dvRl6Sa2KD5icsSij92YhbP
hhDRls3GsJmd+tcw55D9CWn5TpspWikLL+yLrubS1tDKVWkjTjavSWCbcbtnEF1/bjNX7EU5ILHE
ave240bY/6+g2Q9DUUEC6oSY6VRReUgAbiZVcifX+N+W9ki7lFQZGm0CvpigNub8vhugFhO3s1wp
xC2YC9GeAuDeoYkdViRIsj2xp/0Q/m7qyLdWm/mXPl9zcxRy7YXorRmg7HLXhfZuCMXL9fN1eeh/
qDIa5N7BTpiRoBkI+FjDR4DA15Akl9flX7IMpF4c7pr47OFrDJ9P7P3QIY0d/Xf92y+75X/oMcw4
KsBmbOfBaJ1Vqr+FtuH3xsrgSwujmTVolbraqQ37VMfsCbDAL8LpVmx6aWjNprHAQ0IzSk+jkSnP
rdzK6+UaSOoy8MP8hxGjLBNw2wDjdRrTDgpZaVz6kaTfoxLxEvhJnCaIKtrddRIootSKkn2dNNNK
0WJpxzVLToqJRHQW5mmcQF9sMffDVXIr5nHnkHZN1njpRzRjtmpQyHRtQdBtk/2kMn9vaLVxeX1g
7U0deFhDzaKFSet4ziJ2MucEsHEz2VtquNHiNGN2k3roB1EC4I/c/H6c5bBxUvumJlyT6cQZwmlH
C9VhcuoS+wE92IGJcJL09srDZ8HkdPaMkXW1lbmgLc0i7juM7CeW3CnVH65b9IJl6BQaQC6kBUnN
8eQWABBVuNdK+ef60JcvUuacT9OnazqxRAYAjjWgdi6Fb4voz9y7UIOdqmcnska/cxlQIKB7NqSx
Yg2Xo1Om02mEIAJy4LXHU2sKX3ALeoCPEeSLbX+e907abq/P7G/N/N9aOtNpNaaSoPkRtAh4Ntg1
sHMF2gX70E38MpyHL8iqg4q2QFG96Vn75PZuhacL3i/RWGYHSGs4d+nQja/AVHWe3bMs6MVsY2Od
9ADWu/FHOZN5O+eGeWy6HlCZAnotAHiF0ckFrWbmsayO3iLbkr6IMnIYe1nvcercjQBabtsyU2y6
EYzjPJftIQ5ja1/a8ba18l+TdMedlTrRI2tT8gt41+dqVCV4ZaEPs2PGUH7rZBcfFER1fFK5UM2a
awP0QWatnE1s5s1BcM52xZDO+9IhLOg7c7pjvEJBs6TNRmVGvStl1j1FI4jo8q7mwieuaWxZO7T3
BinZfYiSycpOLFiH3gVAwb9d2mCKPFXN7zr9ZpMvrlrzektja24DlH8OBNeByqQ8RzNXE8cI+NJq
gP4TkLcrJ/ai/VFHb9uFU41zYGLaAKwGNopHuXxOUwRi1w/q0uiaVy0zQ0CYvB2DzCLfmJ1tzVDd
kjXBh2urU0C/AcDt2QymzP3C+vgxsqdH0Ucrfuni4lNHfwBmLmhr86mug7Ix/SQ5U+54gEFdX5aL
9xkGP7uPT56pBZgmqfOaBWH+oJqPEtBpYv9S8a/bhtcec+DbnZt8btrA5q3hTVN9BgWNQGcboLp3
xS1JPUxCc6/uNA5smkHrNiA8TVNnF/M1zYKl9Tlvyqf1YSKBdMCMQxmyim5ap6fbykXR2XIT55By
hMTXF+rimwdTOB/bT79TM4COh9kFlVgh9xHeINuBl6nnNKD4n5MSrN3VGk/80pS0OAnll8TkCei/
Upax34kcoMJQQmfB7VKy571qNtentGBxeqq1yF1uR3ELNgve3ouwPMwOfbs+9JJJaMZcMGDgaxsW
p1hXHBJzto4liJHv3XC46V2IDdGNuk5ClHgmnCmH7Aw+j140jr+aRr2C/OM2ajpHz7uNjcTZylzU
EeqJPFgp4YeocsrbNuCfxBixpr5DvisoKxGeGp4025hFa+LuC9urpx6GdgCB0tB1gWu5p4pbCOrd
lQ9fMAaiGV2RViodKhC8jhQMv3Z9iHIwUnR0N3DI25sr982CHehpBoV0gtPXaR04pvpNUiM+GsX4
NIYu88CDZaykPheOqp5fAPlqmENXHecIRChmJHKvN+cRiTUu/evGcDHSow7RniQsZZAUCQEqbsrY
65LHKnyhKTuqc1W1tP0hN1ZqP0sLplkdMK3xnKeMBKz9BlwQJFgeZuvDityVfNzSRDSTkyD6BAm4
RSCxRMFKoIxq07XmwYqcO0A7C790+8F35mxl/y8fYFsn6lStUaRicGsAmNUdN4Vn59HT9S25vOm2
ztTZzXyYKnQbBO0IJfbugY8SdGoftw2u3alWPjQgZILzi4Y7g8cbl2SebVcrp2np08+b/+kiyoEB
ZnFumcFsz4e2AISfnmvLzm0qkrar2TYaPDI4CtA08Zb6dKpe2kTuOwgZXV+cpU09//3T5xeSqYkU
XRu0YfXRWfS5L6ChfH3sy27J1jVgo7w98yqC2bV0YiASP0CPfbDlC0rivlHdRlZm6+SceLbIbKgQ
MU2G/ZonwvTMUr20OKgrDmlphTQrtnhDOkDKpyDusi/MzfZlaf24vkBLQ2sGnClnSrMzh1vfZm9j
qO6oTG8K3209tUDUBKS4hes4VYZHoP0j6tUnLI7GPy9Yio64/z8yZS/D0m5QNo/jYjChOAO8GZ/T
4VBBNW3r8MRdcTgLpqUnGBybNi56UkmQiTz3OwlovjIFwK09WQMqL/2EZr0CD35n7sMqSKbtFJuQ
b/Abu9hc394F/J6t5xQgD4CmdQYe/6wG3b6Rb5wmPeNvuvdwZIdJ8T/MKEGE22/NdkZblboDKuT5
xh/XLLsxlNM0joHbp+ykn4cQXPOqEAVZzx5p4amJk01FsWMuAd2JJ4TrbkbwxqMOnPePrhU2b9e/
ZOGU61yf4Ri5sZoglxAWrZczfgcBoZXepaWhtau8ZyXpHATowSBYD0nDkjyCaX8NF7s0umb5RV6A
ob4r24Db36z+jU6/ry/I0qHTzL7kE2R5SowrQHKBSPqANEqA795eH/5yWGDrOL4o4aIJJ4R9k/hG
AemvwNOfR2pHkHk1kWjqmv31H1qYhw7pAzpuKLNqJAEKno9dxrgH96E8NhZreZTLEZRta1e3mVA3
lSxrocApHN+oSblDIV9tLCTB/Ax1m9s8jY7zc8xeRmKAhJly2PcR3bWEZW/gSL6+TkuzOK/fpzsW
Guy4XDvcsU3IiR9aofFSCFZ8QWZN7V0zilbu26X90Cy+EKnluhUMjam5JgjKO2Mzo4wKJGpCViK1
hTtdR/gRVKDwqMDZTU3pR056aruvrIH+RPWrQFP89QVbMDwd6GfPbXPWImwRaQIPokjy4bbuWm/F
0gw0q3aTjKd117CAT8kPUqqTcOmRJuMuiuwdejhWAqulzdCMvAdLCJehS4MorICVK2qviKZ7I5/W
sJ0mu3wP62C/LLXGcW5S5FFV1f0Gg129cZFt3IahGe6rijXoTuH2xo2M8DWEkjUEYFLyAxqi9huu
hixwXZftbtowHRgoEl7EHD4Hcgr11xbaZiDrWdOGW1hInR/TleivsvqeBYlBLS+26o+5kBHimeJw
28efzfaTeYITMGVNNODjZ3A3yLl/n0j75/rYC4dNBwFaiZ1mjJRW0NGPshTbMrI2jBwzaz6l2dv1
31haIM3srV6QPMt6GhjRc2I7PgVnUcdWFue8CBeCPR36R0DtM5lWi2OMrhU7S56j3P0hXPI6C7Wy
Rkvfr13iRtE6BC34LChC6L1xmsVfSjnWXiiHecVrLc1Cs3kpQG+RTYKDw2DyaigAoXPdb8vRj+vb
bhAd9ue4XHY8NHnAy8rcUFrS+y4No61lxONtP6GD/2Q0WU0EmaOgikIYeeTZg+2L9sbRtajeRaUK
wOEsC2RJwFGWKjBhq3TuX61CAFd/01HVIX9xBRUX6YKwnuYPY/NK2g/hfr8+9MKdoaP85ho1o8mU
Daguk9yfTMc40a7IV1ItC3asi0jGVmygwRjeHI78Lo763wVp3lolv5WN9V+Blszrk1g4pzrUD1wi
YAxneBAOIj9wxJ4e+Eug/9QxP6p4srvtV84XyieH5ySGHVO3noKoUC/RqJ6nqX9gTfs0pWuYy6WJ
aDaNQLxHXylY1qf2mSAGLccvRLzF/e/rM1jaDs2eHQ7hVlVUZoCLp95OdlaFHjkz77Qs+zAEAFEN
69TX6z+24J90LlcQlYEMncEoGgE4ylRm5aEZw9cqS9ewtwtnVwcARoQlseRIf6WDdZCjDV3NduXg
upf9t478ywdL1VECMRcTquIAPqCOFFb0Ps/zO2S5v1tYRs+FoCO49wC0vr5gC7ujIwHzuSWh6KGD
hqlISC+IcV9Dj08eO8duv+chCr0b9Grkf67/3MJ7R4cHon1vpC2f5mBWffzDoqW7i1RGduaIurcv
kDwD06IVIvIeG7H2Mlk4FDpOEOKthulEtA8k3wJ1sE2zo9WtGejS4NqNbsxzmxgsxLMnIqZXDOPg
GVK+lu20kple+gHNAxiN48Zu3YcntIzej4T8rJx01xlGvXIClg60Zv5o64xsxaAIc25UKyJIXqnI
7PbX93vp4zXjt1HdbbAk7sk0foztw1yDd/C2S5BrQTtrwrie+tmAKszDAIElMcVeIVaCkIXv1sF6
EM4DAaWawtPkPhYTWqub56ZOVt5+CyuuI/U6aFkhhxQbJ0XKlywDDzNAm2ttavQycJVCYvL/rww8
9fMQRRN1DvD7HK03ffFHxJn7nIiIJP5cOyr1bJW1BxBdMr8r1Dvr1fyrQagOyjJmQcId3JlhJ9pj
jQDjFCmQgKp4Kn40bkZRrp0VDcCyM4Ofu0XPe9gYQ+hnKSj3Z1G6xFOyax6ypko2KG7RH+frxQ9b
NQRpFTb+lHTdF27MITIFuXD9rBvd711eVqXncuVCgdtAL3TvhAC2jXEHErumKL9V7mjVXm6342sD
Hpb7Jmmyxo+bFpTloyuN38JIrGZTQUP6Sx0a6CMoqNXEW1fwFlAeATHC3kmsX0qpkMCDSvGGxuvZ
HxoQsFojsQO896p3Hhnd90EJW3l9AlQ0i4Guqwt5BCcq86QK6Qnk6PVmFgSClG3TvYJt7U/Ko+Je
SvgtxwRxwVMaJ3m4IW5U/pSQH/VSRSqvzTKOn0qc4cCcsX0ScVTvaFjmz+E0zvh3+7MRYwNBxwFy
1p3bnoBthl9RPXl0HNilY5rWL24Ja5/DKzzEQlg7GqPnJgJCciOthB5biGj6JRtLvxdj5dsTtXcz
AOVfQDDc/yFo1pX3aQ3Pmvege/WyHIxrWUhKj/d5991waf5eG0AxK5OjgtGx0S+4gBgSkdlmHGLm
O2EV39OJSoiVjsPGgGLasE1CCfI5p+x6fpClLDPfgAxMvVG0AYFUMvXPBRpgPgYek3HLG8tOdyY1
3Mzv8jAFgJrNx7knotpMZiHeq9idG1AGUXWYe8m2KbqmfMeJWecXVmKBSTgync3Ii+FbPiTIm0SW
XWzRp9Knftowcy8ah93HQjnP9RjbJkQ1QTLeoW54qHs3q72sFymIaQUIJLcNN0qPWGkxH1k/pHxr
m5YMqsoad7ZSPoQy+QHcdI03ww3gmUD6r6kxs2FjS5rvUqsIn9xuGo9AqXUSkX6NLhCR1tsqcfJd
mBT9WT7UKYhfly3kn5JU/EGu3/hwZRS9FSqB4ci8YO0Wbd/lkYWc7YvYEo99UagKZPR5ca/A1Gtv
Za3mbyDBIZ4918Mbaro8QbtWzGt/qOu83RYMaJB2MKwd3hwDWoAs45g3JH0Lk9H56vQudCHMnkPA
CThwpyqmp6gwmkNdCoUMQNcHnW3n26wk8VtWoDzpQI32W9g1xqHLc2PrqOwVyQvzOJVu03hQge+/
V9GIzyFuvplKTjzsNjmROVOPMZBP6d50bUus+Mwlh6xds+JMrghXUAUuuhWwFwn4R1ziR3O6vemm
0qG1wuFlLOK2DSLb/oic/sytOFker9aqPH/bji48z3VkLeXR3CrUaE7zF1J78nF4m35AXba6j7+O
T8Z3+s35Nry2T+19+MCfr09qIbTXsbSyEgWXsQNu9GrOPJQYQvQnJbOhvFoANZrLeY1t+vL+CJ29
LKniZrIi1gVFbI6b0EZXT0bT/3JjLRG/EKiy8xQ/PYRCNiVQUaIQrnMnrxUtxJDFJpLPZQdd5HLe
XV+wy9OwdcrslCQlNKCGNsjA8b/r87B5VWM/ml5qrCnWXv4J9jdF+GkiLVr30TVWF4Go2T16AH9B
quBAovBGEli9NQkNQyAxzIoqCCP7Lm+aXZ4pCPHmZCWEvxy9MB0HmogiZJYR4UXq8Edp8XfELjeF
uuyfviSzTvvUcrLgDNeyGVrEaO314vH63i58uN6Q1Pe8L3hGITdjTEdps71rRzdVDZiOAcysjKNp
K56DqPvaij9oCwRw+kN0ayxYS5+uh3QmRPhAtmGfJOqs94WAAHjejXIlSL9sWhDk+H/TmlxrFmDi
zgJaKkQPGQs6y30YVHHfSLKJqpLc5MSZ3vvUtk6Ijk/srwnsxJibXo+WzA5RxfUNPn/vvw6W6U1P
o0uBuEnTOSiJ3BiNPIadCV3tEhnWNUThgvHqHU8VdxuRdGMfWDEZjpPdIdabO8Qdrl39uD6Ly09k
prc8IXQ3LcuSE7rFq10el2oDdp4fCL4Qbc/pM17ou64fb2o9YDrCKosS5KMTMw+MJPfC7kjW2laX
9kJ7nU1FCDFibpaBmdFfckSCsjVnsMNV9A6cgWtAqMt2QfU2pwZd9PnQu/xEhvS1dqavVT6teIu/
1/K/p4nqfU5zV1hTCPqroHFN9pIV3D2IzJUIJ10DQinIAUGpPaq60Rc9eul9dxDtc12W0T6qJrIf
OAFbpAER4HjfuUP/XwNJXegXumkMQqCMEh8hYrzrLGHe0aIB45ZpDE+QZzDfzN6AeoBbu39kGIET
36Yx9aqsQuZntuLigbSIH0hjjT9jFI8hfxHXr9fP3uXjTXVd5MSKEaumCfjy5/JEo3zcOHX4UhXO
19vG1zyN29J+rFVcBA0t/WawfpCp3Cdlc1O4Q/X+K9niXVLWEPDmYXqUZXSIymInSbMr53jFYC5b
J9VlkZ0oom0XjmUg3Eke+MxeGGV7GUKGxGidF+qqQ9wWa5D8y1ZE9a4sSTq3gORaESRV6iOb6cn0
dyXeim7lkC/tt5b7GUI+5XGIihEze7ydHZa+Ryy1Tn1l0ZUFu3y5UB3xlbo0gkzviDulnP2JQGSq
f8/Hr1KAvWatoLO0TJqzQa10Bh8yendG4TxAKj5CRGgd5rq6iyBktXK7/CWKuOAQ9DatKJkSNE1l
dZCn/riLH+iJ+42fbojhGT73akhiboz7fkt2oXd6iTbhQ/Yutms/v+Dq9E4uLif0OqQ5Dca+yt6K
QbJdV0XmGhJ/YQn1/i3bRcfzuXcuSIr/SgsCUOzLGKYbvsawuvT5muWbJnKKLYU4o6wc33XsO3u6
CYMMApLz4f4UUA9jTBWy4jQgZv2C3PGTyNZQeUurcp7Np6FVFZvpnGJoKrpjZqIVy4LsjZeFBUFq
fljrS12wEb3rqqwmyyydEZoTEZiGnTYZQajGo/dREeGXNE4iD1xya5KCS5PSjD6hYVcnGYr0Aux8
dvWlqb4zp/fKZCUxuzS+lvPlkcqRj4AWsTR284z7MvmGJm6ftitO6y+L0iVD1My9pLWZI8PHA+ID
K/k2gHjWy7623uN8qreJXx/oB4S6+AvZZRvjaHx078V79pM8j8qzN/YR0dqKS1hwn3r3ltMXyRxF
EiXS2t1zdCdu3CZ/Ca2q3l6/LxesRu/ampsOjSOTYEFluvNDE5UK+j/mGqh4afTzcfx0utOJu0XX
RVhHkx37Kv1R2O1K/nxpaM3cnbApzRzdbUE9lAoJqT5/+R9n17Ycp65Ev4gqECDQK8zNg6+xE9t5
oXLZAYEQSIC4fP1Zs5+yOWao8lMqU4kASd1qda9eC9JKkMW4Pi9rE78weWxhdHt5vptUo3UMbSRr
/JGrKO22VMnX3v/y+19Tg9gBTZIBVpaO2Y3W422ZsuPn3t3979CVb6nQzD1gJk597OTdHKYxJDs2
tuTaiy+MG22A1sBAqwpUQP9b2xTZ9PTwuRdf2LVyB983pPaTqQ8i0b5WoD3Npi1lgLUlXRg1h+zm
6FUtSShv7joa7Hu7D/Ylb+eNeV+ZmSUEi+o854QHbjK6+Y1SDQK2im1N+4oHX4KqQHRJfNt2gmQM
0EUrxhy9buk9Kas8Qr+sjoMx2GjIXPuMhdGiNBEOJtV+4qugink3tLtMeBvB2soiLFnX2Yj2C6hv
maQkL/4E9gQFtZfpc/dzUOn8d+ejl5Rknu2hZ8sMv0J7fqO591ak7D51xOdEoEEd9d9nZCzQzKkH
WJcbzk8A7eb7oS2RKaczjXXpqf11Y/j4HuAEi28pUgfqCS5gADlRvwLIL5/naZLg1ve03KHKYH+1
O9qaCDXK9Pf1R358roIZcfFp7qVjoizCs/bMHnzrbBf6U7EDlfWtVXifhCqSJYpM6MpOc6CwEkuD
LwkAzPLQZhDda1UeHMDP56GAohpznsamQY+5Gg7gS21PVhP0p8YuyXvIcc+9/slrm33hzehYzpUM
mZu0cmIoPDq98w7gWcA/d44s+8prnctUXY6pAFrcrvvDK/ybbt5qWFhzCguXNotg0iwoTAL69COb
vuVgF0L4eyjCP0Hx6/oMfbwpyBJoZlJLUq+9hCAqiPwGaJTqhCbYCICHjTlaWYMl2bwwAVQUWe4n
XGYszgqQQtJGbiROP2boImSJMhtzFUxZB58AXE0Xg4In/5J3Uj9qY6z7jkNgIgJj13w7M1vecFfq
A1ScmuNsrOZlIIOroy4r0zgTs9poQVv73kXoEpToioYD8ZLMiDszWF/Cef7k0AunMXk+8vKlJqiD
B9mdVCZHgi/nnzsZloA0Ky2aooX0QyJyM516VBFBaVT7GxHd5R0/CLr/T8fbE4HXN9jMQ/djth5U
I1Gcf7u+idfGXpg54VPqCZ8bCGPrg5zyyEnZXmav10dfM5FF3CKkRF5IwER0p6Lcvi0GsEl5IrLE
5/pgcdL/1zOPAe2qEQVZNHCFN0Pl8WgsvHendrbynB+fNmQJOqvyuvDzjiEcDZWJ7Kp9tzwQ2OUF
jlKrjUpQ6OORW00pK8uxxKHhPk3AgoqnFcwHc23m73Ue5BGzso06z8qKLEFnAfRPi6DBfA1DCbXZ
od4Tt2kjUCc/sRGqR9fXfe0zFoaclqKoO1B7JN4l2KuL8MmT5tadPgfMIktYWUNMO7QuvgKxQMRF
F1Hg8/JpC3+74oeW/POjGq1sqDqZyBZMTFP3Ijt3q5600u1GlrFEN6Apx2/g5Ebf7CcFgu2gSL/R
3MqjMPSgSwcV3RLS6XWofgxTcW/z8bso0k8G+0vueEcgDoccMEwSSZU32+Tl2fK8cO9Ib0u0e22P
LawerNEKuvK4rYyMPgficiS2zYkDgR+jPPft+hZbW6OF4csehPTujLMxHPhJiw6FM/54feiV918i
0BweZNWs0QktMy+Sw/0YBrHt/knRJn79ASs+ZYlCk8HkF3LI/AQsi89yLmLl0qNB32xdDk/Gg8B8
87mWLbJEpNmzJFMKmfmkdOC+kIxHeQ5VRfCZbpH7rizEEh0w9qFTscLQhCIGr4KvUMS5Pktry3Bx
Ln8lAnSWygGoIxuaniKAQJCULxmE2WMQRBaHsKy2JE9XnNVSqdgJOpdBnIECVuxELgQD8cfsbkRZ
a0u9uDlMrW+DdGqg0IVF8GZuUyaiaQawLVWRUz/bqtpdn62POfIIWWJc8qIVKc9QSu7HIjimrRue
U7esX4bBtk+uyP18b1cpyPmmwO9jrlohdmGp8q009soLAKX23/WiFDIOoa9RKTcg4Ynt6VgPEH6O
JmDSaOxaYJ3ZOF4+3nKAyf73SS2K5rygakAf4vRosumxbIKNDOrHQ5MlbIe2KI35zHSJbsmPcRQ/
dL3FQ7G2nxceq/IGv7IdbIXaLo6TvrezL4H64hWfY04hS+Z7y4jRpAPGDwA1hcgMFI43gucVC1nS
3vfEDW1eCpI4klcxyDrEYax9EtddtUVUtGInZJFbQVYZ5LxTim55kAK77mNK6hfbedSte7Q0wHuf
jEyWRPiOqh1p0IKegJEiFk4WSfMb5OH760b474x8EKovSdRH1YwId3EqNTv3mZxpXJ3br8FPljQ3
7d5/nGJvDxD8M38K3+1nduec+9viJJ7Ed/mdkv2WUvTKJl7yrVcy6yuwDjeJb8uXKuju+mlLRG9t
6IU/gzJ0Gmhto+JD2idX9d9C5Wyciv+u9UeTt3AgINy2ZacujDPQ/wFaN2jiNM+6Z1MWE7gG7dGP
gwLU8bIe5gcZ9Om+aAf3LSdUP0BbrI3ALJzt+Nx4Z3CwII3Jw+q7NSOxyUAZOkall3bRRDv3R96Z
4QD9A/uhqrIuNp0SRwtMg7E/ZOHO4aL/1AXIWSLlHckaYl9YMabqt0X7w8zErrV+Qr5nwxV+7FRA
6/lfVyi0E9bGhFBWru+6gu21P96I6a633q7v6I/HJ0tm+mG0lTFolU1mvSNWhKsodKHf89FsLPra
flo4xaZDPxodUAZ3cu/BgaKXY6rn66++MvSS4G4AKsQgIYay7ewGe6mm8EhmuQVXXJmY/2O4y/th
yCXVSVfa33QanPIpR2NVMT41lb/RrHdZxP8zCBCfLoytroJ8gj2MZ7t3D6M/8yhl4ysZbT8CduCH
8K1IVPO0p2b2PrOf8MiFDXKIVrhqJACTWqmJkObhwNXjEK+F9OMJAh3X1+ZfyoCPPm1xhHMrBzyB
d3lSFUaixuYxGHc5k1s6ZNnBnwe6A5MWQDq9F5aRN5bZvs5acphcgpbUsBm/TiKn4LJl1k6xeXgc
jEVfHa+26hio7/y7m4b949yOtgvl1ZT8AJk4f55yCTqPzLea3cRLF4TpYbdr8tzZaeQqHmXdOfuy
ZuoEfvjWibjqsleVp+bMOrc9tEWPwC2UFFgt5uzKWdUQAugt3Nca71tJafnbuLXch3QAI6oHmLS1
azNS3QvA7x7Bydbu3LQY9sIphpOp1XwoSq/ZiULziFGHHapZkJ0ILHNXmNyDApAADG0c31vIWcae
IOwuCMLxHKKF4liAIgSa4kh5V9Ae2VVOPT70SoNuKocCySRwqwB7inm2qOGRPQ9ih4X9NQDseugZ
nOH1dfwwMgAd5cL91LWYSxrK8ZwJg+alW9b2MSu2tPI+tDGMfgkW/roBIBk5MicsVELQUn2vcoS0
hVUeRqfhSZgjo3D9Iz50FHjMIvbgbjmKBm0kicN+sRw54q2QeO39L7//9f6iLgy6zMFaMvbFwa9h
T2MI3o/pWA6f01F1lx23rUrDrhmITOwcvS5td851FQFFvbs+NSvrGy7cswixfwEhggdi/hvj05Px
3VeT6a1wbGWGlmV8BTXV0q5Rs6OgZcizInZb9BjoEk3bzkZMtuJEl4X8sO5dIPkClL7ASs2tYbpj
rvfHK8NvapJ3tdYEdElo8UFmhGw8cmVDLflYWpdaeUoET9AGdT+HJTqGt8iS1oZebKlxLFMU97sh
oXSImP/Ugwj5+lKvjXzZAn9t1slPS0huVDzBwflER7QIQcniUzc2x132KORW4YwN7laJPyVgNt5N
VbMx15fX++AgWTKtdHZOLCsgeYIL4VPJ+cnX2a3V1k/XZ2Vt+MV5aNtemSuFDerL6fvgil2vLrDQ
2tuq8Xx48cHMLA7CzkL4Ki1mkpBCCMVUZzqEfTRZ7JaH+X7kqXMYO7a1Dmufs7Bne+oIuEa9HDuz
eQWABsc8OamcnK7P1soeWhb6iWW3dmZ0nliD0x+qXkP/tVHtRi5lxVksK/2WA0W/rEKPmF+9e9yK
0ZcSVTPb5eW366+/MjtLDhXeQAtX5zCBWv9CPLq37Dt/HPbXB3f/DTw/2KrLEn9e1p2vWi89255V
IQJoWXoq/V5Dey2nGmlGV/0Rg9XbN8OM23BEeOaf01FpveO9bT25wzS++bVdBTdd5jXP/dTxt6kP
h+9D7dlJ2Insq/QK+laorNqBVtDkMVGuhJoz9ISPIBkkt2iEGh8lJFQfR8Wac2679FuDA/DQli4o
yyHzfmgh9xIb09KfmdOG72GGFrxeciZiMDEFX9AH7b43FepbUUH8kkdeVdf3Y94VO+IUwODqqt6x
HAg0zydlwh1evAuf0L2T5XpP3RHp+mJqza2XZ+KUAqwBjZF0Og0ODku0zKr8tkDb8he77Ypzz4Lm
OLUD2TO0C/4pwfyMU7Rp7F/FRNRDHgori3Thd0egP9rjRCt5o2e73YPoNfg5zix9EE3oHxq/B7li
ji6sxDidfK6rQScuoJwkCnhVFxHocaunILQUOgfT7Kvo+goUdJmvH+aUu3tqK/9PxWpIJA3SexpH
hs+nMmdRALb9HdVld3D8sj5Pps5iV3HzCyq17bNjejQE5kiLffcm4u5VO9DpVvROKG/tVOnHsOH3
vpdqiB7VThyOtL4lwqMgXA001Pm8Yld1yj0E1Kru8JvcDaz0YsoV34edY8VFlolYKdLFIbSqbiFy
C2qxuQlkTAMdxKNu533ZO+03l9r+167oL+DcfNpJg95DrnvU5dzU5hAxmV1o40EaVfsOVjLPwgga
0fRmslw/CvwhjYBMSM8pL+bbWjXpC7hI01PTqPkcwhhPoC6YQApL+bGlxt2FRYOKtWmcn9ot9Ws2
YRNpZrHnWU3s4Jfz+ABSTfITEprhLzbz4VtQY3tYmc1/WUFmxxMEUKYYF4EwbmYy/bYZi1Or7WJG
fDnvFffYrfHwL8YOjLGziMqBPVeTjIY5/I4eOB6XJpN7XUJlUlNgdoT6AgyMPDS1W+9bihZcfK17
cHve7oOqcH50AFTs80qYr0OgwjtjIzMQCqlPSHEHZ/RfFntVmWAfcIXSnF8PpzzodeQVfYWmzNqU
R1HO4i5MM/eQ5tZwyNKseSkY3pkL5Pvj2W3RjGpB3HCCPNY9t3owroOv5EE6DRj+aeM+uGFq9uD1
H6KKgqD9YJRt77zKCn6DXYPGOaxSoSpvmUh503AmzTR/ywyWyUbj+KMPdpqTY3iaFNDBiy0vDe5n
Jwi+eHPdHlu3tk+alsg8Gw6Jdz60bJc6rD/5nPWHaXbtWGrMYGM3AoxoRuxogH5TL7XpoWwqSLai
oxtwuablAl3BoBSZK8LdM1ro0TvbuBnZsZKUO7/Ff81BEAnKfWzqS0N2LJE/PNjcJUdQ8csdhWj3
UXDX/OBBUZc7EM+K7y34KBJayvpLHlbtUdl1/kon1vyEWdcx05mKmdc6XjRlgYIGQtlY9KAlKHbz
qQSUz7a8+kEowR3oiI1g/gHv5pwUDeYmBuuJPcfUQa9VXKlSPhlI9oo99ctWRIxQZwep2PGb8E11
Z5iNPa9de/oCbkh6LAppPc/EA6/WRGzbh6osyFMj3/fad5Hr9Ls1ivGcNtms4tJV88Og83CMIJnK
HmEagHR7XtHB03iiuGlwBzj5oNAaorGZ9HBOZQtBhdA3/v0wwD/VfJ6Dkwgq3j809txH6IQsnX1r
Sf4jF10WK1AHINafLeNEnTZNvdNFU0lcixy0dvRAdTxN0kAbWI6g1cKe4VsUImvn4+X3v0JEt4cs
Xavq8Wwc9yHNOOIUyd9HKrYY7S43ro9OyEtc8dcDqrBJeYtiTDL3+pbpNi4ZWuPT6tlB5AW73UJa
rcUpi8SKFYi+7TwkVkbDn7wuOGSl/hRgwHHpImJE7sFWRQiFlILy8KAK9xY4AY6uX5ojfdPeWLP/
4KXDRpFsZUmWyBOnQ66mRto5UeUztN/3xHoQvrNxu18JuJbAEwiluxB2aurELlX9J0R4d+48op69
ugOBQW9tYc3WPmIxZVnRT7ZTCVzAM8hNh9V7X37vK/NyPfBaG30RYVPUJ7Msm2VSEX+vhnY4OFoH
0UzyfGOePoZSIYOwCKu7wJgGrQN1wlGCOedEV8hX5823gQHRxuF/bsF1AZIn5GR4pm7Bdp6dmtl0
+6ocsodyLvm97PnWHXFl2ZaQFSwTOAUAYEDDB9BCIGhoQRsCru3uK4iNHq9PKvk3w/CBrS6hKpYG
yYipHZ1oHIDPUz8Ed0OnUh13A5J1c2UGwGUUEmq56NGgA/1a9q7GlDy7Jei7Qfxg+h8drcFcX9JJ
3muJO1wGwsUvXo5b184pJ/cHqPTDCoYPzZ9IN9qr0OoT1HHYFHNc+WCekSnBhdX1wq+CTn0ae0z6
N5ntta9N603dLiTI7EAkvWrSaBw6G8GEz9o9cjK9H1VuKh97yxmffIfxOFcutyKCotCuaMfxrWEq
tPeWrsJXdxymfWNourfd0QLCT1s/xOyH350Zqt0oHQj9LXTDeopRTZ6em9rvdtNYzEgr2gqEkkVw
Aou+d2eMkEkps+ahByt9DAoPEHwT0hfjrug7n+2hnAVuAE0YXr22rX6X99p6ze0Lb0Ajre7Y+rWI
uZeV9Q5EpnkZgXs3fbItP8WU0+6rU03OC2DuQ2QTEAGQsHjsgsY7EfSzxaIOyW+3slh2UJIDPWo5
zfPo2dNDU9j6VBGJyInP52HGKViJEGiwru/OSJCyG+kL5DI41xF0aZzI7hpzQMviCNmeOSC7uS+q
R+35xa4OIaqZWtw6VikBpqX0rbvO12qn7aF+L82cH+aJo2LjVvmhDxx5KFvrBwrR6BekbupHuRlL
sCTMSkY5eq5jBrFjsG+xDAX0UbqP4H2SCVqXm7fSAaFOLAHYeHQANeY7pcfwodcEELMmt7L7KR9I
EAMMholDEJcg76bugarSEFEe5W2bKwkKAw8OOjZtLS5UrYPzdbYqcuOnGfxbOaFT/XfNW//ckhIE
0UiiIhteBL0XKybTt2kAcXgIBH3shZ6KrckWO6thDm4pLLPv7dFjeP4wnQSuCC9g6h5OZU4uRRSv
PWtWOwmZJzCDVGWb5LwWz/ZEi4MebMhGKOHFFqvbU+6iBzFPveIhGMYspqPRZ1zrevDvqmbn+01w
53mEHJva6uKJW94DuvFSeZjwr5OOZHNMLJ/cDY2LOEaO3okOto4NK4s3SNlD/SdMm303yjxy+8x9
kljfaiDkQQ3YplE3teA8E3ZDkwzn/20+puVeU+39qhrj3VV2b++zGbm0stX0HSnK4jRp0OmyFBFQ
FIJx8J60uXXPJjPIQ5BW/GeRQzexROz5zQqGP6CTKY+NYrjXaBPEBBRvB4lGzzve9eO3KWTioQYM
fIizYa6fwX/AoNXVt7igDEjbn/w0NPdcgJM2atw69PdtGDanOnS6g5jcbmdPCp5YiPRrX6TmWLiC
DNANsxw4EuY0vx2mSg4VCK88USDv3R2qpe4LaK1RZimI0CryWFG/IPKc9b6jBux2g9OZW2HP01vG
bPydeZ4TO2ALu7cgNFFEgtoNj2sCWChUywbQYyHWlnCNmUD5wg5G5+d1N7zi6pfwnhCkPGYqoM5l
XV4TFRvQ2ERiEHFdbwQYa0+4/P5XSMZn7MfUscxZzZ2PS6ayY1KZMzhtvoaQrtk4QVcCsiUsEVUc
3WqFwE9Uwxe/Aw9f3X25PkUfN4867pL4LheG+V2P9D59AinlqY1ofGijm2KXvoOOR+3cp/kcnK2j
3D/n55NfROXruMFuvPZZi4BZKvBA14bKhHYi1vbXarNXYCWoWUIUp0K31Zyj8DJ19nPepU+ga7oT
Ff1zfdJWspJLkCLsGg006dQkxBJHCpaF1HG+FE2318KNKj28M3urgr02R+S/GwxHEEMIiznqNBpq
Jg1eHEt44eH6h6zcKJZQoSkldsDAspXIXJwdxwUzmPvUkek41z9VtaX1sDZdi/hPgCLCkWU9QFXY
u2m8SkbIs71qMj2oYvhSuvIxE229UTJfWfplyb/EZQ9H+5wnF/TWe8cpec10LXaqxdF6fdZWvuf/
AIoD6CBtlEcS+K4vIbPvOou9StIdK12eXVc906w5Xn/UxY98EEYuaX9ytFQ3PBPTmeEGNoGXGTQO
+7H/xXW6kZRee8Jl4/3lwRzAxWxvSMczROLPY1aBOlScoPvwBa1Pu+sfsbLLlgxWji0YKMx8YMLL
Ks6I2JHhnKOiPbtNJItv1x/irC38wlIKp7JcVXE70W/um7qfX8rzUKBeHfVv44/24czeESDbn8Me
LIFwmqGdQTt2m7RQHQICXdcS8A/jhIepzOTZKTNoyRUQuQbD3oU0g1qbJNErHsFdWFNTgLzOmVWA
CEKeOXVPfrnVs7MyhUuMnJO5xMsBDDnz/M1lFzN9Rfy1cYitDX6xpr82GhLS7qD6mZ6JnF74JP+Z
emCfM5V+7jRZYuTQl5NqYsoAmmtBd3RCl54G5dYbVfCVPbxExg2uzIyVQwa3DGhzBMa2BMWUhaRU
PTdo6XP5PxUPthI9K0XZJU5OIjDqURGkZ1qlUW1+TXWLa9IUAZ8cu7yNRkvFRnzyiFni4TI65iH6
ivIEwHodIVOdv5NgDn5ct8sV/0IWyaSaVWC4LrzxnHu/J2cGyBoEmMAQs3rc8PgrBrGUMC15OLAG
fDtJH5Z/Kg/NcqPZqG+uLcQiORJOI3KVtkL5VBWxN5ME+fCnns0o3pQvQLTsApNGQyj++dxcLUy7
C0KFm5c9nqFlhtKJAgUqxNPrS/beOVx/xMpk/R/sa7IpCM3r6Uxtigif8x2KTVsYxbUa3hL2NYWV
24NsTybG8/p9Ok9QQjIaBC756N3PWdvumGL1oXEI/Sad0gZZIm4pbuS3Vn4vA1S8Kml8gftTpl+7
MfVuUggJJW3RFm+9P8jflgi3JDzWZmKxMakFjcmgdUSCDj4OwNG4twTrNqZ5xV0sue5s5DlzQyyZ
sGw8Zahk1JUVodE7Hmvnpm7ExmNWIpEl5R1EtNJCTnafVLlzoL48IrUaj312H+bF2bPNN9vnW6X4
tflabE5flp2NrE6RtP6bcpNJfooX0HGX9HeN0W44BZckrSluZK2+joSdTJj//tSOX1LgzbZDx2Lk
qBVzDxC48IXY7Z/rQ38M6serX5b/rzMt9IM2hCREeCaXulUGKes487F/pcXbE3I7/NSkVh+Bi1Ym
npzSfVOO/ucCN2fxbNutIKQ5YuBquFQzwCEQQbr+sXDAlF8V80ags7bD6H+/UDu10dyvmqRG7kGO
9RQRc1OBdlVA2luG1ZmPG/iFlfjg37jur7lEZSN1+IyL6Gwgb1J8UZAdFfnz9ZVaG/yyqf8aPOzd
uXKLEPZYln2cKgrRTk9/meYtxpXLfPxfoE6CZVSmLaQy2zkNz0NozlZYvOTF+H0q0nOR11vo0w8/
ggTL8KxrHBf4UxKeeXFT1G9S/DNbcuMQXRt7EZ3ZUxZC0Q3SI8bMN4QCW0PTgw63MPcr07MMzkal
ZB5QMwH6kv1sbAgINB2wpyot3loT3Fxf5DUxo2WQ5roz7/ygAQOoA32vdKwPQa2/OnX96vbILIvx
gRbDi+tOOrJsf4ikzB9xbe8inm0pNn3o+LFGl/n9a6OxfGyVqz2RQFGOH3Or7Hfoz5IPnd9Yu5wF
ztHpQrERUn/okvGwxa7uUWuftARDfmGF5g4UfHN8+biX69O5NvrigKxoLmXfu+Bfdt5N+yzVP58b
d3FR6+esAlJBpKiWUXKPJBButAz59uujr23kRchmWFooa9J9ErKunaMU8gpR21vp3exV04Y3WZuZ
xVFoUdRGQi8bEyjE1zedaczRmqn+ff0LVkZfhmhWqmtFgHlIaO93j6w1/Y0Zs+6Toy8MvbPABkIk
Sc+egZYjr8w9ZMjz3fVXX5n85ZkUCpCwhywoQX8U5rtZpvRmzuxhN4MQZKMFbe0RiwNJ8CFFUaFJ
zyhQxowHu5BPu2yrXXPFfJeHkO8pKu2eluiKICxyJXjmqzxHObSRPzPURGN3UxRr7UMuy/+XpxhQ
wQNT44gTIjzOjMIjzfuKmQ1fuDb6wnhH4bkCReMygUZkPEzHBlG2DJrPxB4k+L/wtgxxj3CKPhmL
7+DLiUj5sye4rrCNe9eaCSyMeG5GB1UcNqBiXKqdz6j4mlqB3PKbK6fRv+HcX1PvTl3gTTVENAol
46IDT4F6IGMaeVtGtjL7y5BWEc5Q4+jTczUU70SyG6DNXoDo++e6ma1MzzKkbTA3WWux9OzqIbvt
lQ1RJMU+E4eRYBnTomIKumIb7AQoZpyBrPvBhXeWVbuFLlmZ/CWp80AtkNONkEfh7BW4cxyWN2UO
uojseH1yVkx4yeVM8ywIyixn50aIGj0Fxb0DUBTrUJkBLNCqrZfrz1lbhMvvf22iHvghjkAQrPkA
YMXgMyFPdkf4hoWt7aCF/SoL+SYphx5cheVOGLSPNP/Q6u36q68tweIEhkBNSYKi9RLLJahV/x4Z
sAL5WwlZ5OsPuBwmH0TDS/bmLvNpwSz4Noh0cJA2tOwLsI8mNtJNLSiAZN0jVFjaDuC9eesaubYe
i0PZ1IHXlAoAE+VPR+Y1j3aTfsodQcN4sdQhqWUOPdyz8ugMdtgQBMv9pzIyhC7pnOu8LLomRVRv
leHd1DdvpN/iCPh4SuiSNVn1aOiaQdOb1IqRW21xFuusTjdSoh9vUcqWJ3GD3nkAaUJ0N7UXwErc
oUQ+mC35p4/tmC45k6Hmocou73C3bupfDf1nrO64AxEap4JIc/A5+WG6pE22KDRRyh5PUdrBMVw8
y2Y4zopuONOPLY0ueZIL0tujzS6GYD2TjKM/AlpCkIw0Wwi3tQcsTBmAf+ko20/PXP+0oGN9aDwr
KQbrHgXQLUHBtYVenMaZytp88LHQtqn2w2yfWvu1Gar4uq9YG31htxCuGT2dWRgdDZue3oeKRVRv
DL5iAUtq5MppoSpjYFzQolTRJNqfxu3+uf7iHyaHCV0SH6dAnAiQvIdnKOaAroLROFQQW4Tux41x
keoJ0tvUlVWE3toNeqKVqVpyIQ9QvrGDUIIcJ+t34YT4vfXdHToMN0oo/8bp/++3abgw6WBoyhlt
nGNS1NZ81HOI2w3n6qssZmc3dG0JxI1sD12LsMOHks5XXHchCM/y6iiIw3baH6gTeVPrnAAkGfa9
AMUkkhbpVvCwtp6Xmfnr0CUhWEMdXITREVf/DqhdlVFaOOHv6yu6Nr+Xp/41ulBtiXxzzc45cPXO
+J2bN2veOHPXxl4c6HxMXVYD25JMlkOiUbKfFLQcNebwc+++cATCuMB8XWhNAloClPStbF7KbmPf
rbjicOEAjBmrsp4QbxIAriEreRj7BG3EUTs1e7Wlo7O2tAs/ADX2oeBZiqCW9V9L207sutxA6ay8
/7KPEgR+usqANTtbrfVq2PSHkCqwo0k7/a3TA69V5pskFysOedlQCakxpxFDA5a+In8knTzpjCZW
UD0UwRYrwNojLp/51zZ14AfGrLBxMvbpHLU8TyPBKj9yICmbcn93fUOtrMdSzh4yaD56pfEhDvUO
YqyO0O/ZOBXXhl5YsXbmIHeRIjjrvqHRqGe+l0778/p7rxjasuWRhU7QMoPTSplshwTBOajol3H+
HKU/DRZ2ZrlZqh0KodB0Eo9WbsWpxvVIQfxi6wlru3VhbbVNXC3dyUnSkCdF2ru7YvB2swbYsHJl
sxtRXNs4Hp3w3+69D1x+sDA7iWy728zNDAiQJnvCU//FRTL7ZkhVcyS10H9adDS/wX7yr/3UhsfK
5WBFCtG5eJAQv3uVUIXZCwgFyii0tfV9lCU/snHMv6i2cL8Z6HxBqXnoTiBTzB9bGma3NK36ONAi
TDTq6nfK8+iNC57/nV2DTbys/OmRjJofcbzKnW0bB9hWVmeHupuqfSgc5x9VsmpPyAR1wlLX/+Ps
zHoj1dUu/IuQAGMwt4xVlUpl7iR9g3rYYTBmtI3xr/9WfVdb0Um3tO+OWmdXagDzDms9K6vjSb0r
hIrtqYa29kcrFH/2Qz3KRKM9u9m7sAKJm6j7ymnaX4PbRrLA/z3ImgAmE7mAJxDBrfOxASz4bZYO
KYahXV5jDGTukd8Jdcws6RE4Q/vgeNEWp9I19rjp1mnBVando9tX2x3v7AirwVr9jp21LmLe1Nkk
m+YNeWbrz8WJ3HMbMg05Jd86XiAxXgNBjhWk6UNoryaQZEPHNQ+9dqpXO0IH6aDXR4qhbB8juLam
pKsbIIYIBb55bhUqmjbed1iSOIHVK0SOpbNOl8k0Ikd76tsEd/CuTvjgtoJbzHPHrAO5Om+CbUtk
NTg3E93dJ0HHFl8xq+g5WqV30hE4XDyi7FkFY0fyaBpr0Ola2IralkUF7rB+KNxuih7GwN9JjtAq
2JYCf2UXr1p9liLYkCfwsemX0B3t0xbOThbJysPlUM8FpOqq6Ob1ajez3cmZR30csak8mbbVOfz6
Qw7b5FUkLpeMNT4CJ7XUB3+y88kdxuXoM+Xnwkj6ULFZvinmY8U6ucI/QCO1JBbZjwfUI2EiR7IO
CS7Y+MG4q3mEuR3qYt93XsHtrcrBML9gkT8gTGoIyt3A2+kIzZJ2t+Y3Zc1yFoj//AZUSn/rLmLO
8BiZ74yM9rdq1EOqF2wPvI3ooiGItIeYkQBHiWt6nAeWa0bHdJKz+CfC3PIeenCa4XGjzjBrDQBY
tFWG3NEr0alCWzAG+g7Zxqrw+dgiHkqPT14Iql6E2B6kBmC6f1uvI3utjTcWdOHtPSDzC4yCvpex
lcBFxg30mrvTp3AGxLkknvwW6H2EXHiDzt5lfV6rFl+6q3QeNXgV5KxAN4xf4ta6xDuHq7cVKogZ
fro9LIIm7HPiQpnbTbS6zNg/JU3g9TB/wRMdCz59D5ar0LifhnPbDgFuxlWc6RKwB7tV7a03VSZd
gyZ6c3dvS13PcR82XyxZL1zEtcIyQB7M1PuHcIy8g2twZXJP24vQGEiYOmx+WkRslnEfVKXDfOgr
SSC/eWR/n5C6eaSgEJbrvroHI/cg8V1rbh2GzMyEwEFaIJavP0SVCd6YVDYf3aXzktFZoGuSkCNM
KKDTbp+xII93GmYu5x9u6Iubfl3i3z44HXC4wj4K9koN+Egb62/YeX6rLKyyUQAKC5X8QPfRRX6r
s9FvXb3Vvy2vx7QderOf+jBcT0pRRLBcxdTOwu0TQwz4lMbxVhWbIP29H3TTI1cc9CNfF24TjY/z
qMRJ2oi8bjx027TXikCu34+wV8bkElE4MHsyQ1TuLfU71IYu/GZThNOu0xEcZ2zKXOsBfTPHJKvH
8X0T3Dmubme/wTIhnutRj6C+98074k81SbFZaH7ExrfBYe00v9RgcpbDXguYBJZ+fNq9rj/GEP4n
wkOWVbBhDJtvIa3K3tAN+SP7+oMoAwVvK53xAjWsvMFNFv9Dl8ZJkD/k5YjpxOd1tzBZhTDppjlN
TQR3YqsG77C1G8ngv/VvGFkwAu9E5SSt7NzCQG0QFLSK6rIV/bQkq4TvN+2jpk0DsKXLvgq7uypC
8o1ZF3yRXuXl/hROSI71vNNemxZ2GzLj8o2buzqg7MlaZ3ralNhfwDpjpQsK+pkxY7KADRH6frmX
lAEsk8ZXwE9L1vbVQo6fhUMclBZiP0jVV30j93F4sXpiEPDj3feV56chDh2QEWP6QmoyP4p9lHk7
u/JnPTgYLWy8r2FzaB7kgGzxxR9VuUwOnqSNdVW2WIR2UU85OWHd+hZupLmHLyMoawBRszUKdMod
h6e1q8QtlrWy2JqlOe9C69/zNA4XhoO/aEfWf++hs7mJVBd0KXYv5NYJPOeoOzIecFngCmFUHAVU
mMWGTO1czEhyocumEtB1WDrjZ5LgfAlWAH/kvozIGWuTCSbxBwWUzZ528eT8XjHXuJ3jit/Rbb7G
2gb20m6i/tYjBeetdfsOYZgTvwUiIyyZZCTbTDWf4OuGCdrOAuf3AqUClEGnxmu3GOoYv32OHAIr
fVgFDwLuqQSRC/3T7tZA9dRawbQegzX0OjDjnUbMqJGzy3lJhOheAZDscTBTRD3v4XrfqyhE6Bkh
aUWBJJqZncp1bqeXYVaqiNnEvwV792sdgFzNdBTt52DEbxUB5fWMYgK3PIQI7XEn23YMEPwbwKu6
8jj1aoXgZ4qj1T4SdFrvrgHhKu/7FtZjf3q00XTp2zgZcIvrHscih77V7EHFYJdpiHdHBaDuuQ/V
BkLU6uFbHLnLyRcObq1lEAcSwfKeREs7qlSYNqxvYappllQ5ROtixfF4gK5I+/D64ulr1TDCdc5d
8eQKD7wlA4Sm7nrvaeQ+wKyGoDUQmEeQeTCJhkHJyZ29Ch/s6Lk5ji2Qnrxt+3DZOuWIjzLzHdz5
2IlvoYV3v8KSmsbLb2bpbJNaIPnHA2sLtn6vIQGebF3sZgvqn7fZkdOLF1MRJzP3BZhUWqUaV4tI
TOhXXertQf0eVngAkMn7mGEMedr1EEPGUCnAPBbuEj/dNoos5QhYvmTuRlY4VW9Sxeh2SwJHlTgK
kZw8Mn3UI3CZSPQOJigjY6lSb3Lqd+rE/GbwAzcX7rzpNMRRmlAUak4mQoIjcY8iRGtGqkTYrb3T
bIxfgmh3bzCqJsjNgrN/wq3wG9F3PNn3WWdWz4g0BugBzCtEK5bWtO4MwVxlm2xq0QYkOkDoOCgB
jrmndasLA5/bzdoTrJSAX8p5aDnUwO14UiLkCJomNb8LWQMbJHQKz4FGunjSmMW5EKcewd+bOxz3
RDr+iwDb7EM5tPvhxmBupJGFHaq1qJc7gZ225879QUv4yibJhnsTbX1ZUV89LzpcHkSHB0hvOMl8
SGgiZCKEiGnq48ayRM6ufQYQC2HeSELq+wSObh2eBKKCAF/w+5d1Fl1WL53v50O1izsWuhXJhlD4
d5EIQhxFYb8RKPuE8+oPFn7GoR3JRx0Re0PMMl+g6sAurQ1tvsFGjFx0rxPpHF7dcmKYq49g3td0
Wir6XUkBM44BQWQIIvIkmW8uXF5NcfVuA4Rn11P1e3Ujhx44XqpDeXll70ABI4eUrb0snHA+dNMc
ABQc1Rgcwn5Vgi/Ab5xwCJF+aLhb2DaOkfTk++Z+FRAW1Ru62ZAtNttWhaD3WO827TbrzelABIoZ
Y9rhyVV1m6vZznfWbJFKpEWodiKmwDyAfG2LcLiOtJzYdtfS3sH/XFSbAKaIVBKoGnNvXVE0jQtq
/GXGoKTfjA9j/cxPC56xIuWzwgnXwusfpkFYjY995eohWTa84xF12hEgNnSYyNc6wsxf3bStQpOj
ZXWcCdxGSdw7bm48XxxXaNvymQ7DLUFjdsLX66Ug4niFhmgLEhivuyxmrEp1RSOsV4EVihd3Pi+e
x1MTS+j9Y8T9Ags0f99CiL2ObHeWwhHt+DCz2M/XWoXnjuJ5Ac3Dfh81q7wfyKLCZIFLFImm3XaH
gDa7pGbt9gPQG6GLXTai7J2wmV9cO5E08pwa3mIlXpxehrcBmUAJmsdxLruY04K0CpYziRIkGaDU
SBefdmU1NO4pQOwuAivj5dGtnfG7RZF9GK8aMR3qXiSowHoA4qoeVrQdJuyMj7ZJ6eRu73AxRm/z
NHPAYSgIJjVk+qBf4MYtRuK50GX20S++DYhx6Hq+pk2PRHDUds2ZtUudOwL0C8iTYL9JWyvxD3yt
X9zQijP8j/U/yJh3Abar5rK3wkPEFtB0HLbHjFr8SBh9Nvemk7bLt6mmRes7iFAPx7aETY6e4130
uG968PrgvELj2Xun2qVzm/pEjy/NyuefBskp74K19AfeP2SFPZv8b6YCuxZxnA5C133xuvDa1YmP
gUExj7PKfHeIDwGn8i2c4LQBydo+L67JYmv3LVHLKlWEtg7wh+PaiOFxJKiTslV07YApkqtjGCGr
KWvCbi+Ak7MVamLv+qZGO2Zo8eDabOJJHFo8Ce4GtrIHd5njG8gxNlbUrB7PS7StudyrCKAUBK1h
/ep07TsSnxgvZz2ii2m3CV0XAc5sQhhZ2wIl4YYdQwcf6zSOWheFqxLfepAUfgBz0enc3zmN7tpJ
iOXJb6FKem+wyWryDk1zm7pitt8gFfBvwKnxD5GNZ7gxcM4PS41AvDowmJw8hSOrYJuBwx32o6nN
xnjwjpXvATvR40sAgn3epp/YFgyJPyj5RqMuyDaugiMqsXVKyTbMz53uYKKkzj4D+YKdy4udPdpk
taIE85Ax9k50I+DGNNaGh1ULnAg12tFCxtUv3/LhHrXKktTIF/SzK0I/Sue2N0FWVweF/gCAxcjf
ptQGDHyaiczgrcRj24BCMsGB6WCq9U+1TVuxqRF+bIxChjLugHaRG/I3GZFA6VaiwWfz4yNx7Paz
ZgyGzn3hqcaX+OjHu/s892GVSRkQHELA1d5Abk0SJUZ3TeawWo9ayuGy87ADG2bgBYRazhtgA+YU
o0Y79W5cn6MNqI5kcEe3AJKjy5SQ7WFjjiijmfLbUXsYtmCUDvQND4IyIDB47rE9WVTbCWZAWBTW
o7306I0ysqEATPra9Q6BswtcjeiLYJpWAyzWsQjzsO6X0nHglm9k2BZV2Jpbo3bQZcQQpZ7VYx4j
WuZ26ocarUAUl2uw6ATC7u19BkoStdzOC1940321RRK/r+1EjjP7aazRKvkx354iDisfCVRwCCq1
pxWXDNnkI7tb4so/Kh/kCDCiggqqVGnyCcjgE8MtLFEty/jHTnGbJvOk2HlyqvgwLEohOw0iqFnq
9rk1g/2B8rF/6xytQZ7GIzxTFhlrCdW9uXi9M1hU4BhjtCoM7wRX3dlR63IesTjEExrzo8KiMX1Q
w6r+iTfHY0kUudGvdgANK9HorDNnjF2ZhhXFqTyjRVoj5uU4iN/jpr+tPJgU6AAXvdMLzLnAQwK1
tBV55fYIqAuhZMBuB1lDwNmSTNexLmjHQswZSYvcYqQnoXuE8b4xY/3mgoH3gLupvnoS2nPEgzob
LQ1Qa+4q969tWQJ9WW8SCBeqDM2mf1rBhGiwF4PZMyXcr99RQ7k5ZHPw6uxmPsUd8LyLM5jDPCzT
JWTB9hAhkqtE2Kt/s0TNdOaEi59xjc4JMAxWAiwCM9fWmarEKDE6GjP4CXH77d3byV5GYbWBRUXG
7gKzhnvTed76GDYrfWk497K+FqRJFXeDEwpB9zg5Gu8/0nOpBSati7OHZ4zWAajuYWBg6IDwwHfV
oZphME+6roESusZ2D0+KqUdV4IS/Y9PhyVkNAg82f1z8Z1fOHjtsomIHMRmWL0AgxXklJ2uSpWYd
ZiARH9m1q5M6RYcc540y5ozbVZZA4oPDCAZ9stPNfqxL0JQWHNYLqwP8YpHv6/MCj8jjoNgCcqPB
8p07FWrSytnMTY8eaUjXGc0gJn/BP94A1S2GaYA6VZTQO8fH0tLZ1gjBTDSCKABJSvV30uv2SU+e
pADGT9rPqFcvSPkMN/URsb57xlwsujX1GmwAR7TDHZcR0maBUr0bwMXN8DPRe+2BKIBwpOmjVjF/
ZHMjM6nQ3WA/Gkw50wxBmEE/5y4SVpC6G7tn4k/sYEZ/LsZe+MXUjmiF4H7CLBSIiddqbZcDqpzx
vsJBmjMIRg5qnerffYfY+XHV7GIrY8oqJPORDPPw7Ksr4GHFzuUNoK4JEDxQvkAYIQcZ8qWcdOue
FXPNIYCoY0+aGNtmhsfxhxP4ACz0+xJOGSTc/n1lmDi4qkXFtg/o4AFDaBy8BeHPSd05HnCikBKv
xOvLAF/qrYF0RCXN0HR9Mk6svixO3GRV1K4FKkL/fR6mSmf1GhP0cDN0Bt1kHy0RiJ9EZiTWuQ6u
+BKYubYqYfbnvxhqqBPrRRQkbs3282QxFEtBSQuLjUI32xlhf4xm4R5kbOFSak39b9VmptwqX23Z
pFaWhrjrH7VBSDcIA+4PdwDg7Pp2UgdYinM1B24SI1nngHA4flsBC505Xhf/5tL5cN0FlC3EV79M
kvYFcAvTG4xo/vsy0+mOTGb/rkiHySwDNmTVzfQyosjIB8S3Z24zZniIZS4iQrcD2zenNAENg4Pe
Rv9bOIfGJkCxT/sDst4xj5VwSSReaDCUp9gIvETX2qx26v6EIoHl4GL22eYAxSWpclIPADBc0i1w
E+i17bNCClHCHer+dLWNj771+odBLcsZo4vhuitnBVqx+KAq1GdTi4E6x3OsHIW6hrsIcWrQ5W0p
9DdBSRsxltp6P21URY8jPEd4+uHT8BrTOrMK/pvqsTlLzNMQHOKtz+4C3qKqRYjHXqUALASudcUi
MImtRCUwTtkWog2yA9NpE2Lk6iFl6B0r2+7WITiuiakNsHh7dOPDGpfPkrc/ht7DbAE7jVu4ZnHO
c0iq8Au2cGDsWKkA/DEGQ65hagH0riePOBiqwlJnRO1Khlu2V/Dq16gDn3ynhkgNhVM58sEe+w2M
LrRi6DxMt6LExhycwAletmCsPNUQAGSoOvBYVXubN5UD1KJ0ojjFAmS+UNWI78g+6xK/obiBYyC0
/MCiIKo3nhPTeqk/Xcf3s3mNvegadeFyvPIuXs3YrHe7mLxnz9JXvThVXi11/Qq8+YdxnT3pZi1o
1jIPxEAe0AxL+A+yD9tvMDowkDMbxaQ5VjnfeLPnARhu+D4wmHMTG7iY9MbRWrA+Zm92FPZ52htR
pyD6cTRypIuTLoxN3hA4PwJwE3PR4LiMIoyhAdiwR80dc64heXwM6h23v5T8ketmLvzKZUeFKgWc
IHyvrmTVXbss43tlNlvWcK+XAP7PaaDaPtNILkpmPdlEoCoZYNhUtIi8KCyaHaM/FJz8YlAGxmDH
1RANVpGTBwuJQWvz/RQetPhAZuWCV72yPAoVhBgigONt2ckbbTeT93aMzzywIg9tpR6WbYHXDog4
DFkcQJNmGV+gilhzOFKXjMthzFCuqrKSyIROdB3JpKqY/YaakF7CjnsfCNWMMW0NDciAdJeJU8dD
6sLdDiPT9rOp0b8lo+zpi9e4T0gS7td8Gbj6iB2iUh/wkKKNvOkifUzsu7CbXoO9iU67VXtOwarK
EBlyvbzQnZh2QvyA4AyoB3dLPAfPqGBo2+89uLoZgtCCggO4CRjIItUx3quxBA+c5A7mSe9tG7iH
2ml0ga00GqV6mZpzBdPqWWIOmjTAwxYRk+84gzAoqMY4E2KSzz2PaaExrDjUQUgf4NAh+CAR9i7c
Id4CMh4mpKXBFuB6bE8AdlSd6/+CIM97c9bKu6vQSZUjzF1JpTSyWywWNa1AVivgJUuC7dGSIUee
ZmbHprNrtrc+nGyGSgevqkdeDA53TyvfpqPvR1EqMNsuO2Busli3MjXOKLJKMHVoPFz1ZsCIINlR
hz8yZ+Klq5rqxmzjlpnYDqeRo5Wk3RYfq8CikpYdfwbl6CdWMEO+ib7NYxnUGMNjYupsrVsaq/Gz
mo4Dw4jK6oIrFCA/FCLHvUeoNiY/+6lSDVhs2NFlu0R/KqpO4SoO9P1SD7pEfcEi3NvBnM111SMS
Lax2EEaX5lAtrTxdEZN6uBugLo9g5WbyJ8zXOCqGbfcSRYfoBB/2Wppat1e7/0rvISSGibldRwqN
5rb+njDov6OkW/RTgwFrnbQMaB2za9yYLuhqRcC94YcX7AGADtK783vZntYI0qV0UxybqraTUY2p
toMUJOx1GACGOyCHifE0dmeTwjSzqQeRUuEJIO1Rn+R8ot4bi7W9jYUNJOBzc1gMm/WzCIDZTDQ4
EZHqMIWFM0zrD392+gJS+i4Dv6zPJpSHr9tqKYROc9z9QPbjqAHDnQTJARSVv2BoGS38ca6+iTu/
PYUkDL8DgDac6mgwvyRWXKCs1EN4Gy21dx83KCoxqfRu/XUMcD03XYJG/7ZF0NZtDBD+rV7xXycM
izMKMqkAnynAwhtAJFaXg/R6kZN6WA9kRQ53gh1Vd1wc3uXtypujmSb7fW12ZVLAOgElAG7ph+6j
7RVUXXPZ5joonD4EeBLNRxKA3Hg793q5CAJCWtj6wZPXB46bDWpTVxCoyXC7y3Ie1vjcd2J/MFbG
Oa33vfTGBokuzSwwsFwbXthVoj/H6YQR7eSj/u/FBRO8JgcUFuimyCV12iipfygngmvV97mLwZjB
fREHQ/U9WCeSd7qtS8S4tgXiheWD8JAKN2JekkZqr08YoA8Prqk95HPOflGDgvoU1bV5jtqBli7g
+LfTL+Y56hkafITGNau/wKUwkWm8qNUolXS4/NJgw6g12TCLfKN7hUtHRfwc+TzC292rAuDI/cw7
ju7NVQu9uKGefmLt7Ru0GH74jkJHBglYW0Rn0o9kA+wsx6hjdZb+jJE47c6ubEbojazCAjnY9AOg
2ZgZhJSE+cY93udtpdUhlKTPGVHgYbHA1G/VTJ2imihnhd6EczY+7pvEG7zhewMqzMfQu62FlIxW
r+h9eAZVkHek0dzA0rOIfIcsAP2QDXYsnQNp0omx62ZeNTkN0BChDDV3VYx3nwQ1Qsrp3tlbBh7I
77ZxnHTk2sm1B+NeOridueO7bx891zTfGRtsaQFx9MGYMn2671hh4pRo1WWGAe9mJ807swMvTUz7
f5Ra+QkjJvXiK0JTSRyMbeSIKDRJt7epHXB9AHDwseG+e5mw4ydgm3J5iBtUCKDlRXfx1pJbEQCX
beS6frjG5TC79VPhtHh/kKJwJ8Gc/up+23rwRNd5iwj69L330KUKe1n6Bg1fi6dgplrodcreIc2a
RDxCUVa5rptTCmAj9vBieo4VyulERT7WJG08DzSnjSuLZsUCJbaRzCW6vpPaYQBLeOfEv6MmFE+9
hNUjkaucH+046BUt+D6xdAgUgHhNsx+kB7zeiACke8ERdpAKjAB+Rcie805yByNs3uc139FBYNHr
aDIAXoo4NwywohiyDw+PyKkTWHhBoROnmGTVDzZA59tqsp8lVhHvnDH6HM1Bf4uiST4i47c/zDsX
mRywpmDg0GG4s/ilZOinN/w+98PgiRzPdeBqKakf5r3a7qNtuw2n8Z9mHbzLTCnAdFxjE46cwnJB
p5K4eyByM+IqTbprfjUlrfexYcl/nKsGPGg8GDPKpSgxDh6Lut7im721aLJZSHPADdwkJHTFXCcc
P3C3dfeeiLdiruh272+2PWKkE90jNoSmi+qabJ5HzA78RWJGrkyVY2O0H3ZgT5INTem3gIX9HXVZ
cImJ9M5Y8zRpiB8oJwpf26ztli07ZBArGdbzsvrBAyF18IHeejxMYpErVCmbWwaqwmyK+JX/sHl+
V1x30Bq6Dg4PrI8eBBvRCHNboKBTz7R97jq4NjuJCdQY8unWGzEOVw1mOhl8gdUB13R3M4YLQIKE
gqLVIx2shmVgQUk/REvl53WTrBdMPZpl2Gmi0BefIiz0sF/CU1fPmJkHDTEXrD9UstWye0emitlS
sBHEz4EPH3tfTSVvmzAfO1xBf1bOfaEr/Myn5xGf+4gJD3FMkM6IwaUFRAbnzkEuh96q/yZU/cyp
D0QFtCGUGzchxoaAZeF+jTG07/nznz/FF/q//xe6/Usduawe+s143m/aKYYx3hFshILKZx8NcIX5
n//GFwLGz6z63UL9NWpf32iObugBJ+6fX/cLB3P4OYkeLQX3mGHOae7kqZMcbWjXIF7TByR7yrp2
PpmOYACkSwKxmNeExwWaOmf6i3byq891/fd/fXdxvVocbhQCaPGyRE8TxNx//mBf/Sif1M+iZuja
4M+5CXpsTOZEOb9D6Pz//OJfXbefJJmYkXGJgxSG4h2ONW9JHcpx3z6BufrnP/DVu/+kyJwcPBi2
uq1v9M7RUh5aDSAkVGJ/fvWv3v4nBSYoSKErsTy+sdj0BbVfZehKCxpiN+66yJX6T3/lcxbRHnt2
cuumvoHWEbXOxSXToVpp0lL7l+Pji4vncx5RHS+Bwo+63XCAtuvg91Av2Z/f+1ev/EnwjLlrA6Sk
jE9uJ8qR8Nw1y8ufX/p/O9VCev1R/nXFj76EDKqm125ovkB9+M9aB6CbG4FW2F/idGf61bH13+6D
L35rer3C/vXnvGnFHq+y8ib03ml973ssXbvHcXH+8it/9U1d//1fry/RlcQO4KM32HDI23oe4xtv
Zu3PP39ZX736p7tYLdsIIeAMN43uTlyxux4Drf/20p/uYQMpWottVnyillVJN+XOEPG/vPYXty/9
dPvuaHERcge9PPCn2BmR7bBi25O7XNz/+c1/9Qc+3cG91BjqYSd+o4bpQlo0CjCG/gOy9fufX/8L
p9FnZDXCfampViOgOd+bbKtGcle715IC9G5SRv2kHhT2CA9gkbFbO26D/G9H02eKdYiIE21DmErY
ruAU9Z3LhsIj5du1Dw6Wv3Kjrl/U/xChfwacrjUqsSCGXxoC17KBGMXv5zsI6lBTmp8G9BkvoE/V
qA6zZ9vsz1/q/zsy/tcf/XTr18QbfIcAOR1HhlwcDyDdHbo+m2H0j7EMq6e8gfKl6B1FEw0Gdkb9
qCkQvALmlx846eoAFtwtBvhfWnWFnpBJADEjLbHpDjT6bwNJQYMJUuJEZPrA8B6xCF2/dIdGgrIG
AdFub305da+kH+UBXOTl0lpmbj1r+P3aVqQMpLeeVybNU7u26CoW2QcYnAwqly0u4hxvVzy3SvkI
eN8Yw+RgGlAYjFhMn92o2x+CpY9TGpu6qEwYlnHFoi7Beg7aI7a07beKzC+QXwNHzT3yS2C6dsC+
sy+nZVFHFURXpTFD/iRMGje6Cm0Git+e7rzzL3us+rxzkEELgjzJuUUcyxparNdjh2Kruklzu1fQ
WzfrtYrs+/C+CwNdjDNFq2SYjNC77XwsuYm6IqI7OUNw6v7tofHFTfkZnakxq/OxikHOMwQqGA96
lTqG8i8Uii9Ows+p2IJoSARgMD5FKNLh56ybv9mYv7jXP8My6U4d23UBO3nTcj9Vq8po5TxbXa+p
i0p2lmMug+7oQcz95/vgq4/y6eQFPbJ1V4LSLAIUoTACnnM4Pvy/FAVf/ArB9d//9UBiDemwEnLi
E8GCmiGzK6SPOIX/cj598d4/c34RQqPZvFmcTxg2H2MB6dasg/Dw52/mq/f+6XG3qL1nC8UziWlk
eWDVO2IsHmPO+N9e/tMX7zjTFLkjMlig+7231kDO7CKB1w8f/tvrf3rsaeA8sfTH2/f2IR2qKuvH
S9v9LRDvqy/n0zPPXTGX7xTugAqLcO+wthGWU39jhXr/f7n/j8P5M8a34tbten+sTnZCCABGt+pu
0//H2ZUsR8oz2yciQgghwbbmKmy321MPG6Lt7mYSkxjF099TfTf+9BdFRG0dDqAkZUrKPIPe+ejn
B6LI+/WkGAfmx3I2rc8+krzK34cc/291Epf2QTuvTMXOZozPtT0fPMst8H7RroCaLrAKVfIKmym5
J5ZUd2iiAfVZRJp/9R2AaqEOJr6gG9jsWdza+9Bu4VdNYn2MYKcXr2BIChQa9sAXEoXeDhex8asi
7a/YhikN4Ev98AiFZrmDt6L84XPIj6M2HKL6XrLn0Ud+Kz3f2aGxhfs8YPZfBBJVtG7aUQbMSzyA
54jAFtvB+sHp4YrCsmnfWW0XhJMN1D0U3rdtalsn3gOYgLKpj3LwyH6hhNf/cnNZnAo6ln950pYA
QrT8e5zY/LWx2uHLSNrpgefRdG4AuBBfbeW086ktX21VtQ+DtlCrEHkHkpA9fuukcL73vl0+WJBq
rTfAy6Z32oeSHkyhGMoxif0rLGTzw2NsKjahIvZZI7PYQ4LLfRJoeZ4AI1ZPdOqhgz9xoPE1XFIO
3VAmB97041vNLe8O3pk2OmUZYKXUBrYFAZaghMeAEq9cCPimWoLeogHkq8i4SoDPegG9jQdtV9uA
r6MZCD3UEcYICQX1go8osXRh8RtUAevZSe0qaGjCflpuW7/bcTjuINnU3yVhBnwz6NR3DNqS6xC0
pyMoKyjz2YAwqdh+TULLBWrBY/GdFB2SbwwxX6ersxer4um6lY1DFhLB3K3fMSIVbKtc2Y2Nw687
ukGku/YVCLX4ZYKCFbBpqmAHgjb2F3gfQce+qNsNaEcoxYFicp+FbNyifjst7GwzcW2KW4d9yyDN
NvinxrrrdfdAfOuutPuFQ9fM/cdU5O97jdOkT/wT736BkrDWETDA/CEfFjPHOXteShzGqU5y4NVR
6IGW9TCe4AUBK54cjSzl/AVNqYevzQjPLgc2cE7TPhPqfxv9FBZkYkm45Z9U1P9+gG3K0U5Co4FZ
NGMQFSmoCsWoHuqp1+8ejeAqEU+/SabYhka4KEONP9rC4QpYMD6BwEWzTt9FXQg4ZFpjq4xgTXJ9
L7i8UdqmUXle8NqZHG8Ep3TYOnQ65Y3aXn/05QVjU2MjCHFEBxQQBxZ3+saj/jS032ECeJPGCCp3
/z0+dBzo55FWKeRG0UJFlXbXAmQScursrn/95QWJ/PLfF1SR0zBgsGBBr4B4G/9w2FAP4qOGqPf1
F8wMjymJBqxKByu/1Aksyh+1kgGHLOyKWtnC8F8uYNi2sd4b6Q4KJ3kdQJxafS2pE4EgwIBWt0FD
2laORG8CrRmoOA3OUsXqMkPZNlXSYDAXoYHUJwGJgPjxp2yj8m7fNO13UUYhCvzVx/XBm3vReTl/
Oj1KVuLaNcZTYPn3MChag7G0suDQBxlx0FfjhaQ0N4TGOW8Q9WTnrZ8GsOmGiRpaheG3BgBxtJVl
Y98B1DHchcRxfqAzx246nKGF+N9fFglCUhWGOoAs6UnCYTRunqOxebk+bnOLzthQgAp2+sxvpgBO
xQdAv45OCHg4bOlue7wR8laKDnrfwPaxiOQmqwBDbjd29XT94TOpytRO6zPp92PKBfx/uq+gtD7w
Ojlef/Q/XeQLudkUTgOjGvwLYBcx6uOXKIsfABlFwcba29qFY6j/3JYKlYAap67aYnsYgC6M2Eya
MUXVcOpUtBHZBHtneFtaIKYfp04AawrPR/AuYVKzkG7+LaBLP9HIB+gJTnaqNe6Pfe7sw8lqjqq3
imMs87cwy/KHJqyG1aA1PQCyXaxKx7MeWuDycKkf9NLdZnakzyvzU+RSr4XKuPJ0MBJ9V9ZQYigq
xFe4y3ISfocsGMOVBCJwLdzddiFNw2Prjs1CwW8moImRNjTsCm2nR1KvQHBNxzdoToMaN5z65r1L
v7TJko7gTJgRI3GAktL2XSGnANTPAsDgdlqrMbRBzc9vSxPESBPAs/ZsaqCUwcafPfldoHAiLL0w
THOfb2SJTgGv1cSVB3b9q+Bgf9hwfQvl4XqwzcWxkSSIncI8NOq8Ux/qR6f1j27RLXz45fkFquO/
iwvyQ6gOd2IIJujYJau2jTXK0ZW99jNdvHsqJD9pAVMmTqd66WB5eSsipkwby31STxGUpCYnXTXk
Z6rf/OavpT5E8uf6gF2eDmKqtYmeFoAOAWXWAS71UFhgkFmogTNcw3bX33B5Soip2Oa5YJNwsIEC
opw3HMRBIul/Xn/0Pz+H/807uLT9d04I0g7Na6xUAs2KDciNIwBftVpT1v/JBCBakEQnsHAmuEgS
LvfdqOyvHi7mJxd4h3twB7+NgCEeG4BefnRota9gbA0iKTxetyDe9d/UkPhb9PnIYYCEz8rPBdBO
1z9+buSNfEFhRZtMPZZq7k7PkC0MWOoDkhe5Nz7fyBOOgOBhNfRToLoIzsJxsyXE3xHYgy8ExL92
1aXRN/JEU3UCqpe5DkpdWT/zNv6tWdo/AeQoIM9Vd39LrfM9z7x7yjy9gbNiejd6dQ/iCfF/FLVn
AZ0sYASsZPYYgvf3E/xboHedsL8feKh+lWBlQAZAg5pvwzhdKccBVUp+AGuZbidZyHWbdaDJaG2/
0U5mazg96r8dzh37DFC7r1ADqLYKGJ0j79GdrUGrhKlcqw4FhZESNPrfoxoQE7cIy0Pop6jHAAPY
BsABxgpCBHg0pQ4Q475XPnJWwj9o+OoOJXnMFURgtCPTX2VfwfI+1l5170I+Z13Rzh9vnEEjVfow
xSs9XpfBQH6MBPCgEqYW49/ry28uLI1M2We6DnOrVIFTdTWcLBWgbVBsuU3Hm5gaeIMPd3roNPLT
gMnk4/jhW9ZtX25K4AkvAzoojiisrOt2F05gtnGVVAtoiH865hdWtal3x0OYNxBUvQNQEzaokqzi
2t601XM2EGgieCuwko4Dm06+jXSRyf6Qdk+N1tsUjKpS9XutQdIEuyR266322UNkZftsQh0MG12N
Boy7hNuYmUFTNy9xK5Sk9ACfvMItV5pPZ3vKm44AqPP8N7HW0OIYAQjTwVA0qxaWSW336tZL5jkz
qc8zUl8LEcMUDqbihKNSct8xWAyDSp6dQpX3S6J9c+8w0l8M6DQEBZQ4ZdlhmL6C7Zo779dDZ2ZX
9oy8B2d2N03Pj64b2DoMIH+k0F5oIKXxs/CXlEjnvt8I/gEy7D0dCT/ZafEgWvmmens/SLG//hvm
Fo8R/oIKqGiwAlfBEgWxSoFjCnu8m55tKt/1KB2WOOfpwIZYVEx+VXIhNmcG3pS5k4xABq3SXVAy
spFJfuh4uSL+E2lStAijm4qRRJzf/ukWIdC37wYIEQRnpLdnf+vTv0psrw+N/S+NXEgvpsIdkq52
YVbcB9QC7bMiXB3ArhxAoAdlydq4KSAnqHpPY7+2O5tunES2B9lD9shnMBh0kiN0rOm+jqryqFrw
xXzQ5Pm6c87lJIB5yWoIrQhVBPCGQAJ3qnZccQhjQeupYAmYhIOf7gfQ336ERH0fYuD6wPHQ24iU
akegF7TxPWvYYfv0vnBe26isoCGByo6S1XffDfO1YFTCFTKM6XgHH2XIDwCYVm2hGOI+Z6A8bCgY
xivAS+Vd46ZJIBORHhzg8rd1zYa/WSTSX30M9U7hqnQLPkCKfTuj6Miq8RmsfReaHbAYevFrCEd9
1XYEzIEoc6COYfOUB72V8WNJYncPVbzoeYAW0zEd7BDaR72AhEc8bsIsL46yg2BJlcAOhygKsHbf
dgcbjtsrJ8nABwSEMV9J1nT7Nu/YvgTdqID2PnC9uI7A7BniIGEDulUO2vPggh9WOlYZRA5tXsCW
BJMTWCw0WcKUHyxXi2+W73vbcGg1pJWo3voFOIKi4O0zVJzzHYuEt62dHrQ3QPZTqDeNFXtMW5tD
/SV171mfiDXBdx8yr3deQzqBlC10A8ipZcvxXebjBMX4CZIxJE/vY/Act2po8i92kRa7tgBZvXOr
5pD3MJuFW18IncyGwixyUiO0zSrguJlHnW1Ud+kDCGbZPVTPyj9QTENbpFRTBkGxuND1VgheHuQo
/BOFvMBj7dXQr5J+gyo2i5toawvtRNtcA2/vkbBZW7jOf6sHZeE7GQxIiwYc7XuL+kCZyzJPY1BL
QL6O+9TaFdqK4XLt/rsCAFfdgTYKF6Zhb1d1v7W5Wz3LgrofbqXJVobhABVv7pVncoWfvKoY7JxV
PXjO18pvcB9FhQEUNTlNw/Pk6wYsAw2GA4S+OqzSTSWeLYa91vEt9tHXXf0kWzvZEVlWb2mYvKCF
ofcUhprukcc9iC5ejI76NLXrJsqbA5xDv02UTxxScA1I3hYZcnAXAZpb1yp03LuIQIEn65wh2bAs
6m4TJibC2FsYamgami/eKXWsbl1O3l469NUlMI65noFm9hVh7CtQTUJHEnp7AYXmdDfiahAptQ0p
gOXXX3Cu+VxKcMbOAh4M7VhiuacKuBpIt8EYG9pkEMsQAozMMA4X6mozO5gJHM5HzetoGlLoGHbR
O6hsFkSB4U6+cLuZe/y5DPBpF0hA5AAtxIa0IssovGLS4gjJbrq5aZBMvLDleloDc+6eoOMBiY51
hCMQtR/Gnix8/sw0m2DhWDuFCydqdoIEBEWhr/bv06Vr99yzz3//NDRojsuBehlEc4EUf9QAwf4Z
rZBsej92F874M8UWYbyCRuMIP0rAfxoNmal09L6DfY2cZseHzLa+AMC9l7y58VhxXgKffo+fgm3U
MqDhE/c7KAJrhUYdS3Cmq0HXKJrt9SmfWVCmRCyon2486Rp1uwK6FOVZAbgtx/bX9afPDBg3fgMU
TVF8Ags5oO40BJ0dg3saAzBXAJe+ZQiOswemXgk/Vwv45Jk458YB2xGlEG7OUU2tu7vCBo3Rt5uP
wWuOjeQLYzb3DiMbghLVhhZEHoIY6sZvLh30c1OVFvhGqbt14thaOPJd9tSjhJtZkTsoVTduErjC
A3UUNM6tEsJZq8SGuFoqh+TVT4UflCFYSEB8RNteqeHp+tzNrAxuZMzChlDd4AGISKEZVA1nQqiP
ftP1h5/LkxfSsQnBppFkuRol9vPQK1ehmtrNQNRv4ofr3sMrcdpMB3oP9v+f6y88h+ilFxqJs4yB
hBgdwDcd4VUHmw8Hy8d5lMR2vbAqLr/BNQFYcSzP2lsC5mpQ5i1qkFgiiME+Xv/8y5Phmjbrlg3y
H/TGVNDT7C6lKbZG++O2R5ur2bd5BRUwcfIdVJbEmy4WQnHum43Vm0xOlKe4zUE1m6+88aGOXq9/
8eX4c5mxMsehJ1mVStgn9/wtV0AxobW8gnBIvyKDWrIYnPl8E3blgtsMlb0OPn2hXPMEXJPBEUt1
gLmHG8uR+SO86sDXDhrcFqAPA/Z5WiwsxMux5ZrAktJ1PNlZ0RTUYI5NYLejq78Hhemu6JwHFAc2
HW12VcQX7uwz6945z9KnfaqvMpZadToFVXXvoeMTOX+zRQjo3MPPf//0cD8UnkVAeQ5wJF5JS6yF
U66sYQluNDcN579/erxVuWogpZcHroMhKSR8ztKkX8hxM8vUhK8yHYJ92DjuyY4gWAtuqP3Xbd5s
EGRvCgPHCNwUjBiaE1UG2nsoASAGKD7znkh3W8oxkVhaMw6WfFMGAJ8n4DqK39BlWTgHzg2NEcG5
6zoTYWkZOCnEbVK36bYxRUPP6xJvl6BqfX2EZlqvrmkTmifJmBYEBPGmqOsAOmT9sEoG8KhZ4hX7
AaIQOEPrIbBKSnec2VBxtWEYi8YiSTfXv2FmiVEj0rsOapctQvLUWvlTSvVOle3LbY82SkIy7qnK
eJsGoCIXaCoNa6hnFgur6/LRzTUNRBmsT+BEiRu3hip0Cb3dkk2PyfiD62fIbwOxXy+t45kYp0aM
y6SFejmAkyfIlY3r1i/ImkAmc4WeyFLPYma9me6gchokIZqykw+oZ0Igx+pBFLN5cYqn61Mx9xuM
Y2fCK7CES2xJknEUub5NKtnYwxIQfm4ujEiH4hZEOVlbBnlKQSTWdrOLC+EdpGT1maMP5C8Uc5Kj
bKT4fdsPMjbvoQMXGrKo/FSx7QAg03Tm7o7DQlDM/SAj/l2VhXoMOTtZsrjXhMGQNnrTY7bzCWpv
VhytuqazF142MzcmcC6pIwtwcu5C3wdUj2SIHlKR3NlptNhyvHi2RJ30v7sIlLk76Qv8mjNbBKe0
O9KoU+XcmEFM2NzYDpAAo+eLbYkClO8BppwdbpplEzEHfePBHryihj6fswKoed3pZ//Goo5rYuO8
ukjSzpsQdYCc0x6qOAXEhLOF+/FMTNvsv6Mu2qmtcolaQn12XHrq/D+0OzXpUkVq7vFGRGsPVEvX
x8fT9Jg37CuvB3SzUOLNX24beyOoR7tVoMqJMVCk23PO33SKcw3UJ2+qRLn/9sRPZ5sSgj4MaFQb
mxs05yBUWa3OWsy3fbwRwGWZArBH4NokYvklB2D3XAKFrO/iCeHfNP7vhc01sW/a8prGl3EB3B7A
wmKYxgfHA6qoRO0YRgqOv2o87gdcQNa0nmj0CiY9WJhQRrgTIs+/8LaBcKcts25hQ7y8IGB18N/1
pnGLGaFYwoArKF0AO+OPsSJQbhcPJINYz/VxnXuJsahVLnNIUTRuUOdocURQ/3lKcg/wgu/Xnz+T
C03UHyTz8ijBBhgQqwch7/eQQfaB3HisM6F9Amq0BBcaGD4lEE2Awoo3tutqZOAPL+FHzgNxaVmc
B+7TqvZYTnkU+Sxo3WmdwImtWtomLg89atf/fbI78ThTNT6e803OftTZuxrey/C2E6+JwxvLss8z
UkJgnb8z9VrSZjXVT5m7wC2bGxYjW6G/4UV1GPLgLHa3gi/kWesxWtgl5kbGyFRuAThzTM8jM+Sr
LryzUmfTeb9qt19IVXOr0jhsIJjBeXZSHANgH5sxZw2iDewcF2Lqcn/WJWauog1IRrUGc7NsvtQM
4sYSGlIQBgfuiDtgvHTtwpZ03vD/d3EyE4xHFBx9FVVu4NvjqoGLsqNegCBY9TRfs+QXtGMXftLl
AYMLzX/Xaq2SmgxISIFbegcYVXi7sIXYWwcxvOt54vJ6YiYAz8tkOtYxfgkkMiG/8xwnCwno8mQw
E3dXaRnFglMe9OhgHf2yzjdo22ngpmq58l1oOMO27TZCAPONqID71BS2LtBE3jT5EEzOhh9pMYQg
MALuJUVKoZgJOY5DPMX+4/WBm/l9Jn2b2GKwtYRwTCMPdlfsCwYtQvWe591ztmQ5PjM5zMiBkTsl
4OHZdaDaBHJkdXivpsJfSFRzS8sI9o52HEijUQSV1a6akgOCBplId+msPFPTZr4R617mqGywBAug
KrZqYUutyL4CJnKA2ciEhkDEvvjQBqflIqN+Zrh8I/5TCCSHAAtAURTOXr54T6Z3aPquxvqepG9O
80G8xyL5RuBlhfNX4z61uOxeXwz/ztEXEoKJN5PFmFFYiwF9Tdt1rPI3bkOHq8qTFaBMB9gUwOSs
PY4q3ndF+2f0oNEU9/yFxNExsd0dRFu3di3y27KGCVFjbWeVIavhppcw6JCz4it0YI+iKBfS38xA
mxi1HrYsY5cVbhDDVSBsnUOk69frIzn3aGPJA3HcunEoeEAqYIFHQL+rJZrA5d2NmaCyoYJHXJ2j
9SzRbE49yMurOxeArwm0yOsf/68UemkZnH/Vp0NLm+RO5SLVBSlzRghdNdke8iQNeEqhj8paFp6x
TtZBoX8ALIGyy4MFOtwXDjvggz3wETYkaJpljKp4LdNGH5wWbce+0cNff3KTzST8ZCsZZEkLzyZv
U5y379y2IJ01lG30Hc4E6MCNSfzDiaj7NbG7fFy1NR3u3C7kuwiC9Q+RDf1VV8GprMp5+gIAiR6h
pwf9/YVBmJtBI+5BSJ9KneoW/KX6JZ4S2E6wP9fHd4bowTwjwlsGVmrXQRtDlnX/OyyYtYvCpDyM
RDQfEbaAh1FLt1jrpIwfh8YGnBf1pvBx0t2wH5ouXlpLM8nTMzYcu2fwgxIlVn8DGxvPyd7ylj9D
mWSpYD33AiM7S9has0J5bpDC2i6C2kIBfGdrPV0fyJnNy4TItW4DAXCqoTFSWM490FmMAt6r/cey
d2G1BgENeAp10Hy/7XXGKcaCKmFqA9QUhBJWf6iPHpsiRWLm42PhxQ9sqBdOx5c7IszEzkW6hQxa
U9EAyJizFYXqIN8sMwrnH7A+1hBjhTY3U+1alD2ESmDgHi9tATPZxdSrCVXK4QkQkgA4pX6tKnqA
SUkCcHj5AaO2hUbx3EuMgZRpWVtDpuwgC791GdB08itMI1cN/bg+UTOrzkQHThlcl6QgqJML9pZY
FC4WQAuQCsrFi/oVc+84//1TjrRgACQbsOkCHeu3JBr60wQBYzhmLwpOzWQgYWThGtttDWswILQd
90G61e927JdwsTMzYMIoQteHUGeSDwHUFD9yVcYrKF/a61LT7wOpvl6fhrkfYAQ/DNDQaxMxtHRp
9CWBmSWwOguhOBchRna2u8kaQgfg2K6Idl0C4wou7mIN37EEVRRA3mz0Px2+NFxzk20kbAgGhv/P
BFZFeecU+rEt2DtUlZdOOjPTYaKw4kqSoo0qJwgj7cPOj3RweMpLf+ud91kJwYx2c31OziF2YWs3
RV0KCRylUhMPCph+HHoa3rdR/AAHn23iRnyFs8VPPixpEs78LLPVKmDrRYkiRSBgEty8eMyC/CYc
r0e58GvmXmAE4TACx+K6uOlXVbWiTb4v+le/P+aiXrjpz7zAVLzMOUC/EOaog2l6KMp7psunuOMH
G85q1+djJkZMCBvhpKqITOqAh9+4eCxh7nv9wTMTbULXNIDIXslKGuhy2EltvbuWNa2AkLkD2+fD
maqf3Mrer79r7kcY04B2FWt4F7Ogg9Et9MpBJhqbw/Vn/2s8XlixJiYLysYVTeMERbqJ1s81Hb1H
x8k8wH698XWIJ3fjg3DzN6oqOBBwH+q7Yw3bt0ye/Z0HLuIVgY8mxGJFtB1kDytqAJNg1Et9AJdz
1Pyg3nqwBkcf4ZjufaXuoE8cWrpQLK49oKtra9dETXefl6KBsQ6nCxM0c3hxz4P5aQMpaog6ZpAA
CLwE5WCEX1Y/OnBF/OHxYngYqxDdJej/7q8P40wGc82TnsVUbsOzNKh8eJkO7YYCPYNr221PNzK9
zrOocJICW9WQf3Xr8JRE/n2Wqx+3Pd7I9lUGPxxut2j7oKBXVTn89L6DKLcwEXNDYyR3+IRDIZRH
Oojqs/N1WH5xRvYhwuYmNLLtmRQjp4VrRexFBFJs2fRzqBXgJjH8RVb+2Fvfrw/RxdWEdxghqNGB
hqW7A58vHOhftRLTlywR+cmmUbwOS8X3YRTLp+svuzhieJmxdGMROnEtYHM4On+yqlvHLm53XrO5
/vSLORdPN5aqUp5A5bFwThBWyVcxLGr3MvFg20P093Of98bXGGu2gfi1qPvOPsEn7ujLLmAuQcuv
y7bg8Sw1Yc4j8j/JC7/FWLmJT1lRFpA/jdvx1CbJo5/3C5eEuWEylq0oU2iqaAvgXkinRZY++PYA
IZfqJY5hO3J9KmYm2rxgoccAJwOVVkFL7I1uJvjyDvE7DZ23255/3rw+5cCYQVExktw/FR1UFPNk
1Hei8oqNBc+Cx+uvmJkB8y6lHW7FcLAlpxRSsWtId33UzFsoIM0Nz3lqPn1+H4rQdsG4PXG/kVuY
3MnXsj5zh7D5Lnz+3CvOf//0ijqSIOLXDTm1MOE59fDDgbtLhvI5XDquD9BM5jCvGeA5WZmfEwI8
JezdAGaA83f7G8fEbVFO35KRLRzZ536JEdYQZXNg5KWaoPbZoxqBe5ROdYIA6xIu5zJ6ClwxI6Lh
Al+iIqX5iWc90O7gTMPKjltrD+LhBTCdapJrFeKiNsh7SpIl0NY54C7EuMkFmXiWuBpmESdMyhdo
bNqvMKK1TlXr5K+RgwtnaxH/j8jG4VvD7VMNeYWFIZ1b20YKUMK3k4w6dQBFP7h8/hjHpcCfebJ5
IaGWhH1Uz+oAbkQwdknSFw86bdcX3MWTKci1RtATF3daL2lVoCZ1N2oYrWYBr4CFIFDn189O+Xr9
PTML2zxaazezotpNKJRpc5iQdP1LfKa/RUL9hR/Dl5xNC9Mwk4nNo/ZUhtPY8CQ89UW0znKo77UA
g6XrurtJ5QBDZmQB5nl+ByG/FqoZ/YgklshjN4QoAk1TsyBzMxOe5jEbD7YUfGP5KbXS9sHO7XSV
wQF9U1TJx/X5mHuDkQDiSMNhGKymExygVzCJ3ZII8pDFEtVo7vFG9IPHAItGv66CKq3WPIOPfS9W
yieH277e2MkFB+ljhNPwiXjd1vEIVA4i/QaJ1KVO01xYGMEM7cmJDQk67DIVX6uwOKLCPa6HgsKP
CMg80E7hIkMWZntmyZp8BjBZvQKORiTQ8P/YEAqbVEnraQ37k23k3SRaYnumrPxkuTTPPQ7Cp5+9
9lV4l8GD9qbpcM9B/2lfrCwYmXrKAdo3VgmwnmMAC2WcFjNYjlx/w0wKNOXl86i0WAXEWaCt7ug6
wx6mYrvrj55ZqqaUPDxU64Zp5G3VuKszXXkoVmz6ff3hM2nPvFeCa6BKUpE6CHu72xQy/B472ZOT
AYgO34t4lXn5wq1vboSMgCZyLBNs5ATiUPmRhf0uE+3z9R8xN0JGMMNoPatV1pCA9HTtCBydYQFF
9tcfPjdCRiiXTRnJ7Nz1gJrpyo5+erCPjb1nj8MuUS05ssy9xAhnISpKBwCpT17MHjsIawwNGnQd
nAE3KPhs4cqz1GOZiWWzZK8G6dmAI4SnVPRgKUOJIHc9sp6gdbpi6bigEjT3FmPX7qaaKHtCwDF9
SG1/NYCADCb5Kk/T7fVpmXvDeSQ/hTTDLbJwYTR1slyA1CJ4OGzcBjyyOE2bva/j9LZMbsIROr/o
Gs9V/qn1vZ9uXr+WlnUvEnshtc5EhVlhFUSpqurcOjj7hlUVWr/uwnVj7snnv38aIAihCl61FsRm
Rth/R6y3N7UVqYWnX0YwQh3XCGerb1Q/irEMyqp6rOAuvIMUsgfSeT4eZZ3DHRpbeP2YOSixQ5Yg
hPVU5O+SNgfcGqqp6Sp1Gr1Pq/HG9WDkgFwCIOMxEDryTEcw0oRh8v3g5e3JTjonyCE8t5Dp5xae
kQ8yO6YJiguoBEQk30BPsP8ohd1ucXmP73nKioW8M7PDmzwwG96mUKkq8IOcs09ou0rHYk3P/mtW
4BfyocQd5XoozawUkwvGJhsV/TQnQTf8tDJ6gAHvbZNiagz7rYwGLAYcHAjZDKoBQAVG5uFzkujN
9W+fSf0mHQxHIOkwgkqlM2YA1ihYMm7hr+CA9R6NCylgZiZMsK5XFFHPoOAdVO7vpoBTOwRD66he
tQ5UDskdGtYLP+ayPrTtmQBWljp15HSAEUAyMdlbUSL3EYRC/kAtfBsl6PhAwoKje1VVsDdj8WPI
vX6fU288hLDuO2QT7RY+ZW5NnFf/p+wBz7pkiGUI03GRAu0SAvRaLSyKmeE0/Rps6GxYHeThgpC4
36OR/uiIABqjrL+DH7VxOnjP5ZrcdvIz/RskbNmgMSadU8b0CWqC5dpqw/vIWupazv0YIw2OMZTT
eJLD22+IgK9Ka0iIVO1H48btXvbAXmm4t71cX+szmcekxDFajk0/SHpqkiOHOV8S/hbpCEgNX19/
wVwwGaktgQE6ac/FnSoTX/1evcX9AFxpt2RNNfd845TjoYwtPEAuTqKEmTK8WuP+DZ3Z26bapMPZ
o9soGPkBe1PRI0yHUVmDP8sK+r797vr4zASFyXZLojCFJ4CaTtybHliaHYqsXBj6mbmlxnGmbu2u
g/8nFLMyN4CF2qqPq2MVfw+dhdGZe8H5758COvZalBndtglGpg5lmPEVZMqP0RD/6HK1BIOaOcaa
ZDeYlULSKJqaIBTuWtrfbJgrUiAtw/h98oqFoZqbhfPfP/0SN5ty9FixStOUvGnaPePqvnCq8fGI
C8W5f5qXnx4tnDaPcYcmJ6+qviWl9QT1K3eNPeUBUbCOKxugVAY9/kkuYQUuo7tsz1SRD6XufBjk
0hP8u49Q5j2FYCRa8I/l7DkBDKrMyBct6Y7UPWoIQMNFv29bzEaww2cWBuTSwTC29BE6FU/OYpv6
skYofpQR6BC7ySpv8uuAhVWy92jfnspGjum2rcf8TtZDmq+m3E+rFWs8qdYSvtDP9jjpI/yHYCYv
4H6Oiwmz7Z3jsimCn0TJCkj51R9D3bc5rqWxCyN511aPeV219WrI+ijdV92UrUHs0wvQo5mE9T/k
unZwbZh/kpNdFk9j2AJXKrtVJ9Ml8OTcC87byqcFB+dNvxgHbB8E/gFBO+XqG2Rqyjv48saP1+d5
JvBNgh3lsZU3AvMcY2w89UCHej2yr1O6EDP/BuNC0Jg0u35ENoHK53iCaVy4sarE2SXQ/HpE9T45
qAJeqaQIuzdpWSIF7rRKocDmq50L16bDmLr+phM6f7IV2u6EtGBIOnLChRG2CXGZFgd+NvG+bSjO
s/BptKnvAhqfjU3QJ/4DltQT8VGO0P5pAvH0+itmkpPJ24Pc6wgYCPwgpqg5QCIMnspIu7dlvn/H
xk/f71mowXkQMTvVgt6jpvVgOUtuFnPfbVyffEg25LRBfzCPx/onpCeqByFqviSqPLcIjWSTJuhq
ZBocfhmFp0yWe8eGL+wwHiZIxl4f+Zm95x8k/9Pg0DHNPZs2A5Af97nYORT4nvaJlj5E1JZgMjPh
alLAmskGWhAedgG4chDwClnzSElKtzkQpLddxoixTzesrr2qj9uA0rA7NDm8t/um9heKcHM/wIgA
JybcExYHyK7dlyJaO5BxcZIlue65pxs78xjLeHLo2WPT09AtyXTYbJIuow9Jn1cLlaWZaTal2FXm
MOk2Q4tzqch2li71m+vYVbeqPR/CMZmETVAtur5aiLnL7xMmvqCsIljVZXkblG33IgX9WaZ+vc4m
/2doN4/wQfm4vnyd8974v2lUmAqnUwuMjeYWPRWD91RJXkNnvpJr1wkHGMiH46ZrwmjjpPVDhMrX
igt3n9l6jw2qXsnO3VB4bu91Ek877KDNOlFiVxEgnFXjrCCrDSNyOCrtpMqsA6QHyv/j7EqW5MS1
6BcRgZgktkAOZNbsqrLdG8Ju2wgxCRCTvv6d7FU9nCQRFb3ojuwKBBqurq7OEA467SOgGJod7y1U
lS9Ss10u7K9GAya22/tbV8bXQ4u5LI3TJjVtIExwqM1h0OfUdx2pNlANa49eTOeJwsLDxFELt8Te
MevcvafIxkXt2qMXc5nXmfANs4GBq/Wa1C+5vzHO19eIuYRWOXAbGTMwMs6jmKEYCqavnZInj2+k
+dfPo6a7iOOWW9edHJv6VDucv6jSoOd5pkMEv2kWAooB/PdQ1yfP1lu8mOuQO2IuXVe5h+FN2yoF
KazjIijlrF+LcmB7PbMp0k5douZTgdBFQGzeE5HwBxBpXcj5dxmUUZwiA886cQ5249hVqLtx/G6Q
LEXcs7VztNiss9Ct04wEiklU3cU8mnHR+jhve53ooAHu91Ft1AbSSDq8GT6I4S8ezGTeb6/MlRFb
eqP6AjacLqzLTjTt2HMDYdMdw303ZN1ZvTHZrgtgE3O5s5uwG2vrPOegXw9ahq5bDoGXGF/Hus7r
2Etd6cMovjDOI+QjwgwF4wh583hSVirqEIwkleL/kzICfsV/J03pBMyX/bcUHTSHA+2an76UqQ5z
Ky+eakWM7/acDmrXDN74wDKIhd/urOsbvekuMv9cUa9rQXuIcdlsHhzoLL7SKvVF0JgePcN0EuTU
T7W0vMgQZkrcDm6tcc2q5NdguHD06QYmjcCHuLoI0sojG4tqJRYsaY8DbFx01zJx8jlw1wEZBxUK
QI8+A1gk5vKKQQ2iRdm8S09m5/yEgNu9mqs0KAQsAm931dr7L8JkSklTVaghxkAgPbSJ9egq+Xr7
0SvjvdSFS8YBfKOe0XggBjwG6LkX+kHg8j4YK/Ljdhtrr2//f9pushxL3DIoXl99aRsWVVm5MbJr
r78Il2U3e1IwzmKW6pOZfbEasbMbuIGLLfzK9ZKC6Swy3zHvk5KWI40t17+H3+reFfZJyKcMGkCN
HCPgYH/V2afEGzGVFsuvxsproUlJ49ydXiwiv4IHeSgcO4Oe8Ba8ZKXP/rouMNzGMRh1YtEk+ujB
y7iZlROW1NYR77qNkVmJusurgwEFnh4YgyQevPwLU96dS6aXlnkb83bt8Zd078NpgbR478Sv/Jh5
mf9t8urupSkSH2JQZjb+uj1v19q4dOCHNiYPcsJi8lickmqEy9UseihE90ZgCahDb6zttUYuv39o
ZPQGn4quYDFpjEeih6/cqOOsGTfW3trjL2vyw+NhhIqyDAyq43Jyn7vMfINwzKGpht3numixtPNW
tSjb+nacMhMSb+CVJPhPFn3u6YvVPXhDp0bF7LhlB5j6gBo3h6Cdbrz79ZOBuZSQa9ppIBKhKYbM
djLqez/57rH+ADRfaLH97S9YW2uL9Zx0SWe0WFlxUiS/ZAW55ZGCZO3RQoRuNWyUcC6D+ffRA16Y
/z/IjKUVl9yxYxys3ogrIbfGtoRWV3ppWTPvdM3hJGvZMan9aOjkP44CsLIS7tPsTTKQWfPldlet
NbRY0TBFhAe1ldG4bS35TRezihNZ91Hht+m/tSYKGrKF2CgMrjW2WNrGrMZslCWLlaHDSRw9x7/L
22OpNeT/325/0ApC1VxW00XmQZbcJV5sTTS3cP87ev/q2ksUgCdpuvNyOImaciT7VvcKF2dk+gJz
hkQEGTWcrXrEyv61lLlKOwvg21lxkKb6I4wM9nPpRSPhZ9PTB1H62F3Oib3lBLPW2iLcTO6QVL47
87Olvdg0WEB0EjisvsOyvYf2/b4bLzT2LfvEleaWynkW62oITk9ePLkeA63HQWyTvhmnjg/PAqzu
wFAl1AQKKAjGKpP9RpZ8XSeCmMuLhkYZgjWGYceFSAyYmMwtqp2dBR48ZDXSRx+6yAHNEwZtYjOZ
I5Vp993Kki0BlBX0hrm8dchs1gmX5U48y0m/WpxcWN39bDsR7hpyenLKfITAQW8PJ8AkhyRgTS5l
ZDbECogQxS5z5j6ywan8NneVvxFR3ZU4tMiV6i7zuoJwN7b9+TmZapC/RT8Fhpiebi+ptUC3CKfj
YENJSBhODFm4tgTUunf21gAQ1MZm/J/N7pVIurwwACIpmzlRNGZZEnU620k+vsiuDScws8H2DaEb
FWhdH4qujEbgKJE27wDPGdWbkDo0zVcX3leO+yhIG5R2eYThw0bnrmwlSx2/BiqabpPOSA0FbMyN
LGy8Y1XMjxX7+qnOXV40zLythnl0KY5+6VuNs2xB0o1xWwFGwCXs/3corzfNzGpTFgs9V8g1HQol
iynp43Hssmi2wF2ateNHRje5OxjGwRDXKN1DNtZDUOlWRQ7z7F+3v/P6y1jOUoUdZmQjH2XqAi8j
8kOGhBt2ZbMqv0JwYb6Tc1e+6qrMolRlRmTTKolmw+bhNFjGXsqCh6Ps8/fbL/PfldpfM85ylgew
sp/6/qLyce4NNjwNc5kduZFiZ8AVWXoQvs/fJKUDrveIl7X7NnWUGxVwVQBYxsCWjB2z2KcFE2bI
hULH6dQeYgPKtb+U38FyTaLm/d13OCKiZ1TZlpv01aVoOUtghm9N8IyDBMgZbpEPVemdLbEFV74a
RvDoRVKZ+H7nelAWgZHWDLBMFk4Ms2ArZV15cW+ZVA6shhMzeOpWLyBTr8cq7Hm6AQe8HpgxtxYh
MMuUGmw+2AAx1BdkkQ4U1+CkFD/yJJdx3Xc/dVe8Vn0u9mPS7jpPH/taIHnWZRoQ/1PZFN5jESkb
cOjmqudAzsn6XzdTZ0XLyFKjFzZ187NxYdlzewJfDUuWs8SWw7OmJR2OAXCWc6egrFAMrPirMUNT
D6Kwz7cbWRmzJbTcgq62yRXuoxOrBIguwUlJFBsXEmvPXuSd6STytLBzclalDVfCZHxS06a4ztrD
F3HPsrJBJVaDzZkN+9Y7501+uN0lVzNY9Ptl8Xw42GVF5uQFU/Z5hgnZM0DO07NRNE1s2JYdtbIc
HqSXextRamVFLsGiLB0Rp/MSuoYQrHQuIsLDwzRufMnVJA4RcLEg68FEGfDCJwepJuj7F6ph7Z2j
AArteVgsBuB6B2blb8zXtU9ZLFAzq32ORe+cEeYhyG8jayTgzW4cYlZWw7J+U4hUUt9ASq3yOhjh
5QCZdcDAq6Dqt+zQVgZ+Wb5R1WCMwkjscwsFJdarow8/VMMYgSutA9JvMfHXmlkgG6Z8oC201Zvz
RPJQzmMId5y478/2DJtP+eP2JF7priX6s6JJz1ARhyShcmBHkUL2rN+7GrTvequ+guLZtawU28li
fllQeaPUwHYvhS7DSVfsWdUCrmGAoyRh0SfJUy4g2Bs4vVn/qCQjX1I/9e6F2WH8BrcOJ0tboRrx
p4HfGP4B1B1Yq+LGrzw6isDuze6tIpomE6p68+ijzMzHO2ZYfOeUJT3KxO3vJK1oVHlWd8xyDdfU
zBXslZhZtTPqngaiVNkuEQrucnAWGVUPLeIZx5kqg52WdCC1VvkJiI3Md+KeK++58Js6pLyuHmuA
Nx6QaCd3I7y5MFaQ+As8wDGOAi4i0EjE3UzrqYt+2OjrqJ8k1JSlnl8nqdIDteCXZrvjGLdg/8UJ
tE78gA+JeMg7n4We7fthrzNLh45pO/8mkHs+tzhD3nt6mt8rmzw7KvuZwAJ27CyUaSb43OE+qX/K
vS7iab9PDaTSw5Blp9kUWeTSBmvaZ4kf25Mr7yrcgHRRD8VtSIVrG7zapgsdaieRnqR4maGXcDKx
VkVU2bjZDLlJ1U/UyEhI0oq9lpaf6KgcUnI0G3joYEgtB93OmgjGViIalGMGjp+XTyqFdNPOwIkx
j3ibV59U1VqWkfKaqMEUrEcC585HazCSszsl7d6zXPGp7c9eXi0TUs6NiYP1KRNjCJe1JCDV5gJZ
CYj/3Wd/2EiMTlSOkLQGvR+aQKNKu9B1si6EB8in7uAtZ1mfsocKovwyqc+tA+fgqe1DZRo/DIwV
zEWGOz4aW6t95WOW1SpJWQMFYRv0/r6ZYm7M/LmbuQ2pZaa/fipmLZGevgM/cx9ggnNjGTOsJr3y
4E9Z912XYgbRmOYbsfF6+Qi9tsgd4FjfFbIDaNyjtrwTRdMe6lbyX2Am1g5IidBpJF3djztaFc5z
bZr5H9E54iv4OtTa3f7Yldj5VwmrQjUn7Tx5TsdWhHUz70vs0uHth69E/2X1hnmGP+cZkWctWgi8
lL+6Hok+InhEJ/gf3m7k+oywl5oMFco/1OYeO03s12CZgSrf4bSxkUysdc/ipOLNKOcZ2pZY8dmp
98SR8U/xozD6i12rmibadbqQ56rvnz2RwJF0GOeggRx+MeOu7nbvrA3BIhuik+1l/ezI8ySrUOTd
N6ur9zVNHuza3d9u4voAOEssaTYSRWw3kwBi9NB9LDIYahnmfQU86Ub5+7+ld+UMvazatBak0vxS
W+fJFC2g17ni78VEQPMgnMoY0P7qKbF1vpv6ZDgO7UiPaD79kib2GPIa1U8GGvbBz339xbXmNnT9
ljyidNpFPi5HD44k6StLZqcJ7M4wT3Y3ksBAJSNOFQMxiUEgswogcQePE2CQt8ClKynYsmhCcUNu
lhAnOnPr18C8YBg5yPlmkBk/un7rOLwyA5b1YQv7bwr0MHgCLrCbUzWlj9wn4pdpTu4fUrlbyLWV
pbIsX00TazEsfXeGW+/b3AzPaaWPt2fYf4Wba+N/6cAPW1jV+4NRmoCtY0t5ILbioMppiz9wy4LA
hcj1fGzN3B4iSAKor6og/T8SKfRdYRvlQVgVuZNd377Bp9aNJ8XL+wbLesdqrziDMdiYITgv7VEy
TkLceDk/XN3wPZMp+bfplTqbkGw7JKJq4N/hqX6HSh3EiROfHLvB0HuoGbFDVk/z0WlAVHccLp+Y
ycW7WSgLaC0n2ydcMUApU7mrcm94B/aijlM+0aAviRvRlo/Hac6r2FHNeJ+nkz6mrHHCzi6yk7j4
7ECX2pbhZIwsPTLGh51L23IO6q6fi7DjlnwoC+boKAeYR8S+x6tfnPkwLFAcAEuSme9kwun39nhc
xTBZYMf//3C0spppX3J2amcbVfE6yL3IaceIpP5BNmnQVfHthq6HFnspWKMAe0mcXNKTVro9OVlC
Iub1OqqZtaX3sdbE4hhkzfpSnRnns0hOvowrfZ9tUZvWVsTl9w+zVgF+2uqkAeAVttMBc3vyNgBJ
vZGmXB8E57/i54enw+R+tkEDMs9tk4P3bz4DOHQq8vFlpNlBFezPbM4bw7AWQhZbVVM2givEWyQJ
4OR3PAbTMSjY14LPh9sDvdbCYptquWYwN4UstzH2D+Y0oPSPu+YUHtMBSDdbXI7rY+0sEchkKGG7
nVrDWeEOzuq/59kuRcn/U5+wJCGatfRpWsrkpNtX6aightJKNd8b/p/bz1+ZTUvqoTIMa6w4eM68
EWVUDzokHd+i/P1XzbsSYZfA6cmuhVW22aVKrYHNqk2YLQ1W6qK2kdHIcp30aRpVFlYy9+9GXsN3
XNZchiKz3Z2Ebs2+SBpoEiTvbgC3bcvpg8xi8O/NIXEEMpMfNhyqNnIG0ClwWcZ3FoSEQ5cl2akY
WncH+JB8hiP2eO+4TO6mZDck0/AAsQx3L2svq3CChh5Oas9D5OEO7guxai/I5kaocB6z5M2vB/q9
M2zyZJG2v8vHYop9gG+/TiJJ74RRO2NQi/xPawxGZLG6C6ap7zIE5K65l6M7wSTB4RrJlzHFlW3O
bqSkzHGLO1sHJZjxCGUYae5uj+Z1WpHlLGHk8ICweGXBKRZ1gX0p86hW5Q4KYBBHO5iG+0aTr4aX
3Tn9KwTBdjghbMTulZxj6TOCXJmmWd0mp9Fs/lDdRKKXoDJVLwI2hw7dusBcWdBLw5EZQGVvsrDU
kgmm7IUd5QR6tN4biIXR7R5ca2GRmneVNsV80Um4OKxrpgOT/ejgS8/pBsBpracWUc9ICQ6arWmc
WGJCahjGj6Q6ZuxEqlcjmz4ZNRaBzzGksscaX9H4X0aUEBM+wxPwTqktz+u1sLHYq3vulq6fzii+
sho+F8p9Sri/xSe42kWgQy+6yKU1M8YZO6fjinB2LRIlRXsPs8bfABhaYVmxt9uDfX25oKVFP9Wg
7fu27oZzO+kJDjMcN/+1fs/q5iXtPWvnOfq7HP3nsrRPUBa9T4CKCnK+hXC8unOg+UUvJtIvKg8J
1amVIlLMgNZotxunLcmpq4NE6NK5pbKqqbUyG1LkafFiZ+0/mWo+J3xDl2YtruejYkoAwW8ZINyz
vCcjvE5uD8vVNYj3vsyLDznI6LUmNapCQfkeXiPdlx53kHKeL1nyxiq/eneAFi4tf2gB4BbfdGcQ
erqpoDst9Htp2o8tl3tOaJyh/JnW5VNpVBv3e2tfdJkAH9pzecOy2hEKrqbQSByIpq+M+NZ+nI3v
xOzURvi/Pp+of5kIH5oZvL7XxDC6c19EoyVC4HTCbc+Rtem0CI11OxhZ76VgXbBvGdBIekvza+3B
i/UOzwY4VVBcNlqN/V1CKb2R8nB7Kl0PJZC6+/8ekXOVpO7QXohPYu9a7kMv/UeCWnlQmr6Ikn7c
OkzigX9lOphRi6WcyjqjsyUxo9oLtaqKvPRX5r7opvhcA0vXFaMzmOwl7884W0BwAOTZ5CkFJrBv
v9zuqhUyAl06qSDRTye7T2BmcRz2c5gczB0Py519nGQ03uuzF+nwbryTD+qhOFbP1tf8Md0XGzvW
CjSK/uWzknJV2/6l9T6oiyDNg3zcGdOu3nsscGVAf93+zJU1stTZNWYI5zGA6c6O/9D0GCaoPka3
H70yj5fyuiqlnnY640ITLKIaOuZC5Z989KXJDysbjgR2Mwi8tTbM90QMQU3bjdh0HXtA6LLU6btw
GbG8IolnQpzjKDguTovRcurA96zyXDK7v68zoOXG2YFPjdHqvYVg8G1MhmTYQelu+JqZvX6DwKG1
8bkry3ZZChgrSZiRyuGEW5c5UJYfVeAXNLAe6Wpot4nSTTYCxAqNmS6LAXnTJ5A2bZNYwOZkN2ba
ebHhTHo5WbMJxMKqfE5BUfpWucUfiATsO+2F/ayfbDBPIfHeKfg7D8PXYbKqV+AxYXaZUZOHRpkk
QeKR5O323FrZsZZam6TJBmabmTrBLnJ8UJXgT+3InZDmBb8r6ZDGtpN3KPY1k3hKHGeLx7AyEksd
zhEMpaybzf6kgHrNm5rt/GaOhV1AhAa+mJr1G5y+lYbosmIyCU1pgoYKF6KSuoVl3gPNrMBrvtu8
3Ygya41cfv+wjOaCU5sUdnsacXGVDDXoQjMrAmeqdpPtosrv8E8hhenSXaRJ/JLrqe5OA3HMXcbK
77zsXpSvXlorZxGAnWrjmyz7+tZDL5Huw0eRwUctOuHpOUncYQ5T3XR8N7pi/lM3FtCFsyfaXxrO
7WpnpzJ/KnuH/JgnTh+VIA12K2/kPPBMMUBgcHSdo++586NMyyHWgxjSQKeGHzFUDv/tPar/ZVaa
V5HIsaPaw2RvcOFWgudSiBUGB16Pgnl7YlleP3TF7O5bYWyVq9e2l6X8ap+ysiE5bU5qFjj1M6b7
h3yCAQAw7wnu88FRNJ5EPgCvKbVP952tMuBJmqr9c3sBr6SASwXlznCrGfTH/qTh2/ylLjMcXmlr
PLB2NI9l36uN5Hllf6OXWfJhNmRCEj6ACH2y4OXw6g2yCcHpdQKoOhkbsWhlqJYSysCzolpqWu0J
yrn8h1vmeQjJquTb7Y5ae/oiZcPVUomp0CAQaNfbK6vyH+y0cTbCzNowLPK0sp0LP0+S5sThbn5o
wFv/MpojPc3WlAN5Ow3fP/UVSzHesoUKLFK25mSnRhuavj+GXWo9fe7hl677MMbURf2qGFR6ZiMN
yySPqPH79pPJfwDSK4nsEuWaSm6NwsWzz/8YwTc3cIMy+EUjFo6hG9zfR/9kwb4J7r+dz9H9Hv88
xvE+3t9H0f396+NLGaZB/BL8ezj8Prz8jn8PwW+1u3s6xHFwiF/jIP59x4JwdyiC3cPptNvt3o5H
/Ov76Ut4PB0eTiGeE0XnY4i/2YWn8Hi+j/b7b9Hz5c/CMPoWRcfo25EHW1exq4FhcfigNB3taUTc
gWSY+idzfec5kSM0UZmdYaOvvEeSSbYzaEGCSpRN2Jp283q7t1em+hL1CSpuwmF6Cu7KSA8eEBT5
nG1MkbWsbonknEft8k54NJ5xfQJyEmwpjaM5/Mw9VE51c3SMlzEbnhocE9G4RbM3UPh3xNsyeF+J
Q0uAp11pBxfPqgUKx3TiyZjJN0mM8l+DJ/m/n+q+JbzTxHmrnBQF8rzLgtp6d/OtIEovwebKKlgq
BxtmljZW6+B2CN47Rybzf3IfOhdATtmzCExByO9+cngKT8O8jvJBmq+9MxevdZJ5fyYArw9woCRV
mOFy3ITkViJCgHFINLl6l7V5hGxxPI6TYz9LVI/vGtNof7SDzqE0pGudBYbbcgvm9YMzhk5v4RN9
AW6t340HrUvUPCkgwkXWoezNpzGDMbjGnYZGKREGY1C0x4RKDnVp+L/9WgOtJhxcAnsVAT5Spsoo
Ag4sEwBXwMYy0CEPoID4c9CzPgEVH7jgDicADqFy6oy44oXK7i6zevyFwG38owV+WmTMtt55Zeo9
QCdreIUwkx0lrUpwoirbEDiA4ls7jNWj13lD6EyM74BL6MZgMEzYmicCFQpb2UC/tXYoOtXeeQbd
ErtdWVdLaKjwh4J0xGxPXQoZp8A3C2enqzz/HLGaLqUtsmziFpeiPQnoSj8lIs3DrGq2lJVWtqgl
RBfsRZOPGEDoSb9M7EVrAMGNkyPmjYRxpepJl+LPruiIYIPEpbXfPPSjcaBpEXe1D/U8P4TKSGjU
bVTW9lPa2rBpz+HqUSYbZYyVoVnqYKSQ0HO8AkU2VGaA6Hjs0vfbwWAltV8qYMwmGWGjLttTLo3u
IEAlOtbCax4pVdYDaMXFScHQbne7sbUhWuQopQ1RLVXn5UlaRQvzLKHu89Hxz46ZK+iVDe3ndE7p
skDNW9t2Oz40sIg1f9eQOlPEzQNo4m9ki9c/xFue/ek08VSgmAtPGG9Xl7YdeUX2QFr64KlG7j/X
W4ucyzY5nXBwoDFs7ZsBRAYadP1D/fP2068D3ghdKkJMWT7UgH/mJ9fvTSdIwCwej6ThEMPQ8GZt
w1Yp2HyBl61IIIfetQMBnZEmsFTvACmbbwpdrszBpWRIqi5Ms84rAK5g9d5Iq+zn1A82CW1vanep
HsozCKlbAPiVHXYpT+FqJpVPESfMip08Je9Mbj8b1N04kF33eUa/XubMhyxzmHNTVxKktqmmMzYE
S45Q5ONT+xU503TnppkV256lXkg5tVmAq3brnJbOHPuARecwJUjGqKwmI3Jqw36fHJhSpFWZbrze
9ZlL/1LQvuy0vHLkyQc1/aiThJw4H/S91HZnBbrzkw2Y2NqgXiLZh25IpwI8D88tTlNmwX8Ufj7N
yZjyMvY8mkeEI02U47ylxboSH5eUickcSjcrvPZUzTnkfUndHXpa043oe7WKZFl/cfWKuXExP/sz
fBi8wJ784dFPhd5pgLSjTDoHLvt2Z6UouIGh/357gV79JDS6mEeN3XjWyAAWHCX5pyvTXyRzotuP
vroE8OjL7x/GBo+t4dBiWiBl1T9NC2QW8KfKJ6+f68PtFtZe/vL7hxbANKCyyLh15n41Br1BH5H3
vN5+9tWZhbdfHNUroklrzoxA3WcIPUdEY96lIJfA+RJ3YI/4PxuHgbVuWpxxUtLYaYnGQMogWeR5
fh4UXjkCCt/JjZFY66fFjqhw58+IZ4xn5WZvdE72bTJ9spsW24c/Z9i5iZ7OTvVLTw0cZ74zow77
7j4FyeL2UKz00BJmIxWYdZVvkjO1XQUkiOzCoSsbkL8/d6tpWUukDTXAnfYlmuCGR3GkGEQd2UlR
HyEyOp98CKVu3c2ufcxlvn2Ys50JJTeDlc65nBL6PtI+PUCy8OI85KZfb/fX9WMzvmaxqOHZIqG3
WpNzNpppDLcqFZbcGb7maT4fGh+6VSYun+O8ddJ4ynkZaqMrN2orV0M/2l6sepig4x5Swv4dRJU/
uTucdedCnp3wl6wmn4n6aOMyzz/0oSCZNVttRs4+0v9DWyfzDnRFHuFMS3YD5e1X3FDw3xu9eVmI
fx030doiEqSmn9aN34D/xUb3CwoR8qTJnL4wknUnF+TnNyjXfJ/9FirXw2wCJtfT0gyK3KfPBa9B
grn9ImszZxEoWJGnhtCsObvGEJkX0xkOfPe4schW4t0ymc2VKtuGDORc2H8Mo4cUYY4crAl674ed
bAHgV7a4JaaiEMrMQTGeYPcunvwmN2IAN0LLcg8uGD6oyx2cbPg+lcmWGOH1PoNnwmKmeN3cwHyd
nBmi0k5ULEGO0JSBqPutu5G1JhZ3I+VYstJ3B31msFWpnofkSadfbo/49TEBxeP/315XvUu1NKbz
0Hs7mo/7qe1A+K1/dF61a9xhy2zi+polS8QFcSfmFH1mnrvqlEGefe6mgzlXUTtvlI3X+ujy+4cF
65nWjLkL/1TFjS9mwqPSKL53xVZe9t+m/PcSJUtsRZorqF9pLc/9kAFbrfv5aJfUw+EimQEmKCT0
wsv8bA+WfWfQHnolheeKBzf3CPwvYEF9ANx1q4q99rGLeDHOo6O5R/IzzVUbdF6zg8eYBTOFLX23
tWmxCAT9bJWe4Zn5WRRDCM7+rnYgwmJ5731ZPYxG120EnOtpA1niM5RdFWnlJgg4QwXKil1ESkw8
uj231+bcInEYh75mrpFoaNikYVcZoC92R1AGUSvcEq5Zef8lKsPPU59CRAX+qkUe9Qz7A3QZb7/9
yhAs4RiN5RgUd2EwoOr7nSsggzm8YdfdTR0Lsi1zyJWJtERdOI3hVbU963M7N+Fo7xNICthbs/R6
ockCF+b/12RmNzmEjbv2THTannoGDnXIm9ZIIceV+UB6zNnetxXdGZlbHFAxhk03q1UwKmqAPep+
7piAs83/v4fdN246VNyEadG7b8PfkxwMb0vndq0LF5mC6RiCixrZSHcRayJFQJxXV22AM9YmwWKh
Q1FAgytU4c3HXO9c6YFV3JcsKCq3DfvJp7jHmsjn1stSe2+ch9qRJZ/PUPkrAiis2EHV9jWkKMzQ
E/OWW8TKmlmyt/0sA45AwUQSIuBmkPQObnN8ZyNvWxuNReBqIVKkstHFVkly5GnflecGRfu5zJos
y2UdA+3GYUguRA9wqF8d+t6CRN4WLJFeItOVTWaJe1FpLmdXeaBuUdf4PbZ9UoROi1w0hLTLvGuc
cf7HnSAmAxgKyfbwcGZOZDkpP3f2BI8ou28vaCnF3f1Ikh72sp7YEcjF2yEFhvbRKfUcTALOySEb
pRMZEPFMQ+F23T2kP3ikeFHHFuznjnOWe/uSOuSON/38o7d08i3pRv2FVtAwZD6EowZYPAWpMfpH
LiBvBD+IKVK0g5gicer5awV6aTCjw44a5PdQl7LJQtiN968DLCJ23thbP+uKiS+dlPI0G7V8AStK
h82keWzb/QS7cHuAV0nh0t1QaXY/UKEjy/ONI1wvXRp4ZeGfaklp2EO9MSiMot+PE8rbO5fnNip7
RnXoao6A0iZcwt1msn/ovKdpVBQQ6IRKzjBsoLpXtpoliohNFRCAs9Jn3bd9AP6MF2Y5mFE6FyIc
mu759p6wsnSWIJl2Ji10+tzpDCdZHjYDnwNILm8omqx9wyIVLHnfoJCNh+cDwnL5z8x/0RQ6Ee4W
O2Ht7RfbAQ5oom4IMuV+st5YOsknicrwxsJfe/jl9w/5H4eHMhk1NCFUPpi7AsiXUBrgzX2u4xdx
WNSkyx0UH85u0rqBNs1vfJri28++DuBBUW4RsyCkncqiayFTk1GUZrK2108g7+t34iQIXa7URlg1
JXuG0PX/OLuOJUl1JfpFRAhhtQXKUe3N9MxsiLE4SSC8+Pp3alb9uE0R0dtaQElCqVTmMc7OJe10
JD4sMhqboVWoGg+aOUOH9C8vrFtgm62gGht5D41CPxxM7h8hRkFvfbBgTpAZoVHOHLsN8kQaG3O/
ckr966K+m3vtonvQcLc/8xb+aEPlvqVmdzNzDksXr0YXLttSMVkJ7/8C57s3eY7jkMmi/ZkwDLhg
3V3JfB2iZhZdX4yVFyxxdlnPRkNNWsOxYgDv0QTTt2kS91sBOvIWvn3lHdZiH/hGTVNc8cHp6uFg
033hhB2Aqtv4VNeefvn93RRVtZ8XE6Jn3OBgzc3sqMjNnG5hXFeevsQDGgzNFWOEDJZRv9hWGzXT
D95v9VVXItASA5ZWkORD0ziJM9qFk5MGqXM3oDxNja3cY+3vL6ae0URas9+V5x5KmRDdghjf00jE
Rnl97emLqfdmAliOHv3YxsnoNDcGvyPjr899mIv4Vo2WKSofVVCnHvbcsTToVVUXUnurN7A2+YsQ
V5quJaEgZ56hbgQnpjJO4d5JRHF0PtWwQh9gEeeAC0igjagR/8fvZv3VsC9dq42L5NrUL+rPZpdn
HgIpaktedawhdhJ4HDL3I9m6qa5Nz+Iy2WmVASpq2mcPXnaHvDPbPe7GEsp6NeR9wGfcyPhXBrLE
zYx6KpDxjOZ5kN888sshUDjcSl9X4vQSMKOQVaGaiSxF5Nl3x6PnyqYnpVBDRGEmq7ZYemtDWCQS
Lq7EKq/n+QxfnuykmJm+wdJYHoSQXbGx3pfS1weZ8hKCMY9m5dYtLkY4W47T3J9RxELbr78oLEAs
CSqr3+E2ubEmK9VucwnJaKkJVV7fRBveML3vGscwgypiX2Q7k7XqHjL+fWjCvScEt3hnA2G4c/pp
63Rd+fKWkomU5NDSQoodQ/c9eXIvkvXKg0Fg1ypy9Isx2Tj6LpHkgyld6qoM3KsVgQ/F2UAZOFCW
+bOEbOinote/1OfdoYQPGiqUBDxYuzIPncyBc8rKS75jb3wPK5O0xLQojc6yZeBmVs23ZfcbPsUB
0Xdl0mxMztrzF9HRgnpSYhW2eVbD8N0dhLirBTd2zjT5v/KabZ2Aa1tnESJhEaLGfEI9jDe83HGp
ASCvlXO2DbpVIF97xSJSVq2CXKmBkVTVbxi2RYqmQZbnu+sLvTZPizAp807CC1Ig+1B5nAzeWzWm
+1Ra+U5okCOuv2RlCEvEB+5uUtqN78WNlwSjed+3F0LMVnq2sg+WKI6ZO5mL+zeLi2bYm3b2yLT8
ef2Pf9ycMJeQjT5v7QxmKH5cZbYKTWD8jpWQAF157DEdW+87zzJxMkVR78sKqozX37o2XZe1erf5
DGMyu2rsWMzH4o4WCuy9+Z606vX641eWfInE6NMWQBdtzufehTtN9miI+ttYFGWw5Y+89v8vC/Xu
/8um5bJyTXpGRV1HUwdAK4V0aOh0s/G57b3UjpVc5Yynyo/beji5RvW3V36oPXYgEsDJ6/O0Moz/
CAoSg0wzJOrOUjjmQSQtCXM+tVEq0q29vbIUS1E55k1zQWiWxJWCtosW0JkuggyVw05vaV2v5BBL
3bdK1bo3gVqIpWnvjJlExL1J5mc+VGhKvnxqppbCb5q3dd5TvIPN3U5IcpIpf4A/2sZxvjKEpdqb
n5ZJVflKn0lRkyfCR3dfNWX+1Iq+DJkNcLQhvPLt+lhWEpWl7ltJ/KFREuqOAIw+Ud8Kc9dKg6Se
v7pDz8Kid/521Zbg7drIFjt9ngpuTBASPbNcJmfPh/kFjEf0jmRT0QQplKhfOSQTPnlZXsq8ia7g
pVMVyCelJcLcpHcQu361Levp+tx9vGPIEoUN3WFGRr9gMdiIEQ4TgKJS2C8Wnyra/dehrlGajTVq
iBNpv3aGu/dyedO36bO1yWr7OOCTZeLoFnAw8x0P2Itu6g+DVR4UhYt3LdCPsmVkGl6zz6Bzn1hb
4glrc7YIlllT88IarSROYRZqFhPE/7Jd0ZCNUs/lMf9NEv/jY5caZZ5DJBTnu9ft2tn45jbs2+dW
m/5/mLfLZh7a3mSx77/pZg5hcr+r+eFzD19kPRMxVJ56xI9FzkG7d79ZKt37Q77JI7kkgh9NzCLx
8WlrOrhGQTDQQrne7r3ivq2VHdmJOez6oiL3iePLnZ1UfWwMdRPJVhgHtyKwD2HOHM3uRDYOs5VP
YJkeVbiteKTGGjGVRVLWTpBmGmLr4lOoZGBjLrHu3YEsWuLNZm158aDAhqh7nYS2I15astVWXdk2
yzxp7POicFuoosDOsAx604X050jvqirZ48r6qCtPhFrqZ+hM/r7+faxc8f7jxtZTR5moTlzWz0z2
edfu6sraZ8r9VdhzG8xW8eXCja/y/GWqwIe8/tqV7bTMnRIT2rbCzNzY7LkRZO44nYa84bvrT//4
OCBLk4AM7Rs/FW0FZSoOVd/si2vTr2ZBDoL1YJNMesst5uO8gyxRq61lVhYfOMKck/xNSPKdaXGP
HtnZN6ytCs/aYBbhoexGz68kq8+WW1YhPnH9i/qmCA1bm99RzB5uoVLXvF2fOfNjBhC+8UXAKEDL
MgVgHFCiM/hPb0yb/Fi7ruWEY1pm/ang4PSMtlUb8TjY9itoi+2bURsOPOWm/MbJTQEX4uniSAgJ
6Gcb3i4WpnzIj0Wdjz9Z4Rdvlsr9OshTwPL8oZU3JjDrO9swFY26npSPkG1uQ4NTCvWqGpKEfQ3T
h503gPQdTOWXnP9yKHxVyYwbRGnOX+ukwLpCw++7r3gbWPlU/zJnwAiCBP27BjfiovmSViU7Fjiq
dpC4HW561bYVTiPS/sq13x0GuBqEjUvMvadIBjQ9WDOu1fp7olPzjdptFimG+5ZL8+w8QgvnMBnT
OIUAEBhvDuyR9rRHW9fzpg5Cus5TIpwxFEbFj76dyvHkZIY0AyKGbj83/Dd4/Wg1p4Zxm2eOGc7g
6YaS5jSSDJKIxTR9a8fECmU2upExoBNYTD7dJzD6fZmFCzU3PdTWE6Z0/pPKwgZX3GseR30c/Pbi
fuekugyt2rN/N1XxJ3NpKoO59mjk1AJGorPrmIiOSP5A6nKdL3KAjqkD55DY1nLcz0ND8F+B9nsl
6GTWARUGVt1PrBQ9lhZN8gR650Fud1PIR6cXAeOOvXNg+3EvZ0i5JyVpvZumHoZg0F0aeFmBpLyB
T5sHfGSb72t/lBTjT6cf/ogmyj4v/eRYCiJilwz0aI8JgXu6lQC4wgrxas/Ce3P6QR2hWp2g+UNh
joKUzj5a2ndG5PqogwDngkkwrIGh0zm3+hcw7DKufZYduFNl36TX184x05olIR3TCZ3EBELwTu8Y
/a4utR9UUBB9sb2sJoEBr+XbxiuLOyL8dFeWOQ9Jy4cIvgrOT81sqH/66JUEjWdffFpSKKRXPqhy
FbQUHnwmNNCTtL0Ds7y6r2CB91RYhXFsOjeHBfFAXDuweZoNkeDwJwVeKuVw2bQIfb6+k9ci7OJc
ZsKqtS1Ye/agKqnVE0RgNq4RK0FvqaivElXMoNF1Z5hUvpFa/KG+ffKz+ShA0Lv+5//JnH6QVSwh
GQmwBbqyPX5OC0yaAiT5p6wGO+gpzWLa9/KBF1kVjY3ZJaGH1gDbp+CO/YQhsM4Co2EE/kOGon8z
O01fUK+GZGRftLSKuOeaXuCLCh276392ZaaXuI6ZNRpagn4LxV7IEMDAdghZ6W08/ONrFFn2zDJ/
ZNg1U3umBI0/qZLzmIv7bIY5twNl/WQYwwHtqOsjWVvZS2L1Lr+Ro+5xAYUw7IweFLyFYIN1zLO7
Lt3Cdq1kaMuSLhFWhS+86WOfDEeVpAoZersr0k3z7bURLMqVhS/hItep9qwbDzYPLkq7oZKF+4o6
fPUXwXnLT2RtJItTeTK81PDyDErQFB7Nru3/SLzirmJbRem1gSyO4cr0CsoE/LgH1u4nWAhq93eT
togZGxeDta92ER866hJbwBsbAyghMjl3X9u+3LhgrkzOso7hNTNMbXpbnTPdPdsJpGBTG0bcw+On
PtNlHaPRjBmaMDNuS92HJQ6l0NESqUZ9O9B2S5Z3ZQWWBYzcbwUn1Vihsu6ePEIf0zx9EEP7p6R6
I5KurMFSsn5qpbZcu0YzxxubG+2n+f08pWpjN69cJpZViilzRaZQCzm7/DB4kMjxvvaM7+zeDio5
7C2e7VPy2dm6DPFd6ChnY2CXPu2ZzwBUmveeE4PqEUq+oSvz719/cCIsOyli7kQ31QT6VYfkkB+n
5yru7sdbuHZERuiFkOQJ6V7fuHt+bGJ1T44AqR3dnbu7/s2tLdViv1uz9OCcgU96cHIoiv+12afQ
R+Sftd67iRuQonRt0qPFlvcvqejzyJySJwUsjwuFwI1TZO3fLzY7kGW9bBUnZ/jH7IDcflT2Vodr
5YBaisnD6A/ed77NYmGRMHEkvEmmIEsnaAp9m9BPK5vP6Q2TpSQ66X1h1P7gAz/J4t6CfpEr25dk
Tn9cX+KVDb8kCarRqMvR9+ZzlYW1doPMvtdtHTSD2MhqVsLikhBYWm1NhOcA8F2lIUuSFkg29Qr7
gA1q6MoqL1mBBoR+xkxY89mr+1uIFe0sJOHX52blEvpPbePdV2rDbye18lGCSfeFqps6d88JUSGb
X2an3TiRPnaTpOQfBeHdS/TkDgPgq36cuPXLkFsJPp7MuTWpl/wxGWzSgEjij2aSwLC8B5SyLwyy
gx+Lt9OFW94ru2jOgFiqm0qix1BVk69hQinTw9y7AxBHRgkRYkO+GRbZ4pF/TMKmZKnZ6lM+QxAZ
qFAuIXvhDPmA9FOCSAq7QegoB8wavNBxsBgN8fWznVkleLN9TqegrT+p78WWAKJLkc+Vcp7iUrwJ
dSMsFoBEWc/xZGQbH++HuwM8lsvv7xbHhnxyrzunPnvqa4e7Gcnb3WDFwttiy6/tjkWENQhAUIa4
uIvZKBPM8B6iei/JJ4ve/xbw3f/XhZUniiChqub05A7uX/QkItamr9RQGwFkbQSLKFsWtkuqFoh4
lYx56NYc+vfWTqSNiK7vwpVYu2RroiaRazLBQmFu6bOh4IIMqONXrL4TDUb6pDkc6QmxN/b82tsu
v7+bMd/htpko14urwvnRpmM8E3b2xnqMOkugZpP8rU2yvz6yldC1FExPGHSznaqF9C2XX1y/u1XT
8Pv6o1dWZcnYLGFH3CZ50Z9lU5FATfI3TcywnnSycbiuxMYlLZP4NgpdXkPjMnlT4gH8pBP4d3Dg
LPcz/+QJvuRlUuBvO1gY1meVQ6diprEu1MYErf3/xZ2pLGqhrBr4l4K5aWzYjB1JlSZvKERXe/jq
9CHkHbNf11djLcgvyZCd5ySZ07c0hi3BYyfIeJPR0rqBSvCwo55CvxaGXsWxsYw5zlJn2Oeq+WOP
ttr5NjGiHpRDiPv2RX+sJYGYhdujBVfCRfRYgLx566BI9521tLkFaz7dWOEPYx+C/GJjD/C4S1OJ
faeGOuoSCcEgO6zSL3R6uj4rH36joFJeUvh3W80odI2apYvUYwJtIKVfa7i2MTAsN4L3h1sZz19s
ZRisccNTLYlztGUi7gCHNKUl3xVmLY48SwDgSvwyFCMkbz83osvH9m5EZiezVIiRxKnr3HYeP3RG
8uKnW+SjFZkvtuRVSp80XTv0ZizF8NRV8oV2024WZhn7sMKNOxfVPb9wipPK3O6Y0pq/Ve4ITy6u
+8CwRljJSoijfG6wl2V9N1gDmjiO3admjLLlb8rz+35IUlgnbmmKfbhDsXyXqPnu+W1ZWQbqWF5c
Cx3K5sVVRmCxIez5TYJk/nODWISBqiiEnnqQxbxMQkfrYah1QJvD5x5O/38EZQoKqZ4xQ6bf0J2t
YbEufYpyP4OU8/VXfLhJMUnm/7+i481kNSXWvoT6t83hXnaC9hW8XTf26GWy/3MBxfMXQQBKo3QY
snaGxYQJm/hSQBqm69jGBK0s8ZJQ6Xed44wzc2PLR3+ZsSBJaIA+SeAXXjQWn1vjJbeSt5DAskrD
ipPCML74TiPDqZsSWGQ61vH6MqyEsiWzMoWNIxtSZ4p948YXWWhZh4ZuNflXtHnYklmZ0JHLXpn6
nM15nof5ZMmnwgAirnSzGSLF0lc/q5FNOiA2t6HP6Q8uDWDQAYW5qhmrL1Xp0T+AIEHUm2TNX0+W
yGVrDreO68P/uJ+KPHkRC2po0XPSgkuKRjvcUv0s8Hy4AOMc3Tdwike3QR+F4lOkZH8zeM7p+ntX
pt1dhIixaD27KYCAEgBlRoTWkLZy4C+UFlO58fGsDm0RIYakzFTZd3ZcMDo8T04z3dqV5x9cDZ1y
202nsHT7BAo6jaeCTKIEj3r2j+vjW9l9SyoreldKSIjexKn04Dak8HCoTm9knyuT5y8mT+ZclqO6
qJEM8slqYU4Ho9lbyzO/XP/zK6HJX0zcNOe9QchQnGV9Lwt60GYaKggOwbJ597k3LOKrbOzW93IX
Mhm8/Dp7fhLCuHk/mRBh1MncbMzTv1LIBzFwyQOdO7j/1lD0iQsIXA7ciKSCvgR82fVwBBTqPulP
tP9uuQTsTb3TEFfqyu/azd6KUQFZ/R2XvI3LydqSLaJxAVsjCijGFFelWX4DfsDaDUMC9Wzfzj5D
KIJCxCIpmykBdAD4ThiZ8fjiFl021Z75GwNYCfhLSqOC/SntLNsCkbMLDPdPUlpB7t+3rgvch944
E1dmybu8/F3iwJHZ13xk/DwW3STDrkQzwQZ/V0VwyfkUvtNkS2lDqqfGsCcb1GMDmpaVn1S7oa6T
KCGN+OSH5yy+b2gK96aQrjpLytssGDKhf0Lm0H6t0sp+7KcJER/2qDZsvCyT/bbRM4bW0zx4VVRA
sDAN/DlFZ8BI0LcJDat3AUC83CYIH2Ay76mN/7my0Zfq55NT5Zbt6CmepH60GIE20BAUHkQ59M/r
G31tRS+/v1tRStJ6lFBHjZN5JnExz+3Bnw1zp6rS2fjuVy4LS8VuDV0x15rTEXOt/5qVU0ZjpqaY
IEURQTU4I1RceYOPtp317nOjWgTILk1Hs6ZVe7YTz9gN2fwtNxt4N3dyY7etLczi+1GlLv3MxShc
QNEfZkd49/UAK7Yisy5gO7Xlf7hyTC0ZoUkOOjRPEZYS0HNGx9gRRj65LIuIJznvM3Oq8zNaUb7z
bNQqaDROqw4M9Ie021KMXxnBkgg6mBYcx5XMz8A4n9vaeQEuZyM1XHv04hY6u8WY5w6dYj12N0AA
xllebeQmH/a6kHUt1rfrODIT37Pi1oH7fJjk9bAzgJ8Ha9jKDqxurZ3RAeYOrK78aw5GtbHh195r
/v92LEVuQt2jpnDJ0q9jJ+tA0nrHWgaRKjHCYLX7RgoG0AwSlo29snJwLAWuC5VjzXVLzo4EU7ca
RyB7gLcJCjripWDk7RvhbcE7V5ZsycqzYCxtlZjZuOPZ/ZiKnUzZVqa8MpAlK6+fpM0zioHkHACh
He93/Wu6yyIb/vRB+tuHI8Fd9TDd8V16Pz9cDzQrcWCJrJ6nRMwkmZoz0dYp1555C9T2tGPZWEcp
bYzD9desTdvl9e+jNCQl2wYFzTPyFHKaskq+GqX1KSNwHLiLMwAQdzIa4HzGvABBW6MUlqfkNNSF
3g+m3qo4Xp72Qa73H2bZZMy8B+T1bHqHKr1X2YMyXj43PYtdYwE91UJtDX1vVr5xK392sy1Cy9q/
XkRJKLRy4L08M9ZumkNpjR1tCodpp+cbPfuVr3YJMh7gSdo5GiRPA34tUAgZcljmJN8BlgusTW2d
le9nCTQuiZckhglRr3QuHwsYAA85EuhPTf4SY2yNs9cXE7oUtNFBI/6Q6ZOJ4FI4t6QQVVYDuKld
LqYbQDEgVqkgec1Sam60OFfi7RI3DDUC1nYVbFubDi6YEDWmWYDCkh2VUvFdC7ieDFXxI22K/aws
/nZ9ytbW/LJM77ZzL9MmKwk344G6Tkh1+VIwQoOuru7KQbxUEq6tn3vTIhHKXNYXgwkZn8Z/ndy/
kH+JFL4zR/3I20+xVyDotjgr54tL7OwB8c2LftjP0wXQABPTPSQrt1ipzr/uygfRYwkjljYKLZMj
UE000nLPZIearFmpPx5st4ybGXDyO9o0ECMQqBOXBzcn5bE1tcxhNeBOeeAJNYvAQjsXZ0OrYiBf
p9A3HRvP8ppdNaX6G+GUw7N29CLe89kOLQVyE/QHneSEVp8bQ8qyDCtGumiYE+uPDeu7E5jsDopD
Zu7fWU5SIXcSaUS6Pt3TzqU3eQYxMM39bN/pHoZsYvLeWFv4L6apQa11x9x5xnWh2E+M1W5ol0rf
GqNIb6jXWVnguxKuvEWVHIA8S+MUduE/UXWCcAFHEGrtUoSZP5G9n/t8T3Exf+bdIGBT0c8HtzTU
LvXx8IBm2jvWpum9Mt9LUT7vySOUfcbbDhIgcWOWOuKMi3Ao4GhAOtYEXHXJ0Ug9efRLcwxIBlNN
1jjzX+Qm7sEBWiJoGLzlZqNzXoZS6LNBXHJAIjFERUGHaNKSBKPwMHB7lDdGV6W7CcLCzz0EEgLI
PPpP1AAYM+jb2YOyiUP3kyIQgy4b5Ds5UNWVq8aoMu0SpDIm96XjzoeJq+ZNzbZ1KKaxeG1ccCca
hWuhXQLmHM5dDj555Vs/O8cdI1Tl62flgPurs6o/V51zbp2B7gY2lBDjHtMdfJrdA/i0TVQrUKJ4
Tps7qG6bjxB28X5aaYfSe6c83FKq8eRKwXEJTfuzV+jplk1mute1N190vSmqcvavBhaU6IZY7j63
SACFD8CAeemFdm7Ogc2yB0MY9DQBpb33mPiddo1zQs2UPJt2+1LysjvCPYr+AiChlSGr1PCNUj2E
Y3/REcO1UkC0N3XgO5KU4m+jqzqUetKwE4PWpA955QiAS++hAK75WXT+dNd0gu38epq/ScesXpWq
2rt0dNObIdd/tT01AFZPxb3XegkmYMpuW699dVWdx/1MByxIJc4TxBDvMtNVeyCy6sCaqi8eTDXu
mMIMm2UtTgmeeEpquz9UXDgirIe2jGrfnd6SYhxjbeXkgFu0FdE5hcQM3KL3rmZOUNUtvDfcqjnU
dLZ+UqHFTZNXYEJ2Gv4mrcVPTE8DUsSsOVjI9ne5SRKQvwBYVdg/blgZc33TOFyGvmVhkAIGVPii
64gplHCTBg2BUbTZvui9/oGhcxvMdsoiozZHEJJFdoQsqx9KhJSA5UAu+lA4ndhUh+U4Sbh6uJkA
w5D5X93a5Y9cqemxhyhYVJd9GjmTq44QjSM99D1hS4S6C5TlOC4Ee7zOO7eGkYfNRMAkSH0+Pzbw
nXsomyIJhV/V8dR0+iCs1kYHtviTWNKOfadIotRCez+x3PzowtnUDzLWQmmx8erq5Kh5uGMS7jlh
MpnsqyC5E2TUQ13aFAl4DdXAfLhMlvK7CdZFDhW9sn6YZmHJqO0pJB0k6A33/lT5d9xm6XfXNL5M
QjQeYkeDu0aGELKTU8n2Qun2ZlZA+kkbLzFgunKLGky/d3O0jFyJEoRU8DEMAIGeH+YMX2HG3Tki
KvXPI1P9jrGsiVgNexUL3iF3Zjd0dxNKOPsSt6XbDO5xZ5iVqi/4qosviUWsV3w74xMKviPiKZQx
nYCNumEBgX8V3FyYPpQNNZ7Qeqy/AhlNQOjIBrg29fUNnbhlRMmIMuXFsNkD81tD16/2LQ8F69pF
INUZP5qjwS624tibgmb0peH5HBpZynYGn6fv7djQCIz1BjKKLIFyQ5mzbJc7HU61KUGXuBM5PfKa
ycDN+Bh2XTMemWVZ93OjuggOuOIuB0rjqAdnBouToezmU1scJw2IJLEKcj9Kbj2IzKiiZp77PXYw
PtMKe6H2JHRQyNgd4KKFPiJPWsgkDRBmOsH2oX7lcDWKLFLOt7zOu8jMC3NfMOnfUTKyp0lMAzDc
qt+zHjc30A3M+zJLgSNuaPqr1Va3r3qV3aWIOGFtz1ZUuJD8LkH/ClJG4DZukbkIcpLofX4BH5WM
IQdC+sVVmEB04oEBJfIky4Y/kw6op0oWULUtqvJWQcz/RZZTEog5rV/KonTLYMTXc4J4NtmXIyX7
2moefJh/R7lN5pOlbfIdtXD3mBReE1W6ZneA98JLDj3PAEIQ+tbPNBOBm4+wy4Gk/gFVFfUo0TOP
Jz5Xbw4bxI5bpXcAStQ/DBoGk9zK2iAztX2qdN6+VFaJo6uukqeBa/0zA6zwANCU92h1DUzcJ1Vg
nxCIaxP49PWGck+ZT3PUm6v2pkeZ82wjeH+zTGN84V39e+LUhFmj2/5uB/gzhxPK47d9O013NjPa
H4Nd55B4THuoMKbDHtRnfTPoucwwxZMFw+VR4TAviVMigOMr2pVCNTToB1tFNtTev6LPWDxDNi77
oaFXEcF6wb6naVd861q3A+kI6tGUzBQzSdpXp6YgKRgusOGeWeNgSYrmpqOj9aOfZ/gJaw37GbvK
jBPXl2Ssg5Tec0ccoGeFU0ArvaaHKQWkq07pfJfUVf2H9AULSsf3wJ9Cl7mchhZQqSz/mrZFfpM5
Rf+EuD3fIPRaEUlm50lwLW8UQtyRG1APtzSwE1GlOhp7A5IuWUBQ0Wy7NCokAWduKIuvgzScPZEV
P1XCHI491OvOplln0WTNtokmljVHuZFd3IBaiYalP6YKnKJUIJxX/snRPLn4OfW/YKGUYJSFfADv
2N6o+Kxc9JYMkdbubN2yFp2/HJSQsbCqiCqIa1sQeNyoV60UC5bEjgYyZa7TeCzGPoxBcu3DBOdS
U1U733CM8HrGv1JtXRI8HF+7toL1UUz6BsqPHb2phXGTFv3eEdnJsDsHhQlr4+63NqLLZL67yKB2
7iOIXmRVO+jolPLkpSUU8Up1SgyxAWheubsuOR5pUzEv72sSd4auQQIE46re4seuPXtxPYKcivRy
XZBYVeoNAoAIIbW/xe5de/jiXuRXhAq/V1AsgMFKpGtHxyAeis+VhOxFYcI2BberAhYkdmN8LzX9
NdAtXYe1rbBoVLkjcL81d8GHMEB+amxxquvyjhTtJ1d0Ua6BHnbluaPErDvQp9PTNAaKj9+uf/9r
f34xL2rQVckF0j+kwnJvF7By01Q7b0PjDRvc/ZXr+5KOIhrQV1GtwRYzXAulIACCRxsidfO3ypdP
cz3/uT6Uld215KV4wqRaUsg14DIVqga2P5DLGuBwKsctnOTaKy5DfLeBrZrAr4gPZuyNKpzMX62Y
4obtavA6ro9hZRMsKSluCo8t1lpzTGqkSG1/05beRuVsZaWXfBQxDvlcwY32nPI3A6dR2zy281aD
Z22NL+N5NzEqT5pZQAor9py82CUzjik4dpdRUpeHom3aoO5Qsbk+R2vvWkQhLXiZOR2KUOmYyLNy
/ENvi8htYErYw1AIREN/y7h55XSgi5jE4JzrJ0wD5jbZLHJF7oScunWAm7MTjHMqd3QcgdJMvC0R
hbUvbLHZkT1JG6iWAkc9Wt7uZA0B9F/f4KKcBB4tN+rwK3U8utj1ZUJyEL9TSIGmTz0U/MeWRGL+
KlIRQEdi1/TfzGGjZLiyWkuCitUjm6tNDuRs/deavnTdgyN2I9YqN75e/x5WPuwlMcWBwrQ3tgZM
zog6SVv9ZEkfVb37KWEuXEMWm157SVoQ7Zjx7PApIIq+9SMEo6//+bXpuXwH7zaOIytIQFEU6grk
mAH1qoNngeVv5rvOnl4Nlm4E4bVJuvz+7j3SgEYhbgNmrPr5T0WN57ybLoKVW+NYCVxLhgqdJiXc
EdAUt7Gqk0DN9q4bUIi4Pksru2JJTWlKaYLjiZalplVQjyIyi6/WmO8qw46uv2FtfhY7vZbMcJiE
jopm/oEJ/3dSCFiXzu5Gvrw2P4t9zSxVOI4POiOunVBuUIesr0/X//raJ7TYzK1ZUrOfTeQHKbQW
1N88/ctJGs0Z+jobWcJKHFwyH3CZQhmBzlAp4ZBHyJnZPfhWUp7loO+9tP4fZ2fSHCmuReFfRAQC
IaQt5Jy201ONG6KGLkAIEGIS/Pp38q2qaeOM8Kqjqyog0Xyv7vnOzvfTeeskaXijN1b6e2la1dqG
+z0C1VMVAO4+/umDZuPmPzqkMd5vs5XuXgoeNKuckda4WJ165A2QotD6n6D+8f7D1379Yk77nkOB
kvA4YormEBTlJ6RbVOwMzQUZFbp9/yUrA2ope4DDFSAOAyWnK+XAsfMnBT7IjR12rXWu7/xrsUAW
quNtkPITyJyfU8d9Hh0YY4Q3KilWxuvSdUoEvIWO8KqGlDRWlQGxz+s4YlX3WBvaRERCLfZ+I631
xGJWc5Azp76FFYtoDkI7W1r+zEEHR/rvxkBda6nFtE6L1G1yKN/ODS4uRPjdsw8yrG908dqvX0zs
qqA5UlOoYIFE4HNdQSxMkIwuUQUdiUzfWrnf/gT+H/GD21gvSe10lvpqwujlT/UUeEgh2huf8fZI
5Uv1Qwk1S1sKTU5jUh9BRv7tSH6jiOHtFuJLGymk5voKaj6sSwG9AxTn65TXd6VLXnCt9uf9IfT2
aOXi+uq/5kKdD7NbW8/ABnCOW4abTa2Dl7IIX9oUUBVbyVvVgmvtdO2gv96EPLNEGWTZnftJ4+bA
BF89r7oRQ65UbvOlhsFIT4GVVOPhkk6xsvDtdmvabadMHMJ6gBW8u0eR5edsnr57pLrAcfzbKIrH
bqZPLK+eOkleBHFf3m/U/8sW/3s/ycXiDO8aF8AZ3FudioFDJx4mAXL0ctwH8HJ84FWTXialr/6B
tT47lMJ5zvO9o5v6/Q+YQ4hnf7DQRc1++UJBfYkqR7WfIFLCLX1f9fh/0EteaIPKlq6fUBftjvpC
vcG784n+7VN3RMF67fWRCER5Aa6K3Y0V+DNGp8iZpZV6gg2ejepeo5fN7O2VlMkOLThGTt8n9wmi
mTPyIORe+cF4lIhywOjRZEfmHr6srrANqhxx4QPme3lC2k99UzpsN5U3k0Nmidxi4Z43qcRuoBXh
cBQsE0hGUUU2J/gLVNHyWLRYGWeh04fCiuxLMpLwMDBb78bUzTcVxbIsx2546EV4i7K/NgIXy6XW
Vmj/6rHCvPLi+/pIaXLjkLK2yiwXSiUSCINQziLavUPvZPhE7Y1g5v9Ry1uDabFOjk1BHEWD5tyf
6F7fQeHbtFFwFx7KON1WB+9SHJMLzSPzgFDtvrz0N1aflW9aikYEIjVUOnjVWYPQrrflWA5l1BsA
Sr2Cj7d09yudshSNZCW0gTCWq87uPP2Ew81XpbNbcLO3z3V8qRbBxRRMWUFkPxn4ZN5lkjpRMtJp
29Vi3CJ57cbQsPNNqqbu9f2Z/7Y5F2D813X2r1Uu4aVKvMBtT54Zdw7p91XLD0GCGpuSwly1em3G
fiP8OvYBRIXn0GYAufL9d7+9lLNlcqV2QrdH1UMHWfZT7o0POivvGy03uKl4mLtx87G3LJbxoUn7
Hpl8c8odXK3Ksu1RU+GdmqT6XhS4lUUi/4Nvuo6Yv5oSFxsAWaVmOAFA9x2+oa++VNm+Sy3KOtrp
Dx1stnv/m94e6WxJ/whxbd9YGLyejCxEjGIcAuwRSt0GLKkfe8Ni6SE4RpUu1KUnFNqOlzasxseU
4U4v9YZbOaprs/x3mWBL1Mfk2S7rJtGcRGh+BiWKCnpcAr//898+iLBlQiXtrINqEPz8qTB74bx6
s7t1mj/SvVWCv9IDy/i6w5VYOHqqOyHrhIMgCHPFtiYSV7218W4kUlbmxzLKJq4ThtRLy1M5QsaS
66tOG0UzR08oGNPogEZhr4YbR4C1D1p0+KBRbYSFTZ3yFobteYOL2K6j7NgUZfGhII8tmQNFNqR6
JgUq4Mgd/Me3oXdIcFP3fo+v/f7FplMrFBnzoW5O1NPlvsSd69GnrQIssaue3n/F26szW0bdo5Ao
wlJhcWoIvHghGSbND1nw8Hmo/FpFJcF1s23DAClCosWNl67MkqVA3IwIBkSTqBMs1O4n7bxcL7Xf
/561Ry+aTOSs7uRgylNQKX7p3eBPD9vmG4P37YcHyzAGCa4s8bkcTkSCnJa0yXcoDNIbv/ztmREs
Q5h2CHWQSg7mpnXVD5VOQIs0Iy3uiQ/eyTDXlMVOK8IbOdOVsbVMf1DFiiTE+opT+fhTTfyVsem7
bsyHzi1smfzARYAnnHksETWh1LvPbXV0Q0NQOyNvKd7f7g22pD44QQsvWl4Hx8ol3TZN2Lhvx/aW
LdrKarvMfdi66bPel+FRXeuR1EXUNiqvwND5+f2RuvaC62f9tbOisDu0BgjHE83E+L1vc5VG/Szs
Tpc2Q4FgwvP9+29aayj/32+aaE9gN0gw3QrS7VtIj+8AoVKbjz19sciOuLbwKOCbJ9O3/dZPRoRZ
nqlvJHLeXp+CZfTdzBXlfa+vamzwmCvXoXuZ5EXU8BK1TGDmxn7Af8Fs9/NHviZYhuIG5tmpF3rN
aZ6r5zovXtvyFjJvbYJfZ+JfHU6msnFqN2xODIZLMUtQ3VUOwT3tykNf5TQupblxDff20AqWgXhp
aTo2XJtTgWhbDtVe5HQ7Fc6hHtov77fT28tH8J/g2mu7ntQDKkMm5yWZ2k88nL63k6NvrIZrz1+M
qiHTuYsyYoMKPAqqbLUtJYc6cz68//PfnhLBkiTgTAO01AI/f/LHh1rXQ6SgZL8xI9aaf7EHybYo
ZSiMOXV5Ar+xsnAigvB/8JuLQ29VBKx8wTIw7FFlJzuKPrYwmrzrnGzcq7b82FE5WAaElRnqdqa0
OWUwo9mkY/artiSMJ/WxcxPKmP49GdiYIKCGDvsEvusAH8LiF9JSOa6jb7XPygBaYgSmychqlAkG
6PilYV+66aKSG3HE2+haEiyV6oUzKuUE9QCQcdmiqEpatmnQ2Vi1Xcd+C31mvtd+03/Wdgy3Ce/l
Wc50OoQjsTsiU3/bpEyjWhHSBpqCmkKV+7NnSP1A2+I/vj/EV/gpiLD/3cSW4rgCvk9yLAuF4nDV
d+2TETII47TBFZevZXYokrKFYdUggntYzlRbFJ6zM4P1SV9wAUn3mH52EnXLJXVlMV+K8JNqrlKw
3aAtr5Ozbfq7JuOPNTHPXgIKfhM8QZA4R+9//spquxTkSz7g5tFH2uFK1/bEzkGltqfdrYtSVdzF
vP+SlZnOF0080Gzmhk7JEf38u+2Qpp3n+aFKqt/QUN/ox7WBvMhqWWJlOeuJH3l5ZlrsW8+Js7G6
sVatPX2xViFT67pw4XKuSrlxhwxoffFQWfE9metbF20rr1iK7BtwKStimXMMMLbbhkHAzdJ947bi
Y72w1NmD0O+mc+glRwP5ycbpyvuxwsJrlTqMKPy88ZaVBXcptBfwKreZriA8EV/C/o9nbpxw1prn
Orb+OhY4lSSSgxt+7MidhQn6OLxkOEO9P0BXcvJBeH3rX09nVeC4Uz8nRzeBC68z+v4dnIlJBPfd
FMtNRpqN7yn9G3gttgXeX8RkKoqz0zTzfpxxSQbFEKDpSUiQxkdZ9sTd+UMhQrAUoeeJI31C8OF1
a2KAFDft/BhUH3JqJEG4OPR2nOR1fn16CwVXlkaVPHrurxutep17/03zwH75363awD8+AaIcP32Q
ZdTm8xCHvo4kFvqy1TsQ/duo5Yht7VVyMzXuFq6jN6osVha2pU8whVWACFuSHD3dX5I0i2wAW+68
3E0SFl/jjdG+8palRrzVhZvTpslOpfEjBza+jyjPD3dpQC8gkutITO6Na6OV8b+03ZXAMMlK1CmA
IzQ/JE3Z7MJJ/yN9qKzf766VmbtEZ7IsCwwK0rMTFV/0KM9uqG4cI9d++2LuGpKKGS7UydGvvR+s
M2qX4oTNkvaWNevaC65//tf0rUEXcmrrJscRKfM4d/Lgoonpn5NEZR9snWur/fWKcOD5LGqsENoc
elBr3OrWzfhauy+mYD82nRVdgaL3Avl2I2y+0SUEWO/3qnh7Di55AIkPfEQ/4ndPLjiPuku+un7w
ox+zn3PtPaYTJ9HkQLHS8P37L1zZ7Nli0tueVnXiOPwYStseB0K+MqleWmH6aM5uIcjWOnyxH89V
0AVp6CfQ7owbWj0XtIPdxHhjO1g5gC21/hJshqDSuHDrjHzIfPOrUN0F/iyvvQvfmdz/rNjHsjOo
O/r3sGKORMXqhA/xfHZvg2TDkvLGxrEyrpYK/2lmua9B/Dy6tXqqAA2GscaNQbX26MWEzkXelnUO
f08/w/ncBwNy7kV3o/VXRuxS1O8IR9cZMfnJK0T5gqSxDGIkLFm4rTXoZAIx3BC5djRf7RyKYyuq
6YNnsKXSPx+t9RwzwVgD2IqA5fAsOU8Tff3QzFjigVQ5hY3T4cO6GQYnxS5wVRwyuN3wWxeUK9Ni
CQfKk3aY0Df5iRZdEZX20EwQ8VlALt//grXnL+a21E0pcOXtHE0eHIvZbGwqnkQubtwKriwdwWJW
Y4X1anOd1fDniXRGIuN+5+rJuXXjufL8JbEghFMCQk3M66KQdWQyN4kklnPF9WuecfKxybFEFhi4
s0wj2IJHqPYOrgx2vaaf32//tQ+4HkP+2oTSPGxEimrhE9HNZu4OvMVFOjEReL67j73h+ua/3sBE
y5vc4JgBnW5QXBwSPDrJQx+QG2HayoFpiS3wa+LQmeBYBu3rmVTpP0kuMJub/kCq5gvEOLdK01fW
8KXzmarJEPhFgoUVpkwK58s5vBe+2UwKM3t8rmR+Y7lamRNL57N0QmFbaDk/UntB/XNcgUMEEs7H
ZtwSUYDKP8EmIN6OIRk+yxAOUmNBXoP2Vn+vrORLOsEY1o1IJpMcq8KHYt7b1E778v5QWmuYxWxu
hmCAmzVmM5E0AjwnasUUhTAk/dDjl+ZLmSqT2mu4c5wC+iPokRppSpVCT4yV7/03rMy2pbAONU2M
OS42UGzJkHdDcPrZdiqe5S2wzErjL2V1yCJQD1SK5Mh181oCJGiH8MYitPbbF/O4IGWGbREn4mkw
G1++ioLGtpCRr57fb5yV3vWvf/7XQoECrxAAJpXiCJANO4NF6UhHE2716CQ3woa1b7g221+vGAgk
/sU15OH8hfTY+Nm+Yi9+8sFTjO//+/kFyee8oCE/jl53J1wbu8l4I1uxsswtnZ4tRO9sqrDMsZLR
r3C8a+Npyv7otPdR7Efal7KpshvNtDaKlpuyBOdimAbcIY71uC2dsthSG9zydVjrhMUstpLVina9
OlUuqvEivy3dnatVFmkUSd6rTpQ3mmzlRUttWs4E5SjTSU+C35PuieePbfIjcL++P1z/v8e/kYtY
StJmaTgLuElPX79ejs72cp8/0z3dn8cIWIMIdIfYi+vonMS/wXeInIjG7R7XT7G/wQEqGqJ2027I
KTjNn+tjuG/ugGfXkY5fgE6M+uj3+7/y7UmFasd/j8iaD0OKdjanvubwDmwhNGrhD1kPt+zk3m7k
cKm9nFTXmi7AhcVYzVsqPhOD6i5AxcTnD33Afxblue4BIvaBRM1R/FtHpfxFw1vl0W8P9HC5HoNA
Q5p+rMyJ5GX10DmO2cksLTbv//S3DwzhcjEODJ8LNY7DySYFap2+5sQBNJlEXbijyS6d6Y3E1NpX
XLvmr1VN4J4WWsUSpWKiB5CCDu1ZytrZvf8Va09fLMsZM8aHJL459TDouvRpCUYxwFw32mhl+CwV
ze6gVeqB5g7XOmdPECnhjqS5rxs4XcHl+lb19cosWK7L7TQNmZonfcIV0KEOYPk2h4mKiLG/3m+k
tyPMcLk6MyhHmW87CcFGqrdT3qCmoPJDta1gGfpT6ozFvNHgFQEC5OtsuBWerQ2xxfT2K4bkV5lW
p7pueQQJ9C/R6TBu5jpDtJllwAVU4Slz+K1Qem00LBbvMYE9biu74ChckkRpDaK6Hr36Rm3MytOX
KzYt01mpAfnUwUfxisiaGnLrjH9oWwuXC/YwuABUTEV5qsM83TbwxL3gCv9WcmQF4R0ui18p74Yw
HVC44hv7m8wUFo9V8Kj88pnkzRCNEiSAbrwHN++3dOjH8sXhsu51ZEY5SPBVpyQ4K2DCWVvsjI+7
JHvw64+djMOlvBiU6a5UXSBPcATJLlbm4NqJ3KkfMt7mN3pnZY561zHx1yqW6oaMLoMbZ5Z/ssmu
6WqkEMsbB++1hy8OZjVsRqbEd66WkukMxpLsNmlOq3vDilvh4drY9f79+4uq7oegFfpMGn7fpuwo
Qv/Gvbf3/0K3/541wmV5qw/wwAxaioBmzhjUcaN+6eInppijoVT9Y1ingNnImcWzx+p9StXoR7QH
4WYq0m4DWXs2gkdo2n2Zd9437jZ+fz/hchPOra4xzcFzWfk8jg5348mT5e+sJbUBPqxuHnyvYHcw
7w3gTFwacyZM1XAPC7oxdjnPgRHLwnhuRBZPAILFNhHihVWdtVGTefTSlgxWU7NsH10UTpwHgJru
VdCEJx9AplgSfw+OWfBUFkkel71nv/huIHZId2A/zn3yioRpH6E63t0lMKzmMR3H7FVmOb1vraEP
beI5G5+U7GW86l1hZfZD5GnyM2hr3A+5pAFsyHX3M3PIb2qV88UO2v/BdCB3uVNQVKkHTrZ12cCf
iWeC+qEKCtib5Nr2j4XW5MF16npX9SCcoWzA4TyGr/MEPmHC1V2QuiGP0zro+60H9NenPHUIQCYO
eFMzyIxwWurkBitzu4fMwx2jgqnCP5s20aeUTP62BvDkIcikeUbekZ4CbcwlmbzhPvGB9UngpR2P
egruB8vFU+Z27AgrgvLcFb68B14neG1cF3UOBS4OUwsSHFBi5PsgSFnG/rX0QBdpGcugUcdc1e0u
kUn1qxxGd9uLSR1CHuRHMmm5H6zb7MPZyw5+T8RPTh3QZrIAFDjS+OPWTlRvnYEBGhjk2Zcg6eqv
JT5ljl0zCAtZeS/ObTcGEbKRYRV5NuD4pygx5nP+yFnm4Spr9v1YskbBTFxXLN93fBKHqq4w+Cz4
T1S1zt71/fHgo++imiXJ3mtnnCmDQR1hRUy2BShbdwZArbNmafYwVEIeUJwpoppqunFr38BZN2vG
zxz8IfDSPPuUmpnvxoSxOrKeD3xvHjRsw1XlbSCYys5FCWBYPYQw3IaR+BYmYwzOay7fST9IYX7c
jDgkDPN2hBG2t500LBhYgA3WAbrv4jQpsHmOSe+Fm8FUvIJrhgSg7c5CZ37SfgJOUl6PJjbIWkQZ
gv8ByK2w2zE22F0QFtO3toRaUTd+e9ZtaI4NAFj/iKLQD8bUYxZ7vEsy7LJjC2chi8qv2AJRxKOq
Lqp208yp0qBEUfAO4dQdTSmbv8y+522T2qUvQ5vSB6lJse3ZVJ6LrJzHk5iCysEmUXbbKs9cXNJ6
oNT1EtnRFposT2f1C5tUvi/Lyo1xqCx2I6rfXwjhai8S6O5Vlj6nmIRRMPNww4qCnGcvcCKbpH8Y
cuqx7w5OuAmAkd8o3k8PyKSE56GYSRyi9CQqO1lt7LX4qIMn0mPL4M16JH7P/wHfHVhWCJUYj4eK
+3sYrnWREFO6sRCtQkGSeASW1LMFkRl984tMudnwQjpRH6JSLS9ANQyHDDAxTC14+Bik547M1xSs
HF3/hK1XGdvB5sfGp2abuqzZBKbO/knCbvwmXTguZrOsDyXV4z8WeqZ7xpX3s2yd/li7dRUzRdkh
68v5Agt0Hk9+ozcGcLP7XGZynwre7uYEbFRgNQO/iTOIEu4zGClFY9CiPD3gQl0KlYQ70mgXka8N
4CcPFVzz07uaKx8d/KeMuLDMBattkHAtGL3ivhNTW8OObkTmPSRhR89+mCO/+f7RdWVrXFbzDv1E
IJ6BSSobO9AtK243uHUuI1pCb/KxV1xf/dfWDs8SKrOubs5Fne6U7s46nM6DDj4WoSz920I/DcWQ
cH2GhYYfDVWwp8Nwq8p2JUBZCpqR8Q2wiCf6zN3XHONqSmB0iQvVwrlVy7RycFjaXPqTak2o0gY4
1/p7J8Q9RNQ36lFX+vY/yhVRuq6UU3KCQiLY2oF3IK8xdEPVbt/v2pXmWRJAptYmcL+oklNm7J42
yc+h8QFXK/pfyFzfsiZaaaElBIQ1wpd50sOofdSPV/kkUJ83WujttBpmz7+HJtBROMbSsjmbIZ7u
jRfncoOjc/gx5H+49KXtSphBzToQJ6vLX573hxbsQ8nwcOlISwe3cltQ884VuHZ1L+PMrSLi3Ar0
1jp2eRx3S49jZ8GoVP5T0c6HAJUuSTv98HV641i71q2LQ7nJRqfH3Rmqo7qvQf4aVj/fH5Nrz12c
xGsAE1EDlDVn3cxPYJh+Jl36/P6j11plEW8PcOuAF21izsZnW4/fqaw8CvWgx4+5dYT/Dy7/Wirh
p8K8uUCb4JgMNHIZ7m1w46JspVmWiiPT6yyA/3VzFt6fqnnBJcGH2mQpaKmxR7WpA3/gMXxBQmDn
Epx5u2QPmm/0/hvWfvlikmKDd5xiJNAAI2iPhroEL1LeUgcwfs1dvBFcuYuchumbMe0bFJN2yeDs
vFSln62q+aH3R7kbCcR4rfbsNgiymsRzILMnWUMMbLywSOMARMpx14jKnnmTdI+OVO2O0ZpcBpaG
31xwQn/4rGzvi4zkr6jwLOHgTa9kYDCGSwOlam77ehvoad6jLHsGB93493nYws/MN8BwR3NV6Sya
+oH8M9WOvloz/ynzcfqpSw7LzAJ3JhvXAj+zGV1KMxyyefvqMpATItkEzfWcxfsQ8a6qjnNejceu
QeVhDPWcfcgyT3Jwfo1GtzEXiWvfAns7hxA6Wj/bcdSiPw9e10Rt1w09ng24U0X9wYngkjBtHEvt
NoUspFWw/HFqRJg9c+wDk3P4c/aVvZsg/d+FrJliMlzLGklq/XTjsExuCzYW90Lq+RuQvjzOeadZ
pIeyPGQDkKOwtQz876oncwEcvGN3Km8QgohcuiARq/YB7KbkIZtysZcTkc8gKvcbwlH3FIlQAuCM
uZpGLdBF92GgzPfR8DrmnQoPEnVpmzRoyM+ZZ8OvAMr9HUFxJvJmVr1OOHFuyAw4su4n/4Sw2v9F
fEeehRj9TwlU+pvGpKzY4iBLdyprFOLYbkynLQnnfGeByolVqKc4m+p/csTAP6ZxQOQuXPpcMleD
tCxo7Dpe/k0ykceeccLPGfQQL9S2ANoqfNEmgPvJeQ4HfWT406gCVvYsyz7YF2EavoCu3uOgk+sD
amPTKhqJw8WmbGj2o3eBcsX+y782XpuBmaxZriJnqIYHwFGrvYJPVWTMCCZLXuqHBHXqqD6rw6Oe
EsQUNgFyC8hd45/xMyU5szRAvDgUTlnHug7Haguu5eRuDS+qMzZOc2JBYJ+sTfst9JjzrpCmaQD7
7WBjVMOM4ptHKMgLBaBuKN/1UWnjYfJ+FrZiF4g1sN2SQH2XMED+07mJ/DUhY3lBGhD1ndADaTC4
K/tKSlf7YC8ks9oFPmeXEToSBDy90dCtJu0DsiPtqQ+uI2CGC7wH1MFjXzN3w1vLAHPXcgf6ONkG
JjcmCg1ItF49OnA1nPTBHZIG0AWpTn5JqwLBp4UJKI5+J8Mdb0dROrSrjHHjAFHaBkeRALmJxhzC
sOvuBszrLSOgQjAY5OyDZJbbUjT5zjXsGmQUZltNHQLyovfu4GCDIDp0x72xRh1MU9AN8Mwd0M5F
99VTNMOlcF2RDdCNMBFzWzs8ySmVcR7O3dM1rHjESjWfiolMUD5IP0VNzqwxcgX491x14MAWiXxm
4QjlKBpg2nOSo8YsS3lzVABfg2c3t/cVadURESF/zRD770rM2d8pxZKDSKaP2pE5eC6upjdDq/Wn
jIfBdwVrrM1Qy+G+dFE55YUlPICdLm3H2DYJury0IBOXfEJlbOH7qMT0UJp0cAibNrafnG3HhulQ
hKhqbigtT0Wj5piKznlqeq5CAMwN3xddOP8AxxkF5MDD7xJf0a8G7IWfqYMFAyxLvS+EO78UWZJ8
dudQohwwM1GViUAj2UDVHVyIwidvFNNDTmc4RoPxsilcwQ52KGAd5aJ7G8nSS+lmwwGaVbItvQlV
NWEltr5N2U8OY6FoHubuB1CEc5TkvptGc9Mw+Ph2OXgqWm5hEVR/cmZom03vGxlXNU9RsOuqnaa+
e194FUa5OyJ6pc5UbrWtkp2UfvaphGMg3DMAvvJD66tocpsRR0NQB1XBEVoiY9u4WRAPAKQcqEYC
r+zEKyeoOKmd9Lqgu/nBpaggqEMqHnnNxjaaGTJX8HxVzc6AeXsmVNpHM/gyQnA9PQgoTu9hqmHL
DbUh3Y3UN8i0sOxgfBfdMqb0zq1H9ZokrnrtlcLq51bBhgkv/0TdTgHckhbnkDsVrlHd9KmE1dSu
rAxoH0Cel1+cFnCTOMDkOzkVRV6CKrNPxtL+uhrbI29HW/hHGPDCGyfZzTWmgFdWRYx6C3ao2iwH
/ssZ9ujdBuDA3I184nuxGnCWVTmAEnCtHudj37YOZm7ZFHt3LGFw4I0hNHZYT3J5TecD2AGDCkqa
uzoVw5dRM4sTVMJh3+YwkFVZGtcT1180CDFb0rcy5inu/1Exnn4tk6m4I2EPwEJSD8/6inZO7ewf
Rsu6DXCdiMfDLo/TymtPLlLu4NZ4Fr/G49OW0YLuklLMcVGkMNBERpXsmtJ0MZxl1GnMrB83AA3u
R+EVkPRjbXHE/JO0LP1O/cZuQewLtvjLBCaFQpzaRhiMK8i/grAXdwXOUhfX4vYK+UzH/M5UNR6A
oAg+Y//xzlAz+nNEBqwiO9xwvBLHwuoicbW3qawETjYsMvVYdKPd1TXg2MiyV5swGWDv0ThN9wPz
g35tOfKz80jMxqODfm7G1jsmeTnvYMUSYAqbaSMSf3rG9ckhqzK1x2lpwMhp6B3mLn0sJ8F+dcjz
bQA6l9uwqPUBCcfhIpTfHGSS+HGFws69nVp+BId5go9W4Dxk2vHipOicBxxMyWEAEn3DWtteoKFM
HnMpnZem8JpPXU7Up9521akT+jEDRCIqYGi/wdaQ711atddtvb+DXdO8sxiSB9pSF1nhZNgQCChi
Q/P2TqEg+ZuR2AAAtrflnSKVuO8G1iNwAhHaTk73e2iRRsPenj8WxAsus4PCcg+5889NXZc/CiT9
Ii2QUJsaAl8A2IY8MTcgT6Es6kcAEuU/E+/qXcgVP4NW/gzGudzqlOb7mpv6Lp088gJIkfM7gcT/
ZbBlsHeL0bc7g5XmAbYL4aVTxEaCkv5HP3HvT9hz74QPtlvXJPqYyYQ+I1kg9mKepk9wenL2zHr0
9xBU07cyaMmWdybZ4SqqilrY/t0nc8d+VUlX3AcwvPmUIhkLg4esGl7kkOY/9FB1f7DNwxhF4O7t
h8xb/TTkDEIV9K73zIqr+RLYN4MftUWK1KGYLWgOqtDK39K8LKBlGZIKiaNaZwds2C3yXoRWDxli
9YfOFOKhKp3+biqot62hd/rUWOJcRuUC5zTDEwWpwJGVm9IP+1M9835DXZWFEWsZHze9dewnOJzX
GOu1hrlH2W4y+JY84tICICiNI9g+d1wkPZX3mbglMg8WPg3cr8F5zOoynlpFnqrBqvuKdf6+VT52
Lln7d0lZNrAJ5ukDnGxwQ4I6hn3Y8eCx8JLiU2oVsFSWmWGb0jHYCuMMG2zOPvD2fogdJBQ8skgU
H4ytxePYwY21ABkQ6XpbT1u0n/idZDJ8Qd7aXq9jum0AZsmdhLoP4Emcjs/9INyvPO/6aFQjiYXw
vCNvGTkOqss8dN40bb0qTS9F7pYwoTHc4m4FDvNws682qKKkz8EIZunWQzr9kvchexAGLgMBtIPb
vIMivE5oeqmzIH9wmJPvZjh//I+zM1lyG+ea9hUhggQBgthykFRSzeUaXBuGywMHcAAJcLz6P/X+
G7c+qxRRu267m5JIYjon88lfpPBaiBXp7IeYHNid05MYIYTgTRSivBfYcN6OOJb/Ns5SATufaxqy
ObMAzqNW7PMODOxUI5s4w1bvoZpTYK86oh4MkZTFOXZVmOOtTrxx2XpwY25p2gRbjy3dA8oV7Bst
exJViq9JyfSwXZBXEoItSscw5wTbdjfXvwc9s/uiyh3E+A7+IyJTqipaMq/gMWvlJcrAvytj/ilR
gjY9Cvwp1Qeo/iKzvKE3GOJl+vy8eu7ix279X4d4b3IdkzuePviphpJ23/S/EFD8+bX/XYHwT335
BiWshcy4tsV7iKk/Qq5HkMWDvWQQ/vdh2z814rctdSwbZXdYONkHeX4n5iH+/Lufu/Txfv11X7pe
OyztCerA8hbLPk4gF2ph5y58/PO/LoykViZnolL4ggnyevizrosLxaR/Fwj9U7990XVoLcwsgKWf
7Wfrv6q0ukavoIITy/vWpeWFn3DunTkpWgWsHJHLkvcHFGliKAkicKvKS1Ga516ak7IV6rMSZ0Ok
LSCTJZwoVE7ke9sG0epcCsk+9/VPaigLUqEWk1NwuxucHz0vT6zq7yZnvGQUOMcW+z++e4IQr35E
nwKwbECmt72KkP377H8XkcVhLfaXC2XJMzfr1IKfwh8rZtN0h8rAGqdDhQMSzJxRV32NU+CfevAL
Uk3AtWX9IeCYpmFjwqEldOkaqmDz+Ug789aemvCtCaYm6FAxS8U0RK2X7Zui35WtM8TOJOZQFCjm
fP5RZ578qSe/rpUn9ATdQzlC+TTeVQ3SdC4FXpy7+MnArgfrlIuD8nyXPjUMXWJuEIOivzZPn1rV
HROQxSXH5GtuY1K8+gyJMSCzf35jzkxKpx71Nu8RIde62NAHQ0KwSTfiErX8DAjh/5cy/5rwGifF
Hh31xquyNyihoNi9xvmsxgm5PyN/RxKJ/7LKdNJRVfU1AHhNgRNjtVz1HuK0EqA3YWGg1GBPO5Ff
c40mfg79WjgFUFvkZkov3IMzY+nUgk7d0plVNXgwKN26g4oKTA4L9BU+/VL30j+1oHeUajT6A3ef
zqq+RqQXRLRITH/vCjJ/8Tccx9hf97rOKKvV0EKo2zqwBF41IsCj9HAE+ZJO2RfHm/fXB6QOp0bP
HuKCXISpq1+VhIuyCyty4R6deRFPrehVKYIMICi27wVKGaVX7Yqu/vj8JT8zQMXJABVF3uIoMlAE
FT2adogmebcgsO/zi5/74t5/b8xojCfI5K+YvMaHuiEPDJWur12a/vfSNRK63GxAJS2bgte1avaV
quOvXfpksfUGwPxmbeke5+ZkIAJFtd798fm1z93uk2XWdEEwCofiTDhM4Wj60Bi8NeWFm3JmtJ56
z0fPZjjl40VBBV9WItYoVRTjE7AaFz7gzNc/tZznbCzMPLh0j1JBWPt4x93vxr9wb86seaduc09m
UNSkA9tjWw9iFQPAea3Hb9Jn+5Y3f3pFvmaxhajlvy9PhurEwgJ33cv0BzQeUXqRanjuCRxv3F9T
AaJjUS+UnO6hrrUbtIzqncTx6M4dcQqti7QuL0xq557Eybhd10VJJBq5exoEMpIEBTzPzd8EkZsv
van+ydgtJhAlNO3oHv3SaAblbr2d20vr37nbdDJ6h0yLQSPQD9yFqPehTWveys4Pu9b/2pR8ajnP
skoEKNktkAo3EnwMlTQp32Bv+9yjB/LFZ3AymNumBsToOJizoI6sXEMCfM16Kcn8zHA4tZyjlruW
XYVVxWlelg4FrV1Tbjj4Q+ggXfgBZx7DqdXcVmQOnFTSfT166JFmcdvnG4TS4YB6YcI49yNO1l6G
ckUXyILuU4v9U/ZNltldXv0pSxt1gl1aH88MBn78fX+NOuM1w9gj5fZKE4W9MRu9vZQFGFye6J5V
U9OHvC7nIFyEKjbQAk0JKXP025oG1RzU4SENUwrxdStSK69hgHGvWpUzaBEDE/XHVlaIwcAgfRur
Fdow0aEsaRF6AeVShBg0fV0ZU4MuOmlz3ZCmvUVOtYpAWOSPKGODbQo3FrKJbP6CDc6AeuaioR/v
VG5hEVUqplRaHroTAoyhkUX8ZdU2+0HkoK+j/Yh67FCzHW9z++LT9BKM69yjOZmqXIREdmi7UjRy
YA/z1WZobDiv01sLUWI/fpFneWqgd73AMm9x9aHvdx2qsyWcDZCRXniDz+wwTg30qPXRcelWfeCg
8vdes5nbr/HW/VPnvLfOc4ASdncos8cA5rl1+PmlmZWf7C9sUajUh6XgkKv3PkP9Dp1Sy16/dvGT
OamrpzwbBLR0KXNCWhSJFt98niZfuvqpXX5cgbwflmrd2/FAZhmTAZkExYWLn+GuITPov8N4gc2n
KII1uCqQeFpFZTGwDUBxaMcihzPiyuqDrCUKxwo50CQKAGZKkL5ZR9QYC9S+lRudL11sONKKv/aD
T+avzoPmvisnB1lc63ulSnhCOmdL0CO+8AKfmbrYydRFofD2WoYpmFA/McUTnD+xNr8///ZnRsep
td7lTpq1x+1ajfDzzvN+cKP/fO3SJ/sPpMn2ghaG7iUEKml+7w6X7si5L32y8QiyxgLVhDuSOvMS
tgKbpwZ0rc+/9pkVj9H/vmLDGJhRgSOxR5gXwnPcZ6TTbkuQicNyMhc+49wjPRnfQ+/4DYMcaD9Q
ZEqXN3BBhLO6ZIU7M22f+jXTyocat2VI2+o+qpUlGhnrfRsuWGZIceHhnrlLp57NEsrwPICSaB+I
pz54V0Yma99HvBguSM7O/IhT32bq1UdHDEXCSKc6WHp9tisax0njEjk3WJzV4KLXI+aPz5/6mSdy
auS0qzaBtQi59Jh/cBRPEGW889X3z69+5oU9TakFjZNSBCfgUMTGsOHvLrtw4XNf+/jnf21rGMTk
FllP7h7Rx2KDjsuBm/k+74mz/fybn/uA00FMaDYXNZLbimDcrcWQQZET3BWuu/n8+uce88lQ5iWA
UjCxzftsbG9G7KbCzvWeWoPDnFd+CP8SdPXc55yM6sb6SuY5xoRdZpPkuroRJQK1FxDYckn2fnWp
eXPuhp0M7WUAE1hxsu5Xu2RJ7fB0I4kUCa9q9sVncrKA52VLFZKvs0NbTXsi2Gs1pu+F/zUnoH/q
0Kzl5NYcBENk+2gE9gUxnGfPECJfmPu84y3/v1pM/9SjiS5y65RdiskP7IcoM2TcFNArJqW1cHhM
EAe24VrN5Q9hZveAU7F+PrIKEijWsi38d0UdomI0xHpVQFTnI/Iva4jrd3PbSBkrlhXQUsHddkPq
bIH+kuToVtTE3ikkB702Ac1f1pWvv7NiaDeIqZse4Byme+5Cp1RSPcaToBDcreMy/frSS36qoO+n
CrrS1Ov2Qb9UYV7bG1UG91zaTTmNf4SXX/ic4y7oH3f2VERvqSdyiEy6/dyS72kNac/YX+VzdV/X
MvL1/DYxceEpnpnRTkX1EENCeKOBAM5cGsMQlYVudSkI+Ny1j2vOX5OaO80dJgXe7+U67MohQLKE
u/rh58/izPg81dQvNatHtwRsAPY+ENXN+1xNG/AYL7UEzniE+alHWAcE7iidFnudK3TjjKJFWM2Z
wKRTmD0p8E+wX/oFFrLU/PK5AGhLrKV/Yd3898LMT83CEB9zjVT5bN/xg2RVyPTVDE3LwKsLT/7f
N5CfGoWDySDhR/rZHirZ7dSbEnIF8cwWSAc/f0L/nqr5qUtYTopBvkDKvVAT33RAcL7YFTZGDnC5
CcvFaw9wLZSXprt/v238NBsnnUiRBt2YoSI63nG67EooRr72S04WHRzhRl6WothXrJjusnoIUyQN
bxR0wokHscdx8buwjp57KifLzlxlHh1bAkwc4HoaityKX60wFn7+Q850Zvmpy2iwcqL5ipd6DYLE
ruuzbUiwr4R/o53yjwO9FCyzdajy6d0gLzqE9gKy1bR/+/zz//dy/d+ZjZ/OoGmepwz2IzTaGCZ+
/eTBmtWzYUfYL3hvQuU2MNn9CKZ8jbgt9lCibCG5ga4e7l4IiqgHUS0fk6O7NCucjSfam7LXt/kK
VuCwG+X6Jgr6JcIBP52FK9jGjOJusfdV/ycvZFQ43cfn9+HM4D6ddd2clTpwq2IPRgOAJhK4FBPX
UCx02k8+/4gzo+/UzRS0pUBTGU9akGqj1IsOhquO75z03hFfHHKnc7BBz3TMQKTdu2sKw9d0Vej+
wtf/X9jRv96U4zD/a/E4hq1Rtw9wi+D0CvwmRozJdqpprN3vqafea/sNouWwmcGgXHCQYMMBNucL
c+O55+P998MXpwoCu5RqD7Fft+sb0PaQqlxvdDa3+7Rougu/8syc9b9h+tePhDTTCXxYcvbtMN0D
CbMf8+ZSL/TfMwk7VR+BlGkZXLVqL4C4D3NE10QlPhD9UJtdmOHPfcTx9v319bPO9HnDocVHqAJA
Rd78kY39Tw8e+s/fYei+/70V4qfZUQIlWmX46u2bxc03zmCWOxtketc40kCAbUrkBjvI9v2pAwOZ
P+b98WpIV+eFShQ295J4nQitsd4LF6SBB12TZ4/2+VNliYDRPKB3HAyASHhl+pI1a4Vb5ZX82mRU
XfWNnx6GxslfOK9WRO/2bXDtBUuehr07qdcZvXwvwr5UbPvMc6uDcCB0ZFLnBjUsKiLNBo2eRFPI
FpUT6kBQ57hxA7YADAM+BZkVcZQb6K29CA6aZtcfHR2dO2a71KmDUM5lv6nZCvwcWMbHPvPCsw1S
p+yuAZzuCrF91Q47SgaHTGPCKR0hhexxFopaswDapRl/orNutoYsZtMsabAHrYH9nBEHeND1QF7p
AtPD1rpW/7QLI7tlEt1P5LbjilqbqDCdgS+CoUlguUhDVKiDJhy5IrErTXrnpnAvRF3Tij6qyiL/
1SC2SoY+n/sCOkU421sol0MYO5Dbk1kAGLN1wnamyENDeRpVuF8qchBf82tihftjyAbYL3gP+xWp
4Nim6/J7WnsouBxq+OMwmSkxvdYs1D4sT2IoYE2qAPBBDtXyYfoCCnM9+WmMFAP7M52z8VWW8/Ie
lLn71NSuemS8bTapm4m3eRpgmhBOqeJ2WYOtnqr5p18ck81dHDO9sF2m7k523aKiDBrYBLaPOUaO
sYJed0DzfFWdRG5yQSLEGbZzBK87ubXwvXvRiJcGTvfKF3HVZg6iwCv/mXuwhkN3CUTCMk8/EFUZ
XMuKLi9wTXWJu8jxNylymbRgDkBaq4a4EiN9BjtE0Aj5pgFEnnJ6sUL6BzwX9liB5aDDdJYLik89
XyMCLZSI6rz09m6vsivce751GyofO1hr/syLXaeQwQiJ0rzf/Fxnj9wjPo18VM4g74m0aI5mHYHW
ndF6a1I2mDAgteuGqjZ93AwTZMgmh4Mh0wH7qFzHThtpcURboFgGc7YqpYiddEYcVBaAy7AtOORx
RHnLAA9eMV6h1Rg8WuQf4X/mQYQ+hP7GBNFuSCCatmGdMb1lbCkitxaQtwgFuoXjl20EWH1fhl2V
4qKpSBPL5+Ja1bR/qmUgICep+nt4tHyDQecrN5HEmREpboh5rZUd/vB+cABzG5AzKZY6uGaE8oS6
XVUhMWldNwjdXPZCYNQV2TTuysb9XpqmubNjPe4ob6a3jGagdVVsuC8n2cE8pet7w7AqOQ0Widnt
wJEKVuBwJJ/3SgPpTEfp7UXH3IiPnr+ZEf50q5FifKX9ag61WxHvqrKjm7iIF/hoseOC0gemhlE0
HuJq6jp0FUw8+KbBd2za2k2xMHObZ0AzrA0ccmwANcqOcYBjkBxYu3dbS0bQZKTdKl2oLbPeYKMc
1iQZe+Mkb3RfpTG+Mn8dHfep09nRQAYacSU9xH/0XR0P3lreSKQBNJGZvOG2h58vcUogyccWSmOw
l/t055Y9zBy2GOExa6CUThAb6V8FStEdrKvtH6eu2atB6t8OnTFYAMw40wQJrRbGq1L0YV5q/mwC
v97BvuVxaNzSYUtVB+vIMtTXVI50C2pEmWC/CvBDJXL0+/IJQA90T3DQ6yJ3AsqmyFOCMERZrvGU
VQFARKRBIXMarqFjdr4tvCS7CS56pP5OILYLbCNCTL1qG5Sy2TIfeOmNVsYJfScowkmTOtS9nlFM
IPRlJVrcjzJnP1gv6nLjLgBohKkczfe5dP2HhrvlPelMs52DMX216Ee8pmQRUT+VNkx9g+nTc6rr
dZLTYWSV2oGwkW1s5ugkdY2416LNN8xZijdovvOb0aYiNr7Q16tsnH1WgUzT+Ize5aKusHrkNqZd
m8UWxsTrviPiFjWOpQd0Q7kP1mHZzkIVfxsU0AwWy9pfweADx94k3mw3+j8sDnzQoRxBiKGrPftU
j9lURimb+9gfSePH+GksVmZqr0pAjB8QbsLwNL1hgyr0kNgmLWIS8PElG1n92GV18UDMLLer9BwW
add1whmGTtBe64beIv4hfdSq7n/WtQBSq4OvY1cJVLKbLic34wTsC61xZPa9aarhEGqAYl6Z8I8B
NNmhYKK9FW3L3xktOWxSlfqoM1XsyQi4S+mhJ5R13L0KEJ2XOBniPf2ql3j/RdZCHA6cjQLrMMIr
1G6wCU5/zSvaxjDEzMODSQN5nWKn/SMDUWVXweyHQ7wp3N8Ipa2/jcj0vPWZ6e6WjHjvS6WHVxIc
U87SlusE/jifIZ1lgEHRNm0W2tZzXgTgzCHaXLAPkVW+VunYr3Hh5NMxUlMgdCLz5FZXSt2kHB7k
ecqA0Eb+X+IQwq8G4uVbTjuLIgaB64s38ArAzBLyrIJJGOqDqIMiOwYdskywdncfA9bI2NjFogeO
oNmwN22+nanyQy/t0puOIVecwCvyK5Ar2djZK7arhXLQCoynsWvz78J18tgMSjznyICK5zHVMdBN
xS0C50vYg9kxWXt6zfx5+LBe50SjqMZfMAZ3dgNfh7pHZd95m/rO3LAB85DrjCsJK29M4bEDeCmL
Uleb95Y23m7OaY0M7dZdr+clQ+lZ1k2Egl57bVcq76Y6cDAQ+g69ja6BzWiQLk6egG2E9bA6Dyzw
C5iSwMFRuSr/eP7AD+jPj7c92Cq31UK8aLXASsPn3OXTldKKq1iCyrzc1oVZtzUv2A8Ci8h9AKPo
sUjEk9724gr45uob49m4Uyxdmp1gzfyAQo63obnpEuyzFLZOKPQUWUljx51JCVM0k3DrYeclQ2je
cNe4Bys4tBXDtkW81QMKuMo5ui8r5NTAfYJoYzU/TajPxh5AWpHoLdnhqIJTmFrrOjbwrLpR5hZ0
jS2f9NvIFIjVyogWE8DYybvGUkyCvO8GuFrzXELOWDjvQy2H5xRmrGiUfXsHrBE79hM5gWmoyJVO
gtStt6UFrD8c6hJywpquQ70ZhPKveFCTnYYDnQxI6YZxD9Zer4wm4iBKQU/dFh0aWUXjWPAmtk3V
zhtsjfgH6efuvV0L9qC1CGCRa6yCxLKk7X0RoAU9Oj5/yDpf/pg7Wf2ekZcd51gA8yhYXNgpsf15
G4CCzhBGUehXKRyGOVf1LjiqqvaO3fGB36G2K+HgdYrprSmn4GlwHLYPXO49ZsZQ+P18Q5MxG/MY
o82/qwIR3PRLBrfcUsLJhhXLxTZqEs4tVGzSJlNXjrgdvdzITo33QbXq32xwAPBRrnZ/22H0b+GS
a3lUmYFce9Rnx+fiKRgPj/FecBI5W5jw9d5brXoFQqo5ZONaxioHgge7pnwPZKSF4T1z7XGTTMH3
05rvDJvmOhQpJgpU311wqDyDkrSs4ElqSYCsIEZwpKUM/u+oyVGvwWLikW3bl85mmmwNCIzP4VLq
A/Zs8Zp0zbDPkS+0w1In3+Ad62BHnmFqHOA4f686HxxjV3jbfqwg5aJd/zPLM6dJbKDyeNDpGqWj
XT+KFRIgkEgmyLwqTeQ3OSqxhExNzfeCED8NgeGkN73i1Y3lS/lcNf6SwO5AYd33qr3qTTXEazn6
ERTDLhQTZT7/5mlX3npj0CbwHYENlm8l59MtVyuiQaUyWwDaljKCAVGhSSCgQVqI+1DRYd5WlJEg
hPV4TjqRDns6CnOQi7DJgMIieGfYfxSddA7DbFJ4YxfxMgGHdF8FyrkvGBuvKjllsGLCetTUfXB3
nENvBsCYDjPRyMwTWXHdVhxIhMrN6oNrgegLm6PvacEOSmG4DeLgsBF4h5yLBEjI4U+ha3pY6qbe
ikwvPxHAl+0F3oedl2m6KSrZPFS5nnau9CuYCAO5EaYcI0pg+C7X1f9RADr3YHDOq+EZJ+N1JlN9
VPgPCQzbGJDEtB3cBAEHLQza+XUMPYiR9nPWtvfo/Na/+3bE8aJR2RI609htKh+sqrQvgNkiTW4+
2JRpsO31VMSs8ppYZpl5bsrKvSYa5MAoU/D+I55qnV+gsYThvy7kz+boA42x0VaPJXeaW97WaXeN
fKZgR+WqH2YgMXa9tXbbrQyboyqY6w4mYac6OCiyYqveAqKnO4BmmDNmC4gWmY2arsDZE3CwD8wI
FlZ2atB1h4esXFT+m2gO3O3gKNjZC+zjh7TJSTJzZ/ndwnX5wOqmKrfT4kNW3czYXESd6uvrFE1K
OLqLur7Gj3SDiPscQxMyLYGhby1QQIgOD5q8v7IY/pHLHLMby4pHdEBnA369ctkvmA2vPB5A8+SW
Fi5CRK/GNR59G/pjCcyFLjsVl7LqvjmlU8SwzhWPABCIH2JRIIl5jhMW+MKPPi/or17y5dFWTrZr
Adg8jH0uNnNAXVj6zHH1JRb0gqYYYkMLFEU0/vgFanRskQXoj2TNyHcDeNqvDKnh3wQhIzDPgiGc
R7YTMGjLik0BJmfPi40oENVWeDViENUgyIelTo/t7gKPKKo4jZO0BkbUBMGjALYRr4YjHfDD9V1N
pqAhQApF4vrcO8jSG3HKgfMRC0phfRuOnW83LtXDFeqaTqgLFxsT2frJ7Kb11YgTVwGJG0ywodNj
S7ZOjh/LoM5uOiCGPrzZgy5RT3VzqBfPJl2Bo3w2eW6Msrh78DDUN7mAU8+0jG2bCRrr0B9yAehX
sMbAKlfesTtcd5EqjbnTy2Tu8dfq3muF0QnEkArCH+brH8XqMaDcfAwViAj2nKos8a3B+Z/P1Xio
lmXZNX3dJjkd+E8UCsAAaY1XgQnYw5hdifa6pjZNwKIQcTqjTgPzt4+6w+yPG2xVAhFNLmW/3QJt
lWqkzcabl+a+EQPdrFOt3mowZa6nAJs3x8+qF7/B4V8PQ/bRLsomdrQiGadp2WscNueQcVbEJnDJ
2zqBDJCiPhSn2dwg2xl4JuAC2PSbUaLhjQlGDmt5+zotq7MfSQEELadldugG0CQZoriwjRbLa2BQ
rovyaum+l21v39JUzSLECYffaN82MYiZDVZ0VG4klq+9M8zBNZI3fVSXGAgxDWrkg5TtB4y9U4sS
DQgUcMLb8sX3LEyrE+yqLPdhf6+6Oca5uo1HjUSqEKiIEcMjI8N25cN828wKs3qGjdc8rQ3uYtvu
B1e0T90yq++DG8DMMa4DvP0CwZi9b9eD9jQ/NELRqKRz+d2ZxQzJnulf2QrwQTY7/jXO+Prex2Xe
STa5rysX/s5KRa9dkqPm47vGk+gRC29jsqBI5OgMcCI7sL8eCx0HiKKPbxJT2KgAv1JEc9XzLbRl
+RPXNHtigeMgl7Vfr5puqXcgME7bzgK4iZGiYm+mxR1sNynSBP35zjaAlkk9ORtgK6tbb+iCFbZi
2e4mEFHfvWWq7o6bvNj1YQkHM9RxfxlQTm+MWREqsjAcG7UMEurNOs4tNlrIJC9wqqsobhyWfteU
/ZbA1xWviHV906Bab4SHWlrYdE6b0KLNn0SOJQYYZR2BrovpDJLmJBClGy+kAbQA5kB+gFdo3Ix+
iihCrECbfgK0sB6AlLa9nm7gruY5cD2185xaHzuuOQPcpUfQ1BZ0wyMTbwa8cMVTEcjme3Sw32lj
M9n8Fq8GTDOdrpsnUmYGu8iJk0c6T+ZOKrlEoqTD81AoslXKNte9Uw8bTQu9rTuct0JHMr4H1idz
Qihq5/cG2+AIruymRDcJW+F1TLPbBev8m2vc8VcLTOpTM9c6rvFoo7kfmqvcx8gPgSDAN1bMlHWc
Yy2FdZYw+6CKtr/FCF4PQnZm4/pFd7PA1n/FVDZtmpGnO1NO5Op4NrydFhclIqBYOaaYFjuuwZAV
kpR+aSPq++uW6TxLHGAqUFODh8d6PbiivOim2Pou+wlE+NTjTfPlt6ko/aQBZiZGFbm557b0bwBQ
As9U9iLbUGMJytLYMWHo9TdZnrZAPHHgGfKg1HCIe+kDH1VxyCXuzcYLNH5VQBtnt5CV0XhCFmIC
GnFz45fI/9DAlm11W2r0PPi4AIdy3DEEWr974DMkjEkzhC36p9d+OrpXS1d1SYm921vpE33TTS5O
A6mXPvaVKb650zDcIE3J2QHnlOP28nXF2cugVJwu8N57swzgFM/0ldSA9gaoFkL3TJtrI+0Uz7Pq
P1C6tlFgABbQs9NCnTQgmnSumxY1E1htwULBmV5vFwTuPXu97rZW0nI/pP7YRaivtN8xz3d39Tqy
KxDwhgO6pe2BFhW7dbq1vkPBKH1VjtXAd7Isznpk0Lg6LWNJ6hFLn+X3eYCDlUob/upD73rrNy5s
byh3rNuAeeQPRc5JMhEP/w7pqPqNRa3oQuxVKvR/kZlZr938YHllX+jEwXiZ8Lov1dTegLacbQuU
6TYd/uM4BQ1mszCUrTkX820q+x8Sh4En0L1EjHlKhBKZ6psAIJKbYGnda68jMu4gUnklua+/oarD
rnXPeIRhVTMgYNty3kxyzmOhVOOBXroEN6yUKBX6zupsUX+ogsSZCf2J+OgBs6TU7A6pOda9Lwdg
iiMHVtPHLvDSb2mXjXdzN/ffUjCks6vKWzp/44Ht/lZaLNuRJ4cVp80p7X4OoCvdF1BdOJG3orgd
ziiff3OyiSLAbqBOKPu03FMcbckm0Ln3Avn8OON47bykK1BpCmCvYvbUExBjtQFqFpU5thJwXofC
NVsy0zTRDrY5cc16yJZW2uVJx2Ynyoc6AFwCvBZQhmr9PZhG84SA2RkZ7p1qfpRzZqBj8H3vIfDV
EYwi0tupJ0D9YDL8PeeteueVnrFNbszz3KxGJJiQh+8F2qU72AlGANb89VLz6lyD9ER9ZTUdx543
kCcs+ql2ETomsZShH+OEeQPuDQbxha63RDvsH63MU5rf4BoH4E1CrupcmptyXXJsz6HmkaQYEOs8
VQ8tUc0V6Nvq2ue13H3ePRNnfuEp7W8ZeY/WWVbvS4Cl4mFVXuR5ao5XYHtjlQ3VBkiMClDqeYTu
x6FtselBEgjdmdLt0HTDhjJRbSlXGkGqY16GS8GWbYaj4behcbvbxW3M9xaxBtFc9GRLjfozUEmx
Ocu96xZm6kPXWDDsVpNGWHJQW2gQs/3YyRK1uWwoq1+VACibqyIFgrwsVrwUpp0TJLaiDq+8DgVK
bPzcG9SvlgaFedciHtMU5A9RdfZHYc9zn5Um2JAu7dlelNmEgs3YrVh4UEICPTtP/BodJfBt2gSb
lOB6BLn4BnCt37T1xkc+TgHGWZU+jNoosNZo+9J32IHLPPXfaOnWz207o9vEcLghcqy33oCyBZBP
6y1sX/OBGjJt87aH48RZmixiAXy8CLRlEVPjd5z/0rALKA+DhX7NLMSd49P+f5xdR3PcOrP9RaxC
YNxygkZD5WBZ34ZlWzYJ5gAw/fp3xm8j4wrDqlndWyoXOQQaDaD7hE9NV5XCXzYRKdp7dm1dDz5N
t6LGXjkRMuxYAEEyNF6qFTjK3z7rV7GrtXhnq48ptkDIrfGe2RvcHvqPburtDdSu8507th+jRK03
XJhjR5AuwGFkQBHmWXmkez4fxyYkFjm1nz99cQaRTeRKVhwhybK3bAAkSd2Bt9Md0OrCpc5rvgVq
3BVZDllG9+X8Ww2teV2puPeLMomdKTtCEal7IwtaNXnN7ZVxPQ3fV8OqAQxGh6IjYpP0CKmjLFoG
6ex9Eoz3NjrIaKBl8SqM7es32YE2eIsLRb8GRaCjrLAPgZF/AjQEPnO3k28PT3WO+LGwG2wWbOrb
0ZkcyF86vzCVHWzzEuof6pHEb1meqYc0HWzUorxLx1jDVaV9ZlXAbdVHGJV+RwW6fJuHZbxwAjUk
1dwmzuwIF/eUJYUz3Ni6T4SVagUSZgoPbffw/Lb2uTw5MltFCFD4BgLzK+CTvxCd/waHrQvedNQL
ajLI+uhb0v3uQwv6iWAR/DxhXCGOb7nfOIeGIXMFPYyqzkJvQJ8JTrKoFmQQ7KqgS/RQM0tcuVMG
80ArbVYUbb7eUezghNL4tBIVzpIs9VR9bNAI2KSdeBMyC0Inj5+hbU82yTCsCfN8PcB2cPr7p1dJ
Z1iSqi0xwAHE1loc4dmv8yvbhFrR1t4wgObXjahi9n4O8y9ajT8Wn1YvoJbbKzg704/XAttHC2x2
p8G9xg70UEGNJsmXFRVs06O1sGZZEbhlg+CYwCPM5qeRvJ0fFtPcahENDiKavkVfHftlGH8xN7Wv
27awH7MFrooAxSh1hCVfdxHhwdYlYqgzeTFIRckRCouQPL2z8Z8lWJGFMcAcbV0XRmILx5m5a+B0
ZuUQMQ1YNObp4O/nirjQVUWL5xqlvmSGbYOfZAccL+JIoBvDrjk6QwrKC9kadfhrBBNagP8GMvoA
ZV8F8EokqOxvPBSo5SS/FaW6Gjz3uvbT/YSkvxJ4hkn0T3//tGo8V0Cr382qY0Lag7LoE7T2+cYr
lg8HspcW+uMrScqwrfinv396UT83DC6TMOybwbwmdXIFg/qwpD9ZuhLnphdo+5bVVKMquhhanWUG
IARcauI3SDv7V/BtDCI6VOm4Ox/4hnzga5kG/ltei7Z/cmTVQ9LdsKGH3OUavv7rh1OurapsKXAQ
zNohSiFzBwDKkKaoyr+c/+Vf5wKqMzwClfpQaANBU/Qw96zu8nLlwV8PPtWpHZyg9ZG2dRFBQHJB
+UgmyUPfxeRPvdD0UUCf+uqyL9DiVQwAKaJxBpsJ8gDHiW2Z8pUANY2NFqBzBfkK1GclzCAOaOSi
ZxpctMYgLvlv6GPXm+0xKGSU5M92AxRe85xAzSfJsx1qXCsvMcSNDp53BjdzJpRRIgmnDwswnRxQ
jwEYi/Pj/nVSooz9+w3SWQCuIFxGqQpwfLlFL8LK7I0PaPsisrBGW+T8i75OSFR3wxopeh0AN8tI
SX+7xNdtAmVi9JwXWGhm9sP5l5i+RltksklY7DOrj4if0OuymcVhHJJgT6yhPkJYQb6hwuoDGBek
u4veqOPYM5QOJIg5Mhq77Kaj/ovi4iZxyLjJkwJuXBR5y623519mCGUdiF6DkxGgqgUednuShHNR
HF1JsobZ0XHo0L2a0bHC8nMqom5Ruuk2MIwaNqca7GZISb73UTH73/nPMMzS3+Pupy0DeG4omXmt
jDwXsutLnBVhFw/iBNgqNrSCX1GA6up3OgGqdf6NhjSm49NzzypjO6MyAhCnumPFXD4kTb8AQZsw
1Btkflk06Fdyq+1az5rSIXL9bYvG2Q5eWMtO3APWef5DDBGgG//QthsbeETJCLEdKoqeZfZx/smG
CNDv1nPllmM3ILb8sbzOgEoSoj0I1PSusoZCdjVWKy8yJDT9Pp3YfmZBYlRGtpfvHQm4yLJlztX5
rzDoCVCiHbLQjMB0wtwtStBv20CUF/gDWqoboBqa62wBy8SRmO7cP/lRTIH7AEWOeg86b7Ftezru
6sGXrx6v1+SZDHUTqjsFefBur+w46KMYXMEQjnlXCvLRQIXM4USy98ZqX4Dv3KP3vwsIQBwjW7qV
nc800voNgbEZYixY1CPOGoQ/NNOrX62w0kyBqGVa2H1PIH0g0vv6py9+cLFynf76NxP9ystGYNBs
HqNBAJiUW78WxMOVfa1k9vWvJvq1tY9TIICgWoxufQbE3XQAonq7Enlf5xii0yyY28w983wVLbUz
AfsB7IFLszri7ckUwBma/SKafhfUbP5xgkdic2B2hZZPkl3PdjZumCiB4YHYxg6QFAaN5KT6ef63
mX6aFggU/ZEqmbsBUhqgVnnk4IAgQwugNuhF4UACLRx6RsjSTRYWdXHsAM9d49/8PYf8twRC9Ouh
LWcaZBIPVpt+BzXppyQaXsCc2Bb7dD+E7nbc19dgkb3YN37UXVWbNZPjv3TBr9582r0+7VIAlBfx
NAU4Gd3we/8Kesr7Zj/eAoxp3YnbJur35XXyMN5kUbVjUXqMd8FLvVJe+f+T+1dvP6XpT2/PfXcp
UtCYoyRtCYeKtDgZw6jXCbVtCtkvnDRS168eGHwceqDb4WUTwpuuAgC/p+9WYgFU7w5M3flDZd+A
JCPIzsJBstoARANeSAYF/LvBYuVxLCC8C33rMgmhDQ+ra0jHBeEAW5RNT7ImnMqFP04F2nAQ0162
FlEAqjgDgWB9TZBcbXpNYI4ANiQbvtVNwP4ENE5OqIT2O5pc9dbxUdR0R9j+eSAngaGRDHdWnQCb
kUChHHVr74XIZNiok7NeiXZ3VMgSSt5AduzhhTbt0A6owYNR02sNTXPIZ56Kj6qECYxiQAXNtotm
yty4e6/L59sGVkM73+6SX10t4Eo5jA0+rRlzHP3bprprgI1/LnlmAVrpcOtHDFWTG9YONEycMtnO
0mc9+Lsq/fACEqDe0YIoVCfqLnczDyAEeEwCP/fTKT36xlOWhG2cLg9eTv3dUi1juHAggCc6wDEx
LuZxE1u0PEob6Hy4KMgby17iBnCcwrryydA/zWRGHy235T2IZYDZOkuVXsFElH/HIS8OY8IQ0+hy
RF2b5lsP0FmImM/VW1dBM76uhbzz7cKF4xecPZGTg2tQk8E7CSrg+nqVkt0MyBAHB0egxlF4JRB9
LlfbuWIljHu6BP9MApe9G7KY34DqTJ+bBgwmoK/T4Mj79i2B94SFvJTAjxIwav8I5o417s9nJlNC
PmWsT2GeAscEE58GVmvZK0AbOzi5r5yUTBvJ6e+fnsyw/3uO1QZHd4GyoF33uzqHvVHvHi775acv
+vT8XhJousNDI5rFWN0WpfMd/VaxImX399z9xfLXFayzPOlnJnGtiF1ub2vYE/1YxAm/1Lb5ETr4
0z6JKyAowX6AfUMFk9SYwIYdfumburSthylrum1WYSMi/QTzWUey+ykp55WPN20o2q0R2KQWkLNs
iEY2xjiLZldV5vtb6UMhLY2zlSk0BIdeWrItgHyXLsbNHewmX9zF5ev5uTPEhi5/7IC86XdjzY8t
ePthgYo6QP9FKKAmd/4FhmMo0UtJNRfoZ/QdP9pBVUTwNlgOLu4z2+Xk1lxVKgLoD0rY4JcdwJvc
+iNwdoSWsJIABpbPvLyyksuOgSgu/hups0yKmM419ublWlTfikaEibtybzQEgq6XXOIQOHcQ2oum
5p5DTzrwp+uxoFex8leCwDkdIb5YCr52eEktbwLiB1EwYn29jJALu2nikl43cWMd/ACGumEsPfsX
6GfLK3aPEhdHCucopwAPZU7A7Zy7/rFGEWiLHCm25Qyv6rLO20NBgZIBMlscAjjIgKLWgtPbwBXJ
TpMTjN1fDnMPm2PAMtljS+YxxNFd7S2vIVuIDyZvgWPNR2CJ2qscMOtbP4izu4K5/CAalm48P6t2
DQe8tXGscQujjCDK6OBvvS6ldwxQMADZ4gIIL/zfYGXsgAJYB9nCZtgt/WRvgjnIVy7AX1+5iS5X
3Pk4UVoKxygYK1W7otl6t7h1Aze4etExLFZdsFj6GThJJyQuwCF3+eQeG6A2VlaT6ddrubZNYZvd
BYiyDlANCF4r6lTXwk2qZyiHCVj6AAha7ZPEpt9LHhxl1wKzJcVbqVDRh5jvT0FyilOS1S9H4fgd
KFzCuwLvkm/gPbfGsw6+DlRHO7KNCxsHaU8y4tB63MLsrtyJCUp2HbPtQz4x9UbqAPhRL31lslij
RptymXbyBowQmJK6gIj/Ev+YavECk9FXeIqvXB1M03r62E/bXAGObS3hYh2J5NHz3+Ls5fycmp57
murPz80ZTrfoJUd9X+0h67NzkjWbEENO+ouC+fRob57RkYDFbeTCkrlRsLxvaxAXhyu3lSsRaRh0
T0upadm7UlmjjKr5DiydEPRKkGLJ/rKx0XZX9HyDBF7huPOALZvxg2w/zj/YNDJaKp3jFPg1gjVK
pToClftLAr/vs2SLTLPScfu6jEQ8LRxVm8pJJdgJRB8G1a11YnWX92ALbTo0by76DF3yOhbgW48F
F5Fc3Gd3Fr8be7rOY3XHswtPd7rodQMPsXTseRbhPTOY5cvJOGlwVsLHMA+66vVEgda3uqo9isCG
pFgv4SXkj/ZrDc++b4tH25VjpCFMdc3r7ETLnC2Fnb9cdn5yAKcY8OKVKDV9xOmln5aZO9rVALIa
gimu+MnuDard81sOH0w2Idmen2rTF5zSx6eXAAmC5OYiYuF/Iis/dBvQCYPH8w835CBd7rr2Mwnv
OSIj8GVj6Cp1AchoJV85I5t+uraKGWDjaeN3MgrcZdvPV+PibJW9csA0Db62kpnlohnvo4TezHtv
AVpvO6Y7cJMvGxhtESNPJAmu35jak8uXC2EHddl86gLXCc6LcMpCIb7P3kj6G+ToUA4rA25IPbqy
9ax6NsHoDHkf+Fac9WDxqU6N6QlVULDja3EAn3/enh+iryeA64V4y4tzzwXc+Cjan64CdB/AYCDI
twlbE/38On64XpBf0FnK4wVoxjJbIB2C8LzLHdA4KohBrBSIvx4xsLO11dUT4IUAEz+CvBkJ7853
rxnkRVMw8MDtPz9QpndoW2WcuNYI0UQORRtVQ2w6z8etVxX50+zCnbYeILE9oA61sv2YBk1bdHLp
agcCEXXUNcB7YXcLBvfWGvuVjzHNurbsCgarupzAMcnvGPh3RZDcLKAx7TBX89Vc12vdcNN7tAWY
uxSJTnJ2VO0SQIUgfpl9KHSklrghkBm7ZGaYXmp3S5dBfaLnR3DQZ+C70+sM6ltEeldqbN88KM6c
f8/Xc8L0ortbqHlQC/TZk0b9Bm5sU+bZD0DCf1z2+FPgfdoiZquxAVmqCXhGIvTTOZybW0E/zj/8
6y2C6cZqVdrmqiNTFZFpOOZ1erCSeCWDmIbl9PdPv7sdg7x2CIafpBIFW5RvvHx5j/uRXviC0zd9
eoE/pCgNQ9Qi4gP6Cs0TaCth5l3Up2F6gQqeazWACXyKaHLHYAkOK9d9Ya2V/b9OGkCK//vTUf5M
s3mp6wjqh+rA5oY8wTG5vqF5b2+5CIq9Xwucu89P8terjQXaqs5QJcX1zPGPSzB+9IzdsCxHud3h
714MLbrLXqItac4UNJS8qYugGrYHywaVZZCFh2D65UhvpW1giFa9WQLB41b2A6jOMPi5o/nwUgm6
UugxRKsOpCv83nFqT0H/MgXsYEbtvAQq2Hk+PzgGZDfT4Wq4sUEBig4kslLx2rosP9q2ukp88gFp
xU1XUIiXqV0Mbae5qHbnX2qYdr28GIg8S7oOPLLM+TkyBjaWB35cAY2f1/MvMEjXMb3OyAqZF/aM
NG4tVQwJMsh5jXndvrhtgMZMNnTP1WLRI2zS+VUbuOQFXBcGyxVGvhGrKh7URKoVDUMfK+e/VTSm
FyThrd31S8nbSKbTxrE7+J2O4diNIJsutzT+rYKVrGMaVW2/9wogj6t6pEc+LBX8Ltydy+VrPI9v
sQddp/Mja3qJlh9Q23egcgGVbKkgRhESyw3usxGcTw/VbjD3LNShz7/JFPdabkjbgvliaghuOWyE
bO2wnXnyzhy5cpA3PV9LC2D19qwllIKuTFDI8uf4o6pge52Azfzr/CcYsoLu5yYB5JmVqvixq9sP
CCkCYhc8nX/01yUvdLf/zdNWBweVtCljePpAY8sGfGeBtp2Y1D1uVI+09qMhH37zIX84/z7DvqCX
dtySz3Ufz0uUDm8e7g5MTRvfv+85Omre22XvOMXcp23TqQqo6VEo/Y7evI2Vs8mgv8TcP2IMQng8
78+/xTDverl09By0bcREjxmq8uj0FyFOd29BvPgrpztD55x5p3D49B0Td9qpHJ0uotMErUHoU4hN
1rPqNUW/stnMQKOHUAVTUBPibR7KvErvVUr5w0SGJg+9uoNnttM6xxrs6igA8fI5cF2ng19MXv3P
81R+DxmLItu4M2zpKy8QqFeddMTOD5AhavUiz8gqq3QGSY4ZzdB0l1uedytr2vRoLWohNU4dlwzs
GMyuuhc5ugV9momVTGt6unYeRVGBgu0pmmhKA/taKm+881kbr6wAQ+bTK4922TRdT3A1r2GH7s8l
JNW8BGxj+sJp26zEjuETPC29xkNQjr2EoYxfKHk3p7Z7kmtb2yFMoa+l1HxGecg/uSGDInid+PFL
BUOiZFGv5wPH0DtlegmymzJhsWEikBYGQKEtSvDiHFbvaeX9oV0i9lbe0H3eqRrw1oJfg+RpH+wp
tq6Cqf3IbRFvkyAH0bQcukcnaPhLDU2glYxp2Id1Nx2S1zmk47vpWDdACUKMBrJ77Us52Y9Qadqi
IA51xRGnz/NjYRhqvQAY1Janem+uI2hh3ICw/jGWzaH2mpVLgCEY3dNrP6UYyKMM0HNhBMLI5CaB
ZVnwDeK4B0bohb//FKCfXkCTuoWtPURffch8/XBrCVIK/JyPfCzsNYC16SO0A8sgVAE61dhHpXUD
fclHQm8gK3MFs7qV1WTYtFxtNSW9KAQr3AmiCPNBuc8exEYE8Tc8LbfeMFydn2rTZ2irSvVLlcPb
gx2FAgGDNPSIr4J2QzEcvW5e2RtN8aSdVhwBJvkYT3209MNDzyHkBOGJqsz357/BkHf06iDz1eiL
Rc3HYXBwDM8BLlyTkTZMgl4chB5nmgYU2CKW5Fuoef9ye78OO2v4XUIBYaNsfyX9mPZdvQ04Wy4k
C0QCdYP/ye9QSzvup2t1RaMYx8ef7ov97N4nD+QGOtmH5+I2fRU/zw+eYW7+Y4i3KAu4ILzXKl/a
AJI6frf1xeH8w00zo610wbwp9+oesFqVvUPF/52uEohMj9bWuAq8pEo4SiwdbJ8WVzxBDXTNV8o0
JtrahlQIyWg6A6yXqXKXUvoHim97LEC1Oz8uhlXnaGs76wjUPaxyPDqygPd7zJcnkufztpoX/pbM
kNq+7D3a6h6G2YMXQNdGtM2jALJewLsdoUa3h3rWSvHANFba2iYQ3WNkzjAPXb+xy/Jbx5uXLGNr
VEjTvqxbvQVTAM0oVeFUYQ/fAceH080fZ8z2Il7u2nLaWqzb4EB2HPu03bgpCK5QbfEgYytJA1nu
MewEmonQADo/pIa4s0+Z4tPeAteAEvDOqQF7Zzx2Lr+Kl2klKgxDqRu80QIy43WAE87gJveVUz6Q
xELjjf84/8tNjz/9/fMvtwHJ69WiokoCA+ZR/gpJtxo2NGuhYEiWtrYkYWdhsykusdrne3e4QVH1
EPB4T9M0BChre9lXaGsz6aC6VdRlE82V+gBANWr5cj/LYlg5O5jmV1uakB+Noehl4RyetXsOLo6T
rTkEmspVtrYca1TNl3bpVNRl7i/kxagMrNeE824joYHcyvmRJ/Klq+i+Lrs1Sqdp2rUF6iRQdW9K
Ukb+Uu9gO34z95BNttcOc4bx+o8BXJaUZYwLXdRUDtR7PLWxAojPXDTZuvnbMHG+jLNUkJJ9q2bA
jb1fbFhZyIYihO70luS5kL2LjS9vRnTgoNMrfmKrJxs3WOiv3pbpPRnd8ZW3EL+2UjatvNdALmb8
tCl8WocDhdlZunRN1ObQ6+7ugcV1/RHVY3gnEbqHFNGdaIpjjaKBrCGRf2Etj2vrH1qZsqjGpoUd
J+ie8CBo2s1SDLsyhUTWEibZuFKcMuQBruUB4fm8SCEHEfVgJr8mHniZg2PxX1XZO8clSyywtdo1
GzFDeHMtHywx6mBceU20jJFdiY2bSPgFLCuTZXq6lg1ahqrafHq6nN4yu94kqLYFq0f804x/UV3l
Wj5QoHazKsHWhu3Z+WHB7v3giNL9EzCRwbugTFcmxPQVWgooGLwiphJ5Z2QB3K1BZlJi5xTxyn3O
kAJ0GjEo49IrIN8ZLVZ/DVjZPudspX9gerRWc+FJ52IkeRkFKDMNVf0+wEXpfG4xrH+mbeS5oADr
FMiLSozuflz8LQE1ElcVepMs1mM7eNbVtAQOBPT8Cw+WuimXA1nvfBSokJyk+0OyqD89tHFCNXC2
sn0ZQkonF8flLCuQO4AUhj5t09b7wruVk38EIHzlDYZg0pnFPEtdWJjQMWqgLhYARRscIAy38nBD
neMvq+ZTbnSW2i9z3peRVf1v6iFO7qiNbUMEtnv1wPbz2cqKMMWVtq5VAXfXrgjwHodu5q649l2+
Usj7G/ZfrGqdsmwJPhFZ4fYQ2EpuFSXZJkg5ZFQDmkI0GYp2YZz1063XevwA8794D9cu+60NOgl/
2dENoSo/h1mfQLWAluxPAX84kEJdcHchn/Uci4S/B3AJeZyrQt4o0kFYoy3BJuIe9BdFriBdjSP+
OEzZpg3y4hVF2P7h/KIxzY+WSfra8TIUo1QU58Ucpkm6b50eJgDju9e7kZNTD+Jv9LIDq06SHhYu
ymleyggny00XO7sSNkrZGivasEvprGi/RT4v41RF5GTx20UtGjWT7W+TAlwgtnKAMcTZ30vNp3ie
leUqKC0ryDu/y3TfiDWYj+nXa4cIDyIj2eg0KrLkhpPfTqAAxTjRbw712s5q+u2nBPDptyeBHcPv
RYxRFkDRpPXJN0Dld+fjyPTzT+/89GxIpdBmghdO1Ck+h+OUQRgfxJiwHyFiHdv2LSSQXy57lX5A
EIVboFOqIoAAUI+G/RCCNAdnUhLklm68cKa1jDJWbhOUeVNFMu/eLa/cO0RetgnqHlaxgiC0BeX2
aO7km+zjfUbry843f28qn+YB3RxI3gaIT6damh0KgeTK5XSsoO1exysJ0bBh6PKFA/DUXmxhoyVQ
t0yt4MqvuoekpJcNvK5S2DBvTgUHbrufOcxE2Fa5az0BwwrQefnwam2DoEzGyO9qtUnlUL2COZKt
HJsMW7WOBWyclqmsz8fI6SD8V9c7FcyhKFQohjWTU9MHaEsYQuHEccoU2xyMdjx5kgDJydphxvTw
098/xQ6IfchtKSiGcn7mQR0G9Rrc0/RkbckqMJplmwrsMp76HVe2A5Kql05rjAtTQGpLFR5ltO+J
D8aFU7e34zTnL0A8xdHQuPlK4dP0Cu1k3yvpDXDXAhFPJm9kyLcjllqoJBxYz2c10xBpG3HgxHk2
U1y7cT2+SWP54tfDxyWPpjrAD+r8Y2zBQDgaXfiC5eWmW8s2X/9oqkP68kTCAQUWKxFIvxClmcLa
vSjHUJ1FDw45vIt60CqhPRgJdK5IF7x6Cd+dH5KvpxN+DP+Guui4V40FIN9cYoMl8WtxAv5Awn1l
Nr/eDqkuskjtqnfrAcRI6PPuCvd3PpGrBd5AFrR0CvCCL/uK07R8WrBuDdiSC1msyBrUnbTsA6yH
3vMuuSjmqY7tIzDtYnNrD2CrwShIsEMuj169BtM2TYG2aJWY8iWFl1IUNzU45RSG7SqHT0Wh1lQe
TG/Q1mw9gFMEK54kopX4kWZuVJHs59zUz+dH/+t0T3Wtg07OsSdrfEAfCzBbCrhLuNYtt33ozsqX
8+8wLDAdyZfkcVl4UwPxAQ6DuuqKTe7KQcEQoTqQT0CEWDCGJ6ML/yzhLtP6w1OfLFcxNvOhmpaV
3fzrWznVEX0etxsoetIhGhj/k87iGqrVsMTh4r7rvSs42uCMGLgwrPLTNdSoYd51QN/UOLAJiIGN
aLDxbCA4APc1KWk4pjAaOT8vBlUIqLL8u/RyGNXnMKLsoV4z1pBE7IdjIkuAzgLZxU9cQEheqccJ
umn5FoL90PNrrNMpqZXQ9ydN4NFNTATEGmLXIXC4YLAps1olXKCmiup+hrnTz4QQBY9WvlhW6Eua
7Uov7TpocjkX5m8dFwCD2QW+ThMEQdj4QsvgvpiTp/MjZJgEHRMAtFzgt1D8jlKLPdixf91K7xF4
ve35x399b6WulvoWLwv6YiHorhL5LeXoGsTxXdnBIpI7pxuUnX2wAcX+828zfIyOmuxn+EjOOcTX
KB/m0K/pa43GFYyW1q5PpnWuHZAWQmf40+IFMNLyKlA93i/74VqSBTBbWGXrDNHCbkT2obKbfv44
/2hD+tP52BR6znDQ6boIPhB1E9I+t5qwJ0BrAR4HARJQtsjKZJtGRzsbJZxwZ/bmAX0oP2ynuwVK
++c/wvBkHRPpo3aftBRPbqr/OXAqXts6Tc89he3nnbm1UjI2iP6FNbt0ELccjmLnf7Jh3HXsoxWc
KjW+gNnNMqUo1uXfuqq5cgSgcaKVK1nbEPA6TzyFS2szZHl87MBHYJTcw0hqz5K1+rVpeLTsCYXd
EgrqCWiVrhIHb5zrmxaNzJUf/9e8/r8FO6pDHgUPKnfoFJZrqbyDlS5pCEdBewPDLpw0ZrgYiCVW
Vmj5VgrJ+5xuFRvKTeHmXjhCFjtU9TK+j2hKb1so5Yd+zNGOtEg1o34Zk62teH0f2EW5ctAyDYe2
+lPRtHawQJeJ9HX9LcuD7FbKrPt+WcBoOaBKRZe3IpHHoHCaDYRekmtrXOQ29WyYW+TQorrsPdpx
i84ZFIVSbCawMAIV2gOoRQTfZjhqbC002C98i54L2mIqcCYdIq95lN5vSM5uRHvN7JV7h2Eq/gM3
rUCTbS2ETt/8FtnPoLwMx0p1JjH4pWOQQLA78p0Ih4DNwtfkwQ1r9T8s4gW/eGkWJAS/fM0I7SHq
lDxlsfPt/LyahkSLzqWy4NKI61Jkk3s4kcPnZe3Oa/rlWmSmy+JkbS/ReejhGZaFWSXCrrQu27Rd
LR5x7IO5M6nhtev7u24SISdsi7LSZaOixSHUqpLOIvjtMLAIR+t2GtYAC4YEr6Pfgppa1gypq8hK
YCJhzZtlbHcqe5rKtf3UMO46CE7WFEfkvh8jt4fwVnpDTzjveeXIYQgXHffWgsEGv6YeyQwenul8
T+Tb+RE33Fh0YBucQk8WObhJtNZw7NN6QzuY2lXP8MXdLm28EjWmn38as087d9Ch9MBdFB68zHuG
AfeGdeXj+Q/42wb+Yl9yTu/89Gz4A4xNNg8oIsHSyA7hzkRCVQl7O8EqcDsrir56Jb3t6J58hKEX
qa6IDWOGPGmzbcoaeggSgExY4EB/bQigF4a7VGR1Tf+M/nwXqr8GRzO4CsKv/DvHmes8bGsGCw7o
N+/jIvWRKel4553svxjsyHYeDNa3RRngJCHoz/PfaQpgbWmQDKiYFE5fEZyTSriYpnsp/RcnhZMv
x/X+sonSEdRebbfFKakea3gNKIHRXEMCG/haVEeoeTm3ggVsySM8v9KPHNJyySb/3b/DRLG4y995
vYnLcA2vaQg4HX+GSnotixovg20hBNOf42WFA22YBh19lrEeQM0astSwd/JFGnZOGcYwpyinYXt+
og13e1tbK36dWZlivIi8PvnoB4BZVfIE9HG2ET10AZP8um+t2xpuOuffZxoqbf10xQg/VoG1ac/v
dntNp7WUa0iItrbF1TPv1OggZzV+E+w464ew4f10XTZ8rWJgmg3279pvx6Jr7dTPo7JYjoNTLpFs
p/6PA2rFLSr6zcqUmIZI2/TiIV2I78JTTUJxaBqC68zun86PvuELHG2QqkA63M8gRwPnVB4WQf/c
N/2LXEB7n5rr8+8w/HwdR9sVPpl7P+7Rxs8enD7+AQbHynJwDJPsaEMz99hWB7cdIjgNzpvOzu0d
gALWxvHGwQ5BbiniMIXRzkbCtHYnYXe/n0Xmy9CFxyZAVTDigzupeoUVfHXjZfC9hZccbJtTSGp2
kBd/LEG1eiUOc7bJAK8sjEq7V/Psw+ZbARxWs2QvAtG9JoXqj9xlPZxzOz9LoddIqz+2qtjz0nbD
HrwJb4BdK0woq3iud4OaYECFzWPj4JLHyjfiWXF5NRSutwXgk9zByLG7bohK93bF80faJ+RPmSTy
DWKXwz3DM676Bgxm2F74B5xbYnjXceceluZoX6QLMMsrOdlQlbG1zN9QNNOg6oEyhuPKqySd5OvU
pvPWtnEzBfANAt+jhM0uC3qY8Z4PGUNY6nhFZSUuiwNctaduhLVHTdEXhmnDMv1I1HBZWP4HttgP
eTfUOJLNNPspaPoLptdru43hWKPDFrE7z27dLEUE51S1Ka36pVryKK28l1HJWw6TxJWBMqwtHaZI
Ungoej1a9PaUwNdpiGqfXHbm05GIsoE6nxIMV5Cx3Ur6TuKf5yfXsMPoyMMTg3hZGPTq4IXn/y54
L/ZwoAdfHv69Dw009jddNlth5rtwM+cJ259/rSFV6BjEwRbMhdgTBPYbtgO8dp/ADTAZ19SMTAcM
zv7dDAYQAlwBwTZ0E4c62TSgbOz60vVvJxs+ojKGO3xDqNgnvqruFh5795VLY5iii/JxhpbNHSQj
4tfz32rQqKQ6RCsrOgDyHQ/9dnjc7oYS1s+AKTUnu87xMFe2u7WQjXcNUJO7puDFbhQWPTgwsof+
sOr+l9ReuSvHOH86/4MMSUTv/xedpMvYQ7+ny1UPSTVUKVyXHXhOcORP+3yj/PZtqPuP86+jf2f1
i2O5jtosW2gwgu536kR1aWTF3LlZfK6K0G/b5TuBT+l1mwaQ7WsG8Toxz/3hFx7YgXwGa387lrbY
1EsJsh4vuLfjQjYRiVV7LVkZ36sgJ1tCuLcvxqL9Abes4RY2mx7UjG1nDF1ip/f/x9mXLceNXcv+
iqPf4QPseZ849gMKNZBisYqUqJb0glBLFICNeR6+/ibovtcsFE3cPhEd0ZbZIoA9rpUrVyYc9czO
Ijr9AwYl1MAJsYvuYm7lbtBM5mSa0bpjZejsLIhgnu02l+cx0/KPAUzqPRpAxxpVHEt5HB3eX6H5
UJ2bIuLbusz7z76IoqdQ9tFPZ0jDY1Z1ahPUpb2Pxiko3cRJzB2aG6ePrMjg39eWxZNoUCcOsCqe
VU5k5oaVEz+izDFs+nQaQC0ORvAdJT01U0RdA6zMdSBxfs/bQMD0MyhTr2gBpWUZDPiAPkebNi/u
S5gqf46y3tnCPFx+7Rj8yhOWN7scffpe23Ri38FjxpOl03yZIs5hJaucDS9tvhk7md8aO802yAKb
TR1BpsBJRtyfUBc49qG0nqXPyT4UwvcsCIXd9Tb33bTH2KdZyQ9hCL1VcObl3moC6w+75uFGcx54
xLCkQXwfks8KnsC7PjXFk0QzoztyG848AsQfLHxyCGwn2DQx6Iug4YVPbTwlcDtMxzMQQQZukJOd
Y0rhlAEPyj3Nae5VsMnbwkYIqDj6XUKXWj7fJDC0+5BR/asqun4P9+7SE6Ko7rJc93vZSfR/Vnny
ZQra4GeSktJNTQ++YdjGa4TS/3ANvBwDr5LQnqI9oSw0YLrQju4IL+mR+/87KzXn5cB79csdmNWS
qkXqp0l+QlYLJbUs2tFM/S8rMS8c/FcPkHZfl1066FudnZLkFObPalwJEP9DILFkZdmZoHkzwpDC
TBArh0J5DtXwQWVev9aw85+GfhEelaNgaDjHyTaNLZhBkdE32FF85dz8D5fWFS0rwtqCCRfkIrnt
KcbdAL2xzsA3L+fkf/0Y/jt4zs//OhDrf/4P/vwjL8YqCsJm8cd/fspT/PM/89/5f//N5d/45/45
v/+ePtfL/+ji7+D3/vlc73vz/eIP2wyy1uND+1yNj891mzQvvx9vOP+X/78//Nvzy2/5NBbP//jt
R96iHoXfFkR59tufP7r5+Y/fZrXi/3r96//82fz+//htVz1nP8K/zQOTPdfR9+XffP5eN//4zXIo
+ztTTGjOKOPSnm+R/vlfP+Ls79KG1ZcmNnBeiAr89rcsr5oQf03+XWkFl26lpRQCGwZZVZ23Lz8j
8u/aRqyvoC9P8W/gdP/3LS+m6d/T9resTc95lDX1P3574b//+3rjykHmwbTjEIHrBljnHGO92jqN
GeCWa/rx2EetvyuLuP7Q9KY9qU5lbowM5tgOTb/FHlaulHS6bbMcJGQ7Try+UiWEkIrBo0ntu7iz
7J0lcDG3U5LelsKG0j3oXZ/Q62BBbnz6XA3tE9rCv/dmaD/5ccv2NlSVXQvU2X8tx4vV+PqzFr1X
+CwhOXc0U1Jg9OiSYNCXgc4LmQ1HePCiyqw7+1vRwfG7miygZ3hRW/a48aLwzEQ03oJCvyac9hKu
XYws3oBJxrWSmgu5hA9EJJBPFY59nMJu90WVY3bOysHkhy62tjj7hp0z+HboBYwEXxzfoGbRKb+B
iawD7kCfoXyaC3iIuU2up0MaC5tCAkZmX9qcmx9KyvRkaIyOSFpL+DLY3NwMtAfjKpwM/NprdldV
ZZ67Sa5r4jatGWBtX4OQ4pBEc9dpLCPRBzy5r/bBnyvsYugvzzEMPZakAIND24xiRSwFs+BE0I6w
IhqOKdf0MQlQh3Cloy040rO6/OVEIRowuiTpd4IQFrpD77PbgTunkMDhxumnunanEcVuaRu6huUs
guv57bCfsB01J5RCNWmR70O7y+ikd8gRCl76e5aESQKF6Njf83JkXym6l6HoWtHgZIJiuE06bcGi
nliDK6Bik28shbZEoIrxGm32etQkY9Bhgc6i1Az0jst9WEfgu8RV3R+ryHxrYq2xGIY17stLqn25
JqVAFxC+3yZcqiWS0vk8qOB7MB3tzIboLvJuLD8Le5eHH+OybG7RIDE9OyGxtoCMROemiVXtYCSa
fkqTPEDfFWBJgbHojDsB0u88zkjs+im19rSZuk8NzcrApVqae4iCRB51xmYrw0w9pA5EbTcO199H
nqOhZAhHcFRrJ2If2aDSbzKtvkWznes2jFJQ7vw69FiTVV6fRGDHRH5jiFdLIARTLMqfWHixBxw8
WbOqXGQ88wrBsYGjVxCOXg26tJStpp7kJhzsI4Uk5RcSj0y5fMygbVM7sOa04Buyg+XejtWmEBso
j8mPIizTeFPLFPq2/adsQ6EU9nNlW80L83LqNJdYHUIRIQVZWkSiMtPEfaHHY1bAetLyJ3KMoZLp
+YS2N2lvTxvL6vubKe/6z9OUl7vRcHkYkzhdqRi/sYU0rg3oP3KpBcN2v1yqzsQCkxWWfbSGHIm9
nyBiZhPFJJmatZ6uqYB7S46GWie3x29ECZRk8hoDGA88L7axwF5y2xH28u+P0WWMxtXc4Ca5RGlf
a8bpUv6moQncDBq/e5Bx9r2YHToVB3/M5oJuoOG3Avu8+MK9nhE8jmqK52Ez4Xcsmd1Wq6qAcdU9
ICL/glvA3lfVMTTViMZHcIFNqSMvjNufdsuKA7W/lPoPYKSNyykq4S9hcGqptXrv8hzBS2lJHKVx
uDkSO/1yciwo81asF/ZDPdDyKxuScJeaKju8P9JX9yuBeDe6j2yY5lIbFgfza7wKGyyL8LgtA+dh
hEglHIYSC4llGn6YfFt5Y2dqF5IB3woI4YLIp6NvJu2z/co7XIa083RjopVGbUpxigBrhgpevcME
K+ugzlqEiyASQNwtgwMTs+utJNgboVT3nZZHVQtzgIkwcTn8FI5Sxfcpfq+b+xqMWxuZIvqa/DUd
x4Wh2/xuSjLF0TSI6dB6SaScTA37ocRPHnTmwO2x8RWqb6hMxKyOQDmM6KbxZbwtwoY/xk4bbAji
tLsacdR2ZZTmi+NyleJNsBYUAkkkr8tWQRZkA2rENHlwUifZ88BOYAVVO57y7jtuKjflhfnAUwbh
P+rba3O0PLVexuHV0+ct+2qOGMlaSoydPAx9Wrm0QAVosFE+QSdb+eSXPRKerHDcKDfO1rf6chPR
bKeMXqNcLVzSMSGEKixUyebYmUCK7PJFQOdhQzZY4YMEnIPeIy69YoDBig/WzkNmgK0FM4qUWTDB
ytqvEAr+Wmd8N1SieerrSZ5NG9GjmIZphz7yNbGx6/2E13Pm1cyZwL28TDNbC0i+j/IBpAHa0Bt8
WT30dDrwQYCoDPFCt67s9t6YRn8QXct3Dhg7K6fnJbL2rxESlFGBUVIaCcHlCKkoMyHN++jBZv59
CaDjkQWoMwCk8m8gQu+gWcgP71Upi/P7S/Tq2Ma3CyoVfhMnMF1chD4E/3eQTj4ejC7DHW2xPEIA
ZxuN9oSdSIJk5fBa0HP//FIGTBMnpdBqCa6PiUkbVhkD/a6k3kALor8phY/UuEzFTdSUs95xRbZp
m8D1TAzNpppUtO/tbHJbq7RuB7v/VhrT7saqzLa867MNc4LSs03OvL7wx291mAoPGumfRQU1sUDQ
4C/x/P78BESxChUhgn2NZPX1vuqiyJmqqI0eSIsmbyumkxcl5otx0H/ipIyt5FOXZYg/HyeUxPXq
zNfs/PNX21gNgC6tKTEPZSjnLppuX6SwJLen8I/c6DvImax17VzfrgRbFdLfaHHFPLFlWyiPI3jc
wZnuwfBqgA4a+WJXtX/To2ZdtnUMA2LZ7Ko4f9TqXvP8Puqj5i4H9FkRIrbErS2M/F9dqAyfDk4/
WsTxv5b9IVkgu9DKcYY49aDQyyU/E9I9TE3owLM4XwOz3jiymK3QhcIg0qLhDbrYFxOEFpt2bKIH
cK14sqlm78uNxQNiu9UwVT9Z5pylUrvJihB6JQRaIhHU2Wu4eoXTvotARHIJP3TByJ+Uz5PvGG6+
pjm0oFPOSwM7SVKsQaG40MtCAfKBtIz6yTwQZAGnbnCmp6brw5tQJ225yQo6pS5L0N0PIkqCiH/o
o3ibyxkPdoShH1Fzau8dnSQ/VFC2mds7XeTGtWiZR9CpccwaXt5BJ358yBJOvrw/o2zeJxe3I8GB
JxQmE3CLFEv6kFR+jhQkCx4SiDK5fqnKbUKS6ZDpiWzQDkE9ZBgQJUcdy4OWyB5StfTDWI/jF+E7
+jD2UEBq8/hQlUMJwVHYdtlOE24Ke/BEKKVLFPSDyHyxwf9yU9fOtIlwnurB9z1WCe3mHWcbZOTP
QdZbt7yCwFUWf/QBvqM+Gg9emVgfgyxrjmMVVxsaD8WhL1O1K+GEvBkbTW5IYpo9xNHWSqdXkSSG
RktAJwCHHAS4yxBvjO1ADpN1hm5n65K0hhYon9Z0GV6uleUMIM+yOexcbQTui4RcB7WTowgRPNSy
RE2YF/IGBb7Ei3EXeRXYT24Rw5qntpzpowGEtanLqD3lRf8p9LPpSIjKbxOdTK7Diu9EpgDhtfRw
z34S4/DV79NwOwXp1q7Lfl+Sxt9DSiR3WYcpKat0TQn4jUHDsTWn8EohXVvSCRR6MyqsKOtMwXx3
p4okZz2F5sf7y/aNcAHnkKCQHefIMOzl4ehDWBHHlEjPUYSN5XcSUS3sM7YhzU6sbk7GD+Wu97PC
U6l95CD5rNw/C52uedvjDfCBQiBgIQhxL28EG0aYbBihXgUFjU9RsZf83vLBhP7DsHCLro5tLeMP
zrTV/QgDkuGOlnrfD+2xCH8FJNoMRq9wc1+++XIh4Y1A2KaKIZLiy3RsKhMfQvlDep6Chh5QHnVc
OHmR3YRizqaPM0gj5ZH9qSvLFIdOne2zRkwb2+9yD12i45YO4IH3+WR+WnXt346plbpBwNtt4QQG
AVesVgKu67UyXybIXgiFFbW9PDml7FmJEmN6RhMU34593W8iHa9dI1dZEiYKCDPgODxGOWSRJSV2
aDcjp+lZhV29j9s+2CQOrT1/bNUK9HcdyAns4TnrhMI//udiTaCjQYBZq80ZLrIooo2NcAPYUbqR
BPkrpvbajL/xaf9+nkS0cLkGCTNwexVRfDaJuolUhzOAomAd60PInNlc75ip4jahxcaCk2NkHcou
2/dQIlBdeRusKT3NX3e5/oDvz7cIUH4FAG8RkgVp01RwE0zOReyHbsEBdjET7vu8Cw8gDiBGjEAb
QpgP0WhrWM3z3no8m3EIwB/wg1nCzbzqsgROu+YcMTbthayqj/5YyiO08W5Dy9iRaxF67JnVEhdK
1fpAx/4+zazgLuvqeEITajbejnHloKiJCl3mk+FgFWNw1I2J7hrH//T+GXadbkgb0QkwBM0okODF
5OWF8CmUWqNzPY2oF4OmDktiwz1QC2x4lWbTrpbWKVf5Ggj6xuEJ7ALIjaZyBg+W9BEJeSysDz88
A1ccUduNHjvFpqeuIz9tFUy/Nw4cRWkFY2WjI5jsJjxdCaevFy7eYF4pzhzakWXUQcoBPpDdFJ51
XT9mRUXOVU0g/JJl2cooX4F1BBLHQMOwHYGHoSyy2JOjMX1ZtDkeNeQHI4seEHZMj60FyrBM6/si
0+I+7FqvsFC4KaBuXOlkgzrCfTvmcuW735hzx1aInhFUIPd6UUV9lUaQXooJSiDRmU7aQvtlXMNV
KOYPRE1foqo+VCJLP9ppYr69v9auT1oEMcA/5kCP48JapLbQuihLSWpzdnzO95agfKMJ9N7ef8r1
8YfZnOEFwGKcipeM5tXX5TXzp5hm4dlUQ3ejTTBT8+JiOwn2sXbWCtJvrCGc7HNpGDAsEKb556+e
xkq0mjZZbs6wMf6UZFW8GyfAqgAS/prA23zVI01WTCG+R5kSgdrlk2Bm1A91nJhz1zs/UQynW9gd
VJ8DlfxIxsb+yVH92r4/lG99HB7qYDThasevJBTLKCW9saKzYyiEl2n9OdDCOiTCfn7/QW/MGYB+
1FkdwP0C++Py28J86KYad/OpBFFtVySNOIhoeG5JD+lJe9Wy5o1sacbMsTYQomBEl62FTpH4wJqI
c5rA5Tty4lQ7FUbTPYpeADx4hNYy0x3CWE53KN6p2xIlrC+QovOqqJQ3VeiTQwUXcJRYKhn8aJtm
2LfF8IuGQ/xoyqLepFMcrQjSXCf/EkfVvMgQQmjMyuUYkbBUvmA5PUFYgHlFV5gHK2d3jUSwmVVW
7Q16VY3ozYGSAGdQCgMopJbt2qMfFVnTluTE42w/2sFtU3+K21/UIs8IqA5N2LnJCF++NN3YnYZ3
EcTSQQdi/h4mv/Bu754UGkJxxogN852D6duVM+V6VHCYABHhKIXA4nfZ6Zr6ilKD6/NMcvvctvqx
7m16XxJ1x+wqfeyzMlwJr65PsTlPxXaYkwtgqoujvCjqySpLPzgDSDNurjO1TRKn3b+/I66ha3Lx
mCXskCHi73OIz59FuSNV48U6ATVdmw1KZ19EMn2ZVLNPA+uuYsMfErt45RhdfYHFeuMjpM+iTgdn
rI6d1VPh8kjbLpLCXVuQXafjo5XoLzAW8QUMMvVqi+j1oYCwBKtdzYCIAAZzueB7v4xZR3OcPiWF
D47Bs8b2lxOw3Evr398f7hew8TJsnCEUZC5UoGhzVddLQO2LImIHZ1qaRxDGxtuk4GguyVLSbQjN
d2w01S9kLgG4zKL56til+tAwkR0YpJC28ay7izBHo4cbBG/ToBvKhUuJMG6hyuei9oGxt1P5GfgC
qKrWGOwtGfvSZQzW75YOw9jzEwnPZ8DP2yggYpMOyXg0KtQ7wsf4nqik2EGxRPxBrTLZNMXof2kg
SnOHdmO9ctS8NffYUWo+jDEqQGcvh96nJaiRRRSdW1jS3Yp0elaoV9/6xNrRjrS3XHYA4OF27xIZ
5FvUs52nghaH9yflOk5BkRVpNVJsPVcUF3drYzMAvpUTnjmW4aY38S89ldG+A5f8DllO6cEi92ea
NPavv/xcBBCgBElNKRLD+cx5dacTPkxBVnfBOSgEtAER6D/krQoe/ZHMBM/wZkhFfcjMqifYG2gr
6niAG5G3IaRAaffyybnVtmWJmsLZJqjdcaV+NX5qvJSSpNiUQRThbuzhUlVYn+Evoh9GMpK9g8MI
PNQw3PI6Aj2oYCej5MP7Y/JGBAtcEecroFDGJF0GjREUMmaMCB5OmnwvgIVsit8J2AFfBJB61HXj
j6KJ71rwU92epLetRFNW7JTHMQ7+msDWHAmhpDdzRwQBS0AsK455VUOplBt9QvP08F3nqOPacopX
VsF18IOn4GpB8APsGzbzi7lIIoC+k69Oad6euiQc7mCvUu37rhJr1h9vXGLgLCJbBYSLg27ZvUMy
iC8K0vsnyHHm21h3ZheUAZy5pOi8kubdJgF5cOUeewM7wgbH6NGXSJktZzQrSSQqE+qTncZgObEK
inF1LmIQhKKv8VhJN+1EuIc1JI5fkxHf6yf/gU4qPGhWznZEldSbuimsW8eGFLUqlP2rbtnnlZU3
D/TiaAZzD9gMdqIDiHJxGE29VXaTnapT0Iv0kJNSbOJxMpumgl07DpDvmUOLu6EZ7Vu8lbpRpV1t
YBi4hvbNz7l8Dw2OAUTcUNMHJrsMUnVsQdS59ItzO2XF74InyQ0SSINQrOq9EQVeTyBZOxDhP1ls
7Lcd4nivG4dNYQ2ZlxbjlgyG3/XWaNxmSqLdUEBAPxsH60OShNZKknd1ewJ9QLRIELVB1ogvAV2H
AzXPcZic7RKtK/ZQAflvzJOeJr2B0u5fXsJ4HEV6C3+xOWNY5tIQMUj93qcBUujWgMU4pbvBUqWn
qizZiTCrPVy6yV/q78ZBMD9UzOc0Lm0mlxEC3LmRdis8FIxytgE2jR6mJh1XrqGX2vzFxMM6GLty
BgqEhnnBPNSv7gPkrSK3oQt0imuzB0wCWBuajbGBitCNjqSnAuqlwb5vnxM07lg3Q2yfuu6J5Dnq
LAUUwGMvcMsfQ9Tv89LsePEEZRAXXuX4N1t52SveFMYEexpRLw4vAYrSMk3MpD2VaW6dGhQO0ELc
PcqpMvs5D/oEGl18SKLW8sZKP8oRCuFdGs+BCvzaXRtOhoD6bXmAPJC4WdnFV2ccxUzM/BykLlIA
IrscRGTkMcT/xuDcopq+Q58brJ6RJN1UXeXaIbQAWYFqMFKG4F7Zxuy1g13F+rDdo9sPZLZGqdbV
FQatgZt8gGokJHn5tH//Na92DcP9hiN/5k3OgM0c/L+aahYU6HAJHfI4ojS/S7M/guYBHdOZm0R9
uhZh0+WBgpwKgQY2KIpfDADR4mHxFCNaRB5XWEqcqpydZDT0bmk6hI1BIW9DUZMPc7zL4IP+QYSO
7aKQ8AeFdJZrod64e//jr7M9juRhrjPhIgJjdkkBUFMLNyqEfOeW1Xo/wK8o9JD0AaQEeeixhT7t
ser0VwWWzL5XqtrKvCSWxznFHMLJbo9+En/j87L+pEAJ+lFADWBybb+pyi1tA98dtfoF0rKzJuV3
NW14cUCIqMEgOHCu0lQWF9Pk2D47T2G/nYZIbiySP6BAh+sCBaD3h+mth4G5CSwLQcj8wMtpAx8r
YBByZecULjJ3gmfZxs9QbWwgvXqodfjXmkFwyuHjAL4wdORjl2KtXD6vybAA077Fx2Vh4xZEJ57s
7LVT7iqtnZ+CVSjAPLE1aHuXT0lTUZSqEuxMFNyru6IEAUfTcuVWekGpLs5SnABAAHGN2nyG6BbH
AOjSJkmsQZ5TB93DttW0T3kc9F5b9/xR0cwG6pkiwzBystwQMPvWMe3EPUlyBaUg8Ga/Mx9MoE0d
ovEpR4QSuFM4+r8guCq/qLH2P/ZtBcmBILNF485R6yYJgeEglbMhtdsNldoSuCTcyziNn0D6BtEn
Guq6co1f1DsI9tNkY0OcoXMRlaQ3plKDG1j48wZMzuK7DrsDzDlBQtZ+BTecKSBh4ZaicyCc3iXE
Q4HExwUICmZcCOwQx2q2RTw4O58l4L4XQTQEbicTNEPh2gpW9vDV4sRNRXCCzdxZ3IjL2BhZyxS2
hbbPLMqibQ0esNsUMGS27ST2KAoNK5vhpYX3YkLBqyfg+SM0QrCslndwk/K4a5JhgvyMfavkV6ej
35pW3UVhAppyBaeL21J9y8PxsU9i1wHPuzTJAdpnkMfaADDdEtocSA8nE4lWk18Je0ZRGLVigrpw
BFH9ZNegqhz5lpeQB4oaRWzCDwUKSRlAu9R6Uh2azrBOHtpK73In29qJ5TX9im/BVTIwfyXqfwpU
dQCHy/6MFsF7D9Gw6QSfdGT6pKrvhqBMfkZT9+n90+XNJ6FV4l+FEZR2L/dhH9CwUyGbTp2R4+8o
cn/Aos5upqZJtu8/6TrbxEcBUEaSi+YTEPIXBxkYgY4vdDmdcj48RjX7USfJgxIgAkKe8xB1OXXZ
2PyKKn8fcrinmOTc41KOw94rFAB8e00r9ZprM78RLkXEkcjxkBJdfnxMSGSPdjih/V02m7gl7CYn
XejKhvkQXdFOsa0gs7lPE0fdmS5FrUbc1im6FuhgZZ50gJZ0olD3khbEy6HrsFJwvzolFfAICZ6r
DVR0rvtfviD8f0Ukc+mcrEmbG65KRIDxmt7/ixr+5Z4CCw8bGTODI5nNPVCvo5Cu1w2aMIh9ipH3
7RzSo3l+hELYTY9Y1G1CX31tc32GfxU5iCQaNv5kgyOHBpW9iEITYsu38tiF/s8+nBlRURRiKmMn
djuLpSvL6IWBsnhbVA7RboIrEXzkpQ5qbFjhsNCCn7DALdhpE+2hXsZ3qTOREplHndxqbo3HKEhq
t2C1vUcGH56HrAo/+wGtzolm9j6llcApBS6dM2SQdakqXblOBZHNsKj1zeS06aZDgd3NIxnsu1Za
0qUB9OC6nAE2sxPI9cBjYK/ptNMwv/kRkxo9dqCC+Dcl9wMva8Zmn+kkQ921RzvQKKMdYARyg3Xe
b0NounnDSKJbFB+f0zFq911Bm4/R2KudFYUPcOGAEI8snOhbP9j61BR5vkNBf9j6Hb/HrX1XU6P3
LYzmVo7YF5OPxQCjKYWjmD0nn4jQLpdDEVeRHdNmOIkcDvWu5k3wEDSx2wf+BOJ/aXtDPX6uHePf
o/ouTxFjI7Q3RXSuIIJxogWyzjaV0b4Mh3o/QT78Q9OGaOmog+G+AL/kw+jH8pk5KfUA+NtuaRX1
QQN9Pb9/4lxl0AqFBAT/+AfMH8Adlx+CJuOYj2HYnyqOVuOwRyKC5dvtYcJlP2N1/SibCOo9DWSY
dvFQOWtMhXnfLAcSrHyHQeSSg2O7CLjR7gxxCzuF7IYx8rNj1eA9S/i1DD0iUgQg494xUfnU8qD+
VlvIUtqh8moHrpBBq6KV8P+ltL54GzRmgXIlceCBeLs47MaAkq4tGnlCF5+5sUUJnquauLwTw/g4
qdbu8HZN5MWmo4DaTf09bfP2h9Mm4yMKDvUn2vnCTREcHk1l64cyLiGCQTN5b9VpegqZjnfoEEtd
Vdiph9q02aFjvduKAVoMqR5TXK91iKp6yip+Q6JGfBtlGX7MiqLQK2v4KiyZ2ZpgoSM6B5Z2VfrN
aQDIs1LtiTpFtTNpbU7g3Jg9GMDOpir7agUZuE6D9VxjBgwJUjN4N0uViB4E+8IhmYKll1XvZJFN
35BABMdIF/WpjSvbMxU8v7D6uz0bpnJTJaz72YYy/w4WXrXFiUo2UNhe68u7ukAAIKAAjro0eEDX
mcrYUcOyANhlUaLI2cW5uCnIqjrWfA1dLC1UTeZkG7VipClsyWmiTmZsEk36pElz7HJifW5If4te
xjUZsbcfhEyRIUFBm+xiR5k05EkXCn1KuzY7ClnmG+mH9b6oiVlJza+zU3wUyHxztf0FJJ+H9lVu
LtAlNiqSqBM8VNOfEDCgD8hB7a+iSuuThs3bXTJGX6BiVnpDmc8BYqo/QvGOu3pK62+WZRkwcwtx
GNMxxdVimS8it7pDjyS8cyEYYdzU4vr5/TNv3sWLqQCrBqVtorHwcQBevvXYJsrkXaNOdlZk7gAJ
SFdElMwNl11/F6tRHy2ejU9TGYcrN/MV5ILe5JmyjYUAPONKI77LeYhEL9Yn1U5ma/ePEhZxXq98
oGQidOPRX0Of3vpYia0+gzxK4GsvP7biQUTj2FIn7M7YmzpLeF2RBfeY1hYQWBqHdwq1Jcg2hcMa
wnSdWuJzgaGjgxosGxtvcfnwoTI6jPNanZpodD7aWdW7NIQp1FSp/BhDh2kX1b7ejapqCjdQavJ4
4uSbjNbQfhpKhA1B2d31vEKprhztb+geQptMJKbSHac2RQZZwsevmtAR2caNfTdxazasDDvIXeDW
Cv3RqjyOnHU7oZHz0DShfOlICLZYBA3ajcZk19XVeLKaYQM3eLve1MZqOjcvqgzaLhZzi0jryQVL
MjpUdhTdQoWz2MCny02Y8m/8rCxuTNA1R6Njf5OXPaPwr0KPRqqGcSNam356f/FeR6LY2uC8o9tR
oZUZ2+9yTE0VOlHSxvSUW5TDEqtDL2OZ1sconSR1eUNi6G50cLQh9KlsEmdjGhF5BQfzBrHix6gh
Bpa+WYc+1hY8AR+e9Ufps2hrO2TNOun6LMK7gqMA7iOANWcp1ud0cEiBjzeqX0ntfPdVtqUTerqD
KXp8f1SuLzMUIaChDbE2VCSw6C4HZZiiAryfhp6c6YxgFSTVXspDQ4pPo3BWQqbr+wIPmImjuDNB
VlsesDIf8pAmnJ7AluvunRrqtGk3WN5f/iJczpgkQOmg4CyJPmIgDFUEi57KkSD+6lrIv6ThHyHr
Clf6YB68/7g3PgpcdpT2cZSDgaPnOO3VSV5C+rlUDHXKyepR55QthHBcv29X5umaYgiQFt+lUQDB
5cSW5nBjXvWtQH5wsoPgG29DEOhHH5rRtd1AIF4UMC8ZzG4akmpr6pQ9kDD++P6XLnSLAN7hFdDH
JRBzongKBPDyU5OhmXqnnGY9njje0jTpD1MWqXPD/QfQKcav6MjDlcAhLPPZKQRMlYHaDxqd360Z
6bEi4e8RH/sjOhjaD+XYDzursdWeqjjf6cKvz4EDOdJwYt2Nn/QA7rr6w5gwtwkq9GnXpNioLv1g
YrTmJCBsw5QWPBq3QgezVwVReGsyJ1+LveaD9vLKA5tToA6BexrZ8jJJrsKxrLRu2SlKW+FOUg53
SY4Qi8YJOQUSClGVpc9ApHDioVIAWoMju6/vD/xVqoFoAP17CLWQRKM7dTHuPAwASqeUnhSak25a
Dm0gH+2VH/JUtZAdar43vMl2YCufRAkrq/cf/sZJRDmZ627I40FcWRwQuUNM1MuCnpKQ35GuIYn7
fzg7jx25rSwMPxEB5rAlK3dgB4WWNoQkS8w58+nnY69UZKMIDTAeL2T7Fm884Q95Jj20agUk+fZQ
HxwlMm9LB6NF/wsw5/X+koxwHIUoN928H8OfvpV9L7tA3NjFHx0klpE4kgeWwsRScl7QC1EQFEZR
Rh2CTdKjz27x+tERnVtIdXSPB3je2XVmHLXU+13G8HZuf+g6tJAoCsGnUFSZUHOpvBxHgmK2CjYY
vW/cy+r4KI9p+qxTtXbGMk/vLRTxnbToNmKoD+YXEsNc7yGengVirud3auoQQ2cC3DyNpUNh+dLe
L4QtfcEPR9EQ4gIRbVpghK9HSaW0C6rWs1wB4ulTEor3ijQkz7dn8IOcCHoY53um58/9kkWwjgSY
VbeDbrooxT3RJUSBCALPRQmK4r7Q1fJFydXxQTW6L5E/iM9akGoHrzbqQ6Jm/Tk2kKlvtWbjgVsf
VCQz6VSC1KfBYSzhuhg80DMCl+V26vhd6JAwjUrog56FRZMTiU3sKHoPPTziCroIHg4+t2dlva94
XS2GV6DPM//zY//XW1SZIgJzElkFBozjpc/6fFc3JXpx8XNZ7yohy/CIsbagTfOCXl+RcAQIrOZ+
CyIJy5cpQZfUHEvJcI0pf0viDrgZehZ5H73Quv2hCF23cSUtDLDnh4jUm5hc5hPnvsBi8eMulvy6
EiaX2Kw9jpUWHgtrCmf4ZvUg6f7BMCvpTo3CfAdXId2brYZ+HjgGh8Z9u1WJ+eD7oaeQJ3BvQTlb
ZkWiUPQkqFzPLU7mezHikbLNMEq/x3RW7moMXd0mM6X/RMsX0C9oHWwLdtYwADWCQK58UUUkdmRv
SvelKgZPhaJQSlJ41//5epUhq/P7CFS4+JYE39k1QSxlYkpJDfUn3coekrYNNo7AewFvsRsIJLnA
50cL/PNibQAdt5FEt8z183RK7CCoAycK8XbGYPgO078M9cBp3GetKB8spX2tpwIHUtWz/tw+C2tI
kEWWimMLSEXue6R5rg+DJ4wtYawguf0oxWcfsbVzoWokQJSQos62hEL97gVjt9OzNj4mtTE+hUp5
bqEPfqv9wnywCoRsyPkq0poxK9OzL6fpxWq3sur1rUFoIcIxo0JOTXQZ6+s0fGshknQXAdLpt1+j
n5R30i7zVHtUjFMwRJ8TqZ6+50hfbWyJ9+LJ9WoxNvVDjtTccF4ia4R2UqLeGnTXsiKbmsh9UyqF
HVsoagmXafpVpf+V3fArj0wbgNo509uLSUHCzibiPOgslnkeogejqe3OvIt0RAWawK617rdgaefb
C7oORNi7iC0AoUWDi7rJ9XoGQQ420A/Ux8BU/2QIzT+miV/sLLXbcotZ50Rz9gADfg534F0u4hDR
j2ohLXrlsZBG9VAqKZ7IiZHvawAX+zlx3wgH1s0rxkLZCuwNUaYFc+D60zB8pSHSJMpj1XsmZf5U
PQpJCKcXC9pfcmZpF73MAruf430tNvk/L9hTElE/JXogfPfNyDhUXYk8aKRvBQ0r0TFOEURxahFs
kBkyNK/LX4+KwO2Obnmju773CCigqIp9Pga/AvVNSKVdiO5SF+t3XZbd51oyOOjx2LH8s9GmZ92v
72rhpJtIHn0SIB0LxWBb4mMlP4Tms96BuA0SEnFlV1m9M6tADaBwhxp7wWMnGFub/YPIjy8hijYU
QyZkWBqQk9xPmc7/KLAFX4JKi3c4jlR2E7XFs++Z8a5Gq+Ot1XE2QZiqQMta2JB8XD8VZBLIZNEw
eM8VFzsLETDZ8iNddvU+lO6LREDL29q3vfogdSVov7D/fPvQvOcGywPOrgL4TL8FfYFFSOBLjY5X
jk82rKUXVav2HY2KQMt3cV3v4/bFBO2vCkDSxfAwjZnTBkAj9fyclvkXX9SdcnoZzMIRtUvg3eeq
Z0dC4Y7DvokDx2zkU6I4Q4zmdta83P7lHzwkzBW8Ka4RGazk0vawFHMjC2JFdkmrh8cgzeMXH0lU
1yhqyeEt44E3On+vqYJ4rGtV23uhHO7qCSD67V/y7vCwmEMKPBwDDii57/JJG+QwM7sgVZGTm8Ad
qHeRKThFKj/FYb+34hcpek7baIfJ06kcmzOHCKTAuBe0ck/N6MkKDnIgPHXFl0G4gJzUqi+RcKw0
JOvMX6H4qCGrVzwpcf5J98tTaWWn3pBRsD3rosA/4rtGVO9779HrkFZrQt/2A4AQTfzLw9i+lKdn
OPWvSVZSwGvog0yC8SVrrYdZOYDUZYvD/65SvJwNgq5Z04UKC2Tj6/tAz+dktehEt0KcSRW49ifP
1uOvwtA7LaFPiGhw9ImCX02zMRNtHBg76T4Y/kzK10GRHL9zqaYNPabmeBGqMKnzTDy3pvIdiT7d
NrLkGT0Hd8pw8/icoy0kaqfbC/pB8oC4BMwIUkyuNtztrz8B3RhE5ap2ctVAm+4xDkTygGzxKS28
9BBOcnKM6rx/wMk6OopC5QFGj9PRhk/d7gRNxIeiS9pz4HfmFllhnTwBYCCS5KZFAkxfCtv3XayM
BYhgd2jCCx4IoR3qvXaSzMS0J8UQKO6mzXcC0fFAENf9arIpPGhTJNqWlX/KvXR466p64xL56OKk
6Qu3FhQDjYulBUo/yLgQJlDaiIWkS63K3whvg3NEl/4ZLeXwqOuVsFcqVP8hu9cXI1C2VBbXrz+l
D4k9BxOZqdEXr38nWJGWK+A7fCU+ScgEgBGAsXU3BcFWoLGm/c9lFop65DQm5IAlY0TztNzqGm90
a3PsEACW7ic8YC4atLUHP0Ygr+yhyVSZGHzzAdM2oIBSNiyWGHe8wukuixJexUIJ2werk6UfluAb
J7ny9WdxnIwHJfTEjXdl3VanlMCWBrvENS+j5Xe9o1spDhERtwa3FdMLtIrBDRsa33YgytQDQzSu
uaFtfTDU51ocgzsxpHHuWeFwabrYv6CPGNqyGYyPdZUOrpRG5mOvGfu2MJr7Kg7whdKko+/X6Bdk
ZfzUNsJPX0eYZeOq/SjyUoEjoilGkAdg5Poz0nZSwa+1ymNUoe0t+d4OGI/bTUrrWIW6Mdj6rBF1
kSfTxwLyZCwDG6B7ZqCVpfI4CK3klIJi7Mq6+n37rlnvW1g/tIu5U8h6eNCuvwiv7agAipq4nhpk
bmnWL2NoaQ9TXPxz7j8PRIuUupbGo7mo08F89zpVrhPX8IXsZJXdf1ViXaI+jJxeiu8zYn+7itN/
lnECrq7RDIS8AriT3Xf9fV3u4SIoprkbGpb/RZm0b/IYfFKLGDCLZbanOMi9w+0pXa/bPCQ8AAXW
DPnA4gHyYGUb6dTkLr5l+j2yP/J9o22Bo9aR2owAJH8l24AvasjX3yX2Spei8kGsA/RjjzK+Sc01
j/aGjgP5IMuDLSRdvHGM15mgTpUVhRzoaiSDS8CjYWa+F05G4Waj1h95goWXulDbxyoyf1iVek97
XKIGrYz3uUeJY+M8rLkBrOXfwy9S99CIhCmK68KdxMru0mcveRBAZfUdVkV9u6Oo+MlLu5MK3D1v
f+ZmRzEN7aAqey2jhkbZZ4yG8O4+TuV9Zwg2ZfXvZlE9WehkO630Elhbeo0f7QTyLdTcaNpDoJr/
/K/UxBKzrDDHsKRgjIJ041ny3rSwIru93z7aCnRcyH94ArlcFydLFKFIa4FYIIMT++ckDJicOPsy
mlhKj1FbPRmTuhUHfDAm0kWwx7nOTT5usRRyOer1pGupO7f3ddCvqla/aEK6C5VxH5WeU6Ht3HY/
EZd4jIrX1DJf8k5weLwvcp8+qUpwzPqtM7G+ncElzGgjtiZAvmVld5jysS1iKXOjvP/a6EZORUTU
z5OaoqpRFptp8XoSQOBxOxMO0YPhYrte3kKuypBvbt0EE4evcZL4h6o0py/hKAO5kkO46Yka9Y9x
LXvnRrVeMg705ywsiYYMdAYrD4yZbem+8pI2WXiOCmP6kVpa8On2BvkgVZkB9Fy8xEeIJ+mLyyIP
NYBgVYHEOcHLqTZk777pFb12VD1+G6zmycvqQ5VT4rMlQc8+l5NWOjn5xsYbsF4gElteTiJaMGnU
Iq8nLDIlv09q0ItihTqpIvTCoa2t8pgXGt1CKd9SalvXmxmPoGO+KulRLxtTIA7LKIeS5YadjyVS
WhZ7rTGjh7RSD405SPe46vh2Gw7RbmPG53jmOgkBg0JDFAze3EFZOufJxqQIZme0bhyK2j7MavnY
jZpw8WoYHmnTC8+BP0AZKhok0qD0fgv5UzASoeZOQOMxU8HV8PZv+mC3kh8ChAIUxSZ4z5v+uoxi
pRrElKaNmzayfiKS9S6aVmY7unT5N8C21r5Lhm+3x1xfgLwVYGLmwrOGZNbi9W1Gvy/zcOgohJOS
mlJsOJOE5tntUdYxDEild5IIcqf0H+c//+vLolITogpbORexjBr8YFofTakQn6fACjf6rR990Mwf
gp0LQIA1vh6qaJJyNE2vcIeQuMED00JNqNpyKnxvSVxvn5n6C7yCy5V5WypYwQclnclE7zGq6ULr
Y5KdCaDus1TTHbkOy32Raz+LUR3uOnTkflsNlHbFIMNOqjjbt3QR9kKS1o6uTT8GIqNDL3uhDYVe
QUsgQaW60NP9KHTqr39dCfYVaQmEYbCf1Ayvp6fSG2MEQOE9dkFLnSaGt5frWX3sK8q3t4f6IOkj
CJkDSpG158pfLEWdIukLHKZ0oXr8aMjyXsKq8/Z9jEN3GpqWnXBznxRRoHlvTrMWY1NvbLx5iL+X
SZHmPho+EmgnUFRYfi6+ukaVaU3zSL0Tyxwz9PehNZpfOjMJT32ch6dOq2u3C5T7vEtwsd2YguWR
Vuj9zzcMIsecLXWJwgrH0AgLszceMTzV73pTLs9h6R8Gb5Z6E6N9FnGqA0WdyM3jb2Gre2ehg/7X
kG+8FEInO3FSBocxkN8GL+tPeSi1/3jrIGYKGo6221zN4FGeD9RfZxO7dDgjoxo+dVb5X9D3GjUX
szqLWpy7SgVgVgmz9m1jXub37GpdGJRCKjEqASd/WwzqZ2ix50kYPaWK6r/2vgW/SItQkEloeZoD
3GvkVIOToMiNM9RCdo+EeurE+lRo8KCKrYRg+ezNc0Alh5rJHJ2QbV3PQQuUAEieGT71gvUzkps3
DBKPicmJzMp8y4N0eUMtB1scQXLmkHK9ET6pbWjeeehwgxRAK/f2FK8/CeLi3MoluCUoX72s+F/L
49CFT3JjpZ/MxCMHYZWdahj0k0RGubHVl1c8ZQ4J4CJhDCcNZZ7FFS9Tzwm9jK/qfe3npKnxWYub
wglGYeuZ/HCkuX9DisrLtbzhc1Ugf2uH8AnzEFOzM7S77GTolMkmeYyc29O4uujfv4uoF+jf/KSI
i+/qY5icXPGwB6TGwWT1oJhz9ypEQrAfhsmZvPaliEEdUQ6HiWPsNX88iel0KNL4YZxG+BUUxRMS
GAIbG1mVA4aM96jJXEI/3gj6l9HU/Ftnwrk6A/J4zxe/FRk9w4t0K3wKilGGAJKZL1MjZ/uiQ4ci
F8N+l4+at1eLYSvv/GhNaHRpSDmSzdIHvD5AWWxWVdYzcphqqi21kXIXJp5n+6Ka/SPpaP5IOsPz
d4JE4Ym/HkqY9FGrQmS4ghDP5h7HBkew+n5j3deHdL4SgOSxzYgSl21NL4iFJur86KmA10izICYM
g0l4uL27PjqkPA2kZ2wtBEzmP//r7tUROYSi2IdPnuU9Jr7XuRU12Usp9MNjiI7a+f8ZbubponSB
scviQQa4g+lJwRmF5oEQqf6HELPcW4L5U07kYX97sNXTN68T9XH6ZFgOEIldfxtyq3IRDSLX3NBp
Nk50v0uxRKqrjfpjkppPkVz/uj3iehMqSC0wke8VZlCv1yN2k1wErdrTBld1cMXJUB2Q/mztTin7
jdt1VekgQMO1R6XYwQU7w6yvx4o7DUJVJmtANpSDXHuHgSrobjBr6Mh9cxH6RtiZgflTy19lXz4N
4UOiPuXD5yB9qisgh+pFAsMsB5RDk+kQCoPsVEb2GdcFD7uh5mAmCkpS+cbPXuWZ/Gzqe9QqZ5k+
AD7ztv9rw/VFqA8W6aUbY5RjR6nS79ApJ3YNInMXl1rxNUIx0NabRn+UxK67dBIqL5FhNRs7/4O1
IsmBlkvqoREKLNZKq5pKj2LEufFWk+7m1vxpEEI4rYC3Nz56/qbrWMOYHQSAKXA5kYYsqn3I+Gul
lQpYFAc+ik2oBh4Gscq+3t5866N8Pcrig3K/KPTK80fKmCbYdEXGwMGUjrFCU8vzi+Pt0d47hsuP
mm3YoKYbiCW8x95/LaQkILxjVvXo+hlmm7X3qTBlz4lrSIUBngCXsv8mRP59K91n0ZPeX6LyJYy+
jJGreffy8Ms3XWyr5Tiz09Fpy84p9Cdgcm5S/Kjjn3V1Sfv//MZ3JhEBnoMs/2dOP6cWKXs8Bqw9
JRe79b71yIuP1sXCeDBtEP9+a4onf7gPrZ+9pWBSUMG4PmG87ljSq6I9C9MnUdyT2Qr9c2OhFxYd
tfKP1Z176Quy+R3lSMw3bCP4I1hOjgV8F530WWfoZ+Z/7YXYzqJf9NPjAApL/cMIf2fZnxSGvOmp
hBmXsb5I8tfCejRbEFDyLkNKWAC/bSRnfE/s2/O/ym0IlkGNzSrG1OUpHyzOP2II4RCQS4EebGlR
tpb0BRl+7VdjDf5dKQc+8vCpdIYuod7nwPpsdHeNLUeX9zB5sQtIK2a0IJE7Ct/zKftrF6TxYELm
8nq3qQrMB8RLVJxGrfmBhQSFoiD5TRMw2U2J9ksyI0eUfkQjlb7MbgHilFjpKZcunO6T+s0c/puk
35Z0Skz4HMJjq/4QQFbkU/EQ53dDc4hy46uay89a+sMY6B6jjOFQttu4FdYBDBBhclOaHTy5K6ov
PqaB0euJ4soh/Gsl+CRQOXVCSDoHNdOyOzT7bcUqtY1hV+1c5b1NBx50NocD5LAIyaUyQ+JMG0a3
VVmkyKjL4zAhfploXnNUIxB5aA930luoeMcmzZLXuFW0hzBPiqc479SHpm09Rwca+88PNmUZ7ALR
GwXTvAJG5nGsBUnki26NIG2OePVB7TLToWZmlzMQ7famXl+UmLxwl1D2U6wZAXq9m0Qz9cUxzBkN
ydvDWLQZBNhhCwyxao4y2bzSXP2zhCaCx4ujY0DPlaVChtaeCmePG7k5A2XGQ/e1S1P2YBfQStMc
XxJ8J/JBZ07Sz8jLfuE9rthZVb+iNXqs4gR7Wzj3ymRU/xy5zMw6XnXqFiROy2wwjPjjZkTeoNaa
/hkmbPhE7Ks7nWm8eJgavdJmUf7cnvv1e8h/lOlHzhQ0MtDu67lHd6PUKY+LrizAzm6soD50fj7s
FX0rfv7gjMHU57HSaCbOFJfrkaZUnQLBB7pgIHm280OgjVB/W9sLpns/OFJY8371Wvv59vetwJTz
qhN3gCQCcA0IbH4//7qqlDQHXxQkk9vDEP+SAlS8o/2VI7ovjW5GUdsNsrLH+IY8XxWEX3kjoF8V
joXTKD5wCnK9Ywcr9azDgrfFpOrwjerj77d/5jpoNXlTuQ2oh8zY/kWsEOLwEY21jn6H4uWQu2rp
OStr/bFQp9DpQ8zFla7d6oB+sPYUQkAhg70mo1miBTLk3Cqvl1gRsuZpkEwq3nhCAAfoNnbZCifI
KsA2BwUJ/YYUainmOAojUC3TArciR/pO6kT9Kammz0kRT6AurUb9PdbodFlF8kwXwNbLavhWWNpw
VNFW/FYN8SfF76pD1yjKP0dpcFN08jl+HhWLJY1MTtIqqIeicmlv+OgjaYJdDEW6ccV9tA3nbt/7
+zKv82IbJmUBeEYrKzesJ5BFSTDemYj42VIJhK5RBPUQDeVelJvwQDCi70KjRw48q1z0IpQ9wKzs
kLfiN6hnk5PMLixjPAxbP3J+bq6fdVSwyN/pGDIT1Oauz4rZtOCw9TZ3m/YtRPTrIntVdVETrX/L
MmAzmW9BhPRG3N8x5HlqcGDZi2kRvLVif+nxHr99KD54HmdPJ1I45Ddm07bF5WQ0MnLhWlW4AdS0
z5jBF4+TGb2lQ2i9CXVkvHYj2H0hNO+FKkhcUw/0HzKaoZgQ9l+jsKJvUorJvz9Xs6gPsER6JuTo
y+eqbTDAaWu6qokfFJ/COg8OXRZP+9sfv34UaY3wBMvksLgYLBOVFhx3UwK1dw0zDe7bKUT5Vx/N
jd0/b7vliuMBC1iAKgDyIYt7J0lAOohlXkLGJyeCUFnuS1ObdroQALQfon9skigzGI2AEdQ4FzJg
1usN1mtmMQ0Fxuc4jDV3YisSBPbGRi9xfa1xz9DoJXaZ7ViWR01uRJ/sWy8Q6vB9yOX1cz5IyS8L
FcbbS7RSY+VzKD3NbSye7Vn67PpzZGkKjESwapeHDCGPVvJOshEd9agejzm6EP8VlXwKm2b83g1j
6AB1bZ1WVmLUopVPkZFtaZStMLPzD5oLVHOIgxiUuQhxigYcRoS3rFsH/anF4NyMCsmCMdB6EJrT
WHTytFdeAw7yLrfEvdj01m4S2/Yr5osz+1O1chr2eW9bAdo1Fgq89/y7ph2nTbePekRxeRu17ruZ
Rq2NvOT4qWss8VznYeWISVNNdqCEQOiSVPl5e7Ln8OBqp9LRITyZId30TVnc67ku2mFC8XMUXbEG
wqIGU4gcYG5dWgmtkDQ1w3MHIvNTLhXhORSFaesuWt2NtEiRTKNZrs7kt2VhzkyCypqiRHKTIY0/
eaZ1KqJpOHmJcgBtCeK9q70jkl/fsyKKHS3v9J2BpYM8YZk3Tn22AbhZbXJ+zsxaotWOHcHKycaX
9IYGUyq5NPCTSyL7wf0IBfBHmXpbOefqJpqHoucI8Y79hQTO9cx7bdCMmpVLVBjy6UnQjNoZZPrk
t9d3FR4yiolVK3UZ2BKwSa5HgV6QBEjci+5MEHYSuUlPSi71aI6Ng8vRql5LTev2JaLrG8/eiidA
M4jCLlkstTWoAsvyNYDxsjOtpnZxdcZaLo3rNwGnkN2Q9vJd2UjjyQi0r5kIGDHKffCT2P25YxuY
r6OBrywN5Q77EN97TRAcPxUdlr95VX4Ht/5Epi7aUmw1l9EaUlcIat5xSjN/1GTmnCCSKJ8KpLMO
yoA1a18IhwKUxC7JNOEbrRP5MOLburGVV7Emn0slFsIqf9EwWQTiSR5aHcbXdB/LCmlUalg7Y8Lz
MxolzAIUq0Xbyoi3Ckfz1X59fhl1btMAJ8QZaOWoaUxmnHZq7SLydwTZYdRfNKqAQtEBk963xNal
GjtyfkyrT2jj2H1/aSBkCNmbH4EPT5/9ut7N12yhqtQ7n70e0Qi5mDXQTkKEn5X1o+jlQ9xEuyR/
bAIBF4QDEs5BSwdESk+Fp2BnidhO2DimGu99mekP0D58gHfux5ojNPku6PpDZEQH2HgnI+n3cHF3
KOKlQBSCCtnPLDgNaravo2Q3B4pJ3DsJ/5qn7ePh1Kg+oE8gK2CMzb2iVYfMxBObv/u9iBO0eVCT
cOcJZxDcx8SQnNj/KfJrBvXYyvKx9sZjSp0EEamqCyIeRujxt8/YOgWmyEGPzCC3nGvHy7Z0ptci
/apKdL12sgthwoMXo0H026x7QRl9d2S2jgOx2E7Wkwr+CxKPOC+Wl1E3/ghKmZ8TLTN2Hm0KB89q
fy/AOtjVlak8kL5tCQuvdC9AlCP9RbmLPcPVvzTbsGLTk4REpsykNfkpK8LyHqVWicJhL9ypky89
BmIS2gGwbqk31b1YNd6+ThTpDvvrb8Ac3MygTT4LypTOFEf9wVOs7ElJp62Xd31HgjOgzU+pl84D
vcjr20uf1EapR/BSBRWD3ZgO/mGUjfL59vp9NMpMXKBhQ+BJ+/p6FKsQtQ5yYAvdz8ROLEcMVxdR
abs9yjqsUYhmQK0hjzSXxZZBYdVmgScqdfuEFZJxoRv2TcYPwa5S+fcgwulT1BTvx+5Ibc6JqxoR
GyOaLGRB4/CO+ZU2YtR184DkFJQAbWXSJ/jZi6gmTyut8oW4eKqsTHGUPO5dM0O5Owt97RCWwQ98
irt9D8jPyXJCL6HKDCeMm9fb87Ke/RnKwXxQc4GCvpwWLfSHCO+X7GmyjB+Wiklz4Yv5xjO4GkQF
Do8DBlJO9JlXjZLMqn0MPyLBnRDevIeTSAWwHvKN23gVTM2jIG3I5oekRAJwvZGikG2qSKPgCmo+
7ZukK/atnncnqwALYZpBdGjDXj8Lo2kcwQgKGxH6ux7C1WOAbxng0FminPIMtc/r8RV5ypRI67VH
rQ8RZMei1ZYGHGvKPPB3ZJ4qLC1qhbYVUsU3RxTUwvS/0eoUO4wT7CSRK6vleHQQxfkadR1gIl/o
sFisDPlpsCLjZNJ6vovrrrdHXN/3tzfC6gEl+4PXhbgXvjOzFvD1r8+HNG2aRovdOC2lHdWnDE5V
RMGob46VFJ71sBW3zuTq+UR0hrd61pNlyVi56zErdaiYRto8KU5KToOlyVMfIR9iDLn6ywiV8Dzk
1KeladIe8MTA69LTi3M9heZxROLRuT0Dq+iT+iSHgB9DVEgPeVHNsNDZ94pwKuBboAeMVZPytURU
+I8wCurG6V8fCJpn0OZhQ/OWrDLUYNBULxaALJRCFh+MboYsIaW4Mcoq+mTWQOrCRJlXldbK9fS2
cBxGagWR6xltdogCvFBjJMwOSJ37X8q0D7/GuRccKlpfGyOvbzdEwTAPxXkLruOcRV4PHQ+9p7Z6
U7ht32i7IRDbB1wYIjwIo0OuDvHBh9tpV0mQnw18DjoEG50oU7uft5d0fSXMAkc8uIBoKMQvEWOe
0av0a+rU1TSwIsiKNMdGMxwpGvvnIhpHpNBp8uRqj8yyV8sbs7A+UiRVyOQDoHwX+ljEpL2MU8Qk
9qkLvSawM0hTR7XVuh0n8CXqYnOfSdGWr9q6JgcAgvvHFMlqqLEsK9JIok4IfZnyIw+XuidALfZE
ekW6a2LV/+YLYnoKxAmSf47sqU3ZJ7DzoUWS3dfjh6yIZSdvpoIGpCJ+14qWQx8XsXKnJKL1r+dt
ZlcjiwHDmqYr0PLrPRJNWWcWwyA+qoL8mU55R8VJRb/H6zaen9U6gNEgCQLiQpkWXvd8Gv+qlgsp
mIkiZ6BJcI00/WZgPZnlyE9UVfzFS72tfvL837t6CObx6DzMBahZgX+x+adKzSra/eIj9NPGDowh
dHQ/STa+anVdzaMgG02uQ/mZ6uv1V2Vx4iEY14uPgpCihY0/3FnmxrYps08bFa518MRYKnSWdz4b
F8niaiyGUErTqRYfA11+VWZwLQYvsaOCivqttkN37GrxwSvk11CvbRmsfWnHlW8d/ZSOaTaY/90+
1u9K1csZxkVgRsPSXCB0vP52pTWrcLBK8dH0i3GX6YG3Rw4kuki50tqJ6FnHSAzi0+SJ0Z9Cxx3T
hpccfLfkSUG4vUmtPaZa9bHyjcbGfjw7eLQqjrqZlCfUJv8b9CQ4AaEUjmKs/fbiuNiVlTxyTQnK
ndbH6WM45cGPUvfGtwr99lOSy9pdG6q6W2aN5HCfY8GqduU9D5n1ScraTYed+e6+ngEamQB0iDdg
seEhfz0DhpFHUSsXMAylVt/pPfTxvpOe40h2rLzXdoyp7+q+QrtPMX2nrIRyI2BY98spK+DXRNQF
Omgut17/BE83ItnP4IPImXBRNOG+Vfx6X1bGcJei13epg+RHP3XRXSaiI4jJZAH3IFLw24jT8D5J
mFDFn6Qj7rTdH71J1J1XV5g0J1Dwo8I/VQQ5x4gne18S/ex7aRDvazMtLmWoNI4ooLzvTCOsymlU
9IfMC1XbzFPhXlKkEs/FjLveQLcpzJ5u774PrljEQaiTz5o+CLcv75NyEIqoLWNYNqMiHFTU6D1d
qRHbCKWS6zJs2vtUsKpdFU+npJ9emzLZJQr2t2JXa+c0og9LENh4r/Q/rR1FDbc1e2Xjdl1fevxI
eCCkVcQYPATXq2P6YKkqsxbAi6vlpR4DZBMT2EuRCU4lrKLBrjtF3Hjx1jcflVqaTpS8LB6+pfpe
VAhDMXMy3NL3p1d0w6oHMYi2Wnzz3r7a+zMBSQGXOWuCIIK2eFfRcC75CEQURPa/PKr9Ph/6eN/0
UQmodNOHYH37UVRApIswivo+sIb5q/96P0ydm1ZLRsmN4gKN76LWqYm0Q/2W96qwL70KdwIlfBxr
ST5HSqA5cY52vCwM9U6OkuEV6NtWaLda3fknIehFbMHFRkPl+idlNTogxoiaDhJ0b/yVOklapL/S
HKiKr4rh59HbEmNfre37kKDaEfAhz3nX0P1rFjCJHvQx9yR3DDXfaZA+3UVD3v9rCRglJHqWs9Ar
TSKK4tcfJopIV8c0RF21kvyDOSXmW4t8+ykVcuX19jleBYdEZgxDJ4oJhC22OCFR0UdIDyOlJ1Zx
+xjGd61VYQZoWULiIDCkiA4t9r2M4vsFovDG4Os2IEZf7wKSVINotyxxEVNsFmaoN6nbI4F3RH7R
O8WaUVGQkCTIm1hcifu+FD+JZlDsuzqRcCrIu31KUdwues1zfF8fN670ddg+/6gZfgF1mdhiyVs3
407gYQ9SN1TU+kxRW9zleW4dY8xR7Jim0bkT5ZdAG5xYjFBuCuOTJydbZdU1HoyfQXVklrghjSCR
uN4ECrBKTH76xM1K6WEUQ/8BvU1lT5QNmEkq810Cr2NntWK8GzIMvpM42wiu1ueLqILUgeSBasLK
KiOd/JinpYMn3qqvqir45yZCOUsIimaHntc+UcqtI/3BV4PVAiQNT0fEKEedA76/DliCZGdTp3ni
jkVWIcVaWN+rQMCRrokpXfamCLyDykFExYxNWpf7erAoEtw+FOtTfv0jFnFFSo0orqo2cYU4FA6l
LkT7JI/8z/88CgR/ejw0aCHiLyFiaWNJQpxGgSv3ATg7URJ2fQaR6fYo74zU64eCMgwtQ6jbCAFS
c72e0XAU1bIZs8D1rX7HY26n8ZdECXfwlQ6D9mbJT5F2aZQvap85xv84O6/mxpF0Tf+Vib7HHHiz
cWYuAJCUKbmSyt4gyqiQ8Akk/K/fB+rZPU2qQtzem45Qq8QkEmk+85rcDgHShkE5xIuG3fBw6yUL
mswZXoV62GffzLW4teorx34eUhvT+EdTfEhmnCUK4JfDFPkKqElbXhCZ7/16+gAZ6p2fjh9l97XB
J23Xye8oHv/99wUJkDsQbAMXwSkzGeLPkA6Zmd7hq3LtV5qJX4Q6G/FsGcvpRPoACZET3IgCp/E2
OrMzEUor7grE6y+ks3hRAkvvYgmavdC8dIdNRxdNfh5EHni6i7o0jRDchTrzRn+zOjfmFxhn8LMk
cye3g0LYIxjQGLmbxtyiuYHhoL5VSN9eN683P/wy1s12AiBZe3oKyiEY08yr07t67Z4mfQ0eW+X1
TxoHFU4omUeKwwJ+/7cHJZwGpUJcD3jrNKAXChCV8JEXWnVVXq6YRVwDLseDJZn3ZaGNMZHoObfT
1w9KSsxEkqpiqQ3B/Xh/KHsWdIX7GmUVMIKOmzsfdX/tY7+ejZhllF5nbVUe3n7QFyuO48XEqICT
AJqAmEOp4njUoKKP1i5dfdcHd2uTRIbA49ApUR2rwgaWwTrtB3ja9dMMDlefnkqNbM7eJdOlTC4k
tSq3uO2HS8RbQs9/GLOvdhtE7rJcFMuFYeFQAwUMflbV7K1JhLn1aFQ3lrj1AsrAqaMe3NXYLzq4
dVWi86jCjGs1yKp90lcHhVzmaPRxj2Smp4pvFeDn3VKCm/U7LYtEj2PQ1E0Xb0/Jlin9dUYoSVCh
w3HW25A3gCSPZ8Rb2dv6lE3vay6Hi1bHG63FEPJCa3SL3hw6Cr03ertqsM8dkS9R29HQ6N0CRiJo
3zwdKCUcD+0HlVi5lMr3iGWaYY8I7eNQOved2aeXeLjQQkuZ68Svkp2Vs73dYbIv8h40eeUuSGaN
lYkzr5tdNYAGorqogn3Lkelh4Pq4VlhvzcnHtyfrVb8PeQkyf3+THmQVvbJ7nOe0EHbnag+k3hcI
qcirBrjUnRSl2mnS6S60QcWlo8tYmwhglln3d4mtGfe5nwUXc4/L8UBJ3V1MLMdHw3pc/LGL+yYt
7iszN88s91eB3obYgZSPQQknKM2Pk03WaEE7eGNnPSRGSqJg2moPmaD5DMr8q5YMKJEhZBDpZtLc
pKvvhK0bDBEKxMm+xaoq4r6iDDHP9pl2xelRCmyPzt6Wxm4sDirFxy++aFatCZrZfEiaVOxyV1Px
kIrkTOXot6NAk8HiDB4+XdrjUWZZinpaNzuNJZN7LPjYdm3bX769JF6UWP66iimyAbwC3m29ZA6n
98JYGaXRl5rzkBtBu3c7e4kkaq9wovVvqANcTYVV7Aq/fHI3nY5FDbt6zOVumRH+Dfy+2zXVXFwE
dWBcIbjyqcPJJxzEoxCZQC7Z/5A7+hyPVt1cUWd3OR3IgFBXaSMzNcSutr32XZBUzoUQso6MVSv2
FGedyNYrD/XOHuU3vKqjurXtJ79wy8guvHaX63555uZ6tZ2ZCGaBjgKHK3Hoy2L8SwyZyWkNeqwC
H4h1ds4ezfdoicbLbEeZ/3qOmhsRQ/O7k1/75+wxOXOFbUvm5C1sCHuAO1s5kizx+GUjttybouvN
BwCfFzA57c6LXftgkC68/b5fEcZeHhPUBaJUkNFBeh+PhPOiX7H7zQf5zj+4h+J23stLYw/bOkx3
Rqjvq8g6yI/jzntwDt6VHteHNBahtn/7e5zen6dfwzz+GrM7DNmot+YDSsGhgxxc6Xy15KEzXVCl
Z9b46U4iVgbXssVeRCbIiZw8sm1t1RSB4tps1M6N56cfVR0EZ7Lv3w8CdpqyHhfzqfYtAVXbJWUF
eDrDUbHJ8mwHijU78yjbBX+0TtAmAQJBr3+Tr+P6OZ42ZxLIua6yvnOHFAdn+NZIQjfpxs5PYgQz
vtIaqO5bMHORVqznFs/rZ9ywhH9Wcyhrn7L2KA4vcFEZvdULFwbl0mwZ1jnzypNRAHttKAM8eLf2
OiU86/gZq5LKT4X4xB0V3GoIV2C+FyUJ9cPbK/BFGuMvc/nnONTA0QGhFsaePx7H65DHANtXIdAI
/qjs/eEwNfLBrJ2f+uoYKFO62RKKBcEo+HRJvEzueOPITO4wVHIv0CtUcWuIKdRHI+OI7GNkBAF0
TpbY23p5IPnbV3kW63gsR0HqPRlecZPrRRAHbb9fLErtTaA5Z7Kak4Doz6eiN0QfawNnn8ooLLDH
k77mqdogfVhsSr4d78qBEBqi5pOFdopWpTR0/+9t6JdxbbpEnOJEVbRoj2dzAQzpoWVOUUYZzoey
KrMrOZDW9XaVhmXrfVLynC30bxYKqBRQyhTVeNxT1EJhc5lMbVbe9Z4tLpJl9bnyoUi9rJP/+jH/
r/S5uf9zRah//zc//2jkQgNX9Cc//vtOPtePfff83N98k/+9/en//af/Pv6Rv/zPJ8ff+m9HP+xq
OKTLw/DcLe+fFeZCL2PyHbZ/+f/6y388v3zK0yKf//XHj2ao++3T0B2r//jPry5//uuPDRn1X3/9
+P/87vZbxZ/Fz3X1rStO/+D5m+r/9Yfh/JOkhoSYAjpwQCb3j39Mz9tv/H/CMaTvjqwhtP5NYe2P
f9RN14t//eF4/wQtufXkTZRueP+8fdUML7+y/8nHgUNGA4z/UE//4/98saO5/5938Y96qO6brO4V
H8wq+p89CweBJiSd8a01TukXRPPxKmvqQpvzbJ2iiapWGLQBALpetjuk05qLv8zJf4b+61DHR+3L
UHSJwADARGNZ+ycLusi8ZLUHNUempdHo7Sxzny2qeDd7Y/1O6FBpp64qP+Sy8w8yOyvdfdIj+nP8
DbbOeQ/Kg1k/ftQBZ6qkStc+yuwiFfeGKbBInv3M3+fWiIGwlgGfZAoWkcNRc1svEoIUxLNG70ea
e8m9aQdEEV25EJFhNdMG4Qogpt0Dn6iMvbnmVX3wjHz61U6tl2+twBbGm8+UdkgCoXWPRd0Uiq6t
f81JgwI+Ib5nhOnUiifWD62xzm6T76m3jJ9GeOgfdARS0AmlBLSb6lKcKXz9Wbs8efmb3AbdI8Iz
DpqTA3uRetK5S95DgApABQyoGXyrRwd57UU66GBouWt/0qmffCsV6IqYFk82hbKR2LC6q9X+XAHw
mmEuEqIdUaZ0+bJU/lDGLL0wGGWVRA5kaS8s09TJEQcYrB/GDALtkKIh8kSINolY4JT9HdciLJA1
qMLzhY/n6OcZ1d8myuhqvnfaqivCzhfzEM4UAcs48Lv+Rw4+8kkVnqp2Gk8x3Roghm9HImHzStlS
OJBahrzYE/dW6lJvnXrkgeZqDatAukM8uybBdjEFLpW1zsYoVFSQIqOgwDYHn9UKXrKLMtqlonjk
3qw+mV2slOV/TQx6PheNJya5E2NnQPPvZs+LDRRgvLheh/6RZDFN7606h/6ftL745oGcci9MerPz
YfLmaozczlNmqFS9tjukYixJM8dRfayvmd2ChsUMNc6dDHTlaq+UW9p1tIchtGosh6Jlo0jG/Uoy
8W7UksC7VklCDpDYbvk+QylE33lYBVOrHVKuW9svO+8iM+bA/MEDuw5WqKT5EWCINHsoEt+bbpJU
C5I9eCaZ7bN8NMp9yapAm0evzXLTwCrLOBkR1Nv1mLOj9GfkK3FZlZs9dnBTacVlbnR3pluvTWyV
3hREk6NqWDUJyP3v6LeKbA+K00vhdyoKJrnWum28ToEtQPIHFuS/uvLRLShyhOTtoZz2WpHM2V5f
fP2cVs/vDqMN9wowiAoQJiXHh4HKnaUY9aGP0sYLDq4wQNm6qoUNZo5rCFJo3uHr1+xHPZehXw7J
r7cPw+P85OUwIqRFrZjqGnW205ZoDwc2K/0Sfn6eok/ZNfa1qYbsyrQr49AYQX4mmj4hCP45IAIu
8AMJYTaV1OMHdluBC45hD9GE98umR9ajGFR311nX+N+Gdu7onqx23Dso8i3tqF/CqLO+N0hpLft5
MXBgzZNyjxkg+BtqBmfJw9vpf3wWAZmn3UBiAVWWcsDJ93MDadCc7qNKW+r7Jlicw4CJ6G7Si7EM
U1AfcIZncVGPlRcAEzKNyOrtdU+XHSZ3l+pnbqvjWGibrw2k5RDFIqKFK9LJxVhrqiY4G/QIx7TW
jEa4OUHoLXl1Jn886eC/DER8gNIAmTJov1NyhCELZ8IlR49EM433sMJVvuM4A6BW2cp71uYGGaQ5
B20e6p3oUHldMq5q2xVNiSDPlC9x0S3TZ3jjlrEf3A6jZE+zy0OFekQVD03lnLMgfL14AQlT3qAc
zcwQhBy/KwCnjjcm21ceVxoJVqMOybzpoyPL/5itmn14e7OctKMAZNGcQboaCjVtSvbMyW7VvILW
gmbq0aiV9scWFpULbsAFqIfKqRW77VSLA4WX9A7LyOLjNHWWG06tOpdkHy8K4hYiF+pUABng0tPi
OMkWxepIQxq09m0frYuSjIFcpViezjzu74YB+LrpYKEQwFI8nl8wedyMSGtHWjMH73GixHGyaiv3
fYYp8o/BRiatV7B7K1mO75K0JjmddbxwQzt3i4IzvCqqgwvYddf2s3nG1Oj45NzmgJ4gYaMNDh8C
5Wm/TPo5AjkJX66bqs1z3Nd2c2kgKluMH9KhyHe+jUVNgs/rtb6M53rVvxsd0DxoNowiyYxOgsis
M1UKmlNG3tobKchqqHQN7cE1XESq4nVuNExQEbqNYQ0Nu85bp7/FJP/z+c0twaVSzhyekrp9TxcE
eayBsc7rNeplYkwYhbTzfSPdMkxyBAjNRZ0zWzlxttrGpZjmEvg7nJJU7E7WHtwQ1+zkJCM7t5ps
l6B696FMSUaRQUqLG2I1b6cpWGRORfMkqmeBfmXmgOeOcV8BRgnaQZyT4Dk+CV6+FCWgLXdB7AfS
3smpzRrRrdLaJEOScgw9O0XyQZ+HjwB91mvM3vxPZ7bG9oH/c028DOgTIJKIb0E8PKeTrTGqQTUg
66KhDIxoXTPUmDLf2BeaBkfIKMpQ6/z+sZKeD2QhnS9Hsztn1XJyl/75JchjOIkQiqEFcPLUE22M
Eqr5GJVSVBcpfjw3CCoWUTsY9dNQet1BDdr3QRne3q6UFiJoln4I+lS/sRcjuKKxXlzmIDO/OaPj
P56Zodc7hDIOtUggQptI5WnzDoodcWxXTpFjYvgGpLCRKWpqnYSm5XTFD7QOBqRM83y9y80ZRtrs
JWYaSbGYPUQec1DRstSLRtF5GvJo9cTwtZOlVGHfajYeXYGe1ZHSlzwLCQloUb/9ADR7Xr9jAzjh
Bj0wIN6fgmFwfzeh+mASquR0n7aW/4CMlpIhJXu0igcida+UOAStUGaRQHeGCquVKt4wkr4o5iJy
87y4bjqYYWFKIoocgNVxiVprAhjUKHv3R2U2fRYpYWtNLNMcfX9RGOKzK5wAkIEiSJeJLA9sr/Xe
ToNPSLWk70CZGckO32eBpKmeeVzWDo7HBNfDLzyoxWdbw52ZGRfZutMdqdKoUghS7etZLj9QvGnF
rp9883IanGqOVyi/c5wUZhJ3NQhP1JcW+cVuJ/1Ok4ZfhZVwR4pmSGrq18Xor+hnIKLixXqfZMiJ
TDnKDhKcl97IQF0SmcsmBOjvTqFfSOcRC44poXrW5sj729s7rpdl1EIkPMaa9KCyukOdGb26WhaE
gKqsMcqYIN3/5beatoT+7LYfEWQMprAlPZzjVBUz3l592z2biUCjz3IqqOx4FWVXda6I2fEXWONy
HPqn2bFw/Esy9eyneHPg/VTVTuyoLn8WBonG5QYn80M4XWjILd08fSc4zGAMEnc96XZaob27BlDk
OF4m5BX1pEj3OVJYWmg0m7DIUBrPgz/P333gs7ek4KP1xMMEH0dVFyQambJvBs2oSb4bE3e0LGsa
UNazaVWEmEMAF7uvCgiRM+aLOxTLayPEdcbBdUqufDPun9a/LbHq+FyVLkQQ01h4oT1YXklbd+ig
r5oiOKyuV+OuJWUQUw1f1igBAnJZd6W3hh2O2Hwe2eLPZSjWj3bCqR2OIKYuZ6DRUBCmBYhuIZex
i5BSDnh/pco/4qo1fMshftuRlev6F5Po9yfJytLGg1Gtv1xMKj+LQvR1XOizMV8u5eJYodBq66nT
ivZLM0w6skJG8KCVk17G+mLlVxXYGQzcMAJfIjPA2o0KxTrf9uPaqEiT1uJd8lweilJOCTOo8gr2
WGNbV07hu8mBzIgaQcfZ2+1M6aTjdWrTcIg1V/mQK2cNzMxIvqXiShRuEo99UeCO52QN6S1aGpc5
6DHcRhZojvEw+HpGA6voijgbi4G1mbR2zzUiSH4Nt2m/uVXRq8jxEgmcxcjMNZxlowNolnMLu3cW
3/zGkl3kwFv3oyUrfBBp+tBgej5S6GImh45Gm0oH/2rpXMyEWjzbL8cFx6WoEOWShz3RxPdEs9c5
9NbWlVc8uZxvh8VJEXgTC+HdsOkgx52ccz3uEyMxwhFBXwxTuGpydbDhFquQ+B4cVNG7No3LRF/q
Q6ZYJ2GhqdTal2YTsLD7xvxMWWCCb5Ul1m3BYp3DTu/d6sJ0R72Puz535Q5QS2LGKHxaT8FQ9Wno
pUVw2/CO/JhsXZc4DEhH8gaz/l0L4FvFqVtD3Gpz2+cDq9T8nGZ+kSEkFciWjC13P06qNHEz7AcK
UmWd5J9tq2yW0NP8QbssKAh/lcjyJHEOC/3HDFfmQRtbhTWDtnjuQctAEO/MJamvu5XbZUeRx3vf
uF1WRppfs5XK3gq+mJrl/+qDIPlcOfX61FTlsM0ruMyoswL1tCzoOEbmKrEsN2ZcAEMYf1yRyvO1
L4aTEtQheBIQQgnHwvAZ9YN9mwunv4BWbt70qS39HUTQ2t85svSiSeJrt8/kaL8PsJdzYg+M8Ro3
NHVFaBbD9CiXzXCrGQ217Gz8GPQQAQSAHOk6Vu+yzHAkK7YXCIMFjX5t6e16P85Z+ajrU72E2Mcm
ZVj0nUOxqBRpcxHkFKQj7Cmteec7Uruw+hpRKzW7xq1scgsnS2jqFwYe2COswjz9CaUVxvtczPpV
xooI4qrsDCzdFpvkLQD8P0ReMmra3u9dwjlV2uS6hVoftMmsn3UsGD/xCfYvRXd+AuPa1l/oNk4o
bK9FlsVZkuk1d1wmRbz4dhPrwk3r0BK6lYVT2WXvjSxw1+tNgiwe0JCs73xT9knUtBYFSZTn3fdz
0i4f83oevYjiwfxpLJtZIrrHYrmw1bAUOwc2+4ilG+WFWMmlLC+w93Gp+th2M4TGNK2/ODmN2yBP
qBO0yp8An40izWK67X0XDhIriGGa8Tc1ujZpqlBvynXYT6op0LtwUpg+kLPsYXonhKvuS5Eol+Zb
444RTHBVRV03t3koa1l9rdfVmzi8dUpdUdcURIGjQZP9gPx2Zd2g+IabjZE3MNjSzPbwnjLXcY4W
4fgzJuEySfaNPox9ZEtDcG4YQl2xc1xwP4E7PhSNM+yxTHI/tuaivV8bY+0v1xLJX3NW3ITCFDqV
XGsYhoO2FrtyarR30wBZD/OTos0j1b3PgODXYTumVbS26gZdPvVclaX8hBbRfTe6/M7yr2RaNdm5
YsJxFWWLTMmSt7CPUuwGTD9JlNvZkFU5u3MEIUWFMJDyg1yqIIgHqis/da99tDMHCooAWXlJ5Uf/
IR17fsqsmZLuqNfWuQ4no76K5igVAF4F+LjBiU6D5V4QztdFgU1TwKF2NerdtoCmxvrm+i7l0UBm
gYxLU8s+0pZKs0h2RetHBvZEHyvdGpDn8o3xIagbHYmVVKeoyT5w/ZDCSebfKcsQz/CtRBUHZT92
CKv43UIaZo7LNiSCBp6miZ9T7+bjLhGTXUfmYLKcUkuW39suSIyrrWE5RRlt84tBJ9YNR0MDdzmO
S/I4VMbY0B5Z0qeE1fJN6clsxX06WL8opepfyjW1M5AVLRS2ok7qJtInu5ljGi4VD7MucxEiAhbo
F+vkGdm1m1buhzKbBxGJxOq+CFo8j5ZRVE5U1ShGUEDOajTKU5PwqO8BZ9hUwLVrq8ntNXbSwVlD
14WUXs5L8StTeeuiucBVGk5cx04MW6EqQ5Xo7juMib2vAIrWbyNmU+Wua7qqCT0V6Fpcp04tw2qC
1hv5ZZ0nsbNk/RgROjR7p64qWP16k+zKdGg/gUY3UhQZPGlFFWaZelSroPyaakPKVnSacqeZzmgc
fHBqv1zCHPuiHEacPoi52MmrJUVoMbaMMngLSVS6S38XrEjoo0Q2le+4AXwVtbrEf2MuRJqH5Jry
hvDOMaKk0WiJT4FogvDtVON1quTQDcITirKbuUGQjpPJATwUYtZNHxWGKnepwf3Z5ytBnvS0a4qz
9c7sSz0u8ly/deve3L89/G+SZ5q7yIFBccaK+JTmbCwm9DCqdDj2BMvtKiD/aUtnx0A59D04tvxM
SXOrEJzkzgiwYdAIgcTCi+TkceW8+lOhuMHquU0/+5hYRLUxzHufO/FD0OUTwUdy1o59O3JOR4Xy
SzFrE2CDFX88yTQ4ujEfcbxRQSbflcGsIUWsj+i1ONQ1cQ2MpkTlsYZtBb2/mvq/BgFbBLI7oy/+
m8fHhReW1CbgBF3gpHSg1RlY60TwRZpco6zbuzvkxceL0XaWyBMGVqZLoV++/Y5PcN/bebcVd0F5
UCABL3PaaCjs0Ss9aGURDgjjz3oTh4uMseNInjJZ9/te64s80ijDJ4fanXsnTAKxfBO9mVjogfZZ
Ha/S7Ord3K/pvjWczIkS3LlvArMGvWV6HTGwPflISxfS0L7oliIKM2X5BGmgiNON8jSsxbIrmsC6
CZyxwT+693oEgr2ucSNHjc1IV8mfZbhUdrlba7NOY3StujlS7ZK4cUo3TB0CrVG0lnRtDnGEnZNd
A6XNOrMjX1c+ITjAIqSjBmuYevjxYsmrUegEr9iFdnXyiRIDujGo8S3nlPi2zzlZlIgs036nlAnv
5tSvSmPkPpfJECFSjb8AsRNRK+JUu6FpHhIb2EpE0NjBLe2mc8/4ettDc9ykuilr+y6UgONnXFNs
dNxZ0AE0hXFAg3HapXbugxL0lysthx7w9hL8zXgbVh4VgQ30CVT1eDx97JrV7qoetepgveXWazPa
yXNy17P5s6iiv/D3EEcvYQilSmYYsUP+e+rk4A0N/19isDS5VgdS2ae9znr2zikFvj7AKRKAL4T+
uGEXXuC5f4EYGkOjVGdzgHuLyu7Z8+hqpKQXqdFpn4eKfBpN1vmSMt64syotv397Zl8XqkjYNkwQ
BT/aaqfRlq4jraqPIArGuff3w2AF98Yg56jS9ebz20P95iXCH4GfTijjmmitnrxECB0lJzRP6q3L
oxhSMwmbFOdxdLVQbxKF+vj3BwR7t708Oi8gTo4HLHtN17oGawy/cPK9T7H/IiFXfWo9d3nXulN+
Zjxzu32OtySQbxdn1c1Ynf13Ut9u6sVVrs6a6SpC+KiA9U89sqrquIUmdjCUEayHYhqWJ+kirgUE
KrA/arhoFsAdUZaI3CIXcp8443ALG4lmvZenMEF8Zx7e573m5LEuFwrESwNrKZ5SZZyr0f9mOUIY
pJ/LSbGZXp7MGfoFylgsyhgp9carbpiLu6rKyDpbR+9Cz0nTq3nSrJ2qc+sSY4b1HFbt9RXHoYZ+
CYhGauRcPccvLaVwM9R2wipRiYg6v7IOs77IX31SuCSr6Ry6OhCDt1fK6zN7O0mhp1jgQ/BNPTlf
ZOAtg+oCdLZMFuVKN+bKEvl6pu30u1FAD9F4ZK9vpfeTR2u83jBLRnEbb33oCJYiYA/yDEZ8+5ST
RQiIFHXWTahkMzA4HqUjBhx0lYzR3PnN3lgqGSfQaOOldrb8szvHevnNCYLjO5ua9QII9ZRdWDko
Tk2dT54LSvI66LXsUzP11d6wG5Lot9/TCXf45VTGqhyKFpBTrqAXR5y/nJacGUjIpNUUUQj4SlG2
u5aqpZxM2nGZyb6NLEPz7qmkUnruW8wkM2HejnW17AvdTSCsjGV3VnfnN9ve3+QPA5K7F/b+8YyP
axe0WTEPUZ9qyZ1v1/LCX/LmY2/IZYigorg7H+9tPZR5ln9hgdehYw7D/0fijJ0X7TXiDvAv3ski
rvvUEtkISSQYWtvDodk2P+DsbT62S6o8mkpK++LhpJyEejPPz343Bss9hp/GD1IEEzhbAV9q9/YL
+81u3jDsSCZuASQL5Hhq1IjCgGcpIBta8q220+XSUq51pY/zCkmIJHECo3BmIrbnPNkAYENoulAJ
o8d2KmDn43xczqkYIrte88s0ScvYsIsgpMraRh733G7NR/2dGMdzJi+/eVpsGwkZLDIUvsHJ1ktn
7ps8CEZS7UK/F3RD7zSoJ8Dj3BTvg67/TpbafHt7ik8EXbc9gZStt1HANu16WsrHc9xkFUQTBRjG
dZvOjzRnMPtbYrZMxorYAfpW0Q9rJDDQVhSdSNvhSqjVeNeadf/Jm82clFli4BwtujC7PcU63wZv
NZRzSJ14yikMSmT0xg4ga+Hbz6LHsY6dllCfSZ3Z2a8tJqnhQjTvHsSUob3apGq5qdZEnYkhXh82
ABIIWHSAK2z100qMVpa+bHyqcNowOofOLsodQaMKgyRrLt+e11dDvWTVG0cTVt3mo308rUWSw6ht
/DWqzP5pbbX5kHSTQ5MRRYK3R3q1YIlQeI1bp5kGBNDz45EyHxtcY6LiRW08iyejTS7hItRochgy
npWRxK0l1XsL2er92yOfsKkYlMXqb0I0ngPane9wPDQXg+UkSbpGgVvqjzW2HKGFRuy7znebi3VZ
kWCvQexpK00xWhLWrcpV82CI1kYGPvUui7xVt6rZjo+3v9mru9Llm1GF3uR8AQqfOovrQWU1PPoa
IZOQ3Ah/cK+dFE+Qt0fB1o8HPDosyF6AL2/4YSi/2JQcT4BTDBi7NuYczQ0YvX1mBJqIek+W5s6j
0fm598rmsz47G4rKmTvwg3U+0XS0mhTdOKp/SzjR8CujQHAnhyCju6/BXPjfmxxF6R10rdq/MSlK
1HhL6vqjprV4qPqqb/dOpkOhJPpr1zgx8yahgqjbTWS0misu7ak1Ed9p0r6LNGDH9G4oQondrKq2
2xvj4N8EWCXXdLepF4d6gQxViImePoTo1JB4F6uibpgVwxdlGMA0zaoDfURFb+hCd6AeGU9Cek+N
KIV+3YnBbq7SFukLCJmDGknhdV1dToU7uqEblPlyKQMtofnFWa/FcrIGdQFTsfXeV/7SQTRJWRC/
cLNyPgTtPP50/GatL0RV5UHI+SXBBXbdIkLOH1ypSMppPXVgiPHnGcf+ewIp9Cs9GRWEo5ZWhM3o
IPWRM1btfV/1CSV4s0oAJ3ta+ux4Kb51Sm8zSu9ua/+AtGE24dK3wxc02OxftG7N63WGYs61V8hg
5zZBXUcVJOsbWilGfoUVeI33NFgpEDdW2j/SQnME4TWi2dAFy07wPXJ3CHX8Uy1gnYrMz8tcV4vn
yfIY3ZbdY+2knX6QDUDh2Bl7YKdTX68fa1nrH3wl2i+0RcspXFkLPtQR2mohoFBoOYOa5F1qz9MP
36xnfVcH3fK1X5PMDNtWVh+0oXWdnSj6TVXWLSwEoMhWq5DNoidg1qaaQjKAXHHhrUZRHAakgy50
8EJo0va1X+6LVhp6jD1M29MjI5eIQXLT2W8LWHqE1b35y876TkUJVYqB7I8TLpwBBnTcAkYX1rVT
oNo3mc0NGLoqCF1iG4NkppjSSFT1BrqoGk1etr2UkMQMf1qA9QwDskOi1vHZS1LPOohymr9L2qbW
O2EmwV4fXGXvhqVr83eN5o4eroN297njkLtvXOE3USna4QZ8UP0pF635NNDmbtBrnZMB75+tZjyZ
XfA+qEzxlAczzicT1djvOn2572odJ5OKdOB+rgjV3HBpDUyp2WDAL7VsWoKw9VvHiX16dyKcVaLF
nUEBGGAommkQwuWu69b2B7nNcFkVFs4vqlrGIhZiCH4QSWtZqEaIOrW9UnnuHZuJGRVOrmE3eX67
F7RVecWL1pRRTXAOhNwHvRzWBTsyRDEw+Ok0bvu5XCl8I6Fs2UBCMJy5NpY+eF4mDPfixBUj+xnJ
1AJbP7/FIy6rUdci5pdabAFgquPed0Z9r1LA1dclsectmU3ShxuHz4zICVLzzBX1+jje4gyE9TDt
hP1wqmyeoTFVYnU0RnbajnHR2/AbNLmeu45e34SoDlugMQljNm+Jk9O4T5ImoP1Ht3WY6D92LJev
pbEaoUg0/4q1pO7N0h+vpS2XA2qH7Rea9qyZpoTmo28YrtVsL2bM60MTHAtcyfSLbDTtQ8Nr6M5c
Ub+7PPGdMGCfbFIDr+oLipLiSJtUj3phe/U+NWvvQ+36tC5ywErXdNByOPXuPL/n3Enet/RpsbYq
sgfEOYrhegMQYX05GN0nGiJo5b99t/0mfiF/37S7UesIuOb/N3Vnshy5sW3ZX7kfULiGxtENC0D0
wT6ZJHMCI5NJwNG3jubra4V0q56Y0lOaZvVMGqhJMiIQgPvxc/Ze+/PORglaVHg4ptAsM+ttYMYd
1qLqX2pQa3//Sn/StnL4uViFkRnjHb1Itz6/FHKEutDifgpT5qaRGaOxp+j0sh80fJybEbTcrh4X
D2xfmVylcq5PilHpPz338iboiNOfppIxEI99fhMgCS32TERjJQE+u2mJzcBr5xfLHsS1GhvjFyeb
PxcOvBzHXkYuBnfsz595VjRYPZc2L0k41nVCOPrbLNb8gHcAJ5IvfxUDfDk7fC5UYG5Sv/ic8QA5
/SxTzNlkNF3SmTO1ukUdVTZdoJXVclXpabIho9PdT/Hq3ffMpDadF7P1/f23/KfDDdeXGROFkkmy
AY2Sz9e39pJlWme8T3rt1pEcS/dodav7amfZD5WV0/OcCvvp71/zz/cwr0lVRmsBjDrnpc+vqWtF
Wpp9PYexzDNmabI5zOgrUI4mvyLe23/xhRrGJRODdHtSR34Oj8DHqqWC8WtIM0PKUKICmYOxE87L
NPnueHJT1b/QdigSUtdsGtCOLuV5jWO2dp5scd8QSvAEjNh8GLQEeQ0GkXXcKbsxHh3NiFuy3u1r
3ErxnY5eETiHXWI3suqOfoC2NvobwGNCkB3EeruCLuJj1fjpa6ybCTInjsmnSVX+1SqVl25NoWyU
SUNW3npxtpBQPfdA1xujXXezTUh7lBVWgni6y6rXxTVSuSk1q3mze+pbxq6Q1igWkZoMWoY7RGql
boaTrqX4u0lR+qCtPi2B2a8do8TJ75IrhRSmvVNlCnhvgadSbz0L9UrY4v37Vdfgr74K7jIwswbO
d+vnUwlTlQF0XMuBaC5eytIxz3PJp9PUhKYJqUT1i1v7L16PNYOeLec85mu/DcD+0FUicUuuiHwo
YHwD/P8iYg2Fk9uUEKrqAt6u0H+1ZP7FnU3YGDgsPqCPoeWn1Qqbla0ZPE/ob9f1emZDA55r1ddI
TvrXekjzbVr3RoRmNTtDF0SsxZEaj5Hz3Pj6skcA5m1UpltRppXZr0Lm/vLNsdHDcuCwTRze58dO
a4nhqgSHotaY5ZOV+nmQDcqlgeU46y+O2X+xrCBf5dlG8MEE+WejwDCWExhQl9fyMxXItm3Pzbjq
J+SaLf9ap7u4Tn9FZvstSeKn1ZSITOaoF2+C/2eWc52lUrP5hCr1cTC1i+PEpyp3UrFthAkNbezj
RG7dqTCfUqjSH7MfN6R0DCgKo1RKtZx5Itnmlox+VtAlZf698WKrYMaZtU9onYYHmw7cGna9aOft
WrbeDb9TuBvacuNG2Vne7pomqz/Q2DL+HDU1eL8o2v6st+dcf4ndxqUFHoiv8vP3qHhw55gGX+g5
Y/dV0pDa0psuFV7vyt8kcVdin7O0MFFIwNLCokFMtLTACeP05671u/3fL+d/UUVeQpchBHLkvqAC
P7+fzmhiHxUycifIyJIqltFTwFQs+cWx/jd6w+ev92LAovZhoIU1+ef5ZIdd1G96grf1ZJH70dDr
YbOgOL1b3GoyAjLT2EgnJ0tfVxpAQ2Q480Re7Fgmr9lM4zooYis9yC62m0DUTnmvU1u4xxbcH7o1
Hsw2HN1lvqNxND/JQtO7cJUTiSSiT+Ea2WYaJ2HM/PSUQ74ToVY59TsHX+NHbs4uZ3Hdru5x3GZn
d/HT27xAkxs42kBWs6friJ2zKW6fjLVB/Z67CMJCBEXORxG3BDIvaZvwaJgZ6SJ///381j7/dN2Q
xzFlZY+nnw+vy/r8BSWD62WxbOwQWbBRk/CFjVVbY2tCHLMqJHyu8URvzrwHcOUPrE7zXB6b0hNf
pR1bd7kSVXJH6dGLbcwAcTxr8Vy+VgvG5ajJXfoUPu9+3Lh969cPrpu17oYdVXa/WwX/kT//Sn7v
6r7+GD6b8T+b+v/HufgvlvD/3sUfpOPw+sn1f/nzv5v4ffPfBsNQKkeUdUDKLpDT/5j4PZz6aBUc
gxoLY+Wl9PmPid/0/k0LDrkNVpxLBO1lifmPid90/k0xevkLC6qDDdT8JyZ+SEncW/9172lQdZmY
coq4/Pc/bL5JXMUCzYi5tx1tOtbsE5G0fMDpUmuBq3uyO5qt7r53Vdp4jEItLw8YH2J5llZpDI94
UPOvmm4/UX7ST0OJN/CMDnNPEkCfEi2c2W56N1SloklXumoqeNKMOy9HRhqRDeO/zEaTfqOt4HBb
Mxp1YU0zWgsNi9wwHv/Ge1in3sYhxWwpOZcdlMNezck97SoDpFqBAD6oNBwpeaYPXpBUiDYjGwf5
0VZm8rVF8r/srcqmmzTC1hZRZl5aeJxh750OydqtZlYSOIvVFtT0nes3G21dMnpMaMzsaCz6vMPx
71VfcpaMO5tAzFtR1dPRIkt5z6ZDrppo6dyuTnWVGnPxTTnJAllR+GdzMuXemeEpFs1EL6nqOzqM
0qnf4pGcqaUhXxuHyIQ2Pq2v+rScT0lJGgaTyl2D4fMuce30qnVxWrD7mXA7LIuq1m5ncz8hYh0r
aN4QS75SKCe0V2aCvpvJY9phM/goHOm8FBKwWJ4kAkzC3J5wAfZ3g2s/tC0QF5rPDGoI+dthYu9o
TBEtlQjyKRxr/h4rUwSArZdrQU7H0S2GZQO8T3zh5FXdrHY70QXzpNpZjoYu2VPtE2I3+9gWGZ4y
Yxrcw1JrHPybxq1o6CATrUtlkAyTmI+gdNytu45u4NT5erdyvs0DJ4d6JjRbztGiZ/19szYmSkqV
5YiC/bqPtDldd5aW18GMj5P7R29PSJwA6iZJqLWNfqDbNUS1ysUpTXTxhHnbonWuP2kJEWCLkYur
qVTJU6yIMNbXwcfPoFor7Jp2CRNke5QkXboXXAD6cch709J5ymrp0IxLxd5FWYe0sEZ+ELRgJ6Aw
qQlNhV3iMA00ewIIjls/niKgySgFxrUW70NamYipk6U5aBAXIWN4qHY6QXuiccRyxQkCceaYo9xe
x7Hrg3zpyj6S+HhMvGHzjEA7K8fbydHie7miukSTb8S837gwRLimrXUDyiAhJCtFjHhgnOhiP7Ez
4KBNsUynKi2Nq8Sd1q+urbnedQ3Mp9mPSWKci87Wv6Dw1tadrLxpg3KfzEMSqoRx3/l263LMQd8x
bDVMQEOo9cpE4Zq0yRGfKIrRMrXr48RGtK2gWCURBYF2x/GwizhhuDsgP5fHbmr1q0Wzh6fEz5or
aUJo5EPWYxvaxuTtmDcPO4s0FDLA1hxt/ySyK41dK3TR0RMGjKE0qrVyFYHgKyLkS7TpFqytRy7W
kg4bQni0RxoF1RXWIbCn06Dfk5FI8Sha+otphTL8wj2YDo6t7IMVN8YHW398lxhx2UVLM5hfBqsf
JiTvg2lEqUGszia2sU4HSxx3N5hUjSSAF53YAdQ1M99p7jh/HzUi5B1v5ZvrCSW+TbNhOY5FRmpX
JicE0XPfu2MA7LK+WU1Du8OB6W6xOLVITnCb7vRprA+NUzK7GLNJK5lRFxT6np/NE+twYnwbvAx1
UutPFSaraT3C1OoKAK4zT2pGotYtN9dyNlu3jYOBUPYsyh3w+IHOKJTBlWmSwQgKZd8rmaIAtszb
gWnCFT42s8DJUVtGEI/KJJowxxozeNhvq8bzpp3fly4Z3ESfMNHIi2s7NtyzrtrlQuc2nEPvLyIq
E7ve+HNqJ0hUxvJOJT0hEb4+aAdDQ6MYZJUnT54t+zO5Hd0TbmJF8oBQCmw7ZI66Nx9d6coHuuvE
CXtO++apCRwS197cq3iefvy2If+j0oRVhr//ti7Z/agvYJ7+5z/0iTP0/wdY6LJj//clyW58ff9R
1GPDdfqdU3SBEV1+5veyRHOMf1NbkDtw0U/QR7yUGL/XJZf/hZSB+Sv1B6WLfnHp/6cwMZx/oyug
+YaOBnwlP/b/ChNoRdA/0UUKlFgXXI/1TwqTz2UJTV2KJiTOEM0v2l8Y8Z/LE6dh7rIQrE3So/EU
d3i4ahhTEa3oGSfFryrw38y//1UF/f5ykGxgSNDzQmp7OUL9oRrCUYu5JIdH0mEOCSDXecOGU/P0
LSmX8Ugd0hJ36WXGjOfETd9pqzYVFFfLOOj5OuhMtDDpBNIdzZfOxKUgq1i7z3KercDvrO1qkJfY
jcP03mYUGLi6RJg5VYFDitX/YC8YKt3E1rccNbCOyVYeV4KcjsRLmF9Su2yacB58mmMKp+1c6sSz
9/nRBDgDjpGua6rqa+HG2vXCaYc5hdSK7yUqXp9VTOV3U5pSvVm+yu7+cE/d/n6B/ghmEp81OL9f
N3Qv3D10VPi2uIn+eN002nBGtXLdGO3Mb7HKVi9SWm9/7/XOCs3WY17jYBBiOa20b/wT7FdTFAxN
tGrw2fGyVM8Z1FlR5QIiCOi0ZBWBjHWCorv0QOpI2YcDR5UlYBjOGdJuc05hmcIzoVZlbPD6GO+9
UhkCztF3jphWFwgktArxvzp7PJp2yTQg80667Jv9RNjFuUaus13d9fKbrL7GLdV9wVyTIMfU8Nth
jeqiv79QP+NeL/eze0lXdyA9cjr+WTa8rl3R0GXuIx0tPfYQSPi2lwyQkhLPY681suZsg53YoUig
4h1tSgIgBWmph6Y0zFNlzPPDMOk2Qv8Fw01P4pGe68gYy2RX9nOx+cUbvnTCfnoiKGaA7oHPIEn5
5+ZcQdmAuaoYogrXX8Cbjvdq9p85nGPNEzZuXkNhjJ71NKrkigl49e1dkXfqH6n3frvDaBRx8YCG
cKP9rNIYCntFyp0M0ToM1sbWGLFXRu/+6vu53Kh/+rj0A1kOCSMyfgbYQWVovSLPhoiKmU3d7ubI
mzs6gYlA9j9Y8x5EorPh/eKtWZMYwiohNUwVk9Cg9vrV1f/z8sd8w2eoc/GP4YH6qU9pM3N3zZrC
txBLezbrojkkFgywMLWnCZvjVN7pVmybm6ocmtfMXI+LYZunMQdI7ZoUVZi+CUvjt0N6VlV8NY0d
R46/v0c+9xAvXw3st0vD4jKbtOndf37456F1zQ41EiQmx4wKX16tRnUcnEk/jt7NsA7m75flH23i
N+pHN4zdj3+B/+v/tR2r99cB5N7PG/YnLuD/NGYgW94fvokLk/ATNPDhgvP71//+6OT31z/u7r/9
2O/buwUhkNmgdVlw8Ougcfq/uzs7+EVlzH1Oh/IPLQfNvDQq6BPqvwUNkDjPHvifnoMmnH+TLHLZ
8Gkf8qXz6/4BOdDAwPP5caMd4kHCQSvIaJvux8+SPTz2tscpna3OMUoTnwh9QBsHu0vjzx1GfOuC
ToPS0H+cU0tnpQ4ZTLhpECd231xbuEjF2SnHtsRh3SGtgPexECthFel6LRBEeHdTa/mAl+x1SOL7
XIhOnQHdFO3GQm3S7VdYJ7v8Als7mlMDdzkgbCr1I+mIST04Kyjrkk0Lz3vo0oUbowRha/9awMqb
zKAgwQRP6xxryV019usM3KJbnG86or/GD9Eomskuz2bsY8HaXnKyyQvHhc4mJmICUUmyHh4nt3Fc
JjnCRwflLWtxU2J97nZ51XrZg25qdn5vEuVYvvVaDwM4qRz9zh4xNhyxufdzZM21W4EXAAq35WQH
d7FQnfK+jItb2xwklVfnkY9qpXgrOeNm+8HzJ1Bd5kC1c8gcqfwrVQ+dGVlqdd3lih3MzphOIR7V
7WAu1im5NtBCeDLk49XLiz342nqcZuQnPywv9Wl/DKru5SuqgLyNfLB+bR2I1aBvH9hL1Zt7aERG
fodlNuu+pRAC+2vpaJwDLYfOyAE0fQY2YsQ0vMeUsfY/aBgzdAkYOEqho/uYLI3FhYqzSKLCgad6
QdzNEqrE4Kz1us8SvpKPWS8cO5KUCNo2rklQwxRYCmHhyzManxCEiaEQGGkrY5YSDSqmoxB4vFnJ
hcDKB7sEWGBB0PioautaQdFen4E9DNIK51mOc3xQhWP038Rs9PHzaqZz+7Udprq+RQi2mQqG7Wsv
v9DOEKd8svKveJOHQzLh/B1y91ksTvNu1FDpQk2pZ+yq6MMTgZ6TG/cuzfM6FGRrR6C86K6UbUIh
UiYJve15notbUOuu9WQlIh5fWjMvppNtct61cWsTYN1LXSPIZmzE6EXuqCpY1X3hl1+Kua6yIBNZ
vc3Uut7F2kAPYSKRNdBSfdbRKF2s2ZaPALG3c97ObEgY377MnJeWHNrsgNeOSWlY+pPUr0GkdPrt
BIUjIbrHc7Qu0h1JiF5gNGIZz3KRUt9JDYPCG2r8mMxne85t8zrHJ7/eFCYlxZMbe+jFisXctEKT
I0mNC26DmoHQlicsfuGPmrusGeEaDsJsgePQdmiv/CLtnKNuyBrOvN6p4R4lDKOjIMUoXGSBTviw
ehjyWmjPDIp69XaxL0/vnuh976A7pUYaeVNM8qpdmtr86HQ9R6ivjTI+OlSN2SbVCXAm+N0CGHvT
9YAN9mgMy3t8sVkewtCIDW69NrfCdekz2md9p2905YoZfZ8qL7nbWv2iKSRfUZZbTUbfmKXjuol5
ZgzXIdpt9bmoNM80b4ZWmHt7UhzphyHJ0TaiLlsn9AlIYkjk1UwDfERraHK07JzTFqshR/SEWMbr
UK77wahFGiQo+SgEmwT6tDnV5TOV7dSDRfHzk2Z16rZeSq2ICD2gHWM3osD9YtnVM6q+9UdcC+dk
OJIgcTKF32sTDgbJ1c490+bnNbaX+7jnmHeQfGgjyBEDbSezz3dlrjmbWF8V8DAi0o68Ec0LVlcn
BrWVxm6t1bSRDvIpqEB9/zL7M30OWWryexJP2hMJqcnNwO+kZdHLTbFYoDpRz+1w+1u7Nh6XM+DI
8gvNr+kOJotlHmO3/0CCjWEplpXYtgzuX5rVrx8zd/KWUKdv+qFMA/91B7Q0uKQjX0Jv3InY0MH4
klgrVTccz+RDHyz32S0IUQ/nEcONXGZn0w1lVhwh4JEIIz37q3Cmed2t4DpRjxVzBs3EzM8DAME0
Umbc3qS+5m6cKfbyjaEDGw+q3pp/jJ16HDqH7qBL0fUsKr39wgpg0sMVWtxtylLLDyNmu3cswv41
oBnskjaeSYteDmH3ffyNoxoS8aIepo0ai04FnjllN8TRuHdcZgxppZ9/65vRSBlNeyMUCj5UUCW6
6KKkSpSE52aZnAoNo9k3ptM9EbnkJVEzm067c5UQ9wj1L0cMN32udFddJcojmiE2BLECfffS0Zra
GrgPt2AX5H0jLNIQi1nfK1c7Lh48nNRqvuj53F5PHJDjm6XX8n2XLVAVm3K66Djs5TSgmOffh700
AdIF0GLb/bhU+tHiCPPYGfJNtE11NObknKccP4JisoevRtMI7npdXLlivMkXog4Y06/Rgu0VX+ea
RnNNU0zJ+AwTBQfqOHR3YzHWJ3+9lAJWY5YvMu7dIyoH7X7qlzwaqrq+gQGURiZZxS++VN2uZR6x
aXVb+yiIDbkgD7KxCBqtFnezXrf5oVnqGT0CVwFEh0q2mp6R9biOH4nMbnxXoidr45fYMG9dfNEP
om01PC+deGo1CFdANa5pml91RjsecJZhktTqUv+Ic/wxXZeeBNEModGK9Kum6eSVIDGYq1Ic/ERR
LvT9sUV0hIke+gRrj16HQDaRevvrFH+Z/dresvO9m1YscYK60FiactzBPq1PzQQyquqyNiJrzW4O
jdnRjKY9rgitHG4qsnJOFDnengXVP5cr3KuSVt5XyiDN+dbWnUreZ9C1CCFRsd3nhU4STVOglCbu
u6pgI8TDE65aHfCUI/02Qm7cl5z447FpIjfByxV4NtXavkyoSu4NgoPdF3hr6g0Bi4MzYkmXvczo
wUNV0CNoVQBARrlsWeXKH+RbyGs0509FrWUvZZeyPtcgoKQLTXaM+6Q9IX4hlWHwjUjpErHVbKcs
MGNmBpWrt1fFrOWh7ZDS4fo0JGcQCueyWbxnHg0NX5Jm2bvaskYzQICdbLGGjV/nQkntAJCNZXs0
EtcJGUCNw9btluX7nGp0Gnwl6+FGiLjdJUwMvttzZW5qmhLhakzMfTAtFACeHIWMVKEX7jTT32a9
22+yRUDmaZobsGnYfFDDxKFI6yTS2oLk5s4Q5Tke0B/XCTTlelrPdgx9bls2VXVeYnsOAFFUu9pU
GIsdBsFb9CvQKKDWmQGlc9Ey/GZBDZwpmbbzisiBRMzpbMVIihu6QQKVRD69+wivH8BbQYHJ7fx5
0ZR4nuN0uJ99u4YkDcVoq5DiP3ldP+zJba+281iDaXb1fZshwE8y3btCwFBe1c5ErBChhu8wnK0d
8wt9n+a0LVofjbtZA7zvFG0BkpjGqE96eY/skKlaqhnbeCrLR9P21uPFh/iUug1AC535R+vpu5r+
+Q/Tbml2Fe6PmrthR/ZAH9If1IImdWl75OqeOqFnN5WiDNvWt0PYu96tWcXpIVvd5KqjrUllNyds
tnp8ldf9D1kAeAt5APyI4Vx73/FtWse+d0oCMMfySWDwZW5DToCqi/QN7JWzvyCcgKSZRv7Y21Wx
E31ZXdfTKL5NdVV8IcNL0AvsmxmJ86y5u2FuqE9dphI3AiU/ev2MYVXskkUfVgNe9JzTW0VxhoIx
tDPzo4KmcihWCoygn3WCYd3S7EJQ58wbQFyz++dTMW7MZnIOTB6pGqquomjQTHHoLKahHP09ow/a
pIu1o+etpNyjiRt3/RCbj3hocp+bk6A/FIRjHMyxKZ41s7M/bJT1bzTtpyvpD5SLOLy/4SEyocr1
MRr1THfgW/VV80o+Snk0ql6C7I5HSDir0DcJQ5So1egm3JWFm6bR5KwJNR3wHXNC8lnO3c4gWWFT
FuVwj9LMvh50g3u7rxY7SIqaCYCIgYGP5tiuQTFW8uiYq96ReIxrGNiHi+YMOc+YX7WZCa6xKfvQ
mCc3DzsNCJ2XljmsErqsUeym65ngQ1e/Akd/CWleTAI93YUWXKC3FkdB7tjp2h/d/Mu8Tixb2oL/
8zTbmbtPW8+6bzVkXW2di+yoOjjzYIxF/zg1aF6DCVFKuPRisZGdGCnIbVB/89OIx6ozqzoOiP8r
gDgVerpf0sraUMPYtxZUpl2bCOe7bU66FRR5Pd56rMMHseQZkro1eQM97vUHNDmmC12h7jYTJImU
0ZjDopXLmik8kyAY2VnRrSe7tmUL8E6qLYrI/EXLPKrAwum+JMyZtm5N4Rikrq1/wCYoN04cZweC
Rq0niC/yTWVEYtRDpp7RbVQ3o2B9MpwOW73lQGrHOqPdjDQbbzyWeBHGMMeeyDa9lLAToN6FA8KN
Vg8xuHXX3mQ25iyqB0u/llbuXvvEzr8a1JSbpXXEd1XXsg6rzNbjoMgYoBUsiocOQtsZgW31haCr
6oXYF+rpRgwgZeZmaO4bxHVktRfFadEH/Rt2g34DV8Y56EOnNfi11/hdNEMbGWU8PXhWN93payEQ
JPj+MkDTsxOeTVtuxkEXu3qlN8pq7j/mqqYlwKR2LwZ3fBK5h82uMZpvtj7qB/SG+felcrNzKz3v
OPT1hLp+EUAqKobZjPeWCLDqU2oY8aEb1PKwxFr2wxkyklV9azy1NbfjCFPxOwgyIJd2n147RDDd
GyyMbD6S4aPPkekuNf2Cm2xGYug3/p0EQbU1ycXbEGh3sB19PBdOmRwrRuFG4HEJwqoq2gdPlPG3
YWjLK7PpOHVPozxD6GQz19J8uba5k4Hn7AukHCwi0srmUJa29Q1rWXkiCqs5Z0wSN61VP/QrlUsw
G0a99a1MOlvW8MWD/LbI3QRs8WgkYxEao7Q7ytqu+CoIZbfCZGWTdquijtySgyFreGnc+YnZP6Fx
7x0c1ctEFT8mOWgS/Gz8xOT4d4S61g2bbbO6TF9TTti0UKisyc4IZkZPe3h4zCcHpHN+5Hazem27
WjwTRjw9NnhH7FDMaKI3SWt4X5kvCMUtNfuHYbQb/7SsrczeVujr/j5rKfQnH9PIQYgcxZ/OQa/f
US+/A01xI7qT062qBDIS1Xofupepl17iIDjR0R6zm9pApUIfYF4JxywWLARd/nbp/s5fMpXz8M6m
rIK8nZInP16cfT+L/oHuR7xr5exo4WQmOnNlhhJuqHfJsp/mzhaBXtpSA+Zg+WVkJgtG5IyowKNm
i7qC6uhP52qs9GxDUpqf77rVsrZ+DKZP1q397iR6u4vzGqpOQb57F7pUVOHEeCfKtUL/4TAaiopa
Nzf4i/BkQyMA3cwZdZ02XUkhz2B5UjwWHgNiujtDw5ChZTTKlok/xsboFWA2EoHSm/Zx7oT0II9W
tL58BrCgp8rv42AgtknVEIyu8yAZFEfdOGnf9R72G0Hl9ANWa35IcRExGgZqRZPKDefS1K81zNZ3
RrFWO3OyrMDrKheapiA/eqjyaz4ppzGtzF8wPhKC2CQX9UmPvykQhpVfL56WbspubTbsrciKEMkm
m9Velqt2aGt8PfQaYdBlUm7tusvunRpLrOwr0tbTBYZJyLmruHU0mfchLjdbvzLcmPZgbpSLRUEw
W+6R6M1Vv+8KH25dS7JqcaLlkXhRLk3yO/Dp2gSbu5ZmPXQNg6hbLW5GDm/cWVMJ1oXYPueHKNex
ehuTMrO3ud21Q4Gssmtk0DntWn+VHsvHfszzFH+JF+dz/DzYo4cHXrVOrO3MUmFtihoO78muyNzc
vu05kYtD7Gb5QNzHxGlmgLQZn1JoZOsG5iWvmg62e7bnxvuYsiHzv81eH4MdRbSulk3dW053VnHp
3nJ8ENlj7k8OjFlQOP1B1F7mbdOxjj0kANMc3yEcjOttwdFhOqwTC+V2HXJeVSal/U4s+UrAgpdl
QW2wOzMmq0r8ygaJiM6MWAGxfLTYZmxsYrSwKyBpWlF3aZk1xT4zlDZueO1h67irb2ySUQ0nMaUD
Pr2Srea+nVxF9EWOtXCn8zTZV6r3hvXU5fki9naOCnRPk6h0T0UtjHFnwbtANLOOqxHfa57Ni/dA
RrzI44MmO9qFizokCBeGWxJPyiVArJYuO/JDdG2LQ7Mq90NvatptJhu/3K3UMFbgLL0JmFFgdD0X
+lxRKHOW0h8d3Lssu1U2WpRcmZiQgnJUvPXXmdddSWudw//Vu4vXXvwEATlDy1mb1ooKWbz6qdEc
4bz5a7ikPrYyL+7rs2vEM4bmVGF1dUwOWKE2wePDxV06t/1cTucYgx48R5MGYMvjyQml2K8i3jmT
1lEkDeDBYTuWOwS2ZjjkPrUHAv032Q/JRnV6/EgvA/OV3rmHkRYioivTODnL2h3iMc7xuXKUz5Wt
bVKz++4Mpgy9cXxOasQknTTbK5qw7he79LobVVBiBCpGsQcqUp9u5qF6b+P5cfbKgdfynrulnINs
9Y+y6Y/mQFCpcpik2r6qN1ReRaBSFKfkkpnBmpsZEB/aWthdn7qVqoPEQtyHrdaH06B1W4IYyk2b
JukunXttT8Qk52FBGcZ4OMjzadcDJtsMXluGjU2mKjyHJTD8YdzQHTdu7b6NQ9R+FmhR1aTxwcYo
iBrRJALFs1nAF0acG68y5Gtvpd7Wnlll87w3FjJ+cRDpV2u3Zvu0cE+a6pM9gPQSIVq6bJHJ3Pee
/SodIFxByRJ/l3ixsVN6gttoIlg8XRrUQ7nTfGBITq97DmYMj6Eo3harx97VIo7BNj9eGePYvjDj
G0K9JxCFOp/Y8YaX+0ayJ2cnuwIhyTN1SmQ7f4BFrYPK7nmwHZmrHZol5y3N1Fmtc/G1UEPypBqN
+Eaicr5bcea+6aWkb8mFfXZ76g7Vp/KBIbEMjNlQ14ZRLDiTyGyhaVZtSkvRb1LKDz0kelu99sRW
b9InrLpLthuMVmcRa2HNIv9K7pFXNvvekT9EXjkH2S43Fl1FpHPuo4EwNDJyjaW6lTicR6UCf44/
hJqyg5GWeLFtZKAlHfLWLN+XxsJ144sGqJ/9NDqkVBiwVKIU30+kDW18Um7X3Lrl/EpZr4VVATvx
0qPBsJMnt9JbvMgx6MlGrjveUYO9lTy0AdJ2dp85u2W8jnuZlKGtsabVMzAZyGeFMIYNMXHtQz7I
CelRNheQOZc7Y1xjDm6jvlm1qTmUZEREoqggKMS6ES2FNMLKyh+yFMBCjCK/i1BEXci+ffOKqON+
Haz7ZVgelzzfO5XByGNAsg0W7ZSVDnE5erJvc+6rzJpeGN2vV3Jc/g9757EkuZFt23954wcatJgG
gNApInXVBJYSWsPhAL7+LhTZt4vV9zWbw2v2Bs1BM5mRAeF+/Jy91z5G07iEaOSjjZk0yP21ajiN
U1dflTDUjppFz0dS2x5aXeHs0yTTRktJPPKWKr5OobTFrat9tt5AOcfEfO0Du3jKW1scHKN7Tztm
WC2drqODKMx3p3pfFwxL9MErtirQCeYA3m5kshbEozYFiFUxKfb2C2vo+E008mgWY3RIGeH7hsjg
Xgl4JowIsn4/ePVxBrRJXE9T0GIsjYpOrGZJf9BH48Z1nBxRpoHUglOUyQyYDk8SaLwvcldEdnoy
osi+Ri5KVOGSrrP0cg6WsXhu1Iw9tYu0R7XA20yPBhr74FVHJ0HzOpcdSbJW9djF9guWb2CZ6TAF
hVGxfDvac0nujM/NWk9tGZSNtJhpiaW9m4LasJ+JU32vidIK8tLmmGbaJRYL3m+MvdbZrITygdcM
KrgOTbWRTo2isn5scm7pJJh5+RrNvE1b9PrRHjOXPksbPy95Qe03iZ7IEoNxHiQGP03s8tvIEDHs
lBnY+YhwpcmYuHF4zKyL0fdyhySHhdyIQSnih48/OIxSa+jIQFCbFgnrYMNzXMfNUdIA3kRudRZ5
1D5pXaMBqKB7nUUTL6XbVnsYIzF7BP7yUI0tG1kmfrcU5JybDIMZMCWcZVjJ9CxKWxzpELKGw2WZ
qqK/zFlmnbiH1ae5ZBFNhopDipomj6YQ/VlmRf6Q1BQbZD1yDvD1Sr6vDeIvBSNSUPeiftRnaBmC
sxR9E8ZHcIkT6S/gVvm6GlnFV13DE3tAI/J9oo98ULymxoohi74Lh2lSr0avJt2W2WFQatNboive
gse8i7IwGmVqBCJXYFXrlWnXBF7pxnHKuuE5opF6qiF9+Sk08AvD7crPlZRk2rWR5qspaGNAPMor
7QvKZyXfcdjRrnRjKB4XlLZbY6l4XNv0wwXSHdCSuuDGuQxK7rIQYb3xsZEuQdYucaCZKn3s3PSI
RSEsG5d5XlF9tDqgAvc9BQm2KZlGRGGf2m1MnQTsYNOaBWnuekO+QDfH9INtK/EtBmnUs6V+MzJ6
pf1DbvKYCnpCkzGi27RthsxdI7cQrll9MmDb22ae5y0KeXVPkDaDPE8rPsVSHTNseTTe1fmU9ppy
w0pt7+aZTZkyFUe9G6kPtgn5zMHQ/hciHOuXcf3KOPXW0BJcPSaOgV8MKm0ZAx8Ds7bJ9XHP2Wyb
zwIB0zz/VZjTqrP7pwzH1VxDRRSA/EY1AW3qzqqL+UmHF0lL5pg0M78z0PoeSxuqzWm2FqAKPykm
/gfl2qof/OmD+Bo2IiwNtrAGhp0M118+yJ1l1pRVGhoMU52wHp0h2zBcib6NNVVj4HFRFwo0L3nQ
YsTDu3//8b8QtYj9NhFYevhWcbyCQrHXC/HTF5Wt60U1aWthWpG4tJJwOZBZKboFM3GMausq+BFe
kE9k45VKYsGtujT0GMzWAkvDrpucY1h03pU2iP4PMM7fktn8B1rZ/8zp879IUbsy2/7filp/bjrR
/6y3WX/+D7kNyZpEGhmo/IiJXF0+/5DbGPpv6Of+UMSitv0pqdOwcPKssWWQr8EF8BD+t+DG4PfZ
OOlQNTio0VYF7t/Q2/zqL+Mp4XNNFOKmhr7H+xUjUXsm9JWIOW8JNI1GqyeZ56o0qCGQEEFy31nj
eFHyTjt7jRm9yYTRC3pbrXubMo6rG6dDx+GUZvOIAla2/qC4w2sNt+OljwDbbFrBwTDEj4Gj0kFv
zhBKx3+3/ely/+Ur6/AtoFSgR+R6kemF2PTPr0zXOLJWO0XzLeh6fkeK10Zhf/WzxWyD2onDnnUj
zsS3v/+xrEq8pCiqSFr7RYrnTQ31+RoZNMdAhzia8NU4aZFVPC3HZhyvZMeL+e8/88/r7e9f9efP
XOVTP60O08p6bBhyAYWZDlrUgPaVqDDbVv+LSKpVB/bTOvj7J3E1UXS5WBnoNf75k1R63qnSIGVM
NQNUf1nTmkA4hGgHCf+oPAyzZ57KZHZmkBmMSTeKSmdzASUTTmlsnxSltvaw6OTIcEaHy9wkBucX
yR530MgReVWxyCAlwr0kNlHh1beNwSFo09C0Kv5iTf/xmv36bdZ4OXaR1WoHNeHP30YDYUljPgNf
ldEg9pOGrDQg0aoIPLLZptC0EsJaoko4U7h6q9JAKdvlxVsahz6otIoTrRDtKoqgSWw7TUwlw9l2
/ExQYaKAmG16copDQygoADeRYFA0iiTEY/2KSAS0VzPX88MAGofSUBRcDg6AE1Sn9SrJ9Xp5sVw6
xBM0ZiojZU7049ISWmSe0vV6AwrCZVr8uA1SkSDcVaroAM1XTBhRg74tGJPS/AR0mE8MeFQqc7x5
NSy5CVJAQAS5EmjY6r/MqaHAT/gQeFjSRFWE68n4yhti9jYSCx9tfHoiDNX0iOSUxsB1EUwWFpxz
j8CKX15OFaGKfTchIGkz9HiIQdYY6RhLS8jemnBfZ4PJAM2GOLufPXFs42wKM63Sx6Okg08eyzJZ
YYXPAGJ8W07PleVQbee6Xg5bLxZ3RSeWu6wxrYckw3COj85p+1s19ugrD4S435XFUB+SaZzHrUVP
evmIqSS1EByH8h6jjtUuU45camNJJW1Dd+wxl8DAgpZkz/RK6JBE8c4ucgOGlkl315+JwcZKRCuN
maDoAHK5cV8cCFaiBVTGdA43uaov2z6dZn3bA28PrcQGy5DCu579VSJHNxbL1wP+wu6oq2lZ7viv
eECK1ajgt8hzgJQtVn9v20pMBRfF+lcSTUjBWImNzzq1LC1guGWgUc9H8WparnxqtFoC3E65z4Sz
le6mzyjEN5OlWlC+EWgH0zi23QnMijL5RllyrI+SRpKvw5ndt1xajzD46/alX5fnkV5C69vrom2v
y7f8sZJX66KO+Yb13V2X+mhd9Pt1+Xcgttz/33KmlT20ne4vnuKFTdzY4QQeD+G9l4CwMNWJtpvd
qx5Yfjv3HtJsdWf9+9VP+5flD+YJMRQOIhE8n/Ao/vwaSyzSknEvf4Tu3BCg/kH7fMRoSEuoZgYy
iY49Sde/6MsGkTcgQO5s5oCdB6h6vJsXJnpF9bv2GJ3w/xx3zd7+56WFv8mFkuSaq+zDdX9ZKP95
YdKekelG//Hl3TxKNtaPa0KluCI+BiXRmMly2eb1Av64MH+rMPvPqq7/bYpn8J0/PSP/ong+1t3H
nw3WP/6DP4ov7zdKabYvlXoaEO7qvfjdyUQZ5XEOQ5y+nit4otj9/jAyGcZvawzjaipAiOwaay33
D4e19xv/B3AhzNf8AEeEv1V8/aAY//Oo4cCYBA27fj4yaCZav8rkyQXiEdU5HnvJqO0tvRTnbKn1
LDRbxAp7Rpxk1xJPkh3MPk+WreKUQWGR5+D3nTmc4sWRh14znmSptweZutNFb4dvok7ROynyuhrT
+VFBsfugK6tSs4Yhs0NVO22HRV3OxN2yDfXNcEu4Q3vV03LuUWFpzFWKqeev0BW77LZeY5TGEW4h
WRVubpToRrCIEdNkM6a5EqotBiJT7SqNNvjSo/yTADurfo3c3qSjavQmWU5enKDrxQg1x+GM4IDg
vYF2GP292ownBFWOCbGR3KFmY0jTOcl2tNtT45CmvjQzIaRlhuButTVU2BjLMgpq0r+vi07Kg1tX
urlJ8QPhh16qq5TfW/rJxPYWMvonEctvBrnYiOrqRPfVqWv1XSUm27yLlA7+MkFwbn2Jozk99MNk
xke50KZrN0tSAJwMWieN0VU03gPY3EiVPj2jHtWKAQ7vZOXAOxRNKb+xhU3OmYDj6rptJ1rJMfS7
G+aWuZ/Ng3x0VaziVybDe3FdeA2/Vw4TQ1CL2e6rAQyN75BOLed4e67Ko70owoB8rWUgurbM+iKw
jYmoymaL7iwamYXB8/KCTp+iR62LE2v1ORN64VMf28rRy71+wQs/eUW0HfFovMc2m5dfE2LknNTR
LUtf5yFipNTZxRQKV1S0O6BQ5ih911A36grEwVafiS2ZEp1KZoK9lK+LGDUO4VpEU9eiwWJ8kiJP
ekzSlLG/yFnrSH6n7KFLUqYWKTJWwW9UlvdBz7o5mCYcbwSzmeq3ibl8HBIJl6r3elfMbMaOGT0N
7hi/EvVJmvc8egTTEDfqmQgekvwedJ+FttmdC2zok1OrPq49UfuJSowfzNxanCCAUnEqQjg3ltkU
ZbDaaG76GDntBh85UWAaMWREzDEvP0TYZb8cVD72higy9xQhj683Rl1D64YzsDpfFdM5K0qjI1Nt
HW9fGMWCejeXy125OPRl09jkYs2T6V3lDJEZySxFdcg7I223+pKZHKrqZX7orI5421Tm4s1NmyEL
uOHOR+L0AjaCM6kv3ULT2EB+HFFwzXXlJwTNw27EYYcurMWDeNarUa2vxEwdvbPqmk1lSKKqOsVd
3g8bctvaTxGhRQ5HE5UPHS2VJFODbmO1t0xLu0Jc25OY5xYnuAkeerFGmFlQg65aSMiZQTDHSAxk
AIGS/B8dXXq9XZKu00P0bUixkI9ZLk1ET0Ee5TY7jTHdk9JZzGQXxnYNPU+U5ergpcTNuOa1DaQz
90d7IVGtqiRopNRWk9BOUA37JkoL50J5PRXbyTGaJ6eL+0+But6gnFMm/GRlfke9lm4Yuhsa8zjD
KTdJPaKFd/lFzrZ1nOnGAqi1Hy010QJtZpoW6sKOsm5nRUCTt0u0YicM/cxsDYM1KVVdiQJ1O/cF
iWGj8w9S1v/fiP8P/YZ/txFffzavxc89kB8///s+7Lq/6RRIjmMAGmJDXT27f5BO1N9QbrOl6us/
sA/zb/6xD6u/mSYRAGtHDH4gs9V/7sP2bwZoEo5y9ton+5umI/6UP/vVfked2BZ9kD+Xk6C65niQ
GYzWwuougHzFTZJE5aHztCUEq6tcVBx27F8IvDWgbCQ17HSw7TvC6sVdnSseg6i6DQE3Rfs0mdOQ
QkR8EdBgB7k1529Qece9i2+FCL4sGz+LJLVCdUBtgWJQRxdbS/L9PH1HrZLctzB4r3nCkTwkcCl9
hA+1rws5XbllFN+zsCxhzMnuM5e1F2TmTMumU3NnT3hzfvGY9h0R2KsPeP7Ry2Vp5N7lSAHJKhnc
lxGa4QE1avG2WFP2rc8Fp7dWaem41wzg5FC6J0XT2GxjNQeR3BL5YKGxD9xOqTD2OM7BdNL00JaJ
cxeV8XxtJLJ9bvU6WjYg6TCHULKj0NMG09hObVt/pkQAXlo9gaEsRALsXvacDsYuaq7bdG6vbHVE
N4Yy6XZwHd+t1fjUp7l2PZTWtG8jOd8xuixeSlRcjym8JY7SRNnsW4BrmCwSY/mOR2k4IZ5H9F4U
ZfoSOUh9Qlqs7i4vzOEsUr35ztFV0pK2+y9DtMp1ZpbiY/Vmn7MeArufxpbLxI+++kYAszu0WJWf
WS60oOsX4zhzWkbcIRLcn7OT6WbQJmb3HJmx2/sIVrV3QCHlO+fy6rAMffORW42hbjLCYzcLE0/I
veoc9Bxmtr1hdmFHfrlWuUzsh4cm9oxNXaNIBfT8TOT53kYuGK7EwU3KkMdfGpHdkU93aUzvoFkP
VZPZQWbRlwb9UO4cahEkPF4AemPbxuBIEm3AA5eBGVmUIHZ0765OZ20fZSy/Sv0Vo7LZpQbVmzDo
JigGNVKGI2fu9xr6B4UIv8BhSaVlUwc6ZJ5RmHeoiEn+LItlj7g4RLwQytR7lXRS/My9ZZ+wvrKK
7pujTbiqNLqXH1LnAFa5aLibUT7RhMQq4Jq8LUUMYIz/uZP2akwy3WPeeUamJQnd6/JT52Kd699I
JedAzLhxULydIzmPNwzxVP27BQRLz/OF863CQDLbOYpXfddnBg8uonJzbLaVkiPvY1dVH4TB9lYm
V41g2lTkEUNCB7Wp225Iz7pgQuTYWspbaUQ5akex47QPyK96b4n1ohYqw1KLnu1qQsbFfkoCs+1X
M4rqwVUPndremIj6j4mTBnFtfXPT+IMQ9xvR4fPY6NZn6ti3eRpJAvGQwNMHzYLV67Uxp8QlwzRy
A1koJ2WAYLQkKIpzKM+evHUSFEuO9E2VmkPrCoW/Mb1bEudSRk73iIIHMdGQIg4T2Y7qP7q2Vm+H
BrfbhvVBCbyZHCZKBcYFuZr1VobYvtF4EjlTrwiA8llFNd8bZbutxYgck7zGAzFd93pbfYniUYKB
8yML0HFngGg2eD91ZIgIWjQzRKxQH2ms6FhpjAN4RpUhLSJaZ9TdW7moPCDTKkRLjwjaH5WhqG7F
pPDVXdRBqeNu1+phYI3NnXGblILuiTDuYRX4dRdfXAcbGsnc6mXuYuergsC9SeYoFKiHA5LGjWvH
XF7J72VGGoEBeDUhtaxVgdelPrmudhBNZnmxu068TozokAdX3Q0a2niHwS27VvWG40jcLMOpYZYX
jI2GYbtWsxni56I91ijfAsas4A4T7q8lm3cQK8arUsv0fUm86tNAu3cbd72J5qFFdYLpIihcxAvY
856sQel3tR1Ze2CST0WNCdLTGh63jDagazFQtT3ZHZe80SAVTjVtGDDiX+5knLqYWWjXx9B7XBXA
thi+F24XDHPVBKayTCeNSu5YNQjCiwl3kjb01y5TY38oR/hLXiMuOh6OqnKa2xTdpMi0/Lai/0ff
Xe3xHdXRTeTY5XtUR857UUarGIquKAmrvKp5pCOnhZXP7FTD+BS6SlZfprnK1o1rpkHbPyiS9Msp
1i44ON4XE2d/YqXalhaY/jAqDW2YGnUD/hCij4lFns6F7iYn4qycl2Fq79tShfSHryJ65UDcMAdX
Wn/M5G6KszMdPon4AUm5ryMz2/aLy57DfHNf5hD9EULt3FXPocW9CQZn6mmTzQibbT9K7O6tsStn
bxW1PA2juRyqwpXXTq3gcGRzp8Y1F6k1IcsYYeSpQIOUS2HUARG6l6670tJh4BeNB6Tj6laMXhxA
8idCvGIKkptng5LxWgwvRdOVb3VHXiWVuRaqLYF1oCmscLAr3m8Y+clQ5ByYwd4ABZd+Bgxoa2bK
npvIrScwjxOoctNNfNENc/GF+TK9e9eovkdajlAMbTmCzkkSDp/khrtxoSFinkATX2EMRA/p9SSw
VhDDzGFEctYAeLKS29iKDR895BUWYjJvimqX9IoIRjqZ/gRVpLX7LaPolw5WppzMLxd9Gir4NQ7B
7iOuzvgoa8kmvbTOVaoYJMTzKrnbwkbjUnbHBr7WJqUY43S1IinQkGGuWGYfQ1e/X9bfygk4r1ty
cPUPxRnGsIy9Vw5oWFcr64CbkHso5FuZt2e3dhy/NPAeToX8HCfZ9LhiJOcrnG109zyOL3Q3l2LU
94YCHSUnUM525uMa4eeN8aq4R5KDcqy39XwrI1zVhgFTTLHU41J40ECLQ9WMT+qsfJ/strpeNMei
uTBnp3mUQGIW4wvxwA0BCfgCDKhtirnHJHWFEWYDpg7k0jK1G8QS7w6hI5t0Xhidk5ue4hgHYma0
IQk6X7NqX0/TjW1138bSuKVxMGMgUtrjqK4qDU7rTlt+DkNC04+Ybfimfh233ylyhpMYPL4HyM2d
5zZasBjySoxWfonFSUVKTkN80jerrMGZHyICYDe2RmSPTZPGNkY8rGJvTHeaAAEiovekjfRzrKGF
o+0wFAN0fKXyzX64rpQE647jxxho+6F6Tip6TWlVPjGXIKYCobt+6wrzCozbQe1t9Zi1GLy4Lah5
ktdULV0c8zY2XDBeubFcLDs+z2l93RfO7Thg12DesB9Zo+ldFc+LkntbdxoOVt5fcULTxn1KJMkR
tBMSCJEcRgQ9dDjio1MlT32hmPfV4n7p2NSK7j5xOR/jh3lBB8MKnUTvnrMsoVqec4m8BSvWGwfJ
iyEJjWpLHlYlxylilt9dQn3PSOp80jw4gmrLJYksXHYI5kc0I5U6vcylm95w2MUIyWWy9KzY2qXV
XpmmYl7n9j14uid3qg6WIsO2TYs7Q0xfqD81uG41ytxeWQ50CroPJbVOQP6NjYiqxzFVH6SDG0Qt
+zPPbE7RVb64OKRZAiQx0IW78JblWzOvJVveUvq2tdzSKkMgUSMBBLtVbTxkJsTTFd8ccil63Iyx
jRIEARUmLjQc8NQqJdpZZYKeKWubMK+ya1nVeNcoasVU3YnY3jcD/mzFfTCEpNLQ7OReaPk+k1jh
ZVHhAodQnjCiEOlH5lq3BNDvJKjrxGp4niWJDO3snbVm2WGCQksnbu24OOWedZUsDRKEMdY2HkOo
PcZ1tw5injeI03iM4wYQnd5yM1C8zw1xeKNUzNXZjXN5fM94q7YE/DIVnapkB/jt0LlNwrlm/mTh
V8r4NFOLHsQ8H6EmUFMt+5LalBj1ba+jprU0tbm30Mz4DnFhjwp5M2g2rLPaYOx0VpNQdqfz2wLN
LPYY7UGauKdMUR86Sh69Nd7aseOkMFg3Y88i2ozIcBbtJrJyKtysPrMnndWoflLWJCpVd49r0Inr
1rta1ZB+YuFxs+FG1W5SVz8Af7xUGa6ssrKxVeBSOjENyijlmlPkKPcmnY+w75PvOMOvMnL4wJax
btCvIok1jLvmwe4lfhwS0qvrUUb2t4h8VAvyRNCO8o0Hln147pJdWgAOTBCSsYF+WRYwQbbHM4aM
gYsdXysTRExXfaGYYsaA+IC+iqDw8VQZOl11Dz3tmp4oDjCizJ9GG4qiMLV1Tcp4HHDHwFfUD9U4
b+tKaQ9e9wECXWKl5VanyXLvsLf4UfSkaBAe7cLcl8UDhAoK14JoB01lZ7EbckrygvFlruPziq3F
r8BAvdNvnb4LGwOzckwVBHmGjUi/NM6wRbDBDCOdMp20Ggf/BnEbZoF1yJVbZ+h2Xl4/KpO9Bxjz
kQu8mtUwLgcD+4jSmruqiR+rfi1DvHbrQZSj7cvwazAinu5uuC8ltqQBRBbXU+hbUA4X3OG4s/G2
AqF4dwbl4mgLVmWr3JG6mWxm76h1oDhagoSkTbbWBhlnsiWwzR8NLkQ5XuuZ9tK1FGmGXp/rbPic
nCW9brx+jZKu3mZ+BEddEYxj1G1zRd8pnvYy6sSB8DD3d1qcTodJLfnpnjNCWuCeY4n8DlsRi+gU
j7elWy4XN+GRAhLmgx41qRQXUh2b6rZuh7sUlrLvlSLzm7E6G43dHcZGdIFSKW8EQ34sbfLqmBga
FNnVG5XUG0Zv3YtTN91LJR1ijaY04BzRgCjx+BpNvrO14qw6iHhtK1ujME33Dg/lQ6sU8z5b5QRw
DU/Saz67hE5gpnbTCZZM6UfM5jcRtMNdjLHUaiYmBeoddx5XmYW/ilauX/TDqgXAOqj2quXzeJZX
w0DrI9dRHbY0COBeOgHKrUOBX59gcj2gsXGP93grUTPuyEenWz6MpzYq93YWP2hd2eymNh12mCBU
RP10DKkEstF87xmRx95NFrt+LNx3etUtbZrss6LBuaGzHWo6TQGVFB5s9rdAKmAwUFI7VF6zWfOr
amrZ+hHzrLZhPrSLkxRuaBFvOiKi1nmD608jOdIS5qQeKwgXZnNgaqHyouLNa7KZzjmI6gSNYupY
IsCoqEGF6PimDsfOFhOiPdebdBy6cFZMYzOOqXZGn/0lHPVUWssYKtAOMHFv1+m130o4oNxVNNbP
Hav0QWrWGCS2Ta+4ib6x1F6bXnRfEGKOO4veEfI0vqgc+EdyU0f6S6VPt6KVOT4t2Z+TyD02jfqW
SveTkVC5WUCJ+UJVyi3FORJHTfedjLFMSXIlY5doC/FcXKCoPGuj8egm7Lr2NKzUhTAR1k7VqK2G
BtxFUW69yXwokdrrDYN02YMBbZODkqa3pt6/DWX+mOW0eLP6lm6Z8OOcRLilSh/wUV06vf0CMrs+
KQBL1aWuWWRTX4kVZatY1blN8q/csWsCT5U7g3xdtVl40kvNb60aKLdg41nY+3KeHjMBsKAsyhuC
iJgvSPvdWZg/bUBdvPeajILSMsmBYVqCYG+rLuZVPSchzthtZCZf+B+3crA2qjaNj3E37tCs95uG
9soGsQTKh7l9MlL9rXDZCcam5yf7IkNBrN+UaPd2TauqB5KQdFKpsAZcbEAAwexRP3BwQu27vPAX
+8aIVqFswyE3QwjK3Q2z+epoDGn7TEN93Gi9SxNoSL8Jd7md57oPO8O+r2Mu4qKDvU0pAvTEegKp
ysFjdoICR7Ui8hYRehEmUfpS2dm0Kzv7odOcKwQqV1k6rsarq8J6XEegyJyr57TTD7kyf/aWd+6V
7iYZ8lCwiW4NV1k4X4ghVBTzG1qHQHGY/qVcDzvr/YaFPix4FJ2yQQ1ZH3RL2XuZQUZWa4S4ChPq
S0YgEvSZ3YAxpdsDXMFRs+duXVxsEw2jBZQdSgnqoa1DRlVfLefeXrYEe9yNbkPQYZQ85QKCq7bG
LZv5qW3xJwhtS/jeBRXzFUfY+jqP5Q0BgJw4JFMSM87P9AW4rtWpM4t+6+VO0CLPASF9C0avAHgr
fYfZJ17SDE+2Wl8Lxb3xWj2jfs5vItNMd9kc7xmibAuTZi37U64md3jUnk0EyVt7JPDPcjIaLpBg
51zLfbdSLzFnBAPpse/IaHWGsvSMY6zeTz32hWqfGlsCJjxfWHHnQ2jkkQCoI8t3GmJhn6lDKBLN
uZVWDrqwtnZaHO0yPXJJRKZQ4VE/oJz3luykmO7Z8eobDp7HcrA+okYwetIephEoslooTzhuaRzV
DkX9/CzidK/jjXS65t52lDZw6mcvp9JWMXj23WxgQbxXPSqfjrO/iNIdc855m6miJ9NJ+67gfVSS
JDQAkhzpnvZ+jRNp6oQBa66/HUixQgc/PxRyvhmH4cgrdTaW/BHHiL2RjnyqUsA2M2pzQL4nq4Iq
vLg7GzDTJloa7QLdFwfPNPsWpi9eCsRkpa8xvgaiD6hfUfZG1twS5veSNVRtmtOJHQrKBEE7xmy9
a095QpvPMm9Sy7hX8cu4wOTIgdx0eh5MWfHpCJpctCNzX6NHVrQc7fT1rNx9bxobQ7lNW1aXO7iI
qo5Ldq5YBfrqqKNUCVqdI3SHO1zEOF2dtmgDlUIfiLbCWDO9dtBPYxWEvdT3RHe2fibzo1uZ8wbe
92HMtHc1UZ6MgfTUthnqAIfnZ4qtbtN5PN/qyFqHrm2+E71IQ1zTzTO9RWMNGUwkJ5mY6jwx4qCd
rW/OOHwrOCzBtpL5GXE/9iByX65d4GRWLo8YCbNtqpfB3NWUWePim2Vv7Ovu3rSGo5YWX7IWySP6
B0zNlgPRbOGmjLk3XiByUvqkZJ11fYuhd1ixviWHVTcjUEd3oG8WOYgIbV85LznHj3DuexRrBdp2
ES7rLB+zGuSpcUdYnD92zaNrRd+KEuwG/RdG/K9eET/g/Dy7YwT68Q6y06pNDhg5f8VU6iaTCdcx
vutF916pzTZZ0nCy+jC3lGcLk5qt2+Eii707jU9LnhyWKvuYubczg99ySO4V/bKaAAZUAqpdXHSV
UNTBNs7Cjc9R1oSN0++xeDAb1ZQsJAO3Ri5FOzW1xxnQZ2xewR8iz4wAHsWjMTU/ZXpL1A5jFnZe
77ZesgeQnLfMRyhvXYYCEa2jjuPddswgfU8yfrA72tArkZk6EJMlD1zQmvoOZ8vroOaUsRGQkcLY
4uh5tAkpZY6i3eaTgkYSM4fcJL3cprKAXIttYov4YQnb+UpP3fepuesEOm+aohK5fvXO7s2RcIiJ
YhE8unoSXw+YDHLLeR0kvrFBWltHzUOp0RyBKtLwsOhKmexc1Cs+hg3CQGc6JdM9B7gbi3WCf23b
Z/AsB09vyfyldkWaEp8t/H1BNynfRZdfjSmtbiX9oKR8QkKYhzkx55uc+u2gzBoEpUmPQsAVx6Rc
e6AIblNo3XCG6CKuApLU+9Rd1iYnyfZTkl4A3gtfHzULaLe61+l+0ybuyBAHgMPOCf85rYh70egJ
iSBFa3ph8Asnf0mbk5dSotGIpsJlvwSYA45/1D0fNH2KxVkl4jZBVSlGTNgkMdWqctsIdG91H9Ff
hU+URLq9zVpS4FP9O4SXkoaLEiRNdrJay/IndHqMLQbevkKHVefPtoIXxbL6fWlm9HOyxX6oVneV
ny5uczsZtXVALeB9d3QN4ENU1a9WTxONxS0GodBrmtgKuxwoSPvEDPp8ggxaZydaRBc5S08NBMYD
+C1ysh+KRsWRrURlA4kzKxgMqtFIoKFmtrhvU5oHutjqafpWzmoL8KS/9USNg8rO3tW5ONeas50y
aA1Tvlxpitlj0CyYztvN9UK74K1toup2KrKY1zNzL7E50rgXM620wiUkeDPGRbZrhoJ7Fevda6aO
Fa84NTBKGZDz20hL9aDGaX+EZ58RWp1PFCANxKgRRt0NSSLqfUJs4s5uZ3VbLTVeLRok3kejgRAC
MD+dugHEbm3E8Lw4eGELFu2WjGMUtly/cBnQ7eUE2V0nKsOfRgpso6YFez+qmu5zThmBrknNoSP4
GzElqZAClv8i70y2I0W6Lf1E5KI1YOq9u1wuVxdSxIQVLT0YrQFPfz8i/6olueJKFbdGtWqSg8zI
MAcMw+ycvb+t2p3DOeKgsjA9uW6s37lJDwdEwRjaB+R28ZUrZYCetGtM7LRQe/b9JLpvoajgs2Or
XiU+/CAdngSZMhz+NbaUspqYNvmojtzRduPxPTY3WjIVA5DlIdy17HOgFZh1n7Bg2zkxQq4gZqDI
6mGrO3F+M1qDdww012uXoTTqX0NYRUCGJa+Mr9zkceqbPF7iiKRapKPCeOqSSq0bwuR2tQkjbomE
wtoTS9lfNTV7q00SaHyJECdjOJsa2zhWyIQ3dZ/jqSJIe2NCYPySTrn2QzNGCi1R3YmNVRvhPjDQ
CjkMV7DT9mf1lOd/RWzF35Ym08mRCMro1GJhpepmfoamPdzakzRXQe/jvuUVIWQqCJot6BGJ1gz/
djrknz0yHh4MQyu3ls8pg+9VcJzGajh57GfO1DDGfVIO+cZClLQ2kOFuSkfae2F10Z2iinUTdUO6
1lNKUH3GIX5RRIBCbjjr0Jbz2qJm897E9bQ3iK+los7b/60GMHJqxm44O6Xm33kWB/alXgjt2qK2
s5ZDTOCalvjx59aP6ms78rIbBQXvyiBw6TO5cfUIlRfHzA4cfn6kxt6QuY68vSF/3W2XUz+wqyx1
mf8KNWltJdGqwyYs6APuPDIRiLuTSU9RJBxpPxI/UEB+irJei1fQOieOVqqTdMvNwTmzgAhqNGnl
nUxRxdEO2I2E/yPpZmOmF+bGpH6xncC+3elSuwvo3xM357EsYvvMD1PrD58mLMdPHrXcdZUZ3TJz
+3BfyXS4rr3S2prel9yrnK1ojIi409bw7+PJyqGdWChxSKDEeNvG0W1DjgVrUImDcFGiptl2LPF3
gYqs89iSOLLlbQ/Co90rjoIqHqi1e0oJuRiK3t9nVjBdVRYC50XXgeRbCo+KzIak5DOIvADuRhdd
exwj64WuQdAiGNhd4jr2sx/8O2l9T3RKeXYflfW2JheRIocftjjZVIbAQVct7D3gzvRklfOp43D1
VAlXUdzApXbo7G44UmVr923p6McS0eCXDno4JRHq58uygMDiRUZwXbu+tQYIhUfVFuwiSHD+mttd
ekd6icS1IKV3FfqZ/VwNOCMRRmlEBxfdLUZYe2d5E4a1Yhg+NVV0T9BTdJuEQN2MuKbiyfrpfkYw
AD1L2cKmI1i4GxsauH7Gsdlp92Ot3JMLxszOKv0nsn/2Pw3674Vj00FBCsB5rcbms4Tg5O/TQcjg
bGSFeCA2enrM+SiJBkoUupFH+pX+fR/j+8HpSlVYjnObb9RJyZ3zVAcyrqdVA0nqmUwgG4NxqT3F
9miDFy0BbnvtXKVK/G6VW2J84nbnR0XiFodjLUivdA6+y2ykjFOIql72bRodx2YKIo5atvVZjzwf
+2pBmdnON1FCeSrs3XBVUC176ojouUWiobt7kmBHJIVoJNbx0KqHPFHOoUfxsk5JbOFI4UzQNn07
ebDKjso2kshVbCGjx08fbgBpBxtADAmyA3foVm6V5isUL3zDfc+CANo3VyMe2tvGVM3DGIVUQ7M2
vw4iCJeEDKecaQc5ldSOkMYIGNScqVJaBFAlvBP40IwEYdIr0oUsJlyaU9b5wyJkvlzXdt3Wu5Ee
I4Eyet6fp1FQOg1caV+P0xzUqxWjWuW6OxlkXUhOG8LCupOYg33knNfi2S9uKW2jHswgci78zgTB
ZCG3XDRjYLH20UFxMcd/CzS2hi6uhJtytEkGCYS8cSBbkTjmOLglagO3emxI9wGiGF16zF8xsn4+
LF+Fmtxybdnsjcq8od6qhRnhh2SbQYbR+R5ZfQzdxMzK9Gn0ap8UE/Qq12Pd918hHpi3SWbQt0qJ
n9sIJsxz8rvVhmYvhBqacuKn9ZvfmDZEiZ3p1/rKYoptJ4lGAKttdHIbzVpRJCZXpFX1L0GDaqFK
dzqbjt4c7cEK9zq70/VsdBv+Vfb/lW7u/8BZ+P+QZ1AgMvvvPYNrsn3al3K5+Y//R7Uu/iEJ8TcD
G+C2Zc6qtH/VcqaNL9AhLcyGCT3bU7FH/C+1nPEPvnYHOTsuOE7FSNP/t2rd+IfkZgP7ieEKeP2M
9BeWwdn++lKzbvN34ClCmocU3nTcCweGp42lUXMqZqtlo+KxdnmZHSSdF3abdAiaTRU/vLgx53//
7ldREn8acXZhMSr5COLCZidhzkbk2obL1PWuLL3c5uzr3h/iIoSB+N75qnwq1fgqBfnps8fjha0O
kA3gZ98Ll3KV7Ce+uOZK/AoO8S5e3AyLn1zpohPf68VBLv39B2O/Tsr4Pbbn8gN8np6t84Bejz1m
NF7IfCefsP4egZmGQBMJeSX5EIczfEI/5WYJGuDX347robhkEunYIIRrexfXDBlkjFKdcYvWQgBS
brXaOJWhR0722rHC9ZBgps+crSc+sBa+VltywQDdZo/1bBvncV7e7NbTwPKMZkr8Nai8oa8LkAVy
nfX9A2w6vPBG8B/j8n/r0XkzaxkSsLzJLcb/T0vw9T2Oe4coKhbtZSPHbw3liwOlb3aXnXamQf5Y
48a9wyT6UUTzH4b1GXP2oCBhpePwelh96CtMbciQsJ0l0J0N81sKUHwdDOmeqs/K8g/EWGrf33+y
s0P81SuKks6E0m/ZuPP9Nw8WNJo2mwWTJS32xlp2IOyfaEZzXHl/HAS4b8bBOUNFxsJw6V6asegR
C6pIBUqsBr5IaXCq46uoF1eKHJL3h7r0fZEkQViXg6rbQ2ZiXU4ZEfYYpanbLgtKVDH5vHNVafpg
kLf3bR4EiPBsE52XgddPS05ZVhoaWQEQMzZxC4+1UUP/gVvsj1fiCNO0CFrgS3kxSD6QDtz1FhaK
qJxbLrSAhwmiZgIX9e/vGZY0viTU+ElRvhgpTPzE5B1nGkQ6SJ9x2ZagaD3tgwv6012zsSWy7yS+
xpk/PC+XTrdMPNuU4BRpszy4To2aQn4whPHHMXiLTDSZFukVF5dCZ7aTeOmSZd/gL4ECZp7JQyp3
fV3eT3pO3Un5KR1saHSW5gOd9vFImdQK7jirc7gZWqddD8H4URrLHx6mKdCnc1DBFwb/6/W1ozu2
wiaEZTThpDJDavFatrBRZb//JN9+niAI8AHnu0u8J9+pi3FaXSL3i2mOIpn9hjWMw2mbPOh+Rl2V
wuna1MufvluKz06OqjcqRVwvALk2h9jRU0oGVbyzk8HZV7ZEPtVZv9qO+EiV0TSf9E7/8f7PnZ/G
6/XHQZbvEQJIgIfP6/r6rgg3tOddMndlvM+GH25wypbm7Wg9vj/MBSlj/o4wDsYV8gJcXDzi4gNm
+FMPRNMC69yLQ4fQeKM4cpy8MgDqW9TwvhBUGq6L5mCgZWYNNeA9MMg10ZDbkchIQROl+mBRfLvk
s2fDPTPvxmARXC75uWxMwgLwvZBzSUNhDM+D339N213n7NtcaTsA7Nry/Tvxh2k4uxKZgzqbP//N
6qhxvOb7Qh4Ccdal8rJFFBeHoGw/inH+w4O12X+SwOKZmPkuXsMBrNuko2haolV00S/BXN3kpRfc
vX85l2+7YBPE348lcj7EkSX0ev4kBoYNEH+oHlD+3PiRFaw6ZTYfXMzl1+tylPlXvNjyTWkZWHkR
cTElnWR6L+4Sp5a4AltVrbO87j6YGJcP6XK8+b+/GC/S/ZhYb67KoUJlXE3VJ5CF79+4Pw5h8c65
GPtdonReDyFKvatbnyH87CjwuyF7A9aRf7QazavNy/ebK7FtXfDaAeJx+L68Hgb9fZcmhc5754Tq
2FiaAOUlh8895/yTjiv0a9M0+iaeKoS7w7mZbaZT2U0fsTAu15nfv8PAPju/boByLi53yEb0wt6Y
LsMm2hJtUgPU7Fj+dBS5pt6viQv5YM78nuFvLp2NCIsxgeaYC19fuucocJYFHkkbXvfWlnlwmyPC
WwQCzdAU98k9CiVnNaaECldWvxJE1GzgeFEYRaqtJ6epqHaWe4tGr3oAbXf66wlAmcvjM8HxzPH1
iznmTHCBYxvLqR0ggNA8K92UfsOnkDQ+8cE0+MNkezXW/H69mM+olkuUlKy+YxVDI7F+QFXYDKhD
37+k+SG+ueMvLunijgPtVZGa2Lmr0PeOYSEPeCqWStg3ox/fjSbw7bbsvgLY+wga8odlCATkfHJm
r8be/WJkwuVah6SUOTWAzt1QC+wppvfRmvo7P+7VBfL1IrnC4DA0X+Yl2IpvsN6Gscm2Jo8GdGf5
buTYh0JUXzpSbOokfCxVuPOD4tB30Tbzow8WJuPyAMrW3aQZrJs+CZe43i9WwlDLa5jHdo0gCgtL
a58wud7rM2Kiy6Mbo24fdLxqYKRRGgX79x/vm1l0MfbFjG3L3tfTWfZaW99Vn1GIQiOMguv9UWY7
/+tZdDHMxWQ1pCorRRkBldW4BhO5c7X4a0uJZSFMeQCxvU77cV9l3R5yHfzjYoYUNh+xvd4sWPOv
QEzmOexd8EFezKgUgAlRkzzqNk3OVdTTvNfWmpHcW1mwJnjrrxdIxpvXAfgHrJXCvri5GHDG1Bqc
GuJJSl3W3Q5DsSK/pRbOZujL/8lNBq7B1fmg2jhIvV4RIq3vmybkWVbK3xFucoic/rbx40NhV7dG
4l8jYKQ9PLlHGQcmNW7PRC7y0Rp9uQGbZzOqa51/unO83cXXCYuX6lRr4J2LCHl+ALDAGjURk3ZD
U8auPxWzSPo+sy1Yg6jKpXP3/ly7nNEuTlZnvuuMDiListTQRv1olYq7UOQ32njlN/ZSwMN5f5B5
vr5cNOZBeKTk7rFizCWN17eaPgbpUPF8yIn3eRpDo1/7+A1dNHt/P5DPA+WJIhiAefF6IJmZdk7D
ql7aQ7WmLbZNirQ+pR0ZMDFhAn89mMNSy9MzKFJTxXw9WDJotukhDaVrpG+ogS1dPJMlGirL+uD+
vVl1uYEObwSsPW4hy97FDdRddF8Ux2iGPPs3RbAR9WOQr2XUQXa+yoYYndFeGOUHd/PNJ4UiiUcd
FrIGNZo3tMSiAYSACrpiA62OvIF0pET0l9W1uRDD5sRBB09eKWC31zcRAjryiYErI4Hks+OgvpTR
GUDOndDL5xYZ0vvP7I+X9GI48/VwKsWGG4VJjdkJRe6UVoeh7+7fH+Nytl9ekvV6jMGzSSYyJuaF
S/wt9NGVKtw1SX3QdrSPasGXgzEzAL8wDdlIU3O+nIQxjZWQ0KsaOXNUrKKm0p9QeKplkRJ2EJSJ
9sGkv7yB83g0uExHILOZy/SvLy6y1Ay/4FXGQU1U36RjLcBd9v4d/PMgAt4gx2XaNRdvlqPnbqNi
sK0kKCJmrNA/WBHatfdH+cOt83WXjQQnUTHvy19fSsczIhuCW1d4N3l/V6gfdnRHZMT7o/xe3C4W
P4bxbUGvA2bA5WcNvGqeIugEYIzGCkrGJ7wdXzP6+EpkBwLtzmwZN5aOHC0j38atvV2aiKPpdktf
eY9mwW3WyG5Z+qV/dlXzwQthcAzgOl/+QEHRzeJgRFndoqJ/+QNJqveiLI+0RS0qfTk0o4k6rjO0
+lc3kbEDHI5+/6oRWhqsfRI370vKWhh1RedYmM8CCfskA2Aolp6XyBsvDLroKQo9JzvFINTcgxxJ
tS4XLfzTe3Nyh1OmDO2ZFDX3ygLtQw4c9PNoJVq7vFFAz4DRA55D+ZckGDoRHHe7tK7qs+eOufxZ
eLF5E+h9nT7CPSAXRAOCfVSDj6gm8daNq7mPrqfnt8qMlHeMzUZ5O4GcvccARtLPrlFNeVvrpYWc
sxG41RBUfNKV2XPembwRjXue7wdBFAy06eBXzK79edYMX5vIl04JblB0Ra3c2Wn6C9kVaQdopmCi
yd4wxmUYTWFFvhuk5nbW4a3HjBiR7WhS5iLxWTOB+hYWVR6iDb9mc5JLDI3zABWIkL+ZDEJnhcSK
Z136MNCboDiiBwtxinhyqg99G1vntE0w27TRlSIh5YA3pd9kKVoqs6rFk66lE8LL0cArZBT2rQ/k
eoXU/F6kZQvIoGj3aooac5XW3ob07U1QJUWwNxqfzECzjNZKFVG708qgVCSIZCAq2w7uQ9/ZLf36
2CUUqzXPbZDKDj11zpzmka6MUZu6+zAozEenHRpFvTuWzmrwHB+BsFdMV0Yq9VkGn3PjkEGXBFYu
iF8aCATSo7PKxwPIPtQtBRxOj+SQXBI3Ksqs+VWTdbgee6yvDSw1DFqrSB+rcz5IYsc9aphDNvzy
BH69MkqRn+sRJjRsd1vp4NTSlYYi1BY/ZD5GmASKkLT2KVtpsRJrd3IxB5l2aJ2q3EzPBpCcOfal
vRlIADWuUV19c/QJZxwPDR4/pD7gtQUyzZTjuuUXv6wejTBAn3M5F61LDSkVtHU60facXqjbT+Qd
fHOtWHxO4H0fjUaRo1bMPzBO5R6JjdzHdK0RrITaHoPCL2nZNfZAFVUL9kqg64ZF5/qz0vUxGaA6
wLnZewDGaQfBhIp++mPj4c8NR+0ZTczNWPKM+bJBbxsttBsoitU0yoMr837JH9J2+SxZqefThIat
/0ryRx202uZN7DezxBsFJslD5boYdGODXOFGsI1GlAmYQeXUJwltzdheTSAL4LL3CA9IhFs64VxT
7zFPWkP8pWg4GTVODq07qL5bOjFfOBXltW8Y04FzWXqT8Yb9UJDrp6UlIvsQ1F/QY1xR9Z+1oW0R
+s8uXmqFBiBr0Z84zzJYq85QjyXTo7jFrT2Ua091QFqzuNtFjQ9uS0uL9F5pdIMXulGZ9x1ZUhOm
J93DBkYqMtaIz5Npfg01ptnAjork2EZf8ejbh5RC4lWTNNljE9jxygAVuaYBF6WHlrWtgge76LRq
02nCxM+jiU1cNf4+D1kV1iGETT01YIbba3QQGG2gUYS+8xOM7BURhgcCUjZqRPDUNrxAeCsiTwwg
3DOnxYRuTrDqjTJfIo35FPaZXAnTmC2Vs4M3qddx3uSUyTz+f4XtMYp2NoyKYvL3eFoXtu5/cfCR
ITxetewwMhBGPcwvFMBPg5uiDI8ZLllhMmh/dHnYoFHUdzA+1mit1ohdd7IjMQJVKZoqpc/GzmDF
lwBRYol0sZfCeqoUqP2iaJ5Zx1Y+oTf9QR/DA5W0mhLW9Au51dKOkYHIzP3UyqE/JYJlIcS4taim
dJAbg0bBN0NHuNgL8wbVcXWwa3u6Rlwnqk2csLNgP0FVpg877DBJ9d0LndtJz1BXJyKEYBrk1Y20
yeJFdGQgBy+8e3KhPOYZ2s6km7A9eWqaNh05XXcDUjeet4WqqBxN/UyoKvqu0U6/TZNLCPIY/PAa
0CN52ItPehGSU2JF13ZBJCfK+MKxnxNgpBJi4yL0vLOwClCr6NZDYpvODlq1u0pDD+b7pAaNhabi
ZQiokvkUdr6xdyrMYIca0NZt7tPkMIYAVCWseBsqC9+HKQueSPREnkl6U7bOi0oNh4CqyRbPOHR/
Xu8AptovO5edTvhiPEYPZBuNwO/SAedZrh1DZG2CrGbSZUgkirTV6E0enNAch7RtHnjlwiPmUIjq
NUIBgHVthARctR4CQMP43nTDE8J3IQ90K22QFWr2MI9IcoJBJzPWcc6ZhSYTeEa6UqkkJq0ct5yZ
V9pAZLVlrLx0PHAMww4t121RcLjL7WU/RljFm2EXA0tqF34dOLQwOsAOyMv1pyQrSvtAKGcNqCW0
rJ9ki7JHlgpzluuu9VpcW3p0Tf112wQNoC6Q/CHJFae4h4hHW0L6YpkQ0r3PMrsme4WiLt5zUd3V
Y90diFbGmk+YNNFwykuevTAaMwKghhFztANdNcoJwa1xuGS80LyiTlCZ9b529klo1Z98Mp4PjkvY
XacXJtkTxJf5V8NsGK0ofy6YzJA82gY5LCGAEPyELRYE3e4iFU4PXt+VXKCs2sepVj0F7ZrRlqib
i7VPMOUuCLvZDmV8D3Wr+N6UyGuXpSGfWam+0kjDJpC3drPyB3+8DU1N7SaRV6dM6xN31QQ6YIEm
GK2TZmUEzhnhgL0j9ElXXNUjGTUDAioMqzANqUlp5fXgjvqqdKwEI3JdYhLskwHXcecuS6qUJI7q
To0Fp3KJDK9DPzwlU+V9qYD4b8nSnIhODR3gZWbjEcSsUE6CaCAq1VnCS3zyERmTxfzcuJI0lExz
MffhogDEu0effD94RvkFn2G7BY1XbaTQkBQLR6k18SXqlIt8PKNPBNKi+9hK2upautoOPZwiGjfC
9OqikAP6OoY3BlG58dJlpdaw12HKCnIM2ihjN8QhPTYOrm3ghFJfjZWfXLd5XC6SMAyfQ7Nkg0IK
MmtoXuE5LyIMts702R7HU0F8TrITobWLPLnUUHtnqIP68gxCsT2Sc5V8J2cLwkXBHpx69HAbEGLk
9uWV4bTVXRmF8WqkErhqIzvdYYOMjoWn9m2kk2+Zo2CbpvxznXR7IutrHHwpNBwPHFLR3PiB+0SC
dLgIC2szObKh7TA4qGnofGg2ybrP4cRduSL2Ld1Kvg9L1rTg1KS2u0O1f+PnaD9Tp1zlY8f+kCRR
HQmhyO8sgz3ughgfBbYEuPMCHeldQvzPAru7frDHsr4iC7R5zsbhLsyMWysYnqDibBUZv+Euy1hy
kPA6VsGZSxah+Ao20CKitbasHKOZkZytmI9NS4jgZPfnuMWysEgcLQBQ4hX1NwUF7Kklr/VOsvG9
qRqoy6qZ5EOH5Zyg1ryGOiPv4tjvV2bbbq20JYoDbuGvKdK3RJMNz1K6ebZwYzpBVWZ/ikhDoVhk
fnW7+GeeT8MxModQYgNxgkPtdtfxbJAygDdvsZBThEnjTxY8xFWddvlKkaELDQC3VqeyqxCIwQ32
AXPrOGm3QBnL6zTGp1DXjy3QQH8y+LBx7ryvJqJWknggt1KT7iop46+ijpail+6v2hVUIpFI3+Sd
dyDXaC09saG6sRQIZWx8mNs2YT+QEVZ4VIYF7A9TykZ4UbMjJLHgOwwmh9BtMuFApUK5ktP8Pi7L
SJzHAX10SoqVm5HqPY1plSycIW+3fkqBRMmMD7eJrqS/woiJVXOoCdYahLnMjPbXkJR0k/SxrppF
iY97m1rtGILTYa3vQgK+lKPMpV1F6ksdsBPCAv2NDC+MOgFS4zJq7ny//FJUGE6JhpryY1XXs6lH
H7HoBFG6rzuju64kmyzSWYYbvybv28NaXW4SH3uI6PQ+XcWpHtLkpxmx8IOoX0tDbCqbVrYds566
Qw1LcZiC4hfeCm1fDxJ+SlIlOMlDN2rXicWqmvs1Ve8qLtdmmuvoTdpkbcTNt2LkrN4G8ROxYT3C
bHZUY1yxiKcRIC0A3DZWnTBd0SXlrAdW/FNh+8DpSu0UDumv0uzq2wR/X7axlJ/dxDGfyV3LMkry
XqfYhxotNd6VUBWxxrw4xddJ+X514NgchFf9ZMriSF7yOBEMWllksaVO7N/5waz/4owZDqQuez08
iABL8c5XXQ3e2q0wWIPNGIb2Os1bl1Y7AO125cuU30ZCdSruakrD1oZ2bm+s4lH397z2Y3Q1uEWd
n+FKF8FSi4pG7Sikes6iJrdlFbnCWHdz5DxWWSo1y9BR/IBE80HuhLS7JZA6LFAFFp9Q6FbwZJZ5
H291Gwze1oiMpAao5Mqv5PjV4SJJ04LtkaNnjyN5k9laDeP4SPMwJchejv7P0Ewx/vS2K499YkVn
t8nae1+E3efOdIIC0N8YDUd8B+rAnzS0Lyr0wnybwGj6FOUTLKaxzAbrW0xy3ZljR8mqLBNYp2xI
MGNGnVmsgzD2se3HpN5/ItyxCG4i0sU8AFiDGx+TrsGqUFqj7qxYnmbvay6BpvjtUZaRsRtqdQdq
ZNprReVwLfXPugUtTypZi0s656C1QFhTW4c8xR71VBZ9N5sI/Qy1s4RRmqaOvwVC2LU7mC7tigph
sTClE6ZrPt6BYDb6J1z16hqBz1dlJFdQ5NpVUFQmZgEN6CxY3z79ruqwfowNFR1lPWYcuYyCZRCb
HE2y1h4eY2xhqt/K4EHDCRHXB7wNHMTJKmYpkAKrAowJPnyyj05lhFLV/hmH1X2dbCwsy55pHjma
hwe+pv0qtDnF6ltDv3VSjsUQzoHj5jUIhF00rXCLhbHiwKY1xiogMY9PcKevGqx7x2CcvGpTtMa6
90gUWnGjTwRQXVkQHyXRPFb9ZLtfxonwZVLuNwGQ11MY11Z2C2FVBLskX6puOU3Mu1MbOeWtLBwy
mM8MWD4r05Ab1Sdf0oTtPgxIjlrXU/A0J6RRJwf8NQInhqbhUOJN6goVv/2NggcY3n6E3kdC9FE2
8TGq9PYaQ64mvDnVftMI1RJWEEBP05D0Y8bAljNM+s+GlmQH82kKMHVYXv0A+4P0aV68kW53X19R
oLPuLNOoPimzepRXVATrIyzejK+l5G/HwYvSP9da+0jSksx0TBvNKsx1bIPGSVRJWLCcw5LdSBwp
xibT0+AmFoCizLiLVpzYgRiy2Yu0byZuTih87UK0s2PrG9KGjgwKuRxnYJNhrFVfCFb3TC5jUHi6
YnfIHXItMrRImMr3jj9V2TquRa7Rs49R8acE6lGmFNHtqMOi2th1GbXXuaMdItP84k/j8N0NsxQ4
roYIPlSWF6HgJwgodwvxtQD2ke+KkqJMTbOvOHqkj9Ubbciitck7t+p9s0QJmY3NKUyxPXSYDFAT
Rjo/mI1bRoCaaz+043BFQm4EDbCQn4dUx0JADPoixvyi1mXIjD/hthwXVRc9VChY5Vq59s/GtraU
c5/ailPYDqNa5FKyisTKRQtxMgoi0Aq+zeuU9+SBPWl41/o4wTKokmATA2ePaxH8k9KJZ8PdW28y
QmBxKFZ5PzwQrWUvKH3BKiakTa0aPKU4bh4GUUjxrTP04JikwDphZDtLiy8zQB3HtGxs0ax3xSZy
i0AjMkG7nrMUN2VUH1TZn/p6nCtv/qHTpDx1ur0uQOysxs5r0pXTTj0WqU5zjBABKSiXjonjpEdK
51O7akOSNORUONeyqjt6mb38agSKTOORnTYwqdyknpAi56WYMGjLqM+Gm75IWRW9eOIc5pa/QPlk
yW1Bdf3eD2g6L41mIr0cD/1TmSbRkaB2vbhJIXWyy2uHYN95VW0GOMsxAC3cgCyKQ+80+tFCv+mt
g4DAbHYLEP3djCzPtGeDu0mpXpQLHyfNAxnrhKdGInoqIyspyM0wS23ppVmFtwZsmboZoSol28kc
4ZkYMnxg+zRqa5+8UAJABiBtOvbr2RrI+bDXzGTVUTDd+4XZfg9soR4aPvo/SMpNtS0pbPntRAGc
jWlPJEgqiSVemI1NUkdt5CjyJ/Rw8Eu3Piyl76lqwRvC+N4FU0/VPEhbALCLDDXffkbir0fPoH+1
SRp3qIoNxWuZO3eydQmqYNM0+XzvsBRKTqOfVWzZnLw0e2gkJ6gG0CF3FSQVetRNFEz8FYhCUk3r
tpMIkMxEUlIYcIo4OrOHsh8pip+tZip2KU0+Qr4b5wYnYrcyOiy6fENVcgjbLCNzmZlFXcIoG9KT
ew9bLJAWZ21WI2X43ZDp5F3gUCZmo9K+KoUCUNNtYkIWEOZAkC9YAcbd+42IP7Q7fqsyhaPbaD/d
i343oFO4nSVNlaatVzHlr5E1XPgPwXD3/kBzC+hlP4F5jtDRE7RudG9ufLzuq5gE4RIPQv+LtgLQ
icSUS2DyT2kknji0qhWdbtyHPZjd98f9Q9eIvhRmFNpSOqjQy9YUbpMQMBBNUjJFtqRYp6d8LOUH
oqpLVcR8ddAEDRq/rsM/Lm5j2GptFGXcxgjWnFUYy5A4A5y13qbIiYhve734n/SpPISp9EhdtIYX
LdKozZsKfFfFGdHId7KgrNaPsgD7rBtLC6HRBxNl7q69fn5AllCEuvQTETE7F1doKAIhTcmJw2uS
rR+OeK+9U1KDVu3IBR/bzRjV39o0e37/8b2dn0QAoRqe/Q40zucgi5cKrZg3lPTxemaQ5NiTIeuC
iXMacRe03gf9xT8OZTu4HGic+ngPXg81QHcy+/k0kVO6SancIjgxarbCH8yVt28CugqkoUxG3wHb
eNFhLChJ+41EjmBVCY72cdV2kh7QtFZ1tBpbOAHVh3LHubv86unxclv2b9EONGd6ta+vzVPCqjWX
t68zoDiNg7FtI+hlbFNoZ+mPjZF+bspmF1J7rKDXWCkna6u9S8iH+GDevrl6W6BWmB1hOCDEGzFG
rxnNCLO0JjySq7VuSwW7LIBFU7OVynbFR66ZN/N2Hs+hkYuPxGWpu5i3DrVovS5NKnvr7NxeTQsC
U5fjU7t9f56+WQAYZm6AzwJ333qTo0agQE+Rhf0YJatigc/DJfB6vJOO9sCHgkBqs1/9341ovn6k
Plzc3KTQvhTZjzrDVgBlWbcoFGrtJsk/FJvM9+nFDEI/iI8eTQE2L7g/rKivh0OrVLWhh5CFgIoD
GeInq8lXkn0kR5gy3JmTvwmltiH6998J8/+xq5IAgReP+k0c0LmE0008yEtn5e//5V9rpSYI8EG5
7gsxO974bDPl//VWapbxD2I5cgXwTtIa1pml//FW2uY/xIEKHEZzSCLFar4X/0kEssgvQG9t+r/V
G79DHP/CW/n6fWMEZE984U3kVha9G/3ifVNlkU22ngBsbVL3FCXwTnsgJhsSUeIDkaQl6XhEcSwq
OIvXegfm88W9Ov87I186Lc3XE5UfwDKHzR0jJEYrpHPzUvhC06sg3ReRZfAZhvDwqDWQZtqOdB1p
A0EHG1VxnhoNCO64UU4ORBAqAEQLrSevn6XmmjZdDYQ/fspH4Ja4BSDVDRZxaOBrpq0moYhtapQ7
xSCaD9aQCxHr/NPxOVksz+wgZq/dxR6pgrXHMkanlSPkgIaWZDJBUpu04XaNpvs8VmaXwa0jrIe+
14RurrQGI70aB7MJlu/fx9frNL9FAC74rfTEhue6c3zny9sI5LFhow+ubXAcjWpR0RliR+MdaoUs
U5tWdxHiZQMQiQM8jXT50cbtQqf++24gwvRnUTwKffY5r39BNY5NHiItWlK0UxPaQA5aC3vsUn0z
GFHyDfMj3CDDTrxVkOZTuSkaKJb4pvJW36ICiKNDiW193Jiag2Qs03R6apkKK39rx03cXCECUNUH
q7Lxer853ze+a7yWFpqeWSd7Mf36KUmF0SYK0h8pHIuoJ998mQ/Y+FML2gbg39JPooMe2L12zm2i
EeeAAlCaHP2grt/BAFANLdjsv8g7s924sTVLv0qh75kgN2egqy8Yo0JTaLTlG0KWZM7T5syn74/K
7ExHWFZ0HvRdo+pUIeGTJoPc3MP/r/UtxVrpWupQbo6BRz5+/nY/uk2G29wvZj+g28cJvWCH8Oz7
uIT5kpLBw4PQ3rFOJms6i2qwUEXVaAtOjoXYxpMiwit40mG8oc5e+p5QJxIqag5m+tLKK06tUU2j
9vzze3xfmv9ZcuZHyTaJxdthC+jwLI+WHIa5QFqLbxg+fSCvqZ6z2hFZXbheO/YWpaxyLNZZ5xrR
ChGQAynJgRJtKHiatjlmKuiafezspsJvv9ec+NZGOST9OYXA75SXKQZZQyJvC5o3Do1Is1OWMPwV
YwnK21dXaHECWqBWnHXXNBB9cyMFRa4H4tH7B9snIYxTol3XS6uluXNqHM3L98GPx+luswu1Zxca
XdF5nP00jYGAFICJ7HTBEbuE/+uIgIqCqnJABKSA/KsAOQfyBHnMqqeI8iV0Ov0CRgTMCfQjVIex
mgr7xG2hwzy6L/vdDacyeEwktcxYh/cFQqpvHQOQFuWm1CYFtSe2jSpQvHTRp+ffY5FJBGs+Z8lz
sDFnedQW4CbJp/DGxtm7uerTIuVAe2aX6bDoOmVdx1I+tmrb34+6+9XNTf0s9aOe0KSs1RBMZaW9
qqUcLhCA9F5Ekrhji/wasmxbe5Fo8p106Ie860mcwlHvYVW85rlPvpmdPlDbsK5GKRFqqOMYrxQf
C6mp9vBgwRaNoMUJp27uSlsnFDUdf3SVVXltmX9jkzomS5EV5XmvyNpfERsH90uG6VLYMjuXjuRO
FBVkVNWAvGe4hK+JJIPBI52LI0sc2ijP1IFyLemd5qU7ghYgvzFYoONrCWUZbifVNTeBrhrbqRzK
O80K7uiNaV7AiNimQzxdGkMKAMfx82SNL7LclIPlPCsgdRY0p8NLP4u0JdIZ6xtT6Y78EWNp474E
FKIGlChEvhsq6CpdYCcBlW7N1ujUBoAL00DMtBoCPBO4z3BiXBhzTX6WaoSYaY2arbPIlrD80nZh
N31/S6zXg+tXybUobaQLkdS8UQFxJTO5oSh+MQaK/ZXetvJNdgY20kyNgX6ocTOpO7O3wKy4VtK+
DW1VvWZNtjCHeuXodbKp0yHdE+o5EK/iZ3dl2HyLAGev1ZakikFU9coFfMPJL6lBp4Gsn24UTcbf
YdVSG6cR1JkLCifxj7qp7dfK0M29Cx/kixx8562UE3UF1SJPzULCcWXEVrQp60v2HajCWzBa1G1C
FC0ebY1z1US7U2qElC1s3sPKwC6Mu9QmnjQeINplVhDd9HA0z4IJG4leZFmx6eNCXnVdTNyKbRGB
N7lAR7u+ONNp8i8VDuUbgUT6UR/9TZBP+nkc+P3KdXtjF6DQcLw+Sw24RnDpGlBmW3RZwIUUmnkP
ZdW9dElAxTA1c/lMxLH8LnpdMEB7A45RJPI7s3FJTAFyAMCSnQ0+gaIIn908GDfkFYVEEoDOdOqy
+aLYtliwmANrQQ/KuuMIRS0IN4v7veO2KoEcSHup1KZI6KzEaGO+pCSv12B/bHkW1kO0aWPDwFIT
fQ0UAJZOI30IwGP1nYk12faGqL6FfZHukVH0C0f1JWqluFvy0CtaeAD5EibYewrnKBNG20rofBrh
Up3I1fMUkSATjDrYgjJgLrcGPlkXGhcssTa5oPE5XQYSIHKLIXghwgg0LKYmNzRcjo2WCo/TzhfR
oBqbqm+/l+rUPmiCEesFtRh2fQRKsqN6sYAYnaJR6tHYdk9Na3TrQXXkmTs6IcRndskAqLT+qZiS
6MbtKHq7faLdOD1C4KDu0ON1fb4ciTiECWW7KEdDeT9UplovCQKk3eiqe/4peozVPN4SEQMfN+8U
+yyI9OA+te3he6dY8ddmTH3UgCAbqMiXxdXYAffWEChttSEEISYJ4H3VioQaLxrW/KlJxm47KrTu
eUjjls64hD+O3AfyMcixh2QabvQ0zq4HxRq/uxOMqWpsvmeG+eZWIJU9IjBCWjhqepfJKrlqRdz9
GKJKZe8LxPNCIbFpg+0YLawzWZzodF6fnvQOaXpDny981rmHrJ5eZRS1Xw2lKW4zLUPTmeoOLiD6
muE0P4SB5/gCV2k6s7MsJNKA48rSzrVsNZAiSWvIr+fVwxg3gRbCV+M8vdXQwA9ETUVkQtdVkz+K
BJ5SYpLKaNrZcKEXtbXVVFR3HHmftcYHA9oM8c4EULWp0YSuLVNJruRgqauyl6QE4J1+hL7nX1CV
E2cjiq3HASjhvkrr5LpuuFrPfztYdTryiKwDWY1kc2X7aUqEkoYuykj7L1GSN1eJzDpAZUEhzbWf
zsjfMYmqa2fgKBPJng5fZgbBmxqVTefNFbKY1Mgri8CF894Cp6+wh+L/U0Oe0jdgnt1lhoQI9Z4l
920MPzbsHAclZQyQrxofCarMlzQFfciag/UVjI67Nny+Z2SyM7Lf9wmOqOG6QtAcTY2DVXcTQI+9
NLswvNVQ4gOv8xMq2VkKgdpwu+jMJmf5seJgduEXinVRVKx6Ib0/iKoARzZplCHHMiN7qxWD8iLt
7i1y4ev7EXEC7PhHGvkd/8f2mdFgiWJecPMo3tZQyAGOlvRpKB+vB+mI+3LQZhRza7wqte5eOOGM
AzeatruOZjFiVHqxUrYPdZZrG7NTrfsSC+a6Gcr2DDuz+Ga72bp20KUuwmbS3sw568geRb73jUBu
2IQOT0NbTlelr7VXkQmDOw2i+gyBS0ltp0xUSIYlwPdoGq8bOVZke1QGgY8IJ5kB9HOg+MEDxIov
3eS6O0Q+0D57eywuSt9QQROn9AedKDlHB9B7E+NkI+M+3xm53m2zoQPq76cFTV0h3krL6O8UBGNr
Y55bnC6LFw65qfczwChYyC61Nv0gtHXmGMUdXzYB7JVsEFZJOPKki0SeQQvVq5TJWI2FqTw25qhe
RUViPw16Zm+DCnTlirabCyiRwB10IByEKq1z7kl8kI8VWpGvCooWIKV63L9pHEz3dBYdkF5ZG6yM
oSkCpGbTs+iMO5zUkLBZhAa7ce+QM8lvwPSCu04I40c/Fclb4JbhTRT5ydpqFGvr1H7qEFcQSi8p
nU4stIk0AGDIJVL88LWxpvCM/rjkDqGboeAhQEqGyWUzvzPU08gVOwRzNGTLaIvwE+VBzCdCr766
KyLKjfFksLsY8BluYjJVF6imNdJzuyi4EUCPEQOYSfSKvV6cC1HnnNxzxXwp1Wi68/WuMVZN74+P
fVcqN2HJBn+pTFlPv9Qdza9TH5sAh7Lkjs46EX9EyJk8Fec1pLbtIAE1mAGMkDyGgY4ZUMay5qid
lYTl6alzrUQJvx152ICIuWPL57p89esWXchFRrDcLfEONP9cdXxtCyp8uMRHKdYmAatPIugjsolw
qdge2z/nwdB8m5RV3Y39JYO19XQTucacIjYMu5AQOufRLOB3a+DeWDExRfG1w76bhSqlzIx+zXGc
8AO/GvkDSeaWe9NF5TiSztdYZbitgo7lHNViaW19Kx33jI4kuHCjEfBfXOGpWfbq2JlAWC0mnEA4
xbatG/dBC9vsde5tgyEh9DGoCDZlb5E1l0M7BftsokiMghENkYynsWXecVt/gcykoLOd55ch3XJi
XjX3NVcJvfVivWPLE9jVEysvWgdbU7egu0kKiofI6DZ0Tf1xqdZQJBghhrXxlYjmdKOXhIO4Gglq
6OOMRdKwv1my8hRPWRXYw0qjJftgSadu16ozTdTLQcj1y27SbMa+YlViHbhd+trQ5X5Iq1q5GnrJ
X0xgPIhnGRfKM/oAWI5sMQuYoI4d3CeDQYzX5NhkN+tKtpF+OhQzUtZ56KOkzzctGUFPWAUJpxgU
HW2a5o4uXTK25XKhRqH97MZ0zYgWYUdofbPAWJcs5Y0aLtSiTq6UFiIDm2QzhxA6iNBZY/sqbgc2
2+xJEBvQY1BCojb6ymF8lJEIL9KiU666wgzTxbxcp4sRy1O/S/zcedAQ0Zsb6Kqmdk44cKlAhk3c
+Btu0BCKfJorO5Vkk2bD9qCdoMKbhVhxykZvTyqaTM/7ENUUztYeJQByaPWRzrWjIVEQjmAaVRiv
IscXxd6dnIIF3C248wZN89DT2bdEkMsy+xHjKDGAysAbXTlla5J9UjlsjnPQqHIBscNlV66m9o1R
atHV2PfpynJj3laaqgRAl4SKeiYxfZdKOzhPIbjmYem3jr7Krdy6LaZhF1jo3irVF7tSxMqzCDVs
xY2B8NWL07hGEIJ2FHVaDzIhSIY705csDZmlBTRsDPdL2cZE1RVWlZFRMsrztg3054HJ+wppR/fD
pRZp8BkpBUmJRsOUF0oMHPByOXO2UvTlJrEaYqbGcIqxiTjtaK65dd1aD0YHCV2pSS9ZlkhS6xM9
qLkMe3Dsh3qB4ZeYWWwF1C6PeRAVqjV09lrt2dWsfMGTg64xkA1Tp1uCOY/hMKeT4qKPaGPrGa6z
ri6aPkWbYAGUprOKbJO8GHTixIc4Jgp5XZsgB/UmxifwDs2szRpSa86eys5R65c2o6NDzYsSC92E
pYhGLDq1SgETp4ayYWpxR05q9O7x0ExkAVUNsud5v5AQSZZh8jrRIvqlOAVEgNI2RUfGHZipY1QQ
yFq7UDlDYzuJgxeMDBm2Bb8u3sbeDm64lX6h6qV2ExAmzh0wBlC4TjNJHIbkZWqN8bWWRjQmkKYO
J1gOvxRpuTn6Z3RBKZwBMjy+ObUClImaW7KYVPFD4Gsc/Ah9chFCZMhPLpC4xQicIXKvmik2i42d
Vki6FaPibPZ5heywYzmXF1WBT3EGZWhUvee2ws81IkDOIoy7Dln7OJbLCkVT5rYD4gy9WU8JyoLP
L2cej00upzv8ZFqXcyftqOVs5C7+SxLVPH80nhtlKB8bEvQWRWO5z//BlVxXqDRiHQbCUW8L9wzR
jcGI9jly0WGOrrqrsrBfNG5nnL1f6v91e+kyepFFXfxo/uf8N78UJRkQQdj8r8N/rP/85+CtmLs6
B/+wypuoGW/aNznevtVtyr/6J/lv/m/+3/7hf729/y33Y/n23//jBQAtO9jbtyAq8oNm0Vwp/T22
c/8sn1/e0v86q9Pn/LX+5d/8s80E6e8PV6XTh17A4twv+Dv/7DJpmvYH1ByM2TSYTL4Bht1fXSbN
/gMrqf1uBtawAs90iL+6TJo5cz9JjIAowLfDHuvfEDyPmgN/pV1TuT4aGQrKtCLxu3rHDuqKgxYq
5GyXNOpVUhjLabDPOl35Co36ajBbUB+EZLkigOAbbDXOr16vly/5gHK21Lc/PcMP+k7vDdB/Crb/
3NHRVzGYjSg4QNS7uFR3UAuDZViUgKWYtM6dEIp+IdlEy2yl6GNz4ZhMF5VRq142ta9kID1SPgfu
Zkw7rdOeDRs7iqY49tKuxTy72tlay9N7ItjsddqMYJRpMCzYft2iai5ICyauxM/UXdpGT4Y+7aap
uJ+ymIVufBynOvAECthtntbBNpMKlQ00tqu44gZbY3ozHf8syIplzF5PLYr7UE3vq6y9sjNOQSEO
GfTh8Vedr35RKRoiVvVRawdrk6fqHbsLFOKz/79trOtpqk+UmvXD2e2fB3rUQdQaFvemAm/pxrS0
O2rzrcZvDkKHaPL37T1dhzRcthFx5n55MZbxU5HbZ6QNYUTAnALBY1Oga4foVGyzwHpjqcLo8q21
NS9Xhn2DPQGfUhqsHfYsZ31QkvUjgAy6sehWcszYfE9du0yovS4mKqAeRtF7Urc4gNndTVXZf85B
f37fH4wdcTiz/v1Tf4GeDQ3yeMXtdiPVKPR95zKPbyypX/KQt4RTQtI20I6HJvYQX2f8jnb/RAJs
vOoo73g0LsiaI0elDO5Akm9MV7y0TuNvploQ2xekX9HsQJUv9fwmhOLWBsQNfj7sxbzGfDDs5+nh
57UnwcAwxopa7aQfbMeJRBpzF6li6TrDksYiknL/FhszPAA26G761Fnqo5U0RMGFmIz7JRkn6SLF
A+9pFTljPYMWjb924er1AgzgLZqwu89v9b19+tGtHjUSw5ydWmKj4mwJ8NCifImNFFaOvxw7MgcJ
RXiRJsPHKXCuxneTrKHkh4G6Rc64kEV5kfGpeIO0T+iAfvfSjzqrVsyHbppE0rKR8doo8cyWL+sv
GPXvx9Q8E370a+fL/tQ4ykOX1DlVSrw95UWVVhd1M/ZeZaFCNefIEYqkzSKcxU3S0DakAOB/CyMS
tEV2F+Ao9aB4XvtzwCu6Wg8B8UY3MUnZafSkpsmdJuptEdtvn7+bw67SPx/AcZcrSeQwFoXcDTmx
xsGbm1FrgB2PgY/EgFPdq6O92z+XmQfxT8/EZP6LsqitdrSrzuY4HY4GPJ9g0wnHM2bauUTRa2BP
MU+xRd5ZPR+9h6OVys+DOh/SvCICerozRjI9Ew7IrhGmXt1bP5Io95dYQZWHJGjZ4sRUSCAaCWVa
KrKhGRyh1B46s+Fgpn6NK6wAtey+u4R44yVDz2jaTrb4/C2I372GozXMMkfF8ken3DVUxEvYBijD
XIQPBvHODlZpL6pSKqDuA2WYdWhOw8Ixsi+Sg5mHHbcEMxLQSWu+Zq2yxDh01WiQ6F1/SWj5AoXn
eT9EL1UkbvE6Tx57DnVZasqqztTLEz/gd7PR0ZoxOXXVh4Ze7aaI40hCRHydW57QrXt6C1/Mvlki
ndhkRkI7VS5HmGQtUlwk3tdEYV6OaYRBwLpRBo4cor3tC8INa/uFiXZLg43wrqBST0yc7wTRD8bF
Oyf1p7GIyR96go+DiIMswaCtcC6mBsMB3Ybuyu0nC+w6O5RwIFaeqGcA2lpyi09FvUZabnnZnMhr
d2QDJRxi3QyIsOkT0Jz7mU6MXF1vU+E/KH38SALWw1jo31yNBK8+SalnRM8qeRvsRCJ9bpQUS80e
z53MxgZvGvc68t/P38e72uGjH3m0OtB0IWTX0EpyyfDI5dG5Zfm7zHLfOlPbFnlLUZ3KdnVuTjq+
heacIBQM+xyqP7/++2Hso+sfTfk5jalWMDJ3SYFrI50wC3QZmx5Lq8N9yZbCNUBXk1WiIbHuvye6
8VIqpCtFrV2wXOlyA4nMU52RPKWR/o3bvoKBxJRpaq3X1HFAXJnW4qCWuPHCoUIKNzU3ZUn7h4Kh
nWF/LTmNpd25oVCyM3KKk3nomCvXqdx13ooLp+yTjatgsfTF8yQUZxYgFYsqS3w2gOymVHV6mJyU
LiIefBalub6n3haUJ9ZdKL+ZPslulenvzTGkAYSdrcubhyS1v4R68tQxidOYIWIZN2tJlwV4rFxX
ofH0+QM+Ulv9PaO+r7U/jWJbxdtGwaHdqTiMvTqo7uuO3OWyM0qPaGY0VaEg7UHqBVFNje6lfU4t
iklxyUqcrB22IhDkjGc3xDWBwonMDj8gWKlpdrLHJiMHNsKf3+u7NOGjwXC0InZFE1Sd3nY78jKv
ZHdpd1c66bSGnp7XMqAI3+Lv7m2xHGxtJdkXOFpI9IfsFi4bhhrPAbQUyk3TjziX18nwNAXppa04
eOBmFgA24gEzSWR5tW1s5aRz+g/4rT7WfQhMibWUVbtKim+EF20z7EZ4PuRtYtkESs2d4oziPrwa
cZNaQOVG4k6oML8Owl7jslhE5GN+/hx++86OFlsfd1EU9p3cmYprbMisSu8BY9jLRpPRmeZIUC9O
5OD5GWb3qbNgZKqU1N1Nq5nTMx2+AALzVMF3zFN0DZW91CsnW2mCCoRuhAb9oGE6dbPzMvnRSzta
snH7kXpClPUuzhJTLAp3DM4iKx4v/Tz02Ss72HarnoYDH6CKZ3FhkG68CNzigpJNcFvn0DG80Ayj
vUPs312fOVTTJkNeuvQk8PAXzYKIFWXBNxuvrPrEfsb6zUL0DnH86bsYyeONFBMKTG2qzXIywNkk
TWJt6eJq684tp5Uels1K0q5Z0j2jhJ3lDjZZAq6Rd1wgl7y1K/+6RFRvasSMlyZ75jKNw9XQWoAU
VN/EW2W4Cz2Lm1Wa2sTAoxXxhIgtr7RxxiKXH4iUI4rVDfZNkaE2CYSxzRUa9CgHhFcptHLSkD+o
tIylHVUMvtAmg4AQ39Kclbisqwt4+MUyTOptN6ZPjgz3Ua9tSiMlzMYIzyo/uHKUfBX7xEl7dhuW
K1QsCG4Ifj+D2JjwHc27ejWnPdtZX5pkzuO2C/qtpJEDvUrJ+e4dfX1iaP9utBxtYLQqsVoOr+XO
VxqeV8lhoq6RQ3h95iMyaui3BQHQZ7tAgWLgeWxmi7WG42fl5i1GNb02V+D/v2i1uUsm/QY7K8Gg
qN8pumPnEd2FAcxizCFcfH7LvzuVvO9VfxopmN5z+OJluksS50vYNd+agXeAMCnAsYeV1rW+UPz7
konweiCVekPXkZnSQl0+5YggKhHt60x7HuPo9j+7o2PAms6UG2IvppJRadG1NsYq008nGpptaGQU
q39EEVYtRTmaq5CC5DKK836bVspOGkVob5hgoGBN1IwuA3+KNhIT+Ynv6nd1H6pHBzt4jBl2U8OQ
30HS6vngkSuZeh1s9BS5Bpuo4SzBM0gn6LoJODZTpgaLikR4ZWdatwAFNYe2Fepa6VtBPQHZCxCX
5sQK87vzxay7/vl8oZELTSdE66CEJmdi0jY9ZnFVcS5tIiqR1yyddoIH4CwyLbz5D9/W0TEyE5mq
iRRokx/h5kj8jZqZqH0i55zU7CXN7E3tusvKtJcJfn4/9h/q2t+IaKSN6gbWctKnvRM2J0SbR2C7
vzcEx9hmXrrZV5o27Oyue9BjGgx60xGQnQx7Px441dXUUcwkf0NxfZ4zS+hhcWdw6l/ExmSu9Iak
01ELXgqcoxDA4mfLUU6U7sW8wH2wlhxrKRmXatkqQ7trcTPONZzgm8+e+YeG034nOzrRIqhAY7EZ
jaLuPKEaltb1N9UsLmRENaCjGL7tHHgCVAxAwTpNf9MEVrREoHtrdvpqsuInmxblklYykdLN9efv
+Hcrtnq0CPqpYlL5czBcVN0DQi/khNB6hgbRGH3hJyQFOOpZICAY7QyjebaZnzHGkwtmtiFAFeWy
joKCDQ4kgWBivPMQBMm/0VuQs6v9/C6PEh7+efXzpPzTTGaVyhQqvdnuUE1lnqvGl1o1JItIzV/1
quX0VATXFgdfT07VBVKIC61gubNVhzuj1A8bzLzH5kpOnf/FlmzOWjr5pfjLovP/c6V/lkz/vtB/
V6RFVuQfFfrnf/GvOr+tUs1H72dh/6TZZv5d5jfNPzCLoGOHgwkt3mSC+avMr5h/4OFUXZIaZpsC
3cq/y/xosv/QUQfzRwjhrTmI5l/V+eex888ni5EDiwsAWOwsgp4DDYTDsSXSxpCpnUV7GrlQ5zU3
305+6p7ROVV2hVqVq8xFC4ubVq4Q+9PnJF5vnxM2+HWK/X+3+vx5N9jnHJeuxxzXcXQ3dhYMDYKq
GNhiaX/1yYHGNG4OKWGBqf/Wo+9lQxdnl6Yxa3IAwAQ3amWxvyJLMgPL22hzMKeu3ccjsCssKRGn
HLTTIfCQNO9ffnrb+z+f0oEV5nAT+uftzvB3YdGyMxGKHT48PalaKxFjtE/VhsTeouvLe6a7ql5E
qa3snTEsaUaMpYtKG9bpMJf0F3pgfYdkJq7UQRMPXekM9+agTya2mVS+AdnyN8pg+TejcJMfwu+i
F0BrE4CQpLxLxHCrhp3y+PkPOZy3/8/vQHk5W1EIJmGM/jzBaGEjIZTIaG+JPj5zAiNGpon07fOr
zH/L0VBjuOIQV4Vp879HxyM8Uk5UNUO0p1GSADWBOFgOVXUuY3Son19qXpt/uRQSI9qbWCHJRzz8
QV1Cdc2x+EHwhn+kHe2JxheXNeQQT7rmw+cX++h30R+mc0u/bqa6Hl7MaRNci9KI9p3TGOdB0ZJe
T84nGdBWdmKF/eBFuUKzSRJ1MYCBbju8lCBbPSOoPd7HeRiROKr3K3J1++XnP+jDq5jYzN4j2OhJ
H15lzBDXIvSM92mQxWvWZrkaHOWU4/HXqyBkYduClUfgyHqvlf60quGF7n1EafGeSQnXTlu1a9+J
xYnfcrRlnMe2yX/AHPLXqLPj5fDHNIMR4VdLGAqTpS5zkYVbJYZNQ3mODg70hKkSAgWkM6ymoRgR
4hTDiarpvHc+HI1E4WgCCrEh5hS9o1uIzTy2rQ6cfx+KH20Zy40uuoZE8qBfAmxtMWnIaNkU9qkv
7oNHDGMYzjzTOzpTff7znx6xk6aAuIQT72Xews4I09YjyKb81x8bWhoNN42hmcSI2UfDxWlwCQoR
xXu1cnXEfOazGPMvSpovq+CUOuSjR8lSKTT23iYaiaNjCiaAcKzpye4bmc61JJKdp1xVYNeW4VIf
3OpiMozOSzOrODWQDmv37wOJpCFmFGQzpuBNHj7MLmzpZnJq3zvDN9IoLo1RX/XUrp1YPWsz5R7I
IpUAnxxeH6KZusqmu3CMn6EHeMNI0Y5CUNK+/tsvlQgpcAFsIwAHuMdfqtVVqC2LKdy7qRI9usRb
38aItTafX0WbT/eHAxjxKCsypsn5Vf+yv9cbBI1tGM8rGrQx3SVpBen1tnc1cG5haG/tQYmfLNkW
K9Qt7jaWfr0ujWJYfH4nv75+NDkzkoHhxkd9TCvoNUM6PljrfYi7fluWerNCmzAQxYQm0FdzY21G
VHiwD4UnrvzrisKVcbzy60nEhMV++PYzXVMyHETxfghRaxVjZFArKLqVm7nmNVpt9cQzn7cOR48c
GzirlzU/dnzhh9cTEItRvfNLI+DT95PeI6MnGaBEs0u8kOKhcSNUMRmr7ExJo3VINuh04id/9NrZ
hYIoFyz20MyOVtFyjHTIW1m8t0vNPdeb2gVbqxHK0dYo2HCunIEPbO5iOGFUby1I5F3E2kcB7sSh
9111cvg0oLizxLLLmudP86j81JYwebsxa/ZR1LBYIACxG6+IRdGu2k4TchUrGUrn3i2Cc0UBUjt2
TuVVsi9KAkSzsabur3R7WC85wcmg4etZ3qcaOOvJdkGIPVidN9Z6BFQRliI2v1ygeQjDZTASKeRl
Q958tTtjuM3i1kFSbcLKqlDi39qDJm8xAviN17f1aNGvK+UPyovtqSylX0cgO2PI+fP/8MmrR28D
4lpgZBQM98VcX6xTNpy1hnmGdqHrjVWk333+rf26rWEDoDoYJDWYCxwPDkegbneOFVdDvddxIGzN
EG9YNdqpFxequf78Ur+uUzN+xBWOqs1IsONpjOBGjDSqVu8jFuSdkhDmZseq9Z9chUAU5g6s81D3
D39QNbaRM4QKP0jVGTFYFGby539yEZSVLuc9ki6to7U+rLrQ6vSi2bew59fphBFrdKfoxGL0wQOb
bds6GjEWXfV4U4MvsBRm3DR7IxDpCjrrdyI2Tq3rH12EfYvGTh36DjP/4fMC4RqSTx+1+1RA2WyG
7g3Z86nYyl9XVZAXLh+1w/aZE8jRjhaisY70amz3sSvTs8Ac5VZx1fQM9vTMc9VnCJl1ahn56JfN
h2sH5wOLyLtc6Kd9kWVXqIRHnYuqTbFIzA6mvkMs/eej+oMPCIke/mq+IBwpx6MaA440XdibexrP
BElgiF4qPAB6nGZ+Yjwc9YHnzQnpweqc+j1nkjD8Dt+VntW4k6dB7uNiVKgMpfaqjQdtXba2f+mL
xr0QRjgslNisFgVQ0BU2ff0urbAOW509PIi+0f+V/Ob9liy2S5yOUVxTWjgaPvTCMLL0ecNWzRxW
iKQVLyzB3WJ4PFkZ++BRc5agYwU+hQPmcbe0KY0AzJnZ7BMEzY/KKBPkw4GR9wukUJuwgJvsq1Pe
r4wO7LMHEpmGtR/EpvCCrg/ipdXVDd5hJ/8StYpgpnOLLF99Ph4+GHWs5Lr5XnBB5Hz0QMAqq+Ug
i3af2aaP8dIpz8whak889o+GwsFljoaCbZcio4rQ7jWJI8Ic9eDaCBWJgQ/Ms4/6/CzobW1fmq5y
bRPt7RlBr2ziOlEWMaSwhT2F9olfLuZZ72j9dmmazXJzNNUckg+HZ96MoT9SwN6XhVJexKC14BGV
yCJ6v+tfLC0yiWSccryjSqWA9nWNXO4pBJXqou4a1DojQvsa1jrdbNwxIX3bMMAP5PVu26Cvt9LC
XVXAgBHPKAKvcZ6SdEqhpNxbBYb4EzujI23J+9gmPxPQOOgATgTH4jyCNYjBK9x2H1V6vUpCMKEk
emmLvIdqaWcA/TMrfotByWLvqmmMNzvUCJhuoKYTiL0ac8SRE3CDpSyhO+gjjeAiTcV9kYnutc8z
ZykLUE1hPXeoTfNHiI127xhdsCYqXFzk/pCf9XHvbmgoO8s+rOszBaXxaiCzCrKk7E8sa79+YMyX
yOANQfFmJpccvsBShQWdh2q/V/Fm4Bx05RfLkkBKVD0+0XD59TNBEc0zRcjMSYsdweGlqqHtDAsE
/V6REKbDOn2rQNtu/+23yEWogOvv/7GPv0VFx2AAEG/YU2qjya2EoKSFLk6sANYvw56CF2gXZiVg
DpRyD3/K2CTFxEZh2Hdx/RY1zi62+7XaVMhOm0o/MSg/ekUGuzXOaGj6KRAfXsxHC5ZkhT/sgXoQ
tQ78d51BsAbhCtf086d31FOdxz9pXupc+Jyv9kuKH7632B/NZNzLWZ3mBk50VkWJWAuQGcsuV6od
br76WYssgUk66axzp3eIQDWBoLmcYDKMNFEssf0bU5CJTWMn/Y+YKCd54qF8MJhwUcEl49TIv358
hOlrmwHGKrzXx55s1Ra3gyWDU7q+D05KlAY4IsNGmgs8x6VNQmwU+qA8DxY49d4FyJkutMSQuYcs
qIk8aatyGwdFBwK9rrXnoE2CYD34QX3nt7CKT2wHPhh3VOVgHc38BJsc3sOhgFsaYVBUTnsIrNrz
pEwBo9uO97kt62UKiO/EOP+gyOYeXPBooEdqrFRZxQUbp/Sv4RenG/DYZKKkVrAbI2r1fVv6X+ne
qXeQOvV1Nwynolg/GP9ssqh0YYsQLuWowx8dBrZVx9kw7SubtKcJESCOOaVZkiD0FzLtt9rfDy/F
eKJqSXQXM+PhpdrJj5Io66e9b8El6V30bsif+rXR16fiOd8FLYdLJ4+WLwz4JVUAqgGH10ojhzZQ
b9JLHrDxoqfV0fEawTnKXmerhP+bs/PYdRvp2vUVESBZTDUlFXbwtiVn94RwZM6ZV38e7v8MLEoQ
4W/UDdjdJVZc4Q29QQkix5Yomrr9LP161wuEmkHglx/9WtuyerwuS/BrMCfEyod+EaXby1+jlLWT
T0k3nyYuB7fRevNTkXWxFznAGgBaYIflt9OeL/pZ172yEdvcmndkKi0TAS/eoHWYp1Fpb2N8b076
nH6lQWzvxqz43Ii43jhAr7H5etb/Hmk161OM1I4+KNopw4vtBfq11A4gs0tUeLS2fTcbFpDt1E+7
CspLo51AvWIa35UZ3jCtg6OAoAz3EVVaw0FRxYQkIPsa/fkok8VByfX6pxP1KhazaYVlGCdUt1xN
deI3eVUI6VVACquNb7q+tCH9MfEkIyp5iVi3+kw7HHMNt+JT7STVAek15SjDJjuFRqDB1xgQnF/4
1nXkogpTnNHQVL9MCURBF0AnnHVgfPPRjqT9x0eFR+UhG5QPidJrn++/Lus7W0eN1Ka5uUjM8bis
kQ4gLKxpjovm5GuKSUwq5uMgEen411FsSgEOJDjGQyZ0dWUNVoZVAyhWyhvx+74aHDBLU6r9m4ws
RXeHfYriKValaAxCzbo8MFndoptV18NJzzL7TUBC6yLlIj+h6GM/oiPSfdj4rCWU/nvnCg04GvET
8QYqhNwalwOWuFIIgib15FfC/olgLHjXSrNxi+6yvgf1H8N8dQvC7N7j/6G3UBAEOuqYBga/GoGa
iFc3ARJTfR9GX+yqQ8XeiHFkcQsN3Q53NsE1uhnBU+bZbWi907IoJcqorOi/hv+6cHOhAK238q75
Udda8NJ0pf0cDgo+MkVoogFhzXhdgFr2qa9FWt1EKN7VpuHGTdTSBtXxbiM9MPtT1pX1uAsH0P2u
SbU0goCK6v0uNEX5EikO+iwxdZyf96fQWV9yRAt4LjiIGnMFLEnl5RR2wJcSTLe6k4y0kNJmpM8Y
SzjqW6P6qYRC+WQm8/RtRuro0cmjCiHbDiwfXYu48DIjlk8qRjm/co0enZvMnZLtsjjC+71OCuXL
1Nta40K0VZ/CemrKN5ot5sfI10JQVa3R/ggxx6mONhoSDywvK5MNMjyptVV/DFOHJkOQOpbXzXWi
unHXlpCZMPAYXfwv2qcMLHDuCmtSqUQiqMCmBgNd7TvRG5+haaOsETSxcgTzibthiQ1Dtbewc3kJ
Z7xTvLCYms/lHGsAVGuqJDgA2XbiNXnXoeLhdOaZPiDuIUg0h0+T2RoV970/44/W5jNGDNMMVqa1
6/kZgHyqPyGL0X7SUTJEZq1rOscLgJOGz7gG+i9KMPfnonBmrBIC9T92WAdfP+y02s1TX1VB8VZw
Ocj2MANKRII5lakP5KtlFRSPud4XH6MkwVd+HEYn8TK8PXBhAHeD74FRHrMc48GHDo0tcDG5X3/W
wYpCSShCdCqyWXz1LW2cl8u5do73N9D6Alv2jyUk1T/SJQuFscv900wZvgil3p3Uzmr3Wk61saQ3
uZGS3RiFihnNdOzYLTozy5//VcQq0wwpyxxzstpAxFCIRNmnCWIB97/lKrTjYxgGSy2qSsQ6a8At
cgNZ5yvdtCC2ygcVe4V9QvnRiwWctMkev5uFNrrNJNR90ZFpNxJM6/3fsBRGLq80ziKvHw1MWi/U
PC+/NNRLf0IxsKN/qmnY4Q0/677BokO1ci8NzOyhiu2DLaff94ddYSGJtvh0bgJyB6JoQsvVuEXb
20JxKvoGTYfYUzgqzRfo+A2lfkXKP3m7aB0QhSRebKOBV1ro6CfzLE8WIoceqmOftXzIkfMiOAR7
N6Ey4AwBLjktcmIbLZKbc0RfinuLHBCYxeUcNXmvzih79Kex71U3wMHimGmDxESa1DbRgnKH6w+M
xsYuvfvTdGsfQo1/fbVpDa75NqqZj06XWv2pQ1/aGxCk8yJKuBuj3LiTqSWq9D4kJT7C4cvvy7Wi
tStVGU6Do0QPaj8bIQo/cw8+iKDqW5tnWGTkUxX+aaMuWqRc/Gmr7LOs92ofctBoPgJMMrj4Vu9C
3HcpAoYQXPvBWUTEZHQMJj06m3n/KNPa/4jTkP7x/uxelfPYhBbhLoV+OhbXAu2qRW+pD7TpFKny
wcDkkijuLenjR51u/oR1MA/g9z41dphbnEqu9lQDfS7i3cbvuLHM/A567ogbv/abLxegRViJizcg
5xnb8dEJdeMZRUTjKQM+5uIPJDwUWJAuLbVyT3KAcYo52XSMsGYdOkwFs1zXPCA7Yr/xw5aAZrUq
ZLpsvOWCIutd1TtTyMeIuPHD0NEZXbsI/zgKJZcqjoqHRudqrMy2wcg2wPg3tpwDaqWm1+YEsPd/
yI3dwSkA6bEsFNf56raQ6IUWiO1gxgME2lXHvHs39qG6U82x8gJRjLsSrcLH+4O+Ah5WX7+ElQTM
C+WfI3K5LJaZxqXAC/qED+R89K0em/oyaY7DrPiPQMVyVzOCDxXKR3tDMVRkhlImg27Bzghb50yW
ZR8RGtJo4yfVGyNGOwabPHTc61g54GgC4R+tlp+TjAYQxT6ygr2DPmevGU+9akCBFyFYdY3MgZV3
eZSVZ731B6+fsR2M8jyj1lkLl+NEi6VN9jQUU3hhk3gxoj5/c382lkvgajKWDrHDjJhXGU5j2H7c
p9p8aqYa8cs+jVwJjncXZhLjRH0yNh6mdT7K2ZQGSo4IOPBQvCI4/36Cq5YWfdL5bD29G04wjupd
miyGamFdHO9/2o3jRzRKyVlV6U3R5LlcZyUweITnRD0lyFo/4CVtHHupbOWIt0ahqE1zWQdkBgXv
chRsqrW4MHv1hAV1sUOm036ACVlsTNtVTWOZN4vndYHELlInqxwFjU7C9ibUTki9wVvhqBD0CYLq
c2/lybcAKaEvpgzD9snnS98XwahlXpWadoVQl6FWHlwNlJP+fYapB9NCo0dDe2Z1kkpfj4QWoi0p
JfJNpLgT3DBqlvdHuRFULJ1H4hiqc5JbYnVNFKYTY+ed66fEnON90WP1sQvULMLRVabJZ1HE4Rcq
uFO3EH2rUwyxjhQtiZBRH7Aj+o8WohE9mF2W/1j8Dd+KMbVRM7IGTXqGoQTOxrV2vSX4vejwvGay
Br2ryy0R95KiGjqIpx73b8/3sQjRpr7deN6vTy71eNB5i3IJ6t7rkJlEH0lMxLBPtsXl0YkwJNkS
7Zu5ScMHpC7Bvd9fh5sDUhheXnLwJOvzxFOHd14z6yfLd8KdE6H8CJgJmzBSS2+MUrm7P94KvL8E
k3zhXwOuthclAi2vOqGfchQJAzuKkcibnyLDfhOXUXTQhsJ56BVslmM5+IesiYwjBZtk1yGx9p56
SL4L8mF6Kprq+5g4GHvTrnjMrVk54GN6/7deX2v8VLRfFnV/Kex1yJ8bZgzKhZ/a4BaPZSWo2RLg
5GKx+G8KS/9/Vv4aanWtSSKeeaRLgKJw1u7oF1BhShFitIYpPChZvBVG3trNnG5cksAbqJTHL3dz
YGC/FOmZvpiqBgjGqnzVVAwbE7icict36PVkswI2mBZoUJej+Mimj0Ois7nMyvJKv7JPuZUgMk5M
chipAOxBk8kv91ftOgOgJ8PpwfiFKBU8wOWguar1MnMScWpnYXlDm/5RS9P5SI/betOoJYm57Ofv
+DzaGzfEraOEhJSwcGVZ2narariw9IkTFovTaKJDya097eg/z2+NLKXNPend/zAeKll0dMCE0dRZ
fWhXmibc81GclDal/Goq0Ysta+yuQmPaFVSEN1KrG8eB7ULOgRSYRRa6eq2oeUfT2GXziSSHIC6e
9KPTid9xGSQbI93YnTQlQSrjJsR462KhHyHbHpn1fIpFpR7z0H4BB7sFprvxOYCBMeySDEK3arVc
uUAPVHEIkrourR6IycId9PjQRdIy2PieGzuDXgyYa9IGWpNrMSkpM61WYC+xUo7+rh0LgeOflR3S
btKOlALTjXN3czzgoWTABDD21aeFfjFR01VPMcqnB5uE7UuVdv8pwk7ezskYbrQjbtRGJEEMWxAD
JPb9+tWaikYrzchSTxZi2MdmkPVZhJnqVb6vHjit4SFwKvRSU6c/mG2dPzVDomxkADeWk99g6wZW
AQKc5upGy7W2mzKe8JNDRf8Q9QUiXFYsjoIq68b03tieRG4qyYZAFE9de1qggtRa6JcSCkS6jylK
EFPPq9WNe+yqT8FLuTTxyAUlfWbCscuLrKgKJ+uXiGOynfKnUHDvGoWi780cwcpGRcVJbQMMb+3Z
8ITRRh7+pMpBlJZ+LKwie0xF9BtJJg3XtDI/5Amwl/s37a23nHrHwsJaAApXYbJTx5hiqpl6mmQX
PwQ2rrPmEPcPuJ58G9FrOwIHi57SNPuiB3n+xp5KE18B6sB5GZu4f4Mcb2v48mEPTrwazGSv5HW9
a3MMnIeNQOfW/mDVDB0rO+7oNWTawXVtos6vnuzWwUig7LL3vW0s6bm/RSO68QItnUpqdSB8QAWs
MnF9NtDGNQPtlLasiknv4WWs0/xta8UNsGCpLdwtlRdCb3/dX5FbH8mLgNYqfE0w06swYoj0BqHG
WYPkga53GM3/NeZgPqSx1u/vj3TV6l92J8/s0h/ACkpTV+fN8bGiYPV1jEPLt/As56OGisIPnob8
Qwpb2qVG1LgmfZj/tBFLB7PBU1LY0cbdcyPE4J4j1VVRMeVyXX3xGEZRMde9fgr0enC57t7mCIbs
OioluzmmmeUH2of7n/56fa7CmkVyECA8eBaewuU3/V1xtlHnHn1TnNCdrRfORZi+MUZoVoj6WNhn
crs94UEA580pkl5H5rs27UMxpMg3m9aUnLCI/kN/ERs+nabKXk6q/IK7r/UD788IbzMU95BDXjwJ
d52d5H/ieBgHL8NcAVXwvsmQ1FIQ4t47iIMgnFRJ/avWZdPbyRyH4zyhqf1imE34ZFcUKeAhG5WX
OFn27CeDRUsWXWCcdKRZNruo8A18n5Whf4ae1NOumpsJPpoaptkOmvSM6o+2uG+MoWa9Ez6tsxe0
fNAFGEiUCkDQikMLy+ya0UvRDlceWrbK0bQtTC6UPP8JYcxCsIRw612jWyDVoFIWyKvLCA0atHu+
CGVAzS33Z2f2kHfov5RzhCuEFPEv30QV7REPM3Op9tUIRWVBSUumlUV8tH0flaL7K3trU4MYQnhy
qZxAKl1duTONKKnHjTgBz3lnY5Dypols5HHysftjTOrw1EJixGOgzb7hL6OMAOLL5q02F+nD/V9y
44khEQJmxvOtwfJZna7BwAZW9wdBiTUPHukjwkS0neD4z6MsR1iH9kourr/y2P/ayLnd6Pgw+OKU
VpFz8HV8MjCb+v6Pg+hUalAYRj5dAgFbpxqjpRej2rbWKWoxXaiwmdvNsN833uSrm49RsEcBmmfj
4QUT6PJM4t+DEq6v2acxtlJ8LAL97ZLkPFS2sXX1XV3vNLM4+QszmbCbCPJyqGFIDNFGiXIqbKSR
MDF5n6gT8mkJuthtqrc7VYbjDv75FrzqxsAL4owEg6sXiuoqYjXjeUZXTigni5b0GSm5wUsrHBWi
OfvlqKHpxgnie9HQbe3G/ysDXFx54N8XoAvcQWz9uG8vv7kCfTqj5pWcncYmSaWqEx6aYk5fukaJ
5h1NMLyMCw3RI3qB8YPZmOW+jGZwxxmEUyPABsnFUVy+MzCo+Jkh7Pc5mrvqXa8mieFJNJeLjxRW
ohnZ7in3D1owWA2WW1Oxr/I580keQwx6aqGjrdI0Y/FUWTqS//iZZN2O69V+l2g29uyys4rKU9LG
zrwakWt0ksoAbTN9Hk+4YC1+40kanS3EMM9pxgH0JlycTlqVybd1kKff4wIzNHxsJJqmKVp+p0Sx
ki9xuFj5wcoYflv1jFqd1Tb6b832R9ecBnxU20E+h4VhNC/corF2bLQK809zCIQnATsEh6ZBa9Al
Ahh/jZ0pfmV1oP4poACTlcaNXroLolSirBbBe0ZPCC+RRfh6B+O0+Z1k6aPCzcT1H/gwekTLZnhA
aWd4M8XS+NCaM/YSQZRaDxXKbrgiWZONnbdMAoRJACm4TYh+165uRferD6HteNHQB/ug10V/UBOZ
N3tq5tGDpqTI2M5FRzHFqejb2zmVdL/Q84MaKP91Ik2+ZAYYDtamwI9++ar4ieqecaJQGH8xnKrB
/d0PzdjDaaj52mKPXmHVXXYntEnigyHL4LGSSfItrTsBALTsxNvQhPfihqSxvjuCiw82LoerIGHZ
vVQhsPVljakLXO7eoaFkSmgQndUmxJ1Kqspei5pi1xlIJDXIzOxKy9kSxryu7tIBseEicsMiHS7X
RElVqYzc6pzkrMQ04syhKj/DHpxQuFXKB30a4qNT5ekxKWjEh/GsPwg6uvOcaM92Y0X/moLCiSZl
oRBDG3dRVb6cgthieWXiZ2d+R7jX8QPBaWow3KaHERtMvtx4Wq5zQmJpkz4lTQjGhAFxOWCXptKI
k6Y4o6mLEYWtYBSAo8CnpMiad3PvTM9qgolOU2baEXH36b02Jfq3f316Fj9nUnvWgSddrl5R1VFC
x8lj/WwHfvHsTMjkWXo2bUQNV2818hOkP0QLC4mb7sTllwZhX1dWExp0JnWT0Me0dmCqtiqE1w/c
opGNHvxS0uKJW4Um3Fy6DTTNOJlGHbzYhq+5aR4gg4mQwP1Zu35mEElZqL2Apl5X7/J7zHDsZ7VO
jNPcQAgJaXtM+RQfcyQ49kNf2JRcO8GFbMl/5IcvOh7EF5R+Fp44qcXlwPkUAiaNGuNU6wjaWYrd
fA/GyjjIQU5PiTUgbTj5xd6eZ2Vrty474fJ9o9K9INup+ELStlfHo9En08mqzDz5GXrWSYsMM4aM
YEjN8ElLwmNbVNMjl0u4s4xCvh21+FFa6bFVwh/3J//1Vrj8JTyy1G3orsM5pcJwOQmONlEsEmWM
kLKNT2QUBocgyfSvcxoqRzVXgl3ZOtpDqdVIjTl++ZgIPKDrRigfeHOcvZ/E4sFyEuch0jp7P3UQ
hDW/7M42UnVPrZimPUSnk4ptrgTsJponu3GaB7TsENHMbG0X58g75TwUGzfQrW1FfYbclBvYvmpK
WqVlpbIzzVPj9907c6Yk4JZ9rT+oqfKNbQWfFnIMssBJMn+6P6lLRHY5p9RkIUTBq6RCBVTock55
9uMyi/Drg1Axe04XZW8iewwesykd3iGb/ow8GuTpmMcBOeiNx+fGTcjoMH5oJwIcAAR5OboIc1vG
IwFwHxWoneQRJjjB1LzLB9v5z8bj1g2NxsDnJsqqM8CjdD8WZr0h7XRVEuRs/f0jVhtc+naHQ2xo
0efpVW+UBttqoEZgtmhnoBoQ7e9P+Y19bKuUxlhqbGJIzVdR8ggjYujQeDnVaoaZVROnyVeBx+l3
RJ7n92YJ9tZrVScNvLZsxVdCIq3Z0Vipgc3oU4i4XugPbHFsztNDN+DjtagXzl+JiYD9RelkYRAC
FBefr6hJHojAEeKfSOrgfLSR8hWzT12B/JZ0D6mmDQ1eP4Pyc6wJ2+5/6TUyRScRoPENbZOhAZxe
rm9VjESTtWOdppEOf9EoyqNsavk2zvzuQM1SdVV6WqGwfDCd/bs4Bjxt82NLzHIODT4HW73V67Xm
B5GfLNVmFXmA1YZr8AnAFrKyTmD+6nOey9/cXsODHWbO86CPWy3E6/eP4djc9CEIMMjCLr8fPy5Y
1+ZonTQtEm/MAsulMOrDx41pvr4/uA+BiCMgQm8aGv7lMOaCNedmtk9GpZg/Fml9oGThWYt0+U4v
MI0JlFb5Kial+din0/gixvi5jaXyC+YbiYGeBeY+0H0n2al65p+kL5HOS0USebnWTxsIjOU4Xd44
y4+FL057jXtnHfvZKS59nTNZJ4xkZnCdgb5vFo1OQIH64f7E3JgX7pYlsX6FRq0PWmKVgxWVwj4l
QzEfAym1ozIjfK8rY/pgU8jB5G+Qu7p31I0zfmNkk6B6iSzheV+V/fNUYDxjh8FZm+YRO9F2PKCk
au1TqXS7KYSNUdewcP1w2/16CQUu55d6OKEsbXIudfA+l5uhsfwktEcrPA9NeNZRJNxnfYXsunTK
XVTphjvOw4xvoS/Poo+/CdQqNj7++pAtv8DU8UIlvKftcPkLCqM1dRX/rDNAGzJDxAg8GmSdq82g
Hzsw0BvP583xyCUWFx7TpLlzOV6CI1YwpU54jruqOQqnybDty1BqrR0klljwje+7zpkW8BBsMQyp
IQisezohYOh0qqkzqIiHekWmIOoSP5ajzN0pDZCWCeNNjs+NMU3quNCXFuANFMvLb+yAa9Nq16Kz
7o8jxh+QH9wqxLX2JZiUsPN8LBc/QgoFr5zorc3r0Bep7oZgHCE5BQEK0YaOIywqwdF4bmdL/MbN
J1B3Fhbv72JR56l7//DdWBVaTcCC6e0B41lfSpb0zahwkviM+qfb1pSe+ijCzBurcNcq9f/uj7as
8WrX0zEBAYxKHeHxK6bmr3pdjU2p2TpBfDZTObmAreKdbjaqJ6kqb0TEt4cC9IsE3ZIxr5Yipaie
aYglnoGtOW4XF/GbQg2x9EuaZmNnX78fJE7MnqSVxm25Lrr2WPUG9djEZzFXwREyh7JrDVQc78/d
zZX6a5RVPKJoWT2bMaOEAgHqTk1BCUr53lEr7QCtZt79D8PRG1iiPosm4Wr+1HHobadX47M9mcaH
CidRr58m27NDRT51Q7hVort1dGDYYomE/hr9uNV1FNaqY6Q9JGQdzN8BTmm7K/DTOw46oZQ5TpiQ
RJX1P3zk0l4GFM9HUli4PK82DjYdvIf4vJBmFoHeELcIw9rj8/GzQHnauz+n12E8OHSKOJRx0MBh
I1wOFwamEhrtkJxjDXViW+TP7ah8yCrjj96LsxzjN0Zmvh2r/F8VQHjk6PKQ2euQv8EkrBLTkCKJ
qaXchX7H5R4FttiX2dRvzOZK0hYQEMNw+VHxR9sH0NFqi7a53/ihSpkKTRP4HBCq2i85PBoVVwUS
MndGpvVRJZrZ0YCm+NlB6wxcv0dnKNKFQKJuMNTf3QiVbZ4x77X9GbVpZ4jnQ9vLuUPQeUi2ylw3
zhUcD04tdPhFwHPZmH/dSWPimzPmmsnZHrKlxd9Wx8hKomMyx5Y3wdjcOMc3LiaiqoWAT4NTAAi/
HA+6YDo5fkxVre6/RZTDH+Om/w0tZkv26ca1BNgcWvoCI2LI5cP/+rBq9GVW9nZ2DoIIynQRG16r
2+PGot84t87SJ6YotxR1zOVz/xrFyibNKDojOyP5Q5dNVazdAHUNXXyZ7HN0nHa1bjj7+wfpGny5
IF9IPchcFqG69SRmYz31Shfk50GrHQ9M5RKyjIGr9KN6dAAYHOuwGM7ZiOW5gU3wLk6l+b3U53xH
Cm1iJ6zjYiVjzYsEZKi6c6q3xrxZRLyx1g6h5dIFo3ILd/BycobOyYIA//NznHbJs4P54TPaCyPM
QafdWIcbq81SUySkWUWxco3paFsknWyo+WcdrSevRsXeVdMmO9yf+Cs+LUccoiUIBF6F18Dh8otU
e9DQXkqKM4QmA8C4MJ/82sy+zlX/eqpppdBzfTPHQX+ksFMcykSvXlAlpWZgmtUB9w8oPkr5uy6L
6AB4Kt8vdrKHHleXR6tPv+mxCdVbL+efATQ7L1XgoN3/hlszBUaB7igSdEQjq9BbGRZlyN4pCERV
jVu4sdDBCLc4Jq9oslWss4jlkPEtPB7QYJczFUABBOQnS/zXjYTtGPfRscxKJN+ULhPprhNl9CNM
4ArvKr0Vn+fFYRQzY7x2aU1o537Ux0++HpQf8tmyfvj51DQHadfxGR9w/yeUOj2nxrggrvFI1ko3
cfxs45zdmqqlCr6Un1/lEi+/YZaVqLARLM/CKBYhhBbB7LnJ5Lf7K3KjAgHjCQVjEB+wJInbL8cJ
pFWOYyujMxbeyCsMn4uBdkoy0A1rqPA3e6PT9nHl8AKYjdeNw2MzqC/FbD/c/yE3Hmgq1DRG6bJQ
RlWX+fjrMhNoDbCgi7VcUUL8KsrxMTZF74lYNkc5D3+m3D50flt/EvhwbSBBbswCgSqpsAM20UKK
eBUeaEmlxlDy8nMtehsOqTZ+FhjrunCKrGMsNB2Ta6HGnqkW4Quu3fm+tHrnCGk19qywNve5IYoN
odobbzrX18IbhC8FJGgxqvx7SuDLBWEoKOzZYgy+100ywekFxfVtsnoF39FKLxxXnZwA7Tojeo6r
WjwYAjad2wWa6u8j/taP1NYo+474W+8kjoV/Btw/ajfOfcx3iFbUrY7Ga+B2efgAn1NPoMFN0wHp
lstfHfvZmMIuJYdqjPq9qELrUxosJbiABgW6UQhOFjvyD+l7NjzqR1akPKJKHWGZHJXO4GEY1CWH
Ku+MH4Wvai8tH3fQ87HmnI0K3t2d1cWQAX2lULyGuxAao9XhGmdMenLqFQN2jl0qzTctyvgzeILO
gGZr7+8xS4zfOVM0ObtSVEO51+BF46sosWxBjD4w8T+yRrg9gQN1oJG4afR+qVgHUQHP3Q8OSvWY
Uou03M1Yy1CrAq30qATYejyhL98cKSzomUuQkZ8tXJ7BC9dz/QsjITQUQRQoO7JAr43tt6gazady
AKQxm7P1s0AlpnJ9Q6k/dq3eJZ6uhsN3tbYxAwP9KWK3bJL8p+/3xbc2na1hT0SdP7QOaixe0viY
z4y0i1PPUHofKNE4KupTNCRWRxWzKGtP435HtNe3wZ1UWW6e28SsdCqkwfQLK5Gw8ibZ0EGNkVGy
3CRFidLtmsb5MxklTdmNo351ty1HbcG3UfG0KP6sNrZQDDOCIzOfrSoBQsR9gGhkVZRq6mqRk8JA
nm0CwG6W+VGR6aB+igG6Hno9RwUQpIiWPNMTxHasKWrxWx9H/6PZt35HzwXXq3ouMOFWUEPEsw7t
3v/KfvYxylba4RnePQ4wKUvwPupI6vZdYOjfIqcNM3eaa5jihqitXTxp47M+tjOs3LCuGDrVBQ7s
Uv0e5fr8uVBTDk7VV6XY+amanjQUtmg2tVOS7mHwpr5XFFFe7pOxzH4Y6K3qGKZgorobOPHEQBLL
ca9LHVI7uy/FtzHKm8c2QQfDRZAzm45m3E+9WxsGfZgxbfXaA44VHOxmAseFJ5M08acqe81VYEy0
ENcnaDZ2mKv7vJiyXazHMvVEhRZDFZjhL7/E8wfAZIBbe5ZqVvgEt08hAYhF+Eed2+ALCp/xBy3s
Rue5qi0UBMuFqWAIZVJduhtyP2Qz+LQhTZCKV0Q2PyeQpnNsJSzjG7q2PpdlFwTf/SqAhD/oPTy5
wQ5hh2O7oHiKUvkvYZIlxdugTfThKfZNtT86E7izw1wXxYf7e+yqvkhDcAGccHss6J61DzRmkXEa
dW1zHmIn9cyytJ8MvT43alC7vYlSqZkOP5pRyI3i7XK7Xdx+8BUgl9G3pm2xCEZf3n5TTAwWz1N9
LpNUeEWHpHIR6Mgw+kZ1bPtNttmN71yo65SQeMTJaFYRVRPn2ugYPuOl/nOX0n7rfOEA9s2euzo/
sreKfaOLf85qiUL5RiJNWo10P1fD6lagObPeN+dwYUQvQvH71EKY//4iXsXwtAXsBYoKXokyyDqO
a+aM46lm/Vmr7PPYhd9T1ZBvBqPWN3bLjYEIfSxqh0Cm2TfLn/8VfPgtsjiB3nXnAmHsHUkLHE1a
AoekqrfC+OsNQk0UDBZbhBI/9b/LoQYN1ALx43jOER72uBPmPdRK59meUtsbFwz8/Tm8biFS7/17
wFXSG4sC0FI3jufZGLW9hDPo4VPWeiLREb/gNTxqAFY/mybPchnGtUvhvNgIZm/Mr4kGCAkZeAqJ
7tHlRxt2EDe1I8ezFPmfQprJSz7NGlGA6myk+NcwTD6XrHaJmdkzlBcuh7LqOKnMWhnPo64VRyWz
+udambJ9bQzTMyAJx6uCIX6fF379EPCjPcBp3U6pzK1fcuubX0W2KTiRhqx/yIg1Faq/uPBEgVG7
41CZe6sNi10iwy2tMu3WWAukUOVQLp+/ml+kYEDvpPV4bkxxxDT6v8HBq6aqKtfx/aPosDMWwXEa
q0dQEM8Aqz+2bEO3tIXyYteTCpvY2ojnb/wkFgCwI41EiiDrvCLqROTM3bLk1pgeEZAc3sUDKMda
p7D07/fEImZFXiwBa1EHvlxzWaX9ZFADOddmCzotiR2spjHJzAQCUveP03VvmsKRRQ8RYwyIaeBc
LseywEEpYWBo5wEUL/mfaufqwSD2yt1eSrh+0RCXiifHjJA3W5QNP6mKpryJmhGd3Jgp0xf7seJU
8XAO7tT5+F0QT8eLlir0hnbxSAUFaP2YIYq+S/F3Db16HP6Mc5H85NXppudsUOZH+L88zfYINu1l
9of8n4tlfCi/bskOX2VHlwX+6040xqIXwWRNZ1MUAroIrrghZa33NBeqjfTr1l6hL/t/UCuqmKsz
q/Rdr0yJMp3l1E+7fFH+C7MMxv8UTrv763frOuTF0lF+pmC6XMKXn4UWXKHPFmOZbWR7RYs7j6FY
6J7nyJoLJXyBIaNgqx71D6zHm0GXxcYVtYxwGSIAYaHkjeYAiSaApdUvkIo5EnxP5yYF9o/2F36I
QYDeqTLzryjGf0vVIneJM7E/vP/1Nx6f5bWmEw7rDzLZ6vGhyzWbYZfOZ5O8BmMreoC1NVRkRwYD
j9rGcDfWlUbr4s60AGdA8l1+aWWldW/bk3qWsHvsSK8+iUy0j+MAFf3+h9249qFuLVwnoi/ST7EK
SLqsaeYyTc3zDJriky/p6cfS4ehUFdQut0fI97FQwCG4uZUi5yJnOeq7oEzA9FSN/fn+z7lOcBZU
PCVg1pe64JruaFRBj4Co3Z+TIk8gF9fSk4P+z1gNtMsXRjS1rqV0s97KuS6jqtIraqgGdrWYpvLN
uhE/aq1T4R3fahsFiRtf5VAcMZd4DAHBNVqAejwSHEFtnFVEfVzMcnOs52V7uD9313t0qdqB9ZI8
40vL+nLTdGVTUzBvrHNem/lTAhnmoQtEeCSPGB+mXlX/Fd3ENbfUsQHFLyu11tj2mwrrZWOyznRW
NMwPHbDP6hBjwp3Kh7aatsCY18cf8g/wJpo1qF/yz8vvy/IATQgttM+aHGGMwkqHD9Mqj0FFwU2b
68abc8c+zkr46/7Evq7P5cXDc/wKVERy1uASvBzZCltkRGpmFqes4Y9hEFQHSoonWad8Yoqb9yWd
8l3UOKDu1RRSThlbO9q8xh6RhOmtFpqpJ2PxoyFCROgvzM8OesYHv7UNN7LN/GHj917vN14fkihu
rFea7eqibBKsvsZO2OcqxcbVgi7k2V0Tf/MLZNvUAfVI6Q/RjnRrelM0eUl2HER7rS2V3f/j7ryW
8za6dH0rLp/Dgxyq5p+qAb7EnCVRJyhKohAasbsRr34/kO2/LGpva3w42wcuyxT5gUCje613vUEF
fhfnqPATMcHS+fsL+/G6YFHAatiQCyY8b+kU6cjt8LI5u09tyPDU0nZSYlj5s2PiB56KgwSdHQkT
Fj6DzJfvHxf8rMkrGWbfGyCTd1HfG3Ti8wCJwur09NLOqXsX9MAHycpcJTyUGbZCSVFYVov1n5wE
wZZBe1Nx3KHEyovwE5FUg30eEpp0asosOuZlCZcsTBFnx3NXZBPIl+rX3eJF+m7pPdLF/IZGOza9
UrpkxXn1O2zGV5LSG1njy5dHqCEgosfb7HHdB3kpTmUUjfVzQGIDVhdD34u4CvxqD2jTvo8GtPyj
zMU9x3P9JcgKV59wpGqeeulG5b7pCvs+XYPgQEdTv5h9m0ssO9K53vn8Mq/wDcw1Zhdan21HEN+l
9ILXhDNJeT53g0z3k9VbZ9A+yi9FZ5UmJ1tFrm5Yu7LHws7vLtQgy689NSkO53a2vu9b278p+6EW
u3YVznVtYzx4DAIycPAEn8csHrDdY6yTdnl1JCJ8JJe48llXPUArvKlZ7+2q8y6NLM1hanXuRB53
6QvrJ+vhB4AcVIECn9UAaQoAzfl+OWCsOfRBpYv7UmNHH/mTvXPqQH9QroGlizMSSh4Yzr7tGXet
+Mn9pEb7cdvi47/hdky4GGy+KR2KlYQal8Tc+0Y4H+o5R7ySCz8JyBQHhA2GWwYnazyN+Jv+/du2
/eDvdi2MVimSYJXTw+DE/Ob39gsyawZIBPeMdeTV3AbjTua+dV4Cix1ImM+uKPqNn7ziP9xsj8qc
05s3D4YCHev3N9uoeC15nez7WubZox9ydwtSx/aZrMyD14r00BFGFjeia7+g1O1/ciZ9K1fe/NJw
I3CahRyJX8Jb5ENL25q4Avd+zX3IaPMQesa+tL3pZg4X69oqc8DetDU7J/bdbICSPXrPjnIxDw7b
fsRFX7bqYqQnmg5j07jXMppwcmrq1Zx2HeURTpMEKYAqRmlzmMpMQajFqifGbW/I9jAy3XLntm50
JuhnKEZXLPd3ltV02JMBiTdJKeHcwzvu8SvMAs2x9feP/YcygFvP/se/iArDM+dNT+DrUk6S4uY+
AqaFrBXVoCNqPXRyavYEgRS7v/+8H9b3BqB9g9GYrkKm2K7nL+1Ohvk2QZGlc698Ka7IOAKK9dKw
eurN9lFI037u28l7JgxR/US68MNxsn0yjoPbmJpj+e3sSTqGUraxOPeTnN24cowqgXjzs0PrxwqZ
j4F2iEsvNxPg/c0NraN6nuyud+6LJWvPi6giM9Ory1MtAJ5KvWZY/9nltcXD/egt4kOo3eIMq+qf
ebz90BRs10GTSAdNBcR89vsbXXXuUBbZ4NyjqFgezalpT1HHjC/XRvbu75/p/+3O/vWj3pRaFHS1
67Jd3tch2OTcGXVCWfQztuOPewXtOQU4YB4GulBLvv+FisAyMVsa/Pt8cayDMIv6DOa4Q0Tn0pyG
rrPOM9shassc1qtFWNZP9scfO1pITUDd0A/gzHM/39QJhTtx1vupe9+5c7gvw/pY5GUVu7q/gMj6
PDbmtVrHs9aVN2NQ/OzTt3v4/U4Fe4d6nVba85mqv7nH4xQYpm5y735d5/VqEJZzh6tufjUKve6w
oZguRNU118Ix64+yqp6attiMbGX5s2pxOwfeXAjF7aYX4zGA+b85J1Q0BGsga+PelHQPsRVMDLLx
Z9E3kq/d+jUpsXHfzJ2ThLjcfZ2y4aTZZFGUTmpJVt0V1q5fo/LT3y/CH148d8MjEXlxmNhwz94+
HyUyGNjQw+7sYcmOs+ldhtninAK3dVqic+rlHCtfdUvueHrsy9oAhRDNi8qc4mevw9tXD4EUsjpa
fzA5Ssu3JDErkEXuAzbfNZ3d5zu1GJ3Y2zmVeyR60SSITRhVeFihrJdRZ+SI+eseD7fMjfSHkO9N
dzP+7AsMtsFySGcPq23+NbnFXq6YM8Wmq3y2TZjBOIs2a3OZBtUUxLIVxklWrve5h4l/yWBhkmhC
C/UccowOMTqSbtpi4cdP7rC67yOzKy771mS04NAtRUnboPxLarkhZmUm5nehs2govWV9QYCgh79W
2dgxJVtn7yT9i4GLSbfOYLtVU4KuMO2NrbkufhZP9YPPytZFUSig1oTm+qMRkJnpxpq6XjxkrpD2
2bxCuYl1nmHyWIyhsmP2e/E6Crt6JDZIgdetQj/YenBOFN3Vp8IiWT4WQMSAhWWU5QmGvGAXFuk7
X3+yDrd94K8vCNdK0AhEArTu0JXe9hPV6rWqLrlWBLp4Woqw0sk49taxdszh6Np5e5ZbbX20Syke
ls27Eu7FuLMmIRJQz5+ZqlhvX1iyXBi6wDzZZBmcf29qLJx2i0X2hv1gECaCafoJSHpv+R/zEBxD
+YfNzqX1X2qrvPZW7lw7ntxZ/MOqmotAh0DkKkY5CC6++XX85djHacUbvNQ2H6p28BOkmDyBdfGP
I+X2ea3MPu66fPo44RGNiedPao4fiEpUtaCe3/RlnMrsoN8fHXrQXhr4dfCw2rdFdaWsm5ahbOgM
O6wqd1uwmos7b1ne+zoiye3DguDLcbsk867q4KyX4d5trDiy35dNeTRruf/Jknnbgn67PgiT7O/b
9b2NRJvDaTaEVQUP0GOP9T48G/dhPO/z+O7vP+jtEbp9DkYVjC9YnaB4b+6DO3Uz+UHcBxHbCa4o
yRgjQol/VuP9sBW//Zw3RV7hpN04+fw+ZmLFKsl3GELu9mUMNeT3dfUf3+WbqP/6T/78ue0wXMkI
8vv+j/91VXymym6/6v/cvu3ff+3N37rpXpsHLV9f9dVL9/ZvfveN/Pw/Pn/3ol+++8O+0YVe7oZX
udy/Kg61bx+Svbbb3/yffvGX128/5XHpXv/16+d2aPT207KibX7940tnX/71K+fYXx7u9vP/+OL1
S833JWScK12/qF/OVPXSfPnhW19flOanmN5vdHWU+KhVHeaC7FbT659f4YRgn+KAgiKy5Uo1rdT5
v341LPM3qixIlkgLSFNE6PvrL3hB/fm17WeByyA92SaN9q9/3oTb37fB358PN+WPP3+XS78thb/s
lugx0MtwfYDlFOXBt5HbXzaGyFkzIXLXOvWdcs7tSmAR1Bt1wJrpvF1bRP0aN2ldyAO2fT3eBHBX
pCkgEDrTZS1R1sSWMj+VKGDOcj+7nTOHAMPRvo8q1wBdpL+5Jnk4ehyzdP08EoQKS8Fa6NHcpTlz
U3XVjpP4HcH9R6vyvwel5UtVvDS/xIN8fRl+ab/+8qBfNI+t+Kz+F6zADbj8jz+f7Q8L8MhL0KjX
5a8Lb/uO39edYf9GWiXoHaKzbxbcAXvR7wuPLzGPoYrGzwZjWXwX+K4/Vp4b/QZETHkN1A4dj37t
3wuPLxHxyubFokQ1aXv/ZNm92aFAHVhrrDcLBf1mRf02VI1GQ89rkNGIyzy68I1UvDP6obwO2B8v
BsYnO114AbPCTl9FplLn0ovGuPWKnzlSvuF5/34l29YPSs2dQGDw5mxK66YMod0xRxEt1ifFx9R3
ikvWvfWVgEe/QUSUfwwXL79xRZ5Ra/OyHyW2Jc9aGV4VZ8hq79xVuSc9jnUR92QU3hv4bP8ELPke
IPp2obyoQLEIH8JN//D9hY6+cnA74pb141AejNJwjrI/D9KM+ACIbTVC95/QmN/M23//SDBp097U
6KjOtvPsL5sDWEE4pjbFaFskQ73maCXb/IHty4hNf2kPEM+dnZEOKI79DOZX5sSOnp1YhYWI3XCL
MgeWPk7C+yN16R+94f9/njtbt/L/fuvj1+pFDuqvL/32Db+/9I7924YioX2LeGI4PLFEfn/nbec3
hsBYNzDNZ6WTMfTvV97z+RL2WXTV/z6h/jhrPOu3jSUM9xd2A+cDddGf29H/4Khh+vPdWbPpKJj1
bw4zfJLL+fVmOY2zgzk1w4Qdp2LmH/GygKIbdevSHHDmH19t6EkfawyF8sNGVbxn7YFhd+ZAwhAJ
AXO8mdaaca3nYo4z6SwvRSAglGZ5VLyknor8uA/sPoxtmPCcQrktwjjSofOwDqaBg8xquY/YzdSP
mEQNMtG8sMsetdlU0MYIxJqqtfuPg15JB2i7TK6kv8w28xenC7p935GWGtdGW1qx22u81gaP7PDr
OS1p/EvTqHar6NvH2R+m54KByod8GsVjoZwhvSsUfwszB5hPyQakXBh+idddQ6orgvhBel7sjUN3
Y0/Adjtr7f1nApK2K2Dy/GhIa+ImDARzHWkdiavAZShX5N6YwbHquSHHMnX8u0orDGui2hfVsbbm
sow92g8jLq3auVyR6HYn5kut2rd1Xn/wdDMHSTXXwac5i7qHash8F0Ey3NwYoUfxOcIzGnVebZHz
ZenqfatKWxFLmBLnOeemeghWFX2FJOdde3JUGYqDgA4va0w5XniKRKd96tYm3EBZTiGDlKVrT4Mb
aBGP6FHbhDNgrsiH0dN8VtuLeVVHWWfE6FHt/gbXyeb9aM1ZmOihJ3/XrNqlTZa8ry7sOm+JstD2
ua6pMWKG7sQYCZU7X8sca7PnNnX6eedklr7tXBGNZ9121ck65gH0X5rnMDZEVRM3IOuCrssvxPsl
1RMlsugbY4/3rRHslbY9PKRGXydZW3prPGA6v8RKlR08Zt3a7xpsTiEvD1GdxfYaMj5Ss6mNvd90
utwHWRZNOziqOK6nKFvsuKILfBKNV+J3PNY0xRuK48dzGFR5zAR9vMms3Pm4iiWa96TKOXdFX/kh
1BiruU6bMH2YMk9+GAYO6mSwggE+aofLZIy3l4kCZq5ZT6vVddtUaqmNg+mo+XoJMtIaaLbnI0rc
ajwT1cob4lTKyU+h3dYe4bMlMV109kyMUHQbdsyGUIm9Dpr0uWM+sO4kmVIkQHRefTb4Qnqxo6zy
0TYX95JJGjaPddO1z3DUqw+iDqoPmJvRYU4uJP48I8qSegbe8ggAdWuudgqCYA44V0RQmquk973W
iw0v9TGk9GX+gWy32o9zGcH7daYe04s09EbCfzursQ8NdNtLFS0+lsRrJ57MrDa6XWqPkEkQZvcX
Bkkfcp+aU+Ql/drr+ymofSP2BdHuiSRxMo8LqZuX1Mi7AMOpUtxjrO4VO9UivNgbveN9WdOuudVN
D8l3LkLrnBSF2kIRk47dfpV06ok1hjrcO47S66GxzKWKRVcRL+OLuX9Ahrx+NOyl8mKIL6OHpLZt
3IMrdNUe0sUX/nEGvvugon75WouarUwHtb7Tw9J3hFE6cNfK3KhOIm8u85IyY4T5dYcJkhoJ4bDg
22kUcx0TEks+2k0zVvFsLv7KVjLP76pxaIekwlRhSqawYX1Z8EPWZK3X9VMBHe7C65GLxK3ryRL7
t1xfEea28CiGbh4RG7h4B5Stc5/NAOpnxLsOt1oOfoeAwTb7ZGjbdYdEoV1jnCmDKKalKr4WiDcv
yjQjGMHNQ7M+wgIz52Rjppw4H0q1n+0aCLLOVfPsqcF4zDl4vvotVux7Zw1sfrVe1TX23Kp6oAXb
1gY4qDwbu5KNqYb4HcZrW0B+R6EXFaz/2fBO+dCFD2k79Ne5wch0327hQPvcnVjboTCcKLYb2X8O
Z0/AzjNYKOST9O4n15yr15kw5vGIB1rFCmnz8t20zNNwCBwo9DFjv6g6l2E4Yk7Rdhh7dqnsJ2z4
KCkTiPLBhY5I7krqbAyLo9uA/e57UgJfFaoCBsFp2361ZcX5ECmT6baP180Sm+Uyjoc6nwNSzEIf
J9g+X/pmPzKJOWdmC//cFws/ts9xKWI8vDZNnPtCD/swXdh/Qk9xEHD764tlFYYgBaJ1JFsZXra7
IV1CI2a6Iy7w++vNvZFV/bgnL48Q7KrA2g2lT2N/DVPTfhKp1TwJYyBwN7ci+ZmdklMvXSW/6+yZ
4npJXV/tMr/irVmIcBpipAvmoeol02zVGahBsnli6bRBgKMh0RxggEjQNKTpTVpyhHwyf16Clp1f
CTaNMqOCTmbdRPaFXsz2oEZyLBihi4BfSQxWv+8kpBJMWVkX54aFfyp6iah5zvJONJjC2kTjsWnj
iqwgKM1JYy9zjhCiQLTuYPS+x3RXBvSuxNVjRRi512HEUOagFjFfpSGxBfuUROznqhl7QEnHyF7n
SEYhUjlZfDKl671TukeLgD4wgM5KCpAFr9F1LxtntJ1dXuDrEa91AXpbrYO68XOM5g/GDEMLfUnm
TPdWFa2PU7NlyWHSVblk3HIDdt3kc0g3c2Nfds6Y2zcA1OW1BhGo4K/m9ms3LwMqobaaHpd+CVXS
5JPzdVAUHXE5u8uXphgd9pheljfZmg1ZTJYuhg9zJk20Du6U+vt1aDCzBs8cMEFj6V53jpuPu5K9
czjoqdK3/phlz5SS60mBlgdJlslexj3eE9nJWYcegxAkX8/oDit55jH6fx8VQX9eLHb7xVT2asPi
MULS8wau8XyQjbz0O8ZOh9weTHUqDZ9s6cIqoinBiW0c931o5UC+TRHe0XEMlzJL4eTJYAy7Qx7x
dsJ44MpINLXaWzLqljFhIG7RBeIfwr6/jCJP6imkCKN8LL09yW6hE49kKvbse63Pjo7BbprMGVXF
TjtlM+7zVlefqyyCF5FiCC6TFimBHxtN57wjAmggXEVkJQSlyJNTsvZt9aFpJ9DJ2TQ3jLIJZoIL
/aKQCYXBuN5Ip7bzZPGWEMYbo9LiDNsfjEXVnOl7a3M12S3tUF14VD5OompZ3A52lz1RhiKScGZt
u/FSgDfG7uphUFYwffZhbpj9ayGL6CKExv6FSTlP0ifCdz0fwdmHYzGz+k92j9XEvnJg1rPUPZOY
TEqWW23Zmd7NUutHJEbhLRJOV1w62ZSusTFntsJ8fUVmzv2lOuhpzJfEzTDtJHpzmcxNrGbdDsPi
cHaG/hY+ni7lwJjDdR7roBs+k7GI5MJYzcZOSG+e7xzJXHuPH1VGWcq4PYsLVxX29VCTOYQYbUw9
+kAnzAmy80fF/3KG2m8PUzc43pkvIipRaePVEDdtIJ8CKyzHOMhIz4M1PPHMPScsn4hyG8pjsYqV
zBVd4857XviG7VP0uct47NCJzYeyiNb24FfWEgzxqFZIOBUQ2H0fjiPkz0zZ58RKTuPN6jrFtHPS
vtbxWHcVpqKuVewQyRdfSaZLy+M4jsHnNMJbOq5l0EeUZUqHrLBwjeI0XDbz1MIRTSztilQ3zmr4
pKnFxoX0id05EF14D9lveFgMI8v2I5yCx0pOyBAaEYR3A+4gawaFLK7ajv1FkIO2M2eOfBxc15Bt
I2zDnQOX6yMesESDhWutXnVoT2gCuzE6V15nTomUJju1qivPP1TszOXJVhoVcNaa3sGqp/mpIYUv
3Hl9SZnJivN8NgtLHVfEnFCAa6/zkT03A64ltRc0DGNsu2RSVRndhyWXUH0EDlLVbmoiczw0kZPt
mAxF5LXPE5Ge3M0ZhgI3BGFiqbsIlpqz1fSRclasxcqyPrNEp65AO8fioJeoqWkreBInK9KBd2pp
N/Ik6/NOxU2E3Xfs2AWW1r2KWoNJ/VhHFyS9DF0sq6F4cWXg9Xu3aEbnbGpE7iVwfs0PQ7QVFjbb
4MkSte4uykKnfqK/HUQWBuSHAQttFZO2zpY2GF3fYuS3rLzsFIFG0uap9aKCko8ZWUrv+mYZh12+
6MjfLSgOz/qgwxBWR9Za7RHacw0495c3MJlzYmfyPhqSAUlXF+vMdt/rtd6I6nAu7N0QzlX4UiFs
lKfFbbwi1m5uCThWEePidAi3QOUu9y6DYZhMvP5Dn52xM6Sxy4PamRIHb+tnLDu6m8oYvexIU1N0
9LJzOO9Nixya7SAII1ont7+b+6y3T2Pbdej6YFuuu4K3J4SW76zoXPycpbk2Xn/fo49049EXvbXP
4CHdI8+zjMTn7MU7XWdiOpl01AhGLczJm6Aadmjm9AWMUbzIoV147P+1550E8pM6QUJdP25rnoGu
jRtmPANKFHHKBq7PutFVDua39CJHo0TsH6uKVKDToJqygOCX908UvPkHHFbVl2g2wm2fj7Iprj2k
XcfOC2R6RcYYk6pUpv6D0RXjlNir9vOzshizx7rDqZD31OleVtc0nozF9R88YJDrVRr8nFHOLCws
41sKKaKz5jjFa7YhbKBLPwWQQ/DrrUaqQ5zIhLkLMHQvD4sDJYjKqNT3RkXyGBJjk/456A39nGIm
chkhNUOf1ekt7JeAyWQQo3Npa7f9UBfsKb4qhIx95qQ+1z2ZS1I1btbzf6qO62gL8SpURhS8wGPY
SYwmM/em17b5OXFq1TEzyjFPhrkSr1j82fUhaus52DXuUAU7BJ5LFEtduvRypbm0N60SwdfMB8OP
g3rEPW9SRfmH1PkfYW3/26Y3zP//Dkb770a/yM/MAV7+iqR9+6Y/5jYbePUHXm5t//3naMY3f0Nm
Bm1zC5YHJN8+58/RTOj9hg0YmLaHZBColq/9A7zMYg70PeZLVCAxSSDk+JlvVrPQqL8HYLvFFHZX
hnBh8wHtuLTrcyGsiF60Ps8cmdqoIhXrdaprYJCvXUAsNnHekJmNjbFaiqCPMdCuKW3SXuBKvSf+
0lHGlZNnVJlJFZJKAoi8YP2cXsObdWeCX2F4ejJWS6uBmCvyU+cH5XpuaexXQPp5PG8cnxDV6yw0
F140t5F0ZNId+jyR+O24N62erfmqS0vLjdeI3fJEzOEiKRv1SMpjjS74s3bHEI5rphGtkcchu/1Q
Z9I+dnO11u15IzWOpIlOFbOBOO0YqZ6wiQLUwgQgjUjI6vwSv2hSFxxt7kZAqm2/99ZLnNd6cd3p
QRXnqqi6sIkNv+jbz8hga/1+hVB8z8OLdqRNDMy5SgsDqCvs1aPpvVDesrfCjPMunxh1YUIa9fsc
N5HuLhq97olPaF6iqO+uZ4yTN18MUnwS30799sSMezlX1upAMUP+lB9TqccvVeT0+mKpc/9WrSnW
j/Gi2pRBM3bw+JfQd37QUdWfbemR+1X57otAv0yLDbRhx4sD79SozTY6otQE8UEZ9o4yRS77Am8C
3LKkmLLlxM3SiZg1YEBjVlPO9gIek05swud4aLbvmREsO4CFrU1c6+BijqBHJMYKgneYVJ3uOjQc
uJir1NxbmZcup9ID1DjOJCK59oPMWT/vFLbC5VfCubN8RupsEFQ+Z0VwY1T5nO160wj6RMKFs8/8
ohxKnrSTRRcytHvxycTB5xhSqe5gjtUnQJHsYrSJ3chmP3oYcRuLADsW5ol5UwS73hfGzUB5vVN2
WCdqCQJSyg0a1GgSt+sCGSw2RV5/JHQ5pxC38R6yshxNtttmeBEZHsYPs7ADRc0NjFqlRnoQweKc
zdUg39uqbxsI5VvQctqb+RPJIdNt5DucTR7xGo+rnMchIdBLz18b4DS9Rx82jXeNR4bzin2ouukX
h8e5B+DpWzRVzZTm+wYFwUktmR3Sf8x1UlmOti4t+Fr7fKUXuBrrymfBlIxdLhrBj7goZCD9vZ8b
GaYFaa4ivPWFUYW62wOFc5WSpKZ3pBU1IySRyjmYubme0omJ1Plg5IR9NGSd26+8wfU+o449r3l0
xiUJV646ucs6uqwJlcJogPLyrgYGy28x2Jl3vUydvQocdVCVXjeA2x1fJ6913kcEjJxsD7PQcRhE
mtgpUbjxiJXglbbX6iHq8DMAbGmsXRoB17ericceoKTMdkG0qhuRw+6+kEgTOLPR/tEBD52eMfMI
vHI3Ta4X7aNhGvpdkDYZmFRWtmPcgJXvh2ENT0TCdvuRuD/e/cER4ZXbWZl5Z5oDWL32qiD7TIiR
fE96cdVdwAUO51NmjEocFiMwxH7ICyff5Wu+nia7aa1khpeUXs4u9JMR0ShY39y+78esfdKLPb1f
wFt3oqalgm2us8SRNgc4FXVulcQfuGGN4YAn95Yw0/N1nF1qaZHdjhWjlWM2KD9LyjBrq9joJmqC
0ggvsXYpr6DMgR2PZSSv1BiN78Op5Z946rTQuyAfxS5g2LmyIBbcMtwsxQwh9edDO4zBlcpV2O/c
OmzaI5BDP8TDEqSwCle62XDAlqpJq+w6NMk+2KFtsw9oQhr7o3TXMdp7S29QybXsHcmojO5mHFft
Jqoh9cCo5xW4PJtIkWIM7O+iYiyDq6kfvXdpyPYNWLaOCoOIxbbiubfVVWNYTGDxoJi9Z1u25S2h
ERH2IcK3lsRrZws4uKLvuzSQMTy02EleljKdH9ogEodKGbODlaxn3ed97t7g0Z2+g1bQG1/XWuM3
OzctZsVLX2d+w367oBYHN013XipSO6nXxdMVJxnCjmzXAHml71TtEBngLpHZozFli4l7YH06zMlG
jByQMuifbNq+oyoK7+PaBjkWnb6ezASoWEQHH47YqcnnDlFwxuNzGotwTw9flSYR7oYXFvZWQsa8
8QXEpNm4WJ2OyNmU/encSGumCVHaBjNJQGl753vdUicwn/WOkA7zroW6ESbV4Ll3UWCwk4fdkj3T
+k1PfYq5AqMfMLFXpSzvQ86+1MfKxlhstKvqaG4vUyaQjlA/B46A7JrbYexpFklcalXedOAx5j6d
y/wqG9xh5IQbp2g/2oHudpO3Ns4JtXAL16wN9LSlK+Vi+07dfup9tX2Erjl9bVFmJ1vIzjqp0Zwp
aR3A+23MtnZYbuByHm6AUMnxrjxXVRasxLmoo8eoH9wYNAfZiKTJqdrY1j5BYXASsR3pTJnWx8kx
2/U8CCDzhxiANjAoQV0Os+8prmhgj99mJDmO1I0J6y7NSXLdWbl2DmgO1wOcsWiPY7d1CGqXCJck
MMkdATy3xvOQeBObe2X4BHMOZt7ifqNr89PUWqbod03NAZ2kFV7pB85463auGc5x7mbBdEPNtLD9
lRW515q7lVUFNQ8eTN4LoIAbHnMCKDpGKHVkMOVqSovQCVlgkRNBb4wFB2ED6Dsb1VNUERa9R680
ICuY0i200+6iA8REcW1MdQVy1y04Slp5U0uUNYVozqy8zMyY8lFNR47c6YxBAyk4luG6e84kHhOa
TkCVVHthmwg7V5IclzSiofJWy457b3Y/N+jnMsLkiLJEa73o8X4Q9VRdYT5NclbEtkdD3XTzqTEd
hiptWNl3dg6hJ/GwXWUAiWXie5v3nCxvl5P2KRWL+Wh2K5c2lG70ZMJzRYVWVc09RpXhx2nEgJ4w
4qi7SscR5/WcrSqpcJoEBq9Lek1NKkexJzdgvCVeBcGtJSYnSMIN0H0vsjz7VBdAFUmqhwYxmUgz
93Iw7KG5CFfDApCR0uOcYooHxpIZzhd+UoQXF44x92Hr9TOjkoyqBK26+6GdpGmOsTB1X+5ARJjX
eLa5kiiEef+ZNkyMqwq1omnMoWD5MRhkBxIWrYQROZxyH7shKO1Eqmw2DpNpzATdOTqryN8J5wmW
opy+EMC0fFisLWevGWc9HITVA3MFFeTKWHaRf4fLyeQdmcN089NS6rTbK2+NWL7dWkaHFGP36lBO
MrrkEYMcTYbwT5KX6o4gGvtl9rtu865iNJ+IAWJY4uL3zvUZg8CPemqA7+XgbiaXZsAWXrju6KNQ
RBRMnVsG3bn057rZizqM2gtp9o7RH511XZmfDeQCt8eqsye1C0ofGHlwxRdFKpCRAI2iG1RqNOhM
cxLFyAOEkFpOOnwYbW1Y583simInTLNpEdWUGPFsRmbO9bKmlCaVynvmICqUVziKBxzaIPyKTt1t
XwYpfGoQfn0QUjDJT6OQmb71mjxPzzXYFQZYOr2XrB7v2HpAiy+9ros129UDHjsGsoP+nvH52t/h
/rSySa6zMKwEHLRnuJ8Kx3vq14nwGxSJ+QXqxCBk2ICn2tGJ5tmMU4a5IMVBOOFmZ3jW+QxTokk6
oJ0iHtoxetJ5RCbPCAx+6VFyMSstyV0k042x/t6ayOPZGWXv96TiThkYO0eSwLLbc8V+mc0CZW4V
zec4jUzbmKFDEhqkNZzynkSQez2rGbWUsYZnPdNACAsITLdAO7MwD0Td9BWPY/Qu0//D0Xksx41r
YfiJUMUApm2THdXKwZI3LNkjE8wJJEE+/f36bqZqajyW1CKBc/4IQ4OTrncWAsDmvPuXV6WA4ll9
76293ag7Uv2yh2IiXeLLxy/v7hzZOGYfep0Cse62QNIXSk3NhXrw8E8NoQgE7qXpJajqQu5gSzsU
7sTu52RlFeq32zSLuOPadUESsyEYn8Lccn8GVsRmx/A83feGPeEc9DqY7qxNZN+m7dTdNg/+c10I
kR+aFgJhF4ZLfs/a2ccdfzt2jxYqINutQHr5GVI5klcHstG+oz2Z1KhpbMV/naMm90I8mFX+kdXQ
zP9ZGcTErujw6bY3HIWJc/HrP2uxrEfVz9XdPNCKiYNdMahl2Z+AGC/I0bH2frkEW8o9agv1IQIA
Tf6Wtn6mmCn44Ge2wF46zgNsX5CqnE0jjLGsy8De9Wmr32dLO+l95eko2HMq5VOciaF2723SCtZD
kJuq/1hcQJw3rC0zVSZQ4eULpGo9XGrLz8mOaTN2vrjZAOrPJlss634xPA/7zozZtKvTnvnO5zL7
dMnmzo7Sl+ubbDbL2ne2wKvhD2DdD47x09+Tw4e8n+GAoBlrdB3ZccsdzySC3jTzs5BG4b0bv3TG
I0IUeke0Nx/ztc9eJui3D2R1zjuwz3SurXzrPsBsIel9R3+53E/hM941Em3n0Ft4pv2QpkTazxio
7bAv4lC3+XBsFzsLz1ng9gISkkRC3Or1o/Gz8hQMTXjMPTGj4VDBcdBlem8bbHBWWtofwqoRTzhk
snUUYPUjh840j7tiZoRLvKCOJrooFu/J33ybAM58wxpEU7O7Hfs8L7d96Rti0PqSpKq9XwTRPbPu
9MUYCkU0+VV7snrszlozBe2apqafhLvLoSKSwDE77sPBBy9EMdvHXIK80U3ktdUvxbPQ3HcerYyx
GVl5T1G9MVyEvle81Wk9rgc4QIdFePHJXMQ1dUybEe2JCMu/LTN/QmVi/WoscgMfCuOTsJdH/iNJ
Dv29tHXDAoFahoV8tSAVA6tOv0O7YnNxmmx8bP3FjtUU5s3Fa6V5WOzWTF+tu2YXrwh71LVroO7C
cJyJsBq3/za3CoK9Xu36ocrkfDSIX4q4AmMesZWA+yRbUG4vBCBAZVAYEa2xHxn9WpoCzN0pusKB
fNlaJ9ZKjf+ReTG8p24w+5dxaJWMu9LqYQvyIHr3ifl8nZR7cyCwvew2IFOoQjFM2XGSzfrtidV+
FYu0P/JVkBo/bGLbV63SxzZ0IL7NohZG295hKHOK7WE0Db/RLdRrPDpE8zFd+pJ5rcLkEA3+QptE
b4r5KOAuH1di/I7RDL2VBDkFvHzBMTxrANB9RGmPuU4O7oQ4H2QDleI58HwsESTnFsPsonLBSmV1
I5TyqFJRfnqF4Bdnwe+GSZkz+xOcxRT7xFIdpj/NXGSf2eKxcxIPWF8i6oheCgf0lpW875qEOVA3
j62drRgwTBU5e0db1mXDH0Lrram7vyhkZfCpCWEkI28KfYnrmTBEVlXnvmRrNS/caN7v3i2sc7jO
bo4LLa8/ySIO18tgD3ns5F70HDpyaACI8ZmQItb7+3I1rXfKRrEE8UYJ4Z23pooPe2l9eU6Dpv3c
JFTHjpaE9ClDhRbAaCKraiIuEiZkbvzTFs3hu4l4ufZovdbqjjBGPRN4FAgyiB0xfxO74t67qFSO
dtu7D5Iau7+blB3xRGBK+0xHRMiDoP/KutSqd5OzrE7s2pm5ZrPtnTSUxoYqbPVe68UZkhyZ7khM
ak6NJyNxcOC+p0Cj9Wnt4GDNSPtO6zRjMpVmeMbSRJXFNg0if60gYJFnaKQ6JAD1auFu7iHyz0g/
9KOaQBPQEbnqNbejLrZ5xNxv/AfDHSx+iP6ooLPwYjdr+OpazD68LcXR8bLyLLMgffZEGD4Rtp0t
iSFL0D8JihITjSb6EnkFAefp5LQHs7blO6GV9amuSanbbRlL72FaAhcM3Q/63zXmV/tD+4iz7roR
GJjDQrY5XOmizxNHVU2Tzg2OiDuSVvhSQ5QeuSujV0p6xICMo2rJ3bylzaRaFb9F6nHe3uCGe2KH
Wf4jgm31QZC+yR/2xYyerCr4uCAPvhipmvrs+1HzX8dlllTN1GW72RnY1oUYLko6Rqy7FRSSySFq
00vf0IwVAyfa94QRzt6+99puwQZpVw08qq666bHchNn+te1intAFEGlBdMQtBrUBnltqt3kgjVzN
v4rC6lY6hBaZoCMU/X7wKkKlkq32l2GvBs6oB+o7dZX04Kj3nfbq5t1VuYTNcM2EepFDyl8Zicc1
jLtc+GC+jj/8dE1t/VbRECpszFZtDkqO9kgfRlk60fM22oQoipRM1ScycLVOaoR3NHix5MKJK+9j
zf3gATeT5+4Gb7Y6dB705MZUKTfXm79RxfYypbELSvlfAcpSJmHA/ntYpu3GiJPMcGXIR+pIf9aK
lNRaH3mV1/c6TZcXnaIg4VBclGQnx2WfW2qtDnbXyuPahEoCxZVwkamg/LFoXPlp8LZdy3y6nYL+
OJnYXnlA9kukaBDrOozkOwMOZc5wmAt/n1qqzz5zaghREeon7L/6XZHuWZLGE8ryjKmvi+Jepvlb
reZh3CH3mGmf2ezVJMNAlNs1V41GLGpZv6uxpCxDN00xndZxnZf31Q6n33MX1p8LOfdxrVxqOGVF
xJyPJPYiLOOBJ/XL9A6VyZk5Wb217t0+pO7Ml2hnWiJf1yPHadM+p6WIRiTsKiifZQV/i04o4vA2
UR9+Fwq4ZddmOs84BSrEqWW3HGu/a35vfZNdhV+vCQK1aR9p7KalryLwpdlfbqKM1TvlCvEmias+
scJDF5T/TZjPD4Bp6lgVvTiGrhbXZtLmNDcTqoDB9h7nNrJ+Y0KZr/xc3aNyHXGa6fS4K1qEVsdG
2WI6+qvwfpqwJYysmvV6mlafbF03zX5IdZHvZU+N131jyODejcua/irqqnnOGlGcUk2FAGKPYbzY
6OnLOHPE0u6saJP1rh2XmxZL5AAKLi21424wKvzrVpv805diPLvAs+feDxi28zUvDm65Fh95Lzdk
EdGCDvVg+1v7mxYYzWsUtPbzkJJIcgHSbJEukG1f7MpmCsw+anI7TGpdjKTbznafROFaWhjiaUI9
aKdzyOCQM+R1qp3RTSpaHbj823Zltrcllol0df1fjZ8KGRu5LUB/DjFeEx6d4AegERtpasIoj4Vj
pajMILzvuX9Lws1oOjouhpnXFaZ7yPrKkzvg2Gw59BSGgScImmpREfk9VAupJ1d/8rPnuUAVjCSl
mRccep2fs0ZokhW30Kme2nWaPtPVyd5ycpBzji0FEYGghppxz16d6UkqiljCmaHPxFsniarKKYvI
n2Z7CZ7pbJmGB9nVkLHDuCrrH+de+rl5k99e/KAI7+eid55A2PkVuDUe26yVfeLYLroS2rmdi5d3
RfcVKEh3NNLVfVrRwegh2PmMuq4kaigKmVA3MYcn262XIhkYPOvDvNxgS2tclubEQSOua3lLcLar
VCPy1ap89LeweoasXpuL6MOaACC/C79dXm97X3n47KCmLJPkXVoecOWFNCu1Gxf4KGQQz3mDSG3T
vW92ZVmG3C2NbMO4XZcRHRx/3LzqICuPtRN6l7Wvxu9tW3l5ZemisHN8ESaREu7Ji+jiTUJf5HeV
Sds6gcMYfysdJm2/7ClNyQ7z6Aw2eW66OIfRtjo7zvD10IWu+JncFTgFfzyoVj4AyrBmo5hqal23
mCrl+idkyLnm1ijAekVnHu25kn8zZ2pPWy+mF84VQ6JvVVNzO4v06jmiqPYB5I06jkUvK9QFAAV7
r5uKuKzWrnjZlqYI9njE6PLqCQ+caeYwRWxCq3ofpnRM6tGN/lmFJu+k9dpfVbapQ1HMUfcr1/YM
ZlWLutyjjfGex1A4LQeIbf0bpL/eA5277QURHnM3+iVtOA0r2Z76iBbImEVn64j+BHl7BhoxA3OE
yp6CTpXjXUX8s7lT46zUmVlGP7qRcMK3BjtF/+SRN5Ry7yMZeMIlGh2BO9zwuKJ6Y7VvveVOS8+h
yCpMg+wYZjPpIIjrCb2cvMZLBmiXibVqSLOjDnlZOIRT6C6/9LyDNU+h+6Ui0wf7yrkJ6mmznclg
tYUrCaK2b5JN7SHPioEq/Lsht+qNwJFoRLYLkIncQK6dJ+8XZuS/NMH3+QOpc0t7lqRbWgn7cNjS
us6DyJFXql+RRExDJOg8vdKUOdu7pqI3g4WSrSuXAk0El4lE+lEWr6pUC5kAWGCZeYtwTnx3mPfs
hHpWiMZ7a0vCuvXApIVboMPHmJnKPDH+WkQ772afmOO1At0lI75fjgtv/+tmhRYB+7fMQ2S6eJzj
gOALnuTS+RO5+MF3g+qDT/7f6UWVbncm3jc8wi1N35ujnV9WNK5vBNtBU8mU9oIdyZ56ip3O3SQT
kjHNpfD7rfqolghZRhg0qn/2ZAbr6eSTQ6ya57dvouz8Z3+gvvpSFrJu0IqPwXVF98viH6Qtoqko
FMGpS51RHFPKTJBQ5F0wfdEz47S/UY9t9c82mo30AsKS2gQlTNEc+pLc42c3WshxJx0KFVmuSr38
NzRRN8dbOtFHspiJehcDgweb6UF1xFStpX/BqYDLGFiWb0odo+DU8nHuMKgt96lXavWwLj7iT66a
W5ujmrjh3bGxSUJfverLH3v/29Ery1lkqC1tRTr8IQkblZpEyDSiRWqplTkPwOTZmT3cvUyFM+Ux
oQ2QHI0zFIkpdXBf+Q1y2XqdaDtAKdc+wjdY9tHtQEXeuGiCAZTHD6qYbzJnRAHVmN5RHqTbxZpx
z3vrbHwyrrsImpLEHrveuWRLzPeOk/vR2QZhHA9hOd6wdXCP95wYXiLMsnn6ZyhJcS7j3CB64Zcq
7yAb7Jm89oGE2pE8DZlElVfbGGnQ912WtkeX2oi1/Uph5sFJ/w+4377TDRGAM+mDWZZpeSU8wdmj
2Vg/u7pkMVpzd1SXitNiPps+X2zaaS119nux+rB14BRuWC/lH8B1sZ+izjEJ8m5HHv2pLe83z8Vl
hHRzScoJzTS/BXb5AdD2TlSR/bL6lYjDUvFWh4E3n5yqp9TMssw5Z+ps0YOyIqRdH4xvXoAYez9V
TS7uB2Ev1dn2hYk9M9t7mmysOxjZ7teqy4C318xrtCY0Ndj39jLYL6X07TlpWR+Yg4kR9xOhzJhY
g1zK2MKq8K6pxLHQ4Lepl2AAKkouGy/7NG3Z3zGKQ5wZORRYE8LOr96dcN2+rUltvD8oFj6496jc
QKEHdHo1rbQ2+8RwYy3o1CVY9GdW1SSQ1ZXb+48b2xWbfTC266Fohyl/ZVO91dIGjH6nNAPTocQ+
quftN8ov11sT6CJCLjIal6Y9c0QR+XsanNjirvXk0Lu0l0M3i/Gw2c3gR8eCUp/0KwjmpUk8UY5a
/jFDK9wdAwsYjAbtnJ8txT2xJdk01tnZ4NpUAWglya0XOdhy5PTP8CrcKfxBYbtvM1s6zVnxZi6f
pZdnzlPbkhDz6eeYHRABjKygdcyb4TdxuzmWeHAcNutk9PtZH9fWy9YdmRqldSS4tAfwhqeJvpxx
ilodI3Rg5Y1Xx+qWvZiiEQVLPmKGGFKA6cMiJ5T6bUGp6msPAVPC75ZwQG+2W2ZpygKNZHK7tKoT
pYlbz5N6TeZuaTMrnrcqJ6jQIfYy6o8RoDTi+9azl5O3Cia8h6Zwg/ZPw1PDlL8SnLtHHZtrhuLA
AUvicZHecq1SpgUIJsgyVgQw7P6pNjRYPyGnLkif7fsqzRK1IMsJEiMtOdNFPlYZ5jHTAbOdBLsr
Lu/VomHomOUV+Sp0RwbAcGGNJPakgKxNPMm5zO9Kp+3VIyeHZp6G2oUOrHVZ2F1c1iNq6ZiPcUSI
LGwC6XbOslRjd4gavbTlhZKejqqLPNdz8NPKYAje7TB3syuLbF/vlwaFfVIWGIvjHAh7u+vxDXE9
Wmloa94/8OWPVhS13ocjOcV7yH4OtwbnYHDu+swuHwDSXIPfaFiW86ZCnR7bioa7nwHRTj0mKJhQ
4p1oXmjdRCLxxjqkjHeTA7WZYq3fQ14twcU3Ze3ZqGsEmCA0cRYxSCgTsqmbFdWge0KtqcY7BGTa
uQHSDpvoDv1I/t9QwI3dhvVmxIGx0adDH3plLOUtL2PZZfb2GlmD6x2R0sDFMylpaR0VaIzLNI7E
BJE8lTkoiIMNtUvcBk0xxzqUerozolfFXqXIt4Iz7IVuT0GUmfWo/dZy90NZzWXcD/j9X6H+aO84
WkPuD+mRs2FBsT9YvETJKJBvnqg/EMsPFEw1ZAc3nER24OfDhKM2tCTPy5Ib618RpgJsm7ei+9Nn
AmLln5f3GgYYD4yExGJY3qI4Q9zbFvUOhWXGTWTdUmxEbMA3xM9g+pGalMVtymOFvmQ4CLVaC5Aw
UDCkHLjerssIKXlwKyT3R+UMylxmamPFQ4GV42YhtMvoKXKjhmsUb4jwunjs8C299kHRRv/ESLTe
SQ2d1V6rvGZC9VK9GRjjXDnfhV9bkF0+aJZ9R3GjcKBSvSH4N9YB6lHOwabeO4DLY5mUm+NMu74y
5XQ/t7J5sxyWZbJh7aj6UxhiTA6rXkOvRNS8AZ40N5NkmdntGRNps7xNrq5TpNVKeMXDTWDtHOYe
omA/BVgQjwIlcbRHGzZln23FEHSWShjx+8YR+IRQAN98cTx2Og6Xqis/UhGsw8PYdwH+unq0szkO
qy7b7khAG5cGSNppu8OUc9ZxW0yFmW/LROgcwi3Lu3afOqHaDtGYWTKphmoVXJWbMt+hP2bOlwYM
9a4AUbfG78jiCnitpC+qI5LwSZijbZNS58X+NhZbxYkVQCTDCkYRLKqF3geLUDlZHfUqfl1XA2IC
K9TNIdhsfEj7ibE3uoDltPq8MR9vn51kr730mMmFhZZq6KOkm9fOnNHpOP39PEkv/Mc/VxYtSy6t
fsAjz7FwBhphOTOtXSx7LKQ8kaw++HvOS1E34pCDhaUHxIll9WK1VhbXU8OWwJmIMBioT5iZrcKt
sKduTcpH89BAX0W//Kbt1wgDyryOlyXI3PoyIl1Ij47NWf1kfP7lFFiWSyt5YY1rgS+WGDBmrEih
IHjCOuT28SaHbADUWZ0hPftL1taHarGr+rVrusZ94fxAVHGEZ9/qFxTVFBGvMyL2m1a6rtdrJujH
ZPaec4rv7Dpopg9ZadH+zLWysh+/IwTzhRO5hYnqsOUmA2eNcx2E7uUBoLLUH6xgYXbCJDRH3yiq
GVUOpQM29chDvvTvtMtE1SFbFzmYl0kpLa+VvWi9Z8SEP8NLmCNb921MwJ9r3sKirm2xZttlm7rc
O0jtlPY/GZiOpCVLh88eTIDfwbE8Btns4ISibI1v8rFY61SOxMXbvWnOdTBP5uBrbQ3NHjiwn79n
NONIzJhhppTnacLUCnG6rqq4AwZRc4+Cy/eixxWrIQjOhtIkV3/LMN/m+RGjo6n+OmnAUggMlbca
f8PM3O9e7bCkeaWuQK1iYqRxfTulVSw7LHW+2JdzNsFFOTgEBOX2tdQvUlVb5xyXGz3/6pRt2GEt
5CZFi2OqylG7Jhqa4sunbKfr9mG+oNakalfNmyEUD54HS0INkX9P68IkH9ii6opULoVw44l8MH7d
XYl0qzwhP+mwk3OHZ5+p46xLue90vWZQ+vPoM6xiRgnNYZQTXzRCUPdczJPydwSMW3AsZITFpu/r
d6KfVns3bKP7n1rU8DXno3wmvN+n41cJfZ36zpcJZt6R5LPBKqIH4SrsYwP2AOrOBI6E+oi1lkDo
IaxdVu0aBFDvfWuwWlyeCNVJAHYH+xBRlVP/6BnY7xEtl7N8ORPB8dw/fSaDbDdS94Shf0v9+ohk
kn6feCMIkPbw1ZLr1TaDfDA1pXxDStk6jJFA1JmXCOYsm+qg3ShyATJsy+GpGdPolIY9HPqge3Xa
mm14MOjCKDG2tY6BD9uEntMso7Vn2V5kkclHNd4s+wQCFl9DWfhHXHL+xXP9HGdCNLhn2xPiy/fp
qypSAcLjb2n20U1RkOS+sr4ZN+WRNGb7zua3EVtz51E3yU10mFpIP7/x5GWwvCoRVN/A64y5+9TM
9fyoFG6NmwnQijCVY0FxGR4eMjPgU3Q3954eEgviGAz63IZz/WoZ48S+aYIXx1FiN28R1XdAtU7P
0r0i8OOE+GjYjPdBsU2fATLiuM3z5hjUHSVnfZjHS7qMFxHZnkbONnSvLE00I7BcKEjZqEmvtd2L
KO4cvM0AjtVnUTTQykFj/llB5q+PUDsZExppdSdVpuq/ccQTGHs847fTUjl/K7kRiUeXXXbs/VUP
B/484s5MBbwVXv4QTm7xu84mlC32MHrvCGbRZRAwznQwT+558JswrlOVXslAB2IUGcIUZ8lrfsMD
CeScrx1iy3ZCQpPqbEA0OYyJ6op6P3mVcyr+r80FVo8A/g0V1lwK1oNrWDt3S5kGT8rJodHachne
LO2h2+UbVvduaXDZRzkPIiG29X1ZgsucbdQkceimjQspGmwd7VPCWeJwGLYkEuv64OsZpUTgEQuX
WWpvNxopDpeKw6PRG5dKiKaIEfqE8tQsvX8sqaODbQuQc0cjeCKsMFA3HZxbECu3zNnUDXJ4T80S
3S2gyXHwlfwCyioP7liYoxtu4QGWDLBwkjY4wVLkZ4Mm43ENmuayRoppvZhJvN5ZqFj11dl4TVnu
6tdKQNqDGISblwS9V2Ggzdl2+ybcKcXKGC+QuwCVqkbjhd99YqspIWfVsBmEBKFotgOpLjwZHtbA
PUyh1zyASLp3iyNhKcq1DxPhdKFIWOYJtcCJfsb2Np5mqxyoGgCcPaecPedJD93pFvV3Vj2oZNXU
0x1tVMMn4tnmNcfc/x5u0k2wMAIYmy1Upxx302NPKsw1DVV0b1HpgewrisoHe17AoC3fD15oCkJS
hotXntq5FZc0MPKPBcKDtYZwkU6eMaEW1oG28u29TUX1ZpW6fXeaNbo4ZnD21WhDjNrrlp2YWmE1
aAD21FVP4QdJjQyZdB7KTNvbtQM6uU5LMbbQN7Z9XXLV3eOvMp9hT5jIfqhLd9/U9FzEN4NDeJI6
Gkoa8bzygn2At9Ce6vpxIIri6oVcMuoWt7yrja2uhF6s2N8qe0wMxrvpIlG8xAx+GIJDXHYPJYze
J87xdW+oSjmxGJOEsm4tBGrk0Fs36+aL57m8y9MxW3Efu3I/iKi8pwUrIG5BF/4DodEMqhjKW24J
OKkTrS68bn6j0zeg6O06saF/aktWF1jtYd8iJs12bgs6mDmoiVVazU80W21JVbhePALTHjyX7j7J
iHolQVkncqu2Is5tBuencdH9gIWgL17bIFyeAn4PMbe2k+E8tPufFS1rt8emhScMqdw381e0nuhQ
sJK2yMRLg7HjRL4Ry+2u9scCy63JfxXcs1+Yd3O8T6Ug6V1asG0RbmKW6so35DIteobK972/3ZCm
r6obJFgJgwtIy9hHzsmF9ajitRtnswcKkU0SwG09sTgt7ANe/T6iFb5zOzd6m0JHe+cRLOtImOrS
Pm7IXOzdEknznqXkyJKSPEFQdNGzDYZ0tsywnHHXld0O5D60D2tqyWMG3vyDANPznowZ9SsI5CgO
Wd5PUUJl3brwjpLhmWxrITNqFisCvekk/PFsUmqV74kL938xvA1F7UbkTpECT08zQt19F3ThW4AO
09m1lSHm3uRK8VVnz3FudJ7/UDlyJLgBD/yfmSiv95siIsQYs9H+kap6n2dlUx+tPlLrMXNSa/vE
HxkUYJKG///EB0+iKfiZnP7LjHKg1aocHhBmH7WPZRycIUVg5We9opXeC1LfxgW+o5UMgyqije1R
p8W8AFBG1EwTITD8f8O3Uz/YedPKGpnS1eTecd3d8mjyoEZokK7TwnAk0KuMiLurPLFkh8OZkB2C
kp24jZC/MzEaDWbmrl5OgCxmRkxK2MIhjPnTvxCS10wr5dRPd0xgUbrr8Ig/eSad2mc6FKV1EEE4
hGdiiJVkgeQsvHALmth4WC2TlJpQK+mzEFe6EYtBvzxlINuCUJXqQwk7VQjrkM8fNIcOkaV6mvId
Za4jWsQoGr8kOcgUGbWuRwRX3un/ZpbCuIqaXl84u8S3xajRUy1AxA9JOww/I8JPXq6eQ2SHg7wk
vkFla3CQhQzUKTXLdgHsz5+z+mYY2QpLy69O933/K1Q5ioZtEYSCKyIrAEdFCCHLPcUIHADS5ncT
+kyiGgp5Ux4aQlX6OwoOxoBUDT6Go+fQsPuvnmdCL6gavf3AZc+xf4r02Ae/wWqXA2AGotc6CCLF
VdJV5ce4VghuiVIv+kRnjXfI0Pj2f/HUdJrbevXtl45c1/wK+TI1oAxmDEj0ILS+Pa9aYWraW5PG
hB17K8lGZ1DI4Y2l1FGYPsrmYkd+qdCmW/b4pEyDwxYb9dIiqeq5/z90UQdu0tGEu/31SCz5tsqg
5heCazJaQdAyqXEG43Q/MYMI8oLmkRMqsZY2BykOnFR2OxGARzb4K1L8breCSndJH2FHxcHTQ/l3
cLMKubpl1d/ZRgUKzBgYyk6VXorR3zQvwdyYeNUFFQg0y4/RSWGBPUyTVZqrAHxN4S9w6u8xm43L
38jzyDFKKYW964wsgucU+c0PAuSlOPsawzyMHRf0zR6H+aLNsr/1KEd+uK0ExjOWfyLTuPgpxLhc
INd8/6Qja72i/v2xxiDkoCqC3G2+NjPgoQP+8url4KNTJSNVbgHfcwDrxcHXC2U9ILFqVaz4ALNb
ErE3HicRkEKVLAXMLCrCtR5P7qpSn7CF1hPoz1npIotoJlbZ2MfbYB0oTaKzHhZyNuzBWKiQZpVE
aORPzQLffKyjTdefQnf0d/rkgGzlYTZBvv7OyfAOdiVjexfXtTPj1nL6nucuaPXPFkQ93Z91Iw2u
vwVBDtj5hmBHrYLjx6VYzDfeOLLtDUPzt7NsZYhE4CYGXci0J97xekROzTCzzNF/HeTjdt+VGrnP
sORoWFYkYOW9alTeJNaclQWQ5abH9khxh3H2Fv+Z9IdsrCJ4aJT35pQPdRTRmzp6zZ8eu3OkL4tB
k5kmi+/U48UTdZRuGN2tlvg7WI5S1t5rla3Tut75gSAZ6cDYNW1O0qcg34hTlqoxD2rErdXGEISy
D5DwaCkx8ICDN1Ps2aiBQTqtKvHzbf3lj2M3vrpTVhV7nzYkHmOmFx/LdyPmoTqXpZZ/Nz6pii9l
WZnZe30ohq+GvgM6Pjco+gHJv4uoaQjIKThPKnC74TAuXaP3ioJkEgRETeTmo93KhS87OV5h3+uJ
7JxnQv0I+3kHrCr8vRUOKjrmEnCdDUnqAXX06rVDH4cKQ9k1Q6Ws04QMiqz+p0tlO3/tSMFj7ptb
TayFWz1x0bPTZlNn7oXF1/ZiJwDYeXbGDj1q67jWcmdyPp7XATDc7G+JZtMuTUt59kokUDurveFT
/WKsgz0AkKKONzWEJbkOZ4Hn6o4zibaTGW7qgk4fFWGXzX9LWMWkRIvkJg4DE56mpbgEKl2swxCR
u+T2gX1tkbXP30OnOYP2o1ukw4GqsMWODkbK/5F0HsutK9kS/SJEFGwVpiRoJUqivDRBSOfcA28K
Bf/1vfje9Hb3bYqEqb0zcyXFEhjdJlBZS7Ck0wkmMp2uDp+P6D5Ak78rOKRiB7cj/5ZW3wO3gsV2
cNxKAncKWGRwkS5o62VHdcfNPmHbtLupcZPl4ITasu9mtj38ADvfG/pLVxJ75KHQ1FcssPHZaf3m
ZcEaGzNNdvNDQHb0szdIA8AV6S4bh4QkL0JtOz26VodLdukonIkUDtjhhN+CtlrXJVSCF7dMCYrx
mmRFzIZghHgRNvlBi67jHxVrf+rKNH8sIBJFbj872RPb/aC585p45MoXU3aFgp/SqCPFcnE0nhSG
aGRTF0l03LL8M+KxHhBSb9InjvWCKfi5vfGw7payc7crnjxnk5QK7F1IME+c3JRu4F1FMEbvqaih
FlTGaRu10sk+XDsvt1M4KJsZpkBJKzGbWw/BWppDCS6BiySjByQKZxzwWGDCcpuBOKC3WJmk3dce
lb4XGJxMcUTdzIpdAbrbhiDRzJ/L2S38mlOrfZVppei2Jp3Dc1DHZj1Vrj/aB14m08/SkDUgg4NL
py3H9M0JIRNtobkBV8dwUnV3Iw4ugqBrGOlizMaoLWfvxLLXTfexWWqwDSlyW44M/h5MmVCEi4fl
v9QnsXunZTg+V+nkm5P01/HVngLJksWCcOK3cdrswZPKZk/XjXckxe/MjM925T0aNilPdZHps/Zo
13zQsu/OeUlS0KcHOeqrbj6JtQxPU2+Ckx+U/h9Q3NQum5T1uOcV7RPTMT/XNosH2NkByY4/ckio
xCCNeeRWSXdMKxMHMMPSDcAPs93JJhZCULPo1vDSdpgEj9rCEQNObuH8VqUWOqmFsxW7TDwhrFdh
6h+kTrudyDin8tIc9X99MjPaMsMHbP4oaYhsnYHpYC/P3dz21heIxnJ4sSu8TlE8GhYeHpE28hsp
sjHvaeqk87o/tL2E3DKNBqm3T1pOTaDm853jYyFgWxAOp2aw/SIKOQ68gKRiq+PqmP1XJQeOl9D9
Obk7InxsJhNzvCZouRkzN7gudk6Mb56XeldCYlggMVrDU2zl+X4trOq8jHG3m7wR39EAl7oi/Li1
ugSXYT12/cNSFuRauO00E2cpp8ge8w7sCgcP9GKp94vvVI+aa27rsuCMqE/IinNXOnFk4+u18Plb
eDehUyBjIZW7bwMPJsMmVXqHVFnYm7JspGoAwsfABtgtcRWx6GnEqVP9rWfd0iG2giFuDyvy19nC
msPZeyAAvMcNg8F5lZS+O1nRNBBiVUB0CYSj2KSiR092hsBfjhkGcfLWEE44ZTheGNkoCMdeTLR8
uAV7stSOrb8ExdNDWAbpt9/hyd2ssXBPzmAwxNRGNnLjsE1kx+LG3x65onevqIBYdbimziTMmn3q
D3onvDrMv3pKJF58x89WHAKoFO/asueT0Z7t7mvUIibDzAGrxdUBFsDP0vKvNQzBk45XYHgVEWCx
rV0LM3BbTH8qTW7QI/R4rSkNjyrczPU2NTO+BppQ2q1GoT1pxNynvFi6p753y/iZ6vL5sR3QX7Az
QNbdFBiOWOTXbrpxIFn6u5rxr9lkNvZZIxoGwKmu3D8BhPz4B8JbfI+awF1W16BzGUKSgDA2K65j
n+NaqzY9ttPHoWr6nNA7VghrmZEMeRrkr6kWdX4cYhHsbDQhDj8DxJiwmVmXYY7OhYxfPN9mAO6J
ZmEEq+bs39SZXmyslF3/pnQTHqqEV6xIDYQMU+0uYu/gG3hZ4gVzLQs1cehMpxIemw1kyo6gxR9l
rcTBxEg1sK3No8jtLNglQFz4pnKrZgvCkeNCwrjtIjaY8cPM2eV90oI/MOj9lC8onnrs0my4brQu
t+tLfzsFxfjM0Juqi+z75FTRVX+vnG7OzyFZinCvG7R7IFAt6SThVY7+QCbJOaCi0nWn2e3mek9w
qMLGi7yq8huBB7MCiQABp62o9RHnwfCDj6C8M3Lxb3mQG6dnDX0Z0WXUjPtAZ5I9Qe494PWgViL1
KE46JXNjjlOf1z+NWxVQLUW1nPiP3Qe3qfHM8itazlmygLYvLXG1hym007Plmupo9bL9ZHat+/tF
h/NymtrRZ8Pd8hYlTSK9ibSW1AlbcvgO5/42rFaNJuvVGDHmJzNPPZtnUfzLTM100c5+92/FoUq7
nM0FS8YxJKm1scrROcc2x4rXSfaCg4IXJk2wq9o4IxdQoGxVo8YLgXUyP5aqK54s6qqSQ1Xd0paT
PRGjsknW6TeTLisg06Wv4E9vqsX227+EpjT4P4TSLTFMLJPGCOiQJZZVmurcmdOIcMZeH0iwtXID
cqDgMFgN5oh+F5KpARYS8daeHjm8dt0nmRGS5xjU3OakODup4+qNyXldrPk7MKyLl1ZUuITC+LNc
SPxcb0vk6VPLYCGNhsrbbIfYKb7yhf3FhvF1fbNx1HBFo/HiXgQzVj04aWWLqCDOgEkOFPexq6Sj
9l7Tj3AOM+gLTAjdP6VU/OastmGfrHH85WXmeAg9NkwCTJgUnnqF08uDRBOJS9ACbUJOA+tMQgwR
f9EY3+xqKc1BPBwzNBymcjdBmiA9i+CO4nlMZhLTh9CPIem59Yj5Tq0C2oQpPdd4kR4IQhxWJ+t+
nWBorz2ehHWzlB5LRy4FlP8Sk+m1UHbwXJcm3hIUHKK+Xuyd1UIQ5fkCK85ReHV7nGT0VI3YMfw1
7w946UL9TClVkt6lMk3bg8sLIGfrWizrafJBeOyShcxvhLzk3JsKlcoiG3Nq3FQQeJPNwtJ3Qr0J
Wf+6hj8MusTwGGO1OwP6K/9YIGQ+uxQQAS+tMSaorHDZVGSN9mIUt8dmCsuBgcNrUHwyax8Y3wTH
OffGHWkpnjqT5XRVtCwrcRIQMORjjABm3EI5Bc5LXAK8JWLg6PNHN8gL0ZCAXqZDUc0S9iYvGuhJ
LTm+/oBfY/mRsZmOnR6BCnCchW/j3XJQDaaH/7gR65T0ftI/MFY67mZQXknDQBr/nezZ53pi0Urv
YTke1mbsLzhaEHcN+LsdiYD2cWUHc/IXZzzoeaUGDL2QBV/iIF7u+F6sl773yUynK27VXKH4s9rp
m93YB3yvJZPATpBO+BQJ9+a/RbRGfFsLlkmnXzF602bAqZxcchWNctSPhI7UydiCJVIx9iFTVCJ8
hK4kNLhj15mdTT1te7zcLx0zzdHodGSaSek2ydgIY+b3F0yhbddZ1rGUNucK7ZPX31vE4PoIRuHY
EK8O+GV9o3yOT8XKVcY/Jt1iJr6+MqweurE2l5gf/B7fEAGzMrZ9rruOQHG6VITTqAsizqz66sy4
6e2IhKi/ZvBJpHbGc7e4cG49k0agkgLcCEkBmgkDJ0mDV7/y3fY9b1MPSUnJaVOwWSmPvmwJ4sKl
LnkuKILyiMU1TfUb6WbJvrU9AAKMNTR2SgSA8tXuel8hqPLrIcWjMhxHVxq1s2Vtl9uhd9PwWLFK
bnYleBasLxJVnSzsGITaxs49peSDHEgqiM1+mRxaSwv7iZzpMF4G8iSPVVow96qJJf+TkAYHPyZJ
D1cDutrBtpKMZR+/vLVRxFc1/I9+3uZ5vj4CMzX8KwKCPASqP2bEslfOmZgZPQ9Y5h225my6FwM9
Z8/FNDj5oWp7pfaN8i1zn9ltaN93qwAlVtsOpntQ0fros7z5wKyaf89hAZoQ/xvmWN5F7VtnMUcJ
3t0ZPj58eeYw1VYK+cCmasDtWD76KKRkX9sZY6KT3xVDXHxlUyn/usqD+52EvnNZ7WrK7pgHMDLy
dqdNNGWXwOKV3fNDDWvmj3LL7NHwc16xsPeEvGWZKzQxZ17GbTB4dnwC/eK4V4kXGb6jA+93s7AT
76HMEGLYBhOeF8SLEllIMJHpzcjR24Gz2kPp3IBAEae5o9SH7cy8j/kX/ldW8GtQza0wgYedUT8U
djZRxjztQ7VfMk58pF6wmLzLGbv6QcUYXnZShOFpGXJ1gFvaPsL1zUBD5sBFIj5NT6QIc97J1NPS
badlHT6mYm3/BUrPTVQugEtPdcAJDSTjsDwmDaaC7SxWcAkNDqh7Kq788WFO1olvh5pVL5JNh6Ks
UskiOwavm19WlZRXS7alvFiri5PF56KVB2tKzdlZrWXXLHZwLl0V/xEzZgeewoGRd36DZe0C86qi
YFYILSPsu2VzTsteUHNfU/ZUTPG1AW/8WmApvtUvYvm6azhfKIhJKw1ELLyIa60dealtWFkD+L6i
Ym+WsNOevoeBL6i8BTljLO6+FtURFX56TPI4HkgCVQ39tkV79Ic6vzSzI45QlxbnE7Fe4asuODmk
Ob5kDnW97p8tJnoP9l6s1GmBcX5E1VpIwenRe1m8IQ4fMUcw0bUNMd8LfbXWipnPcqNqJI9g5hAt
3KFv2j1PlvD2ueVgqtpasXKCr9Ke3fy1q00NaD6tARARxwodzscNfy9qOUVyBLkgHL+S5uHBgMXB
ce7sIVQPRTzOkcnMADuS3Qof12uCFyz+4XDFnS8Z0u2Ux4Bii4dSAf9MX0PPX/UdedECzmEqCAfw
q3TFPyjgtvfmVq0V4scL/Cnc9FA976Ypge/TpA2OCiL5veFJq2JGxAwAw1/bG81eqlL4F0v3uFTI
QhmfjABdGMhYG3ZEVEBuIEnRee6ErqD8Qw7LhRtF73zfwCgq5zAqnRD7eyaGgbZrNoqbSntQhGo3
pF8Vt4Z/zhfO47QEBfcVwQ5CFYubXMnttvgLbA4JAXPnpYyd4GdSua49zgvkVJ4ci1DJEWAUiQHQ
BwSBm82Arb8kTFk15XgpZFg7O0kOqgPdWfcgH+xlyu4HJoj0ULk9K294gwMFH4WbjQe3scgD572W
90XXiOmbmIzvvmnyVz/a54OmHW0p+3bgIUgI2kBY05N9e+HIYIfbfZB79rhiPUEqhl1GZUB/tgNB
2nGCSXc/uAn2SkA7HjpHPS/+9zBPgX1MesnAjdcJhSM1Ae8NkdfD8hfEbvvSIXAt4KMmg5lwW1Nz
jMpXF3APy75u8g8ECJEccTbk1f8J33hFdDB7GPX9vNur1mXaLfzW8yJTDpVCXpf65HGiQJF2WlOt
+w5DF7e+R7JFiQn0KEPwOvK3qvUnYJS9b4as+4hRpbInOfnygeXQWkTd2CkA0znqV7slj2H9V9HP
bOPPkd0ZEZMnGdqgdV/Kdd5h8SwJjEocznbeHztDyRowoQb2Bwb2HBdp4zlv1lDh/Rq9Sv4AKLgN
blOeJ/mXCe0ZUXLB2zbMMwfqgFsjiRt0HPgyPEIchxzzO55anF9gung07+E+4RLVrG/lLhTTOhxn
34EjVbJY/oBhy1qFxWLBgsifYixO1XpfsPkB66VxUUX88Q053DhkLzPkiN9dx81H5OK5CPPsYMak
agGwTawlWnuymtNo+Ds3vk7GEA4OkdTHgaLV/mrZMsYkGQQZrlHDfyXI7JvxpTdXbuX5CouJkuOx
Kp/8aZLrphGx/4cNv7rgFe+jclYrBbw+J0vQbdi7bygvE3w6erhtRKAOY85Yiayd2QtnX24byltp
u+0+tCAyXVYnc1X4vwj8mKRitLVN3njFo1tRsIxr25u/oZCElwRE7LhbiZsIUppiOcyUtVWHubJi
D0hLq/1dueTi3eCnZ6HoeRD7EnzA/ZEbTQKHa9OswpuEaaI6r/5k7jU1C68duHlFoiSZQHumJI8j
P68qCg7mvH5emZe3/pSWDx3C97wJbeVvY4wh4CLwpklMg4ces87OYtT/j9ufVJRlHE5fNmlQgFWD
ik/tPMzqOBQalZ3g1/rWruM0H4LKs7xnMK1odwnm1XJLawDMAtxcAet4BUbhi3j5yg1rkiC8mpwt
1pbBvP1QfPAZ2IXgCVdxpDjTcBGTjU0tFqDebOxxOyqzfmGq738YEoqN0P0CHS6eIUhJnxVigl1t
vzIAvthpsbIvQFgQ+56AWb6rkFFvZCPs5PHetQXmOKDkoUBYSfGM8+L09z0PqPbaJjLDeSaCfF+r
Wl9mm9fflQjT6FxCu/TOXkW5CNM4WtkJq3tHqYodwFuCfex851AqlE1eu26JJFh+BWRcapU+lPik
88/QbYKT9jF+QrAajITAkNnT89jb1ZtqOPOVYTLs0HWK9q6omzWPZADHZgEu5YmPKW3m37gCVjxT
GZNu12lZnkvLlz1iM1V5/s12u53KrnOeCBa45Z5DqYUnsJQQnrw0S5ddElvtfclZ5gI5Ac0gdD2j
2RNikTypaoh34MmJseyZQTly9Wqq2kPXM0xiyF89trVWKK6lvd7SuYsLn/1gptkDhTxk5wqXfQS/
rM0YPub1NMZUgu1jHInYpCqudTy64dCcknoOj24TZk++j/cILJddvzZYsv+EbqxubOX5PmtN9x+t
Ca6N13aEsZEIceFFOiJf6vCDUhaaeVKNHYmry5suI8b1c8PGcgtyxBDgbNg4P6HVkBC0JzS5c5iy
n3yFi5zhbnLgnlTfy2qJPUXkauaIHgv+rwVIpV3qtMgbzEMYOjm0N+39nAi4pdlEvkez43B2KgjX
j7IYqr/FMllnQffMQKbB83GYdRxJQ4sWWpSYKXzJECfu26Yt3rJxwEDMlw/lzOeGAJ0ruqiCxSRf
c2MhggLpd8kr+lgZb/kLjAN9L081arS+atzy+GRlV/6FjUBcIvVmlqGukLcH5YI6Bq2u/V3DrrlS
s7L+pqP03qzQsuQ9rMbaurA2ybhZUANd1h61O+18gcfmbco8xcuJ3coNizbOdwj3siXQw0vxVGVy
PCVsAIP9kuvVikoSGQderGnCEz4fHnkVa5TsJKz2qqxsOmFaOz/IoaQvLNe5uPfHgveDxTkIpCNX
lAViMax/WRFDHA0JXmCEMLcdWNqb47qGrBLFCD2CvGV54sbs8Y25+tTh9qTBO1xiZxfXGJJAV3W8
CuGbEZVJyr4JIgNpI0WXcfM/QkzpDsu9vHPxAXCO9kK8vZ2T4Ifr+iBqKk04jotBIpbR2Y45ClDq
ua1DCc4G2FFN4JZQDQc3tDRkIpuk1J60CKUPnmJ7Oc3Z+JLXOiXF1pLOuZZpz9E8Xhag5gMp92AQ
g/MIhmF1DnZXmfS02oQz4GgF6WvLNho0jt1p2pxZv13GlFALOFIOETzuqWT12jCsn5CM1+4RviLO
K4h4Rt3PnUTfq5dKu+cGVZ1rF/QiFi4r0cvO68eGauplqTL8ONDWIyKvBOZjtC66hgOXJHWvAd+S
p8JZGOEd7t0tyAwckvRjOfU/var6IeD19e3mRj3PljcePYtCZzIEGJlt4cw14m+DTO9h7H8AIK3b
PWYZ9dj7dv2++nkx7dpRTy/sE2X6HJJloV+jqjMxfiWrHTbAxVSI9hDYms1GPxBZHz32Dv9UllTe
t8eo8W8qF2KpXT7LL9k4Gdx2P1FE0juJvFQO7tWt/c7nr57m9ZVzsnt7Y7GxKSkMMas8lgxY7VtA
DUr3txxVkv0yYWTEGwzc6rNaO0LnCEO8eSV634pRtlTevlRJDS5EVupfO/nhu5+kADRQunnt47bg
ukBlNeMry0DuzF1PCuLBt0Y7fsRyiBFxU4kF0XjJlP8RqNK7zpZdNMdRl8vJ9WoMEM7SvHjZiLFK
eCHxRTNBj9Jh3PYbQT3OOW999d1qAFR/apIYv3XHYxQxM6i7P5Nfhe1DjM/CPcEy9GucZYpZwBAG
ZctR4zFvvxnr9PKXCFVTRMSSnf80tYrVk7xRPgRaAPUIxzru60OHW4iIuGKg3Lgypn+BJ+/FnxYT
wAGRzs/ojMHRDV1MJrKtKRyKA65yM7Sw+6WcbJwbbrcDMMAA1swhoRkgGOspxxU1f+rBC/QXvA0n
55yzJOO3cfQ08VbOgg+8BpN55kqxu3cgghp2xBz2vdrObAEJcDfFE88IADDdlGL9MKzsddAlOyPD
8E5zDu8BoNkAsYi7DR7s/rlKT2nuJP+wtMs64kntPHFwHc5hs1LQEOK1+C101X62+UzoIk8SfSTh
0T8bQAGHVnXtzwj06UHjmzAvivps3CuWE16C3qGKg08hEJvxQwKr4tST/7KLn+x4TxER4asNJaw1
/5ps8Xeoo34MthXLH7+aW/nT33jNXKDFDTbBIQpz8NpfPLn5v1w5MMXsfmKPtlImJ3qhfefceYgq
mJ9Wgeoywd0XkQ9v+r2A8VGwfMtBVxA2kXLL12h/cdiTkFjSUuewxIgUc0XP1pBGEqTwtKfRu68/
CTHkmACt0RuvVBlz9W8ckjXt/UAIkNYns8Ck8fvUHMJcjizMGjxDEfHDLIPWZQhieWqs7Sc/G0sO
5D0bwabzGRvWrFQWGVvT+YBbTes0J+GC/cf72s5/+5rj+H2eKhbAY5cn9zM5iJ+MQnQv2SVId3jU
hIOG6oIznYFPxIDTTLmmV+Z0nFCmK1DDzDxfYxd49rQl1ySOLFBRUGqiAD+N6pL1Jau9Cu4rvo6D
q5Ge0PB48EByi0U0OXrRx5SXLsZlruiq/66LOrjkRFFqRMMm8/8baYYXvFDjgrENUynXzA0KqeMr
IaymfKsyKI67jlMarH6nSHalA594n8Ttku/qLg9rEBS03vwRhPfsDzegfoAXDoTCt4HcQvGh8CAg
i+KZjdMzzErnBdGP/hfCoLjEhKTVr+HRtfO8GF3CbtPmULs8bFtm+upeTjMR6wyn67WyjTRbOVn+
E9vvONsVNgzbP72TDlwgkESD/sDRhrwJxEWG3tE5xRxsnAjZCceemrvUitxwIKaA24jgJd2mG0HK
81CXdXviVGmtx9VRlvVa92C8D2pIk+ym2dvJ/epaIPbcavb0nZnY7196rh59KIwJOQd6rGejJMn6
e67f9R3Qlil5B7WYkXWP46SheRhJxM70bzp3Q7HRbp0XxDjSnNtCee54ED7wqt0y2BMMtHwhXOEy
qUMuqpdTM4t8hlPmlLsQ4zfLM0IdJ9q/IKZLNaClVA4Ryk1px82uc5vkHlEkf6F2BEcIjRXVe1gC
MWHCadIf1KzkF6qngEIyjViz8XDy28Ii2eKKdIFMWX5SVXjYVr8030W7BOMxn5n2i4Dd506C29kn
aBZkYEu6ijahD97v/YY5yzk7czfvOs464cZ10UK5phqn22ELHSMyX1DIyFnAXWLBdBPjIUYC+Wrq
laq0QNWPLOIJ+GdlzTpa4fzCF+SLjC2KQzqrZlfgE/yErblxi5XCJMuMbFTiYBFmtzrsLbmuusWO
I5Wvk/pqeSCBbW3ZZbxAFLSy5yBjefGCkMiJILTBsx85dSzp28pzMNk5SUowiqHpVKEnQp+Jx4Of
NmjphbecseIDfoMyelzI/LYb7eWIGqU9SoIztztZCGj1B16GmS82Cf4DzeK9g8mCcWSefhXf4XLP
EnYF2WbbJNpw29cGlbXnani5NTMWpx4/Aim4nrQsftlAvakym37go7jth0WggjBDzcdIWOqc60DK
+5wNzT8myxiXYmdK9Pi+dt/z2IndI9vt/D5lVGY+LdwuecKcQt1btUyI08mUXNgXoZflCcKuTw5s
w/qajjs1et61ry1Qkb49kzby2IvveGL5nzhmrOemcHCGesaDtAt25DIPkE9ScK5o5FPb/DQguu5M
3Zk9YxdpJU9UtKXgb3hNU9D4F0W+OQIdQTObDrzM2+JxKR9T3TkrGWzyw9vCnpD+0b7cHSrv0uz4
A8eXheH2FSN8IA4BkUe+pqloWYvPBeh/Xxa09Whp7Zs2lo/B2EtEzYUqvR32Aqd/T8Oq+TPZbKDJ
GHeUyFgiiO8yuYBTQX5w3lyE9Po0V+vU3Sg+JjtCPIgvieHlRxrutj/b9CEpotvdZuzPRkI2/OEU
6oWPPZbR7mVOhkLe0ULorq8qpM/8qwMZuq9bes7uQ/oRvchZOVc9rmx8I2V3y6fjkO28iV//YBxi
TBIaMG0dYLGKh6799ioK6XZtPRh/m7V5cQ8lORiu7uyyMWk43IC88gWeSvr6jgRrE+fUdRw1BuWj
m+uG/+KmtJbuu7XW+dOyCJ6DtNKkkfrxAFTED7gadH0aLadmnefzEVHhFqUfpBrx26y6zC82ZUvW
MyQMJ8YJFjhH3hnrrfaxxcOyY+FAdSpIiyt5zQLYCUWAl3w1DvMiFuuo4rwAN8fKhgO4AuZ6cM/F
f2lozUjKY5E8TH1dzT86V5js5iBYJKSbwRw8eyjH/ViCBN4OmPLpboGi9KUDB8Zq25AYn0pf0X3M
pvmRN4R8KZleMZ64KZmPWhW/AGr1BaD3bEhvG/cJinEeVRnP6R0nifXFk2ERLZ206oNLmn9X046+
oTptKciYQGLhwSQOgsP2WzoRV98kweh99Qv5bwZhfqaZuT6yLeY9Zkcrexc0E7yQbGifSMP84Emd
fqHZp8cZ2gzL+6I8l1hlji4wQVbwHuVBg5n8k5QS0E92izBvlOhFd6sYnO5sk4XurrcK+lMp2RRX
z1PBj9E8rHH+pN2xrOhKO8Fe+XBYJrAkGrTD44FKpiOlxQjb3g3jg02BT8mqOP23Zl7xSkp1+QUz
aUG38ONbfSHhFUdgp8YzmYWP8yTqF2pG0y/Ytd0TJ1SOYh64IFJpIruW4+T/5LnTEhCQY0hX+Bgs
d4mbBvJA0JbYymzNwWHKmP1wKMHJkqRyHjy7ZvjipLDzUrz0W6HB78JcxTk6LuvFwXLPSRPiM1I6
FrMxTCtkK5GskSfcMYjwFGUfTarT95Kpn4e8CR/StjQvbZuBzeI8U3wMsv/MutLn6yowNBjj1hc7
jr2vBpDLW+rOJCBln2fHYEbTX6n1a1M1HfJk9a9lS8HSUXHj7Vzeev2m8x35SPkbtpuA0N39QIMe
dVR9MJDcCvRp0XR05bLtPzl/LLuOZMzeaZJw/vW7SgR7C+bKvoEZQNGnzpBHsX3jkrUwyRl+LYpM
wjE+WjN9jJHVixcVetODuA1Z+Ea4ftMJDCUG45Dm3Tx+FmwSNrykyshD9ULboMHkbFo3O7Gl3y1e
MVFsKTlnETHvcqS+Vp3HUQ8gTbzrOKcA4LylOVtDlrwvY/BC1MraO/D5LtSXZse6ttWTJEx+WKn8
HU92AySAZ1HLvIBVuo5s13XOGb8PBCPUA/qY3clDiRlsjhleWb8vPIbpivP4bVGaUjSeLlMfDTrm
evSwaVw9XlbHPI3FB/YHqiswPSOqSrAfQbcORTS5nroV9fU/WDPNa5g3WIHKIP/AiOmcah8GcTk4
o4sLHzQkFu/0D0pRusvqvttkYDI3geFz1TMsq3yw8U0zVEWN60LBKuQUAOCdWAfT5l08EmwYojFV
4XOK2MRIP2YJtjArQLHPvTKlpwd6F4aKShzxZE1/x7mdf9zcrjjO9t/4DeedU04zXtUqDt8tFeNW
S6zrevtLMUE2tJgxknGeVXgnTSUpG5tAcAPqZYId8AP03XgsqNjZgqtz7rBTMIgqOQ83zTMXtHU1
2VkStOGjrtByqwwbh3A46oA93ZqRjbYHmHpj06DxhEAFLJq9T06ZMGuewuVxmHQ0Ipj2BPrA0PMy
9OYpTNYj33W4a/WKHVBayH9Ean8crAFRZ4/Wec6mM5FqtpVt0Of/qI80G6t3ePkZvtUVunLxQiOW
UtEQTPSeQDwwRJn0lvGz5IUGkOszYd69HdiGrrtJQhwPcUk90aOhvizjX1Jfj3fgAhLnHCY2D1Ub
hPWDGLDx91CftqTjIZjiqrlwWCov/nwLnwdYLX5jWiphWZQkkMJCBXuaQjob+gZXtGVb/+UaPJiT
LYAWyRns2buMSI5YwUrt0rgHQJQXsZLVS9HIAs5lUTonxbb5S0nd3M1yIILOcfiXk3v9p6qax/KW
sOTWjSX/Y8qONsK27O+pLR8bo5NPBcd806OIPsYqqPaQ0elunRKwrtvcDykwbmNaaK3M+60tu7zy
wprPPietdjOB5dkMHd0+R+1yfuZwC0nOleBCqN25vUJL3ljvbiIA6LLL5RsM+yNbCsECko+5anYX
esmWM84e3NZpTnoBU4iOUupcn0bOthuO9OGHnhOiBEMjj9iAAHDkJRHbvNSvpjQMmxQCGcxH/g2Z
uk4U+AZ+xkPm/++Iaiz/Ik6F9c5bEvuBIs7EIdDAzoh+Omjz2oXNNWX1L8QV+l65/G6GV92ndNvG
zgM9Lvmzh2welWZWkMc5/89bjTtE7lyzpnlUVkPKyJrQSFjBbKDL2+puJ4v0zxw7/Quz/lcbu/HB
5GCPSdRzQkAipYKg0t8I8VPGwa/Vd6PJlbdNUbFhA7Cg+76VlqbbwG/r8U4YRn49dH/ZDseRUe4E
zGoe2ucsEArqVJjdjOcVDiCZ39CiA8h30uHOq+9OlOz4XVt+69xODyvu+23eeSy2YZs1hwWS2VPS
je0zUwrPkmBsx780eoybdlixEow1tamb1vfTLc8FSd0OgJ+dWYO039/sClumSlp7LWBBzaLjyKoo
f1znhCgi1Zk3q72oUTMCcXZidrsdYa0IMzE18mOmCTRURFVFPnbbYP4fR2e23CqSRdEvIoJkSOBV
QrNH2dfTC2G77mWGBJJk+Ppe6teK7ipZgswz7L32SCJE0Yad3uWropRtUVeRyKXiEWAlx8nyBmwO
/aM7WXo7TOQ8JtO7ylJCmt0bqAO1E+yb9MNM+Eqh6EWYfFEqZ/Ns4JmzZ5ccZ3gqhPXqLKxtXNeU
d3bgOh/MaLJPQwj6KSLB0RxEVR4gRN7kRyW/D/ZwJ3tKGoZh+8CBv9h3OHe2pI0hjUl6cngmDNhF
3p3AulmnnMVje7A040HPBPKlwpX9Erh+Fkf438jlimCgBYPzXnWD/WGBa7MOVW4XP6PxkNxwa9W/
pT9M94QCRhFwd2K6tg7z/ptfnGKfBI6ak2PMHxotq4s3hQQ9m5BRP9wHDB3AdxItaZdb7EI52njv
pmOHVJqP6pgXIUaBnFVXTWYqSr/5bzojjMIteS5sjOUt1TGKquKDwQv/sTF6rjWb06isz5gEoo0K
p+G9gEaPR2VeGK2vZTr8MeXymia3GqHgTTtMaLkRAnt+vMAU2kkdVieMZ+lTx8rhs0jcW+pGHTDW
vu0anDnj+MTjRMkFdP3AkoGpBgHg5OvY6qEPIX8WS9m9TvApyNI1JFsjTBA3nWL2etP6vWF5WOpz
wtCDairNWgKBQLzerWDUdwShDD8YsCPDMittOOCiHCWYH7gLvZtjuTul5/m37Qp2lyN/xa8/5TxZ
eZ1sLSUA/Qu8Ol/KlNOlZjrjHiiBQvDcbMLxovGAI7jNa4uJLroSuNy/0Cfmd+Yn9iGsIr8j6Gpw
n8ew7bNTKVhn74fV8zDyYIQzG4FN658jPK6iGTFpPGa2/o/HVzSHmo39H6fIp+bLNqZ5XPtVPQUw
H54mZCf0dl0kcPaHU3nD9IOwOaFm80iVimxgvQUszikeoLFj5ZFOL+srjaPXM+1Q3OCIXAvnGLjN
jaKX1NPFzNMcfY30eQFCqQH3Bqol62VFdrv81+W8AmsQQJpl2oRMZFwzwIarKZpLvoTcvPyApLc+
B9NogHCsqjznTpDBzGvzn8XJBLcq2mp/D5DGr57wADjTbgIn9k4aHbWWwQC3z2TTHOkO0UgXYxM8
ign0Xqi9gsa2WsOXLC19gHIGsd+Lzeg359iAZ0M1Mbpm3CF7aHaJFlZ0hwLGIdC1qv1dXvj2buro
u9ELwi8scyL/9jSurJa0W14dXj5EZmt1soe6u6EzBb3jEnpEJgV4ts1F2fOQPYsWou7RInZgD6dk
+M0RaD4ytyG9p448D4Vw4qLGhOHAyjHESmRi0xtmPjZ0AgY5GPu3o8cYfe+HwfqJysYnuNhb5R8z
VEsTp3Yju8dJYxcllq5Hf0s8uPYBBPp9XtxYcOSUr1mMubUjn5APqO9dUHjNK6sra0GPc/P7ftm0
re1H5qEnQFSgWJ/gpKDT53+uHIym/mzVFFlkNg1bZ2AO1aHdTYflRHfAx8QOVbzAL2ECtWW7Ifh0
bEDxdWXkkkKOAq66xeHTJM9uWmZpESOnyuaOYpaRc37kMLBSIm65GtxrhIoCkzCKyOwP5MQieUvq
0USfE7Z4fTYTAn4cK61lkGYb+HPtxP1DMqFzQA+gp2PG21nUbHUyY4HjaBM7v3eSxLXBUUNygt8W
kvpQnso0D2YyrNbV1qQqdf1cE5Kl84qijX9UoDOXAgM7BUaaYPyi8SC4mf2jLf9OFeQTcsbpyzyF
gqOSU3fNqqRLUFTQEZc+ADxoL/2eYTLgb66a9YoQhARfdq2rd40K2xqOXQIsiNgULpANbZfAZKfs
KK5lRw5SirJhgzWWSVg2p4yMkUUPn2U63zZRlWPu6WkTIOqwLqi58JR4G937XXkc62nVexN59Sfx
GXZ9skqyCQQOoDF2CrssjvTPpCXKZVqLB8h2RXBYusANTzNktQQRZ0OVCULGORt3pCuBy8Oqyadf
fQHGA+txY3lK60utie0+oMZvG6haYT5fcTKhFW6MpGl2uMvHh1LPgX+s+4ag9tDK1w5LXWs+HWeE
yLuhRJq9O/qV6Tjgh0SAT4Zx/9Lf+BytuIUzonIVtMo37S9Ri0mOLR4dw7DF2ZHqvYDe9dXmI3IQ
D6A1t0vtO09B5i83SpZG0DRIslJOyMHC5dQrV2Z74UxVfcd/UhIGj3AMG0zaSEJMLf3WW0vwjOTJ
TK+kEg2PMjAefxTBM6BJXLc7NEPtgrGLmMEIp6PF9xGUUcJWxGTnyND/UB404+8I5eeXSDr8Tw7r
8BADGZb9e0QJ/buqMgXMlvH6c2ON+l/k4Qg54nJFxFohIn1gcugWj17nUOq45C/z2GXf+CmC4WQx
T91IlRaPBcdBdTBTlZX7hrC7HylJxolzXIcEWzCsTI8lJLcM42fO54Q4XF9AhEnCqSwn9+K1VM7y
jwn8eO3Trh0P0dKHPzDibFzUZCYyWHQ1VbMEp2HHWSrbU+sV7X8DOBEmSbZFGt2wTvbFZq/2hYN0
vi6zst54bcl7Qh9Eplk4FmNwGvxEPEz0Kd6+Eaa8ZBraL/WY4nDnly+8vdeV7IR7RgSYNDD6s7Lo
iui+gr1mxSlGDJpDTiBxmaq1fcOTIxnz0xqhoxZOjodlDgSdmiNd2iIy2foHsg+KgNAmhVSkkk73
nRC7cef7MjmPPuZxruiphHQjWgyEcmBTGQeNJV/XFCMH/w58H4SDEtkcO6MI7khQwB0lLViBN09O
ZhjaVbKO0bP55VsNCX061uNY/1jVjBxtZBrLM5vPAsMQSKIfr8CVinNeJMEr1PLyhV+0YQvQV8OZ
oI/gQ/h0bUfGfg6qo8EgN86bcNz3jfKtfUjX2x5Wl7F6jBeFftO1PW/e94jeSEuXNpa+AZf3Z75O
ibpUPjzgM7LXLP2v77O62Fl60unOmrquOiXgGHPYsMSuYa6YxQtoc2jbku3eLcGT0mzE9vcc9GPH
CEQkotxWFUXgZuLLBA6qAIufSzqJ5wLF1sWGsZkfhE9/QmgiXTIbW3mlDgFhaqrbJ9ajzYSisRoC
cPyiwgc/jRH7itCmVnCrYkZNXAvObbMqJzjgbIHVzEmJn3jg5H3GO1B/iNYn5ZanFwtBaqAixWSD
wV7jSiQQouMgOpk0z9PXfmHYvBsBZo1bBgbuUw4qrI07/obX1MDjimfXS7e3mPB7S+c2bhTCse9a
3VBsDYxZ68/et/r+DwPU5s7S65Ti2JpUfqbR83Yd3gx9YJbGs8cCrJmBfkKG9BDg3zGDs88i5dQQ
WWK+RR1WWGeqlWmnwDXH/meBeHl75tLm1LEhRC9DoJlANImft4ibyen/gAiTy39OUhMBsqkFQ7vv
wjUIEyg2XXmkBDRyM/S2QCUNfTm76rLh2ygXMZF35Mk5gr8TMTua5zYadsuEh38j4JxO28qqzXKw
JyspDiYPQ/egLQZgTsezs1FTp39CwUZ7Lys13QlkOOpbMUEukTCkvT4xD7fSO0WEqDy4ppCSmqkC
GzMxTrhWsxuiZ+opsjGTFnD4JD4hokzYs0E3YQor+KqlSSf7yCJA51/sdMfu3pM4zI+O47X+tWC8
bG/sflTrsWoHUsXcdmr842L3RXjitpgYgec3jCnB8Th9Fs9hQ+raQNS3tlLBa4MRkoQpMFDptzZj
o84pt/8/olnYzPBj9y9Wj14zHuCCrA9e2tj/0CLPj2M6gZFWOSwXrA7Cflo6+AXxPMGJOfetE/xD
ucBeTnp2HmwDhI7hmXyRNfjq4IXGY4joScMtpHqoq/wh6D1j7ww3sUUnhP1NIOTdLlUWnNcwIv2Y
0oqZW9FnYPygvMc1gZIcBoQii31hs+F8cUGsnSogOJQPU/M7B8igN6bXqEaMD8F5J9KGYYD2RpCI
TdXpxx5SCBVlbSiC8y73X/mbkpfZtwHBcWdHNmC5hPimIgzb8TlHHHgqVvb6N2ya/YDhPbtrO/Fh
dyx3Yw2x8XGdZkgrpN91Gx9sy65r7RUDvuWeQ7CCKQe1RNvehIl4x4Gqi+dltH2QVEy+tw7nLosP
y3kM4AnZeJ1ryeirtZ4EqvO7gglqua0Z7e2VVRBBeEt66BtkWruKwfgJgUQGW2SuowNCMTb5blTU
H2ttcLTWLiFRh8nMVnnXLy7SJCNghOku4rswSbKKHXy0TrHZStaqRAu7YkBqC+dv2eGCyki3Pw1t
29yqqfDzRod54DN0D0DZ2J667FYV4qaqdDb51EIva+rlS7p1D2p3xZtiY0c5e477mjLc3iV1eONU
GXFGKwWnoa2jD4gx/0E38gCvmukJhSHvfzGuvARMav3HmbbpCih45sBjhrpH5pi+aUt7hzLkMSyn
JSPZos4F1PyMNsBXbnUPtwB10xLpv8rX5blRtmTRWiLO3EV5Wd9FTlIeh6qQb21YcQeyusZp1MMG
3kwdHnH0gWFWbLgTgl3uI0QGNZREm05HDpg0LEOHbCSDGu03Tjm99gR/l1Mb3OcCVzMQDeRqBnsM
uxO4JK637vzE4yYFX/CQl5l8zJC63YWCcCHm0fCKAoakqCtV9zNSbYwxddvyalYX8BGVeOR9twxU
XUpe/rDt7DoMo1ouC0Zj6lDxCNh7tOpJy7fXcXcsQwdzp1Hl3O+0M+bziQWuncSmqjWoWSoLnC+8
Gy+81gQsMkwu1d4E2WjHgdep8rtcDJsD35o5cgtQWyAEakIJX3O0UChslIFGhhpaZuA6iHgDOoBe
7ASW12csPdugGPZC8PrFNB/18jHYKmu2Yh3C/nG2Uj3dMV3ByiHx6Hk8+xFahk2aYEI9pNaNbMlJ
AKdKMTpxt5UzoQFgzBMhnLS96OApU92oteT6cL2k/gM8itviTGd/oxQPGbQAtdwifzhByD1EJg/o
w0nIH9mzMCfaFoVEDZosIvmMLnvkSHYb25CPx5iM/LqhRhVjFhnwxwu6z9vkGIHSNs/qbuE2qsXI
wArGGZpyJNJx46TBC/wsdmf854v3rmk5zpYwUl9uwmJvC+ko4gbBtauuA85aft6ZMM7djFoXhxcG
ZIyoOGSBhYTBMO4RWHov8McilnFoNVKUfYXKD1lJybPjzGYpWegsCmHkJmjpA+4jXnMSmOF4ZmaC
vpgBC4q9xvGWI26gyWz7ZtbuAVeqEx1coEanNgLpgpQjM4ZhSdcVd/ghuu6gS7YqOzEo8iciOSjA
KKE1PHrjLREjJG/+rbYU2j2NUeTaeSU0WSCCCIELE+YLJ4my7QPBMcwOeZJImc3JIHYvPWmKDuat
ps9+gXMAXm7CJfmyAZchMNFd3sVFVFXsm9ykf7WJIfxdlwFkNklO3PdIdFsa/MATt89mwuBtTTVu
H6rOCg9dD/f23C1DTm4gkXvuvl1WEoJoRTw6JofKjdeVBLo9aEm9xmhgaRERJFMGkudr1hhStwOR
zy2m+ahAWfxz+GG/Gga94X2zFNZ84dDEEE0OnIfFjgbrmdcbB2sw9yFbqoiAFyqCKLeIppE3IgBa
hecIdTO8uYRNDs+TXZ6mDgDW1gxL9GkljuVsg+LmEkK72vjQTJfeYbkwqE8EpaDZqBDs/UhLQfSN
g/6AMOs+0nsPVRMSTzdcWjQX4xAyYaKf2enWg9DkVMChNmNYQc0wnZOVl4HhiM+ou/XzIzs2yz75
jkSzZxJVgzE0Jgx3s9I8QhBI5LhlqdW6bGrq4eoXiOJvftHJBo/H4ceZ4iIjboqG9lZQ44cxCyxO
nEoIYnNSnI0S4jQJuDu+h7aERZMo74RcxU1fvBAx3SPL9YFIDb/1509fuG23B+/pjIeyCp1oi1xE
+mxiEWARtxUO3xkXCVk05RTchqxE620zlMYvc14RBYlrT/uHVFqTv6MI790/OUB++1XQclkwoYM8
wq7A8xkjPanKuxHhHwAkCuFzKa3+d3b1DV5ez82BQjB9GQMsIjvVCpzksGjm8M6WIg9rKNSmgszg
m2bZybmFMBugAGQdr2+6VCpS+Q/KMOs7Kgc/PC+1k/yb/bEghapy898lE+quJq6aUQpcF3731asS
EkMRUCICilD/9OxRWatAFvtEeNcODG4dKEeYWxGoZallwcYI8m9mBsYwm1Uok5JOnusUMRYWCrW8
8M+C5wiprdqtLtq5fcbo2dliox9+WL3OVkyp0vnxaGXD+MigtszYnesG7KqYfLrJAR3SvZOGtf9h
Jdh2TktZMODxekOkO/zHsdzOSTHemQlPf7wgNGl2jJhUt03x9l1RQdD9Fj1MPivzvbdq8ZdLjyp/
AByrgifYzITRkLbR6dNCbcpB27NeAZ6FkBDO5JgdyScY/tljW/xYQ04tPA0IJ08OlmJx9LmtXxdg
lf8AEyXdU+Ngjd0op14fRoqYx34o/IcmVSwgEg5T8DVTaz2ni2qtu3roqu+MLPi/nk6J/OoUclgG
A4ogBhI/vRhiv0SEZwYiJKPegqNmbPfnJhfkdbXy4kGyQvwPkpH4RZXePIXpghytwN53QN8Ep9ZO
XTLDWFHBfutJF8Htl99QWlEgRxZnbkm95glBMYvv030nqkUXW0pn77nqQJrvykaiUVOWxzKzV0C9
XqBlOirukRf+KJu+nOgJW70JYsaCLXEY+bDvw4H1TdEzBbqpzKIrzmvyuXxRpJjDcajCHclR02EP
NnYQB0uWsUjFf6BVHX0nXd4zQ4GktLoLJV3HJ+xYzuxzJeWDtAbvD1TMa9kur6AXn6q8mJ+seSGu
oZ/FHWoy6D59lj7ikF0eeh6pHJj1XJ4qpLcn6RhEFuiTs9NgBrnnlimPyK+7FzJ9liv7+3VHh0cw
5RxYX0gW7QuxvJzP8G52aiClqwA1tRfhsLynUr9OjTehVCiKrZu5wWXGLHQvmwGlcxla5yac7dge
/M+VB2WX+PqlA1ETN6D2UCOQZYd2p2Edy+SRDWyHbSYKMvOBNeGdFX34W2FuerY0bALq+/yYoZ0k
6bmKvpQEjpQKw6pMMbzdJG1VcaqOw36JPPnlg1F6t7LmxqsanfqpEYF9705ZskXA9ZWExNEAiAwU
IlUF84FRSHeHwel15cbfaPwA8LSsPsaeUZBjOOe/rQ1PbllG61xGKYjwAiaDXfXLE3JB8jB6iwyh
MOwvKK/rS1mOxY9SKbiPoi6OPSmAj5YZ13fJSxnTxgZ4gvz1i5Z9OXF/YmbIAI2+zzleRSb5/t9A
2foCRemGt+yT34JKPk7Dtb9EXdjdOfiPsMgPzRHZ1vg2IgpjlTt0j1EX0F338CEtO9CvPeFwgDPw
mADTWfi7mp8iC6Kt7mvnj41Mchv60jlB3XaPntHuW1Kk8u+Iq+3QO+QBIToQT44Yyj++X3Qfrh/S
3zstfmOHtbXqreqFZLDusHY2FgZ80TsLCIpUXXEQtfpL3EqzAxzBEK9iJHExBhJ40qKF9o3rMe1F
tHVIICVgePEGAnkINDosFXJYShXUYC7Cs9iUpbivOpO/QQGqkEdTOKIiGfejkProy2a6B+IKxXeU
DABIH2KQGDFdxM+HXo2xyQnewYLUpZhCljpzuKFcjp64WWQNyXoJHiYvfBnxktyXGe5XTuVhOjm2
VX2jwL3iGFGf7ojzJspGhLHtfCKRKXlry2hvMUT79GmHLstQO4cWCQSWUqa1OOaGIw/QE/7gj3zg
chaVNf7D+IdLlZ6x8ubhiTPuM2jW/L30vSkGR8soyoH61BCqCJd5YLrOjOttzmHVZw1+H6p//+B4
HecCTEH8qe4QuNuEvKRrBTjKgM6od6KNqiOw4O6JtDG8n/UUnFbcQPtK6BP2OhudiIqKmJxvmjY9
+H8WVCCf/BQTGQvWi8KM92mVtAzIJZo7ouDIpfFQ0YDtG7EPNYQ7H5WTeUcf+BqB3rAJWSs3jG3S
af2tRbYg9tdmv4oO49Q0vgvLRidOfqxk/5rCQkimkTkljQDX25QvL5IwcEJvrfRd9l2yXQjpey1N
RgTo6nfBD9yT6bF02Ttumn7FlIALjok8ylDnJx0GP5YQnMTGV7qA75+66mtV9XOmfEACg7zrwIsi
rqnJxODfUeIS6+wtkaz6vcga88JvIjfc18FB4HNnwOyb/2zPjj6CCeljNsO37zq/9nZrinw/hRsG
6ReZTNysqXh1lw7bhu9g63Qagk6Jvr6KokV3XUCNW5FuBsUfehB1CJ16jqu1goaHtFydZAqivFLo
E7yWCaxEt9CBw3ysfJsF6NCun/ZM8secIMFnPehcWMjqnTeRQygcJBYBfPVTl0Qfkw/GX9M9XfM0
zP8x9EQxoXL6f7tsi32QyyDGU4C7g5owYeaq9I8TMLSm4iXRhsk8mT1dANyvdREXDRSq2AEE1lAS
hZA9qBVib9edwwylTSkjej8m39s+ibpjOtX/b0hxYdATveejbT4w9lG7s7Bqz5zG2VeVSufS9+av
bdAjQET7yj3hXjqHMOyJKIB9AmZuK7RjYHo06QMrLMyfLlvyGH0WTv7KXva21s0D7hSAE2XPImXI
cIi2hWw6zNGs5gDqdd+6KLz7IjTJo/DnAlGglW3t0X8D/pq+MYBh6YzG7dGyqvxzYrTwPIse72AN
Fb6DPnlP0MAjOQXuU2UCceiXOX9yLWHenQr5rS6FvoFIb3BXS4WXLiz6QxSB6aUQdHF4AZF4wEqC
11eOZsuMp31tPRv9azl1uzZKnC0kJ7Nn3iafct4JquWM4ENE2vjl1mD4VyZgvxD2TO6V7UyCddyI
Y8dgMHYqnVzXKgTOkJKHhzIxuTcBgcK00+QhIe1yv3F9YaSZ54Ey0Rs5rfBjXuCqwLlBlzG/AU9r
01hGdJwb32bVplPXu1uWXN3jV2R7L1InXhm6P1ipEndwJYfLPIfdGfdE9x70NJBSBN2OSfDy1afZ
M1hItLNp+AQQ98v2fIXylGHdpnYw5cisca4JoIu99pfh4jqK24drcC/l6J7EUl1vduAd0VUw6UvH
Yneip8MS8YVMQTV2WzWldGahP0Qbg+brMcdAeTYoGl4CX4s/WvcSTrwN1HCX4O/Um0bSAF9k4ctj
ODT2idJdHOel70jGoL0/0TPZlB2t8ylXNzmVePvP3UrrE7FmiPtEmt2IhEMgTO7756Wt9bHJ5/kd
j35zDHUDxo0vNoApyEL0Ze7Ueh/1LNHt2coufdS6r4UT8mnDoYgYK/ED3xAa46PVl9a2tLLXOYdu
SFAAKFAJIcnbTjaREMZAlZ2xaCF0DVPW+B6jSGCsXvbdDUkbiylJPoytHwCG+c9OfiOX1UGSXNxB
Zo9VO9Z/8KkhfK3Al0YjibOsbMf2qykY0rBttH9LhziVRrdj3AddBQO6JdnCGpMrIR5sFOEc/xC0
7X3DcDlMNK74diBs3AlRL4cGMgmNIqLohtnj6MbDQnDbuRjYU90g+3Ge5G4Wsz8irBFxJpJFq10Q
XieOl7OFrtedXen0kMwMQnlyim1TCHdBacmtknTUBe4q298sM/rgzzp407PJfxEEo6gA4hX7WMf/
LY1ABsCZ0W80AcGHPHDf9YSddRMt/jTF+MurK2OSEkK4b1svDt6Tz7ExBk2EbyV72frJQz7JDGU3
bcKOOOO3THeakAzpPaFogjXGCV5S8c0NuQAe7ouCUA2MOGxoPhKiE15pSVG/uTqN0SOG+772rUNa
C/EvKibAHjfEOuz/jNo88V89At2x/TjdC4LlHp5gsoCwIIM7r2dN/i+pPKwNq5HKdeqv2GPWZ/Bp
Ft39EjDZqypzymENUdEtAekNKozJEkzQbKbjt+/W9r51VXNtcxnl3CB2FqdCsPhNQwIO2qSlPOjz
DA5zJE8EW0cPXaH7b81VdDdVQfAH09UYL6lmKUDj7ZPp5PIgdP1aRhuGye02YXr9XSry4llFzXeC
YfIxx1FyLTJSEWPXtZvPgrXqLz7KbE/kJWu20tZPgwK84JRZ/qscF92TNd7ishLvgkCveFijmZjK
xfLeGtSucavrcZ9GIrgJ/lT4jqCj/8NqMjm5bp28Ld340LarPusCbH9DzM1PSuO8w9vBsbEMziYD
k3FDowjgOiG5z6K09Bkx5PA3GMy45/+XvFqhTTvc+QTNjdD0z1CV/b1Dr4+fK1juZCLmU5Nyb081
axtGkI5+yKmLFHGxN/6Wqf+blmZ8aGD23fs+fjHknXDU7RlTYVUXv2z8Od3zzLqRc033Pc7ExjLQ
O8/gsTZAntO/TLLKR9oA9bnMhiyazojmz2qcN+xzTC8G0ga3SlNsRyoYHyP4xuXNC94wHPL8d2Oh
rMOGH0yEK/jy3K/MNk3CPduMdXp1lOkeik4bkPRzV29IXJuegSaaPa+oTdSCFZ6ZrEf6EDBpQszw
fwdb56zDdQ5Tc9ZARoYzuYjjkUSZ+r6H/LmRE23WBhSuhjtWNRbnbp5+lv5IBDLWM7mp0rna51NK
h8lI+M0f+gbLbMGeFi7rtQTWeSBkLIQFZZM4ig1kRm4K6chgsMAlsnGAzf0/bQLvhmtIvkXMioOM
yoGmHP1QnSXJEV1hNF9JOBnlHRKiMiZHInmBqyGo9GEktYD3b0lk/bYCI73vpdsTBBHeIljCggRo
4Qz/gd3MH0nG8vMvs4Q8bjN9Au//n8HJ+Ui9qz9Yh5RxxZdVbb01lLvC51pMGTO/h6BMiQSd03Yz
WZJSVyPkZqw0eYqZgnCPs2zUYY7E8JNxqf9/dxJ+oQr0iEwHF8kRMu5WbC31abW6PmdaG7G0Yj9D
4CP1jSp3PfvG5wRv0W/SQz8tu0RCwau9f6k/9gxkGInfcepE1sbnzcGjMnSnAFe93Pdz8AWoFLZ8
u7jECwGROboE6vFEZZRt7Bqww6nFtlZgqrAlJfjjv+BSlLgvFHaJLcif/rKSjvMyaUAQOMyyS5TP
3d+s74drEjUlJtyu/8w5lc74Z02cEs36QuBHcYqw8d6xQtUHS1IP5bWP9HLxrGYXOjo/Vnbf17vI
U/1VWHJ9s+pUXpbS8kOkeGgFETfU6PEYpUh+ksHeQ4bPYj37+dl1andnzbO+ogO1TxGT6I+yK5wd
9rmSyXYz+A9VYWmknFRm8km5VveRs6jk0GKEohJvwUCyqvw4I7b8HNJ0+ZFOtT51oS4fF7X6nAkk
WYSdLR7FIEmGNnXz7hGgGuvE+w+i1UASBRDToR6sb2si7mZ2TX4MoIfdZPrN5zA7zO9vqRRJnUlG
V372UyL8YBPQOBdJhONmMm6O+x6PGYSONABiBrDiKclQTG0ARcpTaqQLwKcpnm/IrY3JCJKSE092
IRRADYxVA7WmU4VPOKb1Kwbl/r6hxyPBs9yrCeHu6B4BwbiHFa0DQyNvuSdz0nyvQ2FBi1iZ9heR
wWSBwrRpBkophowp1vI5bE42lxkO/yjJ3PtRIYmyGf4j3Kzkm6FrijYA1N6xQeCftvCXfCaJMg84
lKfnNUv1qeFqa/C/EhPiSXzkLvQMNL2AHFi6TOGORIZ1P9ayOuRRMv0Bm6IvxFzXV3FLHAG+4SFy
ZbnLJhF0FDO1QURXy0fdAakZXleBL+Dq1/iTCZWh88ZgbQq9J+TU/6KQmuZ9M2rSAVEgi4tE4S32
jsW6HaIBpXTPIu8wKrjI3NneB6PaAstzbiYgoOFCzITnhHfLNAegM+bcZ/o+5OMvyAzhIA2TGd87
Wrxd3+aoeKJZEnlxc43sPVRS782Nb//MwFnIHUA454zejB0QY+jaJ+jP9+1ol1MivbJrZPKk64Dt
X14Qz/aDTXF6ZgKein3WTp3aTqhP5oubDah4CalLiyeUNw6ZSfQ3v64UtrutKxYp96j8hxbUcFZ8
MolE80T8aLZuMPggYRbl7NfbWvFlMHCT1ZPJe0wWS1G72NTKCQIig3FE97zHKJEJFUKZHNEc6nW2
7k11A8qgi0Vg1nOzkbwUlC9l5N0SsUVes5spTZGRwpOhY6ijPn2eUCNdoSYhkMhKC/MzRJYdrECK
/sB1m6NC2kGFUjXhgD5P9Kz3IsBIp9oSN2JmEK1/sSrgFApXPZ17s4r1DL1SvYJeBgHXs6wGl9De
KrEiEEn4BNaVzS++KW5LL4MuBJastPi1/QnHZER3xeyrwb14cbC28jLkuia0KEx1dTRgwADez2DA
8HwqQG8w2e3DJAcsKUVTfkyIVCkLscnJDSpkUuBMq6LLmvf8KrntrGD5IP1uYe85jM7Y3qOZpQUO
6oidp/Ey2B6dBc1iNy+h/bccLMJPcEfZlxwIAL1mq8BR8kfirRnyRUDEq33/PE1jEDzgzVG890oQ
nWxbgXVZhKmTnSNFU8c9MBR1qUUUHAlhs7vTVFZw74I5F983ninVr+nbf64/BftaEn6xKdgvvLJ6
HVbCZ+Ak7DtC06ZLLmzvn21GWpcqC9U92AfvkVSW4D3lMKeFZQ76OiQ0STuB2JggX/BkB79uwddE
3K6wOq1P8Kb2CSKtYdDq1G24R3Qpwl1Qs1CNGXuhyCDZ6DB11fTiMG/9tXT5h2BggC1pxCwV9zoe
Bg9Wilm+gQmfEd2iwk5KZ0FW280vsFXCCy0NhUdKa/6OXJ7IBgJRmaoBlk9Ks4vAb24qx32nc2TA
YGrrQKUdveX9/G9xi3xPWgrNnhyZrXt1dOwQ1lNKYGxg+q2zZ3QXhK2iQMj+uiO6Dl4GUNXyZ+G4
fgfjdPYxjm5mwrVbd3oiw2Hb+HjCwcE9YYu8hjeDYkQRidP2XQ4+2sV56kkxh4S7q9FZxWKUGPWg
HBKwmDp7FFTYWqUqjs4wVEhCwvHgEIMIiFJ2D7hYgielGcFvE3K4gBUs0x5nyQcCx+meubV9KVIV
nOz/UXQmy20bCxT9IlRhajSwJQnOFCVqsKwNyrJizDO6MXx9DjYvryoVx5FJoPsO5wrf+nSHITpD
xmPTyjeC+vfStMEt12tWKnLfCkWUXZlB+jNzsT+YtKpp0gIXqQnYFAGGtKs3du5f/cmebhaMwW1R
mx6sUDprZBqStxbDTGzcgXwo1MMH8rL1gSDo39Dr6r9xZOlnv14PKdEN0BDIShIc/kUWVnPnBOB3
61FqOQ5rNj/nVDrZlv+SwHsFDAUpobQk0ZWuKSnSLy58igK8FVjoX6Xf/Qvw1fegbKKvGXDSfxHr
29yMtfsswBju86iZNo5vHHHDkL1Lnxe2SR3nqjyLkpnX8+JJq/o9NsSL4oh5sqCp7DuWIZ/AOOTY
qTyi8LmOcU6PpA8iY1/ZSbPJEKy73QRG/lZpUV64zKLB+Q88wpRsRetd4AJH1F8TM+FcOL5aSzG7
G7+DWFyMTJdWPHFCFGU8B5J6BwImXBfxrtA7FInEWfzu6EFsBuV8+HhLIbZOuaGwfpdNED0Zk33L
qMltFC3rPWgkflR9MezmRer9PAXNDiW4ChcDcqgSffMNtG/YE2cd9r3r/kpmCpDMsG85x4OSBFjM
CRZjITClfyVb6p2FJn7cWYxmdRF5O93Rc7Z18FbEUOIYDoYB430vFB7BOOrKuUiC1KcqSbxfWOIX
sRAUt7o0ZRNZoKkq6/c86x+7zW891IO+1baDhGq2Fycqs4MjvRNpVXfn+aJG04mSI9HkIoy7BBWx
FvO+Hjr7Gcnfv4h0voDRQ2uOxjcQOi5noSXUiTtfyFl+JZaSFG06cNiklfdknv6AfcRgi1mQJMYJ
IIJZrzVeGFMFXex4fFYmWkrByDtPCfPM/gapnqmRu25yLVp1zuy2G5lU7W+LzPF+bGt4wO1IavjC
MKf0tlrybuCbAYbVsjaTT4QXg0ccoCDZL+2abeD4ynF2Ltyw16AmxpWMx+OJFHVXe08t2U/y6Fay
M1nARVZjmZzT6s6i90wa3h6O1MOIpo2W3iS6+K90+PgM/mI8Ok6BZ9/s+iP4lnHb+Wl9jZzhPcB7
fI07B6kpI+KoWRrtI+fQSGf6tkzBdcL1rxIFjDsYkCCgFt0eyhoYLep5RzhH+VMPJ+bQDMa3Ble8
YUhrICRM18L3vJ5tDB5FR5l28ptBQVIieTHWjM9TdDU1/lMRWPqJANmNijLL4sLExfHnqg4dd45O
hTS47XJyTs9JpZA3QAIcRmlaWBiUGEqw/7Ais5bFWrYJXJq1jGVnFgOHhvebHvcwEEwrBAQNaSku
48QxN9C8BiqjVvrUwhjag5Jqd23QpO+JZXyDZ1fj2U8NYJn0of8RNzYByECqPpD5r8lNp8x6G9Uk
9kvHXC3C6TidOFfzHqwddYFfYxwzqZpn1ley31zoyUcB8ednid6WNnP9zPiDvNqO3gfzX7dOXTSi
jkbsihQDPbHQNqwpJnqe7Z10gG6RmSp/9gtHbALfNh68bgiujH9agjfZYUIg/O06g/ejlU92xorn
eauzuLdP2L9c69Pfqneju8db6YKuuCdM4N9oOVyFI1lXzSo3Vjs8g1+VJojPGxYg1cA1IWXlp5wK
Yti1ojTKZx+T7CftJYnyoM13/J/gbCZLM1+spYp/pQZL1X5kyy0Cnc8SkPdndub/2lHrlzZhuNwF
P4JkUHybfkTuI1muPpsF97Yh62XG5bUt2w5X1M4JL+dmWDLQs11IfhQbIfxmP4/Kf8cWps1RKK6U
is2SQ2Z3vJVaGVz91WRXKeoje0pgOOLYtC7N1PECbET5hr/Cyixf68k1a0gdSf7O9YoHEo4b5TUe
/26NHJAJPCZAo14p73j493g9NgKEK275otqzUw32nlB+/coYd8S0NUNMO9tkrt2LqVSWHNe+yFOx
T66G984gFFdWvseaXw0hqZGcpUxc5jZY+SK4z4/J0mdTTb/8Nt4HAxGrinLNMjkTpPWqwYW2y5/Y
mZuGNQ8DxorkSIiKfRvSTH7kC1Mt05zdTeHxymo7ca7GaF90+XdvFEBt4PoHwAO9mT9MemUUm+Kf
3ljUhUYPpKWR5zUkF/3kBoGDTJ92hzkZ1t9DH989O1lffp4jroYf94fYSvs3XqVzaI416A+3HIpP
6XneX3Oysr/ky2CoJGkdskpX/4tk9JymlGFCpYbP3lnu2ssQFyZcrO3AFECyeP3Ds5uDGiCVyO47
Jou8xarKKExN5nEUlb5ijq2T0SvCJceuGRMdCqKMW14h35zgzkBIp1O98KBxKWKf7G6mMzINcbrp
O2bXlG7KEAm2Oghl+qHRq9XvaN5xgV69Lo9ohMT9JTer/L1f8GGU1Ex2opJqnMM6f68dnqvSiCm3
wvo9Kj84AGD/D617AV7dhwWUsUuak69MwXmf+Jq4t9pIDtNM+2t0qijb9Yjgu66yYVinajSwgfE1
RPPekcXZ4JsDUrE49E5mCZZTsNSTu+t6erGIJzp1o8m1GQ501P8OGn0EvFHirpQ1cJngOc+oY8mI
BAZlHpa45Jye2MrLLhy/4sNEaOKqq0+iPMSw1ZvBOJkHT6ShdUREARV9gWZyiGXtc/Cues02G0xR
A8beQY3EDasxP5p9a+1b6ZYvmoZgWKerVpiVbD71BYfh0rvHbna0NG0feiT9H/L77cFxjXnPvh+H
b1tC51OqueklefjwaDiSwHAuITg3qwxuW6L+ppWc/u3z/pUvkMVOZzG9VS6Bd1xW8ZdrOpsMDkXq
R94U3c2mfciuKNKx7auvTgjKLhttpY9ktElRe0G8qpsconIQm/C0EWq8tLkGg76TIXxpLELPMzuF
Gygl34Gu6gvgmToc5oTTol53xnOM40tnNO1p8NJgN8UMEsuKc1saf89lx8vRndw9QY23xKruTdPx
KkUancBuxPI4chx6KNxMekITKWR8qGJM/UOvpfGaUM1BvMWntgnort9968NZgXRZwDGHiGZxNETy
smDvkMTJ611MdvrFiIbnIoery6HCDNFqzLDx2+zHJEfAY4Yv7iCC/DAhYIU8QToYTUSUQoYtBZvz
hnpJldIM+9Da2BD6zWKSROtMX+qln42gs8Jo1zrj3V7iGSuT4v9e8/tsGlfuKZRw04sB73IBBre9
61K3OnZZArMpgirj+f+iPrm6ZKlhneLP5P4frgPeaYE3crBHR9wkj/aDkdH5nfhcVBEvR5glVkhm
lystYukw7pvIH998Ede7VPjZG2sH5xY35+bI1vmPXg1WncqiT4dy7grXg/rWKD/EU/uIfVPRq+VS
5NO9mSfSOvWCoh6M84j9RRp4Z66Hjp0RcWqlis94dhzEZ6DDT4Hhjqjs0F9yh3GE80IT+lZAzD/L
BVgin9xGfgWl7B+d4Tw18AuwuJDmTyT+yScmwZBeEh8Gv82BY0OmPbsvOb6JUuwIZHw73qOuTLdT
Y/WfCxYd8geT23Bo0nOq4tg7lYKUao0ewlkeTQxgNGg+aD1cN+0icQ40q4od37X6ANqgo9ECyc9l
XA4gsySszLmTjSSwo/xQpsm4Q63jJyMK45NTKPh7qmNbYpJPKycSJ9Yuzw2ZSNolM6/Giy2n8tWd
4uFdt6J9qvPY3PfJMr5Z8P/R75CLzr2HTiHK+VJoJnRqu+RsyCLwP7DVAcfJce1USaacdsQCQV6V
caqKPctKzVPb9M5e9dafPKjOwh/Gv5o73IUCoMWzl/LLhNvl9P8SftDFIS9dj1xh20ICSLMlGg7s
OYy4q1H0THxbXWIde9mjQKxx96NADTp5Vs9jv+HKTMETFWKTNH1vYc3U8qOlPRG6DEQ/yxRB2lgG
kt4EHiuXd0Dev0jp/7VUmqBVdc6hgKAVTt5MJjm3AwGJ2ZtCl6vXfuEgcah9vjelkjCTJkpEMWs/
5Nfb1a8zJ/A3tG4JrLv58qOHtP0zl/JnrnrvUOguD/G/k5wcYcl3GbXtuACLeclEaXz5TR0xGrU2
1okPUzH1bRZ44Ru3XEwLtQEn+wOtl36lzdtm5altczY3D1ychm07MB/Dbx7+RbLe67nL1+e+jhva
9FTJ3ZhVNiLUg71dguwkqpSwXNtpIrFze+WRCX2AtDhRbFPNv3pl1yCFaFHxsGTYsnhTDlblWY5j
Rmyjq/iYwrMirDgkeIIIDCzCpPxE9gR2PHmAFdCfioqI0NYjQHYgudZha6Zl98EODNVeKDKuOJew
DurxSRLPwvM1lE7W8xjBCU3ltU4J4pnquhBfBrXiSREuZfSb0/bycOlRmxtq6fYRiUqfFECFN0rL
EpwIocCPVmrI/EQRy4epx/GQJwGRy4F/3DT7+B/ESRUGjF+eKcF/0dyojgsB9jVMxwZsuS6xGzP8
0D3MlLYKHVm7D07vwyWfYI0RvkLAC7QV3yOv88I04HNJ1J2ARjOi1drZJ8sw/TnRGPhccDtApRI7
jFq9OpsQRjHT0SEx/rEXcMoTYogM8LGPgYX9TYeMrqyT+PYGuBQDWaw1+rRYENdQTDZoDvkB48HJ
wsIiuEGYP7He7Vx/ZHOFDDnPUG0o+juE9kT7r09KwJ5gSVHd7XCU8z1nWXejEmJGfH92U6X8J7I2
3q0jqQu2GCxj62L8zoIVJd4HP6mjrH1UzgkO2PgR2w7wVshysGO4w53aZVFEQJo8QpXTcjyzRr9s
0kUXK9/Hsi7KTOSt5yB8pBrisMYDixRAPeM5LcgvwmvjebJSelqYQWHBFPvi1AsqwtFscQGqIEmO
g9/Stk5hertFH+w6dBhipjx5vzhdEWaPBvc9Suxf/FRXBZxs7iY2susSyeVX5UIsrPuRSFtnM6C5
pNWzlZs69PVMnjprHyyPYtpHgJzXjQvrX4z+Af1vtXPQ9yyK8bAn+JesBgOiOW8qMJ5QWCRPXz49
c7fzOyI8jVlzUspYKGPjLWCPr60u7I4oZigjH2Opz8NsPYlG8AkZw5h8lBZi9juasZvayThFBiM7
UbDB700m/82L/99AkZ9CDSySwWDlioRSQdpycAmBLgyyh4OQNncnQfYTIiH0zTSr97ZfrcmZpeIX
XMQ7HTSG2z3ppb95kbxQ8mRRwaLEDp6cAz8zXgs+BnvT0WOGAkJjYR6mJ96/7ctEM3M+UTl3qFLx
l5mMwcxTAw1wYCTGfc5s6zyQfD0iqpbHLBsYBbGZ5cPBC3b4AzU2p0VU146zy0Q84+EH0y6BJHyQ
poP9XZjfS2wcdNuxW1nAVWzHAn0rsYOXeWRJQU7MjBRzc/Ib1qcIgRmfcVY7QB47M+Lb5C2wAlvr
q+pV0uzZEwUUMsIGrTwxHDiEdudyIerFGGZz97vZPnbpuFIcmIcLbE2NwAnweLLsgjsVPGeB8Rgd
u965cG/JxxpouMVoT0z+tMTcu7EHGDOwoemvgNX5q2FpDcg+k/WXoYSvslYi/K/a0WIOp2xeyosJ
5fxVItXWZ8IC6BW660+6rEfwpZ0fPemBr+0dQ7cuwqnOIT0kc6nGvfAWarE7fL+qp3ZT2pepWx/e
rW5fp3x6ZLYpdnarvykVTc121qQt0Yc4+TULy49gzinFdjGUHTJSMUE2AXpgN3EzPJZpwB/gZIqf
aQiac4ROR6wR6a/zi3fDoHkYz+joJnGwBFj6pqPwHlPJnXC0pylGmywI9+RmTtzCLKARRdSBUWs6
q7j4C4uuYi7Ga+4WcN4sGbfbovFL3rbZaNpbwgrMb8+j/cFjvf6PU8Dyq+FyOYXdIqdXtFb96i7w
xjNq2EcLRfJcGObHysQOGZTow9i0gzfizwNVn2QkHO4MPRal2Zw9s/VPHCZAXuSTDImbI9jZzLI8
Q1SYCzrJbUYfOo6ugrdSfjccbY0XPOD5DEvFI7rlN8ORmMUYYHUQYMq4px6lHqObZS1wpAeZf85l
4f1pmA96uEvhfLDliivQltrf2MCg+RZpxoK2mFUxHZGI5esSSSAAcABesnG794xf+Fdb1M1eaTdE
rWAfcaGou+e3aHMs04ISNE/xaDl7MkofKfi12+iDLUMTg50FFDKb9uk8UVgpR5FvZ6n7H7/Gle9l
i/zEk2rve1yyaz67RpnOSQhuAtR7Sx/tCLSu5TPIFY+lWhLNDMlm6Q5cFFHo1J93JjWRY1oG8qle
8t/wxONwoU5MNU6258Trnsp+eauBU9kaywgME4M0xtL9N8Soh4GsyWJ7I3xvz5X4i2VhbDyvbEFC
JEKt/663qEqLvyVRkDBoVUsOKw0WSqxGvldd5B5NiM5kNov61+JlBzctn70k/Zd7PAQo4NPGHjLK
CdgQvL+asV2HMIRkFDw1sm2cQEnKFKDdGAJoWPUIaBT8+vJDD16OVwZwGx2WB2xHlmlvcO0/mdrJ
b4umbd+jPqPcYBQ1UXDsiZAdc24Jkobb/KrYd39mKLnmQzOjAqtW79NgEBfkG67OslSHmjbzNQYp
9F8KUwB8MJgn5OSA60dh13c5z8ERV9omgUUJfZlaue+l/59k4vvC7A9HDpjqBx45MFlFxg+Br/Fe
TpwRSLQutMC8+rPBSfAZHl0YnBm02IpOWcfat9+tYCpqOi1F+3sinkN/F3ZUsi9Sab+QLH9htsE5
9ysuIbL9J78xxBMZQdxMjGWWaa0cTH0SvSS4lDumLG25I0k/sP2hnCCE/ji/t2qwvmOPELDt049S
WW3dG2VxvmnhOJvHKui8nejq8l4G2bRzaDY9QBiKYD/zt6tN7zgaMjYhpwsmZ/PhCNl2e62T8TXX
hf20ZBEfVyfNjjQjizNnQRwSz6YgDq5y9dU53GIdseg8GmQSvLYY9GOUovkzdLH7m3PMcM7j2Tg0
2souQTIMHnqH4R7Aall/EfGT/8zZIvCOSF7MfXWTU3EbXX2vMZKo0gdUxsciLR5LpfI9Cx7rugql
p20weg70XYO5auapTiU3Xv7HrQBNsx2Nq8AUR93+l6bggOyOxzpCLC886vK4hBVyzmapKrCwo/Xo
2olfhO8se+3Fp5X17X7ktpJtTZN1e+HKaD9OFcNhbHbA5gjYMsT5PCUt9E/Uq3qZYRlhSB+ryYoj
Kh2DY5wMnuZ0wOp2fPR2a0xoMFZ0bdvKVsds4M/idQFcBIgz97gZuyCmmehhJlPD2tixNkpCJZI4
7i40mYMAF3mw+ojY7iJ4LrQjxDLBDBmquKYZyk6wZ/1NcC3vABKY9274UfxL5FKcVDFKA2+Hx11l
sggSjjTh7j4psgt8qmDPJ7B4nkvxo2n9hZEF/TgRgAtpFXSbkW9bNlKenj3Nhjr4ieK/QFAmozOC
DT+gIf3LmhhBfLCK8dAL42iLsqC+V7043C1IwlNpQNBhoiFuEjIvwMGwBCxMEMsz7IPTtPxQaE69
Alens8tKEOpoMwGfwtjcE9kDpDFVJLw97U23hb4uWlArIgRcJD9CiSimjh/Axqq8+hjX2Afkpp1g
eRNDn3hh18n+SzdmWbDOUM7pLpoIwW5pxPGlIxyh9AcwJcI2bq3Mq2Q3+xxkuRG8sr/mhdJqAbBW
4FNCFqLtfxZl4BfPjSO9mYgu7TTBgs+kh7K3yRPXubXRPLC1Ruh7nwXpEh1IuFcdGlCp15VBXPp8
GtBPJrsf0lcugJMTAsJEzq5av9z1xpR9isTO9w63CO+L+/ioToZuxmzvmj3jo/C0SKh5PLUv9py2
L3UHngoEVyS/IN7L8jlBwHRfe+HiKwF5qJMXzcugDoMoaKo7eG3BtY/laNWcNeXPaa9FZohVREuu
fcp4YzOmmfOKr0m1xTFjv99AQmF1cMs9JN6nEYVlZBqmoxHGbCahm6W40hN1mK+uDJ8z/iRmPSJm
MOmLU4WAcSpdmaN4kIok3ltrKFopK8x+42oq2QV3sI1slqm7zJ5tFa8T6BbjMKRyNKONpdsaPYSU
FstYy5+uZI/u4gIv+kNF1d4XlYiXO7nLrAu7qI/nd45qFPjR2dPqr+/24oVDXykPhetHVBsVAlJf
iv7JKMzcYts9H71Pes11c3caSywH7ADSLZvFQhvczgmslWaD2KRgHebAPiMjogyW2i5vvJrdr2Zr
TG4x8fUbkKq5bpmcvQjsBuyZ186JqqL447oZQ+bE2MSOVwRLr1FmqacUI7G4xgBqSdIQDDstWVe6
T1YNgPfGOkL14PKXiyMXoJHHbj7RG44swKKbJOH3vsl9uFWQYxS0x5HXxYycwNsyCMqCb6trMyyg
ZN1YO5466SfHQ4cRRbMp3+cuV+0vkHYy40+QeDxYAn3oogzjvWVuNjqzGmZapzIZ4umK0T4LFn65
bm3B6Se/6rKr5W6MFBUWzQ/+WqbCHc9kzqoedpzjH4mA9fYH9V5WTF3GQg8eZ+O/GZscH5ghrfib
Tm56HcXACVXgoYbAW/IzDJvhXoxWdTTXMkltsj+1MRokdgQNb432A8n5QFHLmZ6sZBx91ZxYxxeP
9DHPMPakndJwGW+p+2q97paKDpPXR+n4b6LwXO8qkch2TwBnGr4LQwfxd8au+Xg27dHOr8Ug1Ul7
KKZsB3XF2kUfOzLJRhydGxJH5oNo9vSgkAj+r+s1i9heuYCxZ/om4fbzRHjJJv6W8riYnJT41yJc
lV4rOnDZk1naLDbGs52dHSLjDXSaxMUl466sCwREVhuOlZkR9LXaOCcl48SPWAdsEYiio2+vyoJd
yCGbrwYh7gHDWaS/jKVCaXcr9pDvrRMZBGAdIFoe+97ylk2L/0spssMbY2ImPkKC/2ibRuyqKTIf
ft1UJ5F6w5/YDjwJ38QWFuFKemGXYIErm6YQbaHezbpSbLiieKAXZ3V6QBRjkG/UsZkcbIeCAw92
6gY8cdhyGbqIzDZ55vrL8WLlcFLINKW/Ca/+1MTm+JdJKPW55CiaCZW3Qk0hrHD00C6Ge7PGLqyo
OUV9axPpKvqFRLjZmvU5A8sBUjWPFWIb0y7lhO0CRRpkEFV5Z7GXb0uJYfxgbyLu99lUZ2vMI0lZ
7Win1M8O3Wi6t46r+PJwLGJwOYQjWW3o3Qh6/yzxMGakm/Y5mVlfIEfGTN/GUgZbP1WFCBRqvFo0
WLT94dIbg3IRNGPpP5lw+CPAEqn9u+YyA1sRnp11SNjSOrdo2hMZU9t4B6oGi4B5DuVDeF0Jysm2
s7Crucb1NtjYs58T0m+RkDImtIssJlZgRvU6Z21VcPAcKMHEFHh1T0PXvuUtfAWxBnw/GtU5wT9N
OVjd6ZvWEOSFpuxiYG4ShXmy5t5EzqxNWYizz3rrvo5ITW47Bb3qmo7K1qwoOFVyanxOCEeFzx+S
WBzenS4FjNbENZfXNWhzki7EBhK7AH6YrpJ/Of73IWtvhIpicJrPgY11eWksonuPwVsThsNc25BI
O6xNsn1s/zwpq/DpXKc0wNnHYlyK1YCptJ2a9p0OSC8XVXvS1hoMNNckzT5rguQfmxiW/4Rc6ZVP
xC1dUqCB5beUgS2Ud6TITEjKXNnIq0cm5mDtHTxPeXeCOMFZwa7YOQt01R2H1Hy+TgMv2Gez7lC9
CBq1F1mO9Qf9jomjUmX0vwrTbsM8LRvrk3NbeUo5neA8i9gD+kJYu39vqJYnGC+OtzM7HMmDHUdQ
uLzEP2VlF/1I4Pxo6Kq5AMaOzsw0j1eZWiWkHH4HLhvGvdMR7xyofWT4e7BBBXGCnosYZhd/AYrn
JAW8AKmJx3N1TPaE6ftp5yYCMCAZKpf4mONiwNJWTMLYoih8qcogWTcuBrX4F8+1YXCNiu7KwGeB
8lstVHHooQ9gElXSfPerFdUMBAtp0V7SMsxxKctt0M4A8mlcco8reKpsM93Kgn26ztkmnJ0/UiWD
O/+Z+Hokd9UaM52Tu8Tcsje2cobkwMG7J0TMzIa4d+R0T4aPMUvRfCJzCOSUrFvcChPLwpk/HMv1
PuxEWy+5yrHNx3WD4OZ3TjfcTNZNqtuABBP9LXH4eHLYkucpPDqmrI5cMVEc0ZrYZYplWhjpLqBG
GRe8Jvj8Ho0xdXjlEEp5i6dSXqUcRiPbMFdjFLfZ5M4DnSoBBT/x3G82fWnIT06mlvFimtiknyZE
0QNRp+JDUagb/xLKhXzG+9xJPuXA8eRAjr0ZH1U2Jwy+TJIsjzc3865rmP9g51a6dHRk/eKApp1p
VnN33Xls5vDHVlOvuCxlpsl/rZTWX8rospBLcfPgMxHpK009+421ETbHTS4NpxR3VeJpi/iT2tQw
70jIBXy1+COPLhEcSZqcTRuCAVFMIY2G3Dr9VLm4TLZIvCehuSCdwTCWYtmAU5nJQ7VxugIkHLr/
7wgbMXFtBz1+jgIKsGZS/niWzy9rE4IM8bNGh8wXR+hjNNvBCdj9gMXP1yQ0Z9XGF2fiPr3NydmX
96z1YD8gZXH2LcbWA3c42Nh4tpnD+ail1xskvISQdOp8mw6u7MnkQr8MvJDlBm/6CsCTPhkWf3r2
DuV4/FDVYDjVjq2r/hM6NivhbcNBxKFT0V/ioZVnBIIk25KEWMUCz+UD52ZuRyPRgjnpbyzftdOT
cD0rOFVZKvOtbfDG2KDBEkdMpDeG1LuWKxLw8hn3ltkd1Nx6SC/dzPyPWhivops2bgnvudcKYB6c
P5FU2S5nKXShwBv1xgdpz+jky07yMARb5Txqu2qnl5S+Z51tC+hE9MTyNvbF3hqspnspk3nEuoCE
SolAEEHlQ9BqMCSOPqHH6iuBLJuR5Bm2iCHEVcJ/CXZElQWEiqzura8WmLy3Ux2n5m0Gm2QmrmKl
QQGCSlbj2QpWj6pObNG0uxq6SMA1Wo5iVrts5DOJ+8XSdMHuNl8H7l97SoHxLp6U+M5o3d98PqVH
prjlwJTfUk8P1zDRg9sxAn0+0EABIVxkLvX6DkHec4Kp24kZrlzRtWRqSVWP35hESfLXb1gYvtGS
Liie2uwB7m2EzIgUZtbnw0viKsx0Z/Cr4gD7xxIPNHJ49aN0qkPSRgaaQBuVVOMYrWs0ZfmjZ9Iu
DbM6qy8ECIpQt6Y8xhOx011Zoz+pScCcklUiV+ZkzI956W5MD3OWjsXY9yHBOmePlD6SucIJbOHi
ZKp8GyY/z6+56Y81AffF/AmS1vpBqIHoWxtOYPGPAx/8avnCiN3SAbKJpwFA+Cb1SqzloXDfaXK6
OyoTCpxYZVxMCs8c6tAGa2PXFL5VwYQrCkggEcgFcjx2Ff1Zpn4MNZQO5YIjixfInUNl2Oc2ds21
p4i/raijvXuF0Xh/zD7pbgTCF6BLTX0gnsDeCTZS5pD7mdUeytiE2V8rdBtogW7CzyOzVQhisONW
0/TDXrRE1FEt/fHBCS6r32G3kTrgLasl3cGBU00jZt4CrfY9f1u5ZDfneiJXDuM/3tbsZZJhbow5
f2EqevEPWnFUO/WDG4mjX8dW81aszSKkdxAyfyY9TzABK0hT2ZqcbprzAqKMOrg0bcWdYInTF1Lh
nfsCQGukD+Zqn8t4kBiwapiwbsbxDFcx6djjqzj2vMGO4x61s70VhFkHhgiFlyq81oW3Y8+1psmS
Z39gdnCjNFnCnIh1XtObM7GgGAdhhLIPGzkO/7nF6oNnyDPnTvpwbriSMnRlD+17ncbBIRWW0+5j
20p8glzCfSunPngdVD68WV2Q/DcBVTC/BHCGFe7uWz/EDkdS5rnQzxzaE5AkyUQgIRftyIs8Ae/T
8av0QY1wagxx8mao2fiNSDQ/gjhzI6YlfPi2YPsgf10jeHIvEZf1/1ozQCziWeC9gcNm/6jIRzXf
C1DotyYY+I8HmuCwserqMg7dpnVt1k9bqN3KS+ouLC2KoVvXKuaLkWEvsjtq6bcp6ZI/AQksa0/G
PSmf/cakUBIFtLJCtGOeaubEOSImffwGntIQ59n11cS5pwDMDddK1BWo75xJFJwPvDpTBcGNrkvT
MOXaMhNUekhll5IIbsGYKsOatE4S1woVSx0Xu8GABuDGqjZeHu+9kDhgND1TCgo+aYIU71jSow47
3OuTLD2o/gCBHouN9XLmSuqV5xjn8zsxO/3hm9q/0WgwZiQMf2b92gYSGsTWOHyxY9mOzWVp0YRq
QlS8q55SjfPHPrDR6N/M2hBQIcSzYJmBGYyoXAYm4TEwtwsCGY91COc+gRi3NtrLxF5uvcWYxwpK
VD/iCzJNxYCv8L0O2jD5vOlJW4G+63aQT3Zal68eLMPobkw5i7R2pCd2khs5BNauspqec1/UBHVo
Q71MgOu36TFVjfhIXNbpTpj0sn/rOb1QOi/sxNoFrMZIrtIN9NwNPcgRxIwBnN9iTPAYdW76LRKr
fRduB+Am0+bfIiuCMzGY9t+QmsM1S3330hRxXBzsQDOJFFCOQK4by/SnnPsV2+ossWZix/CeZIS5
9dQnURJwN+RIfJmF2dlXMs99e3Q0/8UktiAbBUlFSaue/LSFhmx7zperB+NEyb4fP+ikBSayOxdS
IO4dreP/ap+X/710S7ReXImlDn6E27vZrRhVhsJkg/diOoBXCkG7yJl4v1i8+3cVg8HWJgA8dtR6
SfWNawdpavrxXBGmLANhyHRpszAVvHDSPHleRiZ2nJuAZfNZx4+OopkK1WzloMSXxHHuhF0MRSSV
I/95YiSDf8ecUZaJHH98+p+zM1tuG8nW9at09PVGbCATQAInzj4XJEVSkGTZGizbNwiX7cI8z3j6
86H6xoQYZHh3V1R3dFV1EkDmyjX8Q8/18EmoeXrEMNguP+IwlH7N84CW6uAGNooPURlBQFu+HQK1
IJVymMy7BvqL9mQKBC/yoxFgFYK0+1S75SfNdJFB1mIL4bxNT8wRxWIEHCM/b4Uukh7KtwpQqWqg
StgwOB001DtKa0Tbi9/r+SidYthglV3Wv2lMBEO5tdoSehjtqGgMjvSakYsWcl4mvya2pvd6RfQB
wkhDjjbSFH4OEJUrYZcXc71jrg4HnFbKqF5NTNBQBAc6Et+bbqPaCL1ARGfKDVeWW99bjJzebB/5
/28tGhEpnZIioMjPJoxRYzQdkI0YzQKOMwLwVJaWleAP0kLHNN6yrG6RbZn6MNAfKCNboHspbE2G
6LIwEzgSEEeAyjnmrNGNhxnL3Ire0C357sjLawr7mBk5TI2gHjUs8BzrVtoqaZAPIStBDRbhE/t5
oR2Xv5DKzQ7BYJUHWVFy/1LWskk6LDlulSuYTPZllP0YYyliintj3vWYm6sdzt3sxqGraLSGHYZr
f80DDNZjWlB+fIg0VRaPQmhdta+BhgVbo8/N9FZrRt2Gfm3m1kMSJAAm8d+DeIJLz3Fk/yOLKQdb
/2UCyU8PMNkImzGl/Z09BKjoRklaPSJbzVXuJ+X4UDAx0N1N3QaV/ZJCuDSfYS9kabAB/KTdAG0D
RliiZAXgzx3emASixRC5OjB5OkYBWI5SEw8pqferQQ6SfZrjPHq26dhSu9E3/oE1B6mdYwb1J6Op
42KHt4Jzl3Ouv0J3nNFMhr97Q0FGs4hZpjEmG4vSY0RJvcjsu6gI+Auo3KMtiOuCg1Bno9XlB8Zr
Edqn4Swr+7NtqOmINIEJWzbHlpBmntx0KkbhN0+q20aWifbYUAMB4TCkNT4WxFMmoowUsnk3Niqw
Qb248iVCChBEVOTmqRcxO9+6AJO7cjdksagfQNNG2dc8BD37zbTtvsO2END71vabdtgmka75H0MN
ghCTdZMMAT5sIewvBZIeStsE6I+JN0hADMkAdbnJLeCj8kGMJqI2zBqs7y6ecD6UJLyOsfUhGtkH
baZ5kVHl0Lx/0Aw/8X+5BX0rtMoIysjqfiv5ovaRY1W3OBdkulE9yAbv48+9RQN8H3eiNCBh6krd
MI6CORe0w3wDCwG3YcUcCrmX1pzVvTOhfIA8xaweclxVFGOgidaHe5PSz2F+g7DlC/2uEPwac1CS
EAdKPkwoSRFVQIJQSefFDpChWwLabD9h4F0FiKNofkPOXDJHTDHqk4/pLPNt6RtAGkkYw9x5behS
UamXmRp/0j4HxkrlOYFaoN1YJrQhMcEa+1/S5Qm3hhnRo3DHrnlJ0jA3txndoC8TsZhxqGaHGRnY
NL40JNcf07nXOFlh9YaOjnmsSqOb7yurpyyNkHvd28guBK+moY80M2YjsX9SY5iQ1xhviec0rJy3
GYuIINgLMSPiMRL9kf1QRoIulunHL3lRBP5jB0d/j2UGgulNMj93Bup7iytzH3Sv5pga4Y3bT2in
YlJW5e0nrp0YwHOW5cWbqAKOJyyY8CshxvnSTIOi4ZLOmM/iPG5+NDTL1SEjVH1PRy2dAUxkpvlp
oj7Qb1usMb4VTudEbwCMUDAbrTrBM9rx5VNf+AKeUJVQEoWD+UVgTe/BQ4ZTS75qBS8tel3OJ+xI
qbY4Oe73qR/7gysNSMpjmd3VxgK5p0mavpHATkfav7AoHWm3N9gzI5WIsH+LEhiwgekhs6b6DaJE
ND4nTjpM9aboBX/n0iGl6Uhq+6Nllr0g9218rtCoQTmpKyHW5VmtbmYqZggvAbXgdm5dGf3yEZy8
Hye8GT0jdgtmdUlrlwfRzSSgqPKVhzDqYoYydYW+iyBphUbL1Avn3tE2t/nQOB8whCblhgHCZDcp
MucrI+fyU2eKHoUNK+ub/obXr+n3uauG+quBvo/2OkAS17YzjK9tSZA2bw1l1Oh/FUrr8WOQffhT
kZ+mt3WPXoTAD0Pd08zu66OEoNzvEJnLwEa5TVI+Oq4zwIaj0tKsv+k/WRC7NZQWyqcUzHRxYygF
HxFZTBSyoRcPjFctLQ0+Sg11Nz0a8Xq40eamcp6CuIZSSg7jbxlxIvyBdBeyVRGcOe2G36fKh3LQ
C/DHDpEZPwXUCQufsn7nz5bzY2akhDkzp+A1QHYDnEWC7jJ8Cg2rTLJCkW6bORvcHTWRkH+5OQTe
LdrJTInR/dEnkmGw+cyaUDBAXAgmIO0CRmTPstWwqaiYgqL7aDOmHER2YyHT1TFTUtQBiHGBORHh
olGr9BYqCp3dYD9ISNo9AqZyK5nGvYCR15N9THayTMj1yfmeIziLrFUoqnzPUNqHwIr5qzcORf6a
tXXNwCPupgBk5SLbSXULom8fkqDC8O0QVUFSL0i/dUSw8dFJXJHcGXEXtc1en0qlvZXIbqmvZeei
y9gG3Dseqlug8yqD/04Tj/bpCwoHKYkxyfOjGDs9mTemBMb1S9ftmPdGYHERJEaXbcb5smodhFj4
xF9KBLDnN9gCdoCSTpyF3XOBT+Azs9sxwELBCf5GYLtLPlWVYyLvDVLhkGq8Q7JiBd4J+07L/YbD
k4EHgYym71OLo3GYBkxZoYXKjTMFYLCVHlBCMKBYdJOCIH4ou6D4lfqOSwPAsPgzdAN7bzs9vaZl
/D15wLut+q2ORv8XIzyn+D5wUWATCa6b9Ejz6/olR5oB5Xh6gE++VdEaSBAI4v4Qzvw90cISUhyJ
HcQ+XMjxrCkJOlYHLPXBHvXhmM56eVeHg9++APYZ5dMiElAfWtEiWbAru2rCTaTziSNmCGP+Gbui
LHxmxCRYU0/gnEoNt5oDZhX2L5yJKERjpw0ZLcXdvnId9ViZfXIrVFLdVEas/6Wg9cGlB5kPHA1f
m+rengXOVLTFAGjNHMk9PAVdB0QVzQejyCmCOs6GM0qN9o7p01Kh4YSghm7Nn2oNmNXOzKzhSx5k
o3tIsKqc0G7yXTwTZEw3Yoske475IMEDeQZU/H0xzl9yhmAARY18jidoENztW2ZS9iJ+SYax6YXl
lC8M6Jz5NoAAmlD0TA6Sa8TF6hhafc3oaCofGEfmNZQcK5c/utAuXx2tM0yEe6bBmgHeaPyDbT71
H+287u4B8agjjjka3J1EALjIB6QIJle5S8s/R+LVzfv5TbZlhIiVPg5vOnxoiw4T9FC9z9jCEe/V
PJIsBdgQ5u4zAybecaY5sUYgcy3onTnm53Bys9gongO3zLDYI8QBlewK8msfbRQPBCrdxQCF7PSG
dGsGh+GapdwmoHDzQ9ExBQ3AIJvoo4MvPGb2aCWc+762voKuLOKWbkNc0ReYZ4CT8mhCN2CFeNJD
5xMI2OhhbrK0QNjA6bWP/ewMWJhVrq0/jpXR6h6xDBIhVVj9rcb75mOia6X/WZWdZi2SE6K+DX0h
9hVEDA9T3emDaU7MZLXIfpgorZovvc0MdksnTvyky1JEr7gxzK+VpsjaqAXVtnB4rZ/wQ4xeG6Y4
W3CwpfWT2cNcerhlundZh6/OFs1TlzlUjBERVGKcDe6Q3E8+ci9ATaIkkNpNpCqX6XWcwWvcN5ma
obAMEUd09Cok8xABNun84nWHCyre0YaNuQNSqO4Qb42U7EEAdOlhUB6TVrdVvAs4n6S6mdWp53ig
stw13TxQ3ctJ+1g6kwbPOFsa2vczcPLgMMQwdbBRcq3+m4HsYvIyNWMSIEGnN7QlrMGFJgPRim5y
gNbUuNd63DX1rcTOINM2nVkyh6kcvEAQsy+FP/VPkAGCufpb6XXXQ1vsywkaJbSodqRvWYBby6dd
X4V5qz+jlxvj+O1rjPabl0gilfe5dYp+fACoo5XBT5dkO/b3zM84YGC+R+DyB6cDb4zDWgal9wO1
3owNh6l0N0gRskAI4oifCNQHa6L6/EBP35l3XSGKb1FtFP0hNrWKAZJRSbM7xFxkHXS9EYJQvlUZ
EE55ZFwUhl/D3iRiHSfcQqdyb+Tg46z273//67//3//9Mf6f4FfxsUgnrIz+hfzVR0AgbfM//zaM
f/+LsL78z7c//+fflCGoVFoKRReyNteiw8Vf//H9KcLjjb/7v2QSZC3sq/K7b7dVtaPyGQ6pnhpv
tqCegO0HTxviPDbcje5OVC+1w+R+TJhrRcCTLv8adfpjhKLJjVeEC6fTdpcJ6umPYXo32QP3/tfE
AO6xM8zS/WLAaWlvRJ9N2QEjFejAVRKSUvzhypDyLUvoStoS1X5pnq4sTGZAWqgNb+SKyaHOJmxZ
bMBxStnBPeTIH4aPwNXlNQ339HElgnPSMUx65mjAKezcTxcFNkUrSYH3xgBkaB4c2dkIR7amlW2Y
xzJ62gwcG0Jz2VjGR0vAO0UI33JTbmepaAuVTFN3+LwW+tGmTRvTxKo7kgIsNRd8oobBdTLGZf88
GJ3veEFGYXN/+SFWn0zqrkRS2LFcU5ggrVzn9BkEL2i2gl5/mpTRA08qx2+o5/U3jdCR6pIkNV8m
IYLby6su/6+/7VppCN3AYIUuJhvFMsxlV/+2a4u5SULLt4tnpB4xsShzJ7vvE5iF0Ijndks7WDFf
xmP2NnRw57iyTa0zq0tTmexWwX/o4nT1Dqxs3TR68ewXQ/uUZNJ6DpoFpos+4pWllh2/flDpWEIC
zLNd01y20G8P2gipMRAwi+empbLMAX5sIRPV+y5xx32tdOf18otdf05DmGxI8IaOxb4U+upzWgj2
VCP0hydcJ+EthO4yZqGPgbBclB9p+DM3skmPL6/6/oWyqkUD3zQESbilnz4lPQ4elOHbU5GQom9m
zf4rbOhgMzXT5h9/vBbblM6YYxnonq5jDHuz0mmx+U+MzuUriSK6JdDRoqUbBZvu8mJnXqcpTUM5
wjAZtKrVTjEhgdu0rhdjoIXOj3rd92lh4yAFJOCvUaxjK5lGxnRzeV3j/b4xWdix+YrEUVcuP+y3
fWNpgEeFm/pPoK+8UpN1uq8lWrwBvRZMtRsk6qNhrr9ntvFmLh4926Rp8RnwUayoibY2xIeBes5F
/+UjkiUvrtubVw7xmd9oU3DShbZpOur66jdWYRkMDeIVT5OJM8kmzGzacvClzbu8wfcxSovq7fJr
WQdcdrcSxCn2Ga+EEHL6VkKq5dkJNfNJcLYBBsIfaGkKgI+2UXCWqEgdTVtjeg/9pN1HWOJuL/+A
MxudeGnwO+huGbZcbfSkN6CJdIF6srtR3KZmQyepTH3AuH13Zan1zU6MNBdIEHEWQBtyGfL0YYN4
9DsnK+0nBO3cXQmvdg/8npqQcf4hj8u7ksxvA/9V7gzDR2WjKAAH1HN2vPzM72O15RquxY/ReXLd
Wt1yLWYu4PhH60kbXIHe7egYt2WafoFNT6ZfIMXap/q0gyMbXVn5/efmWnJY1HG40nkNp2/AnYfa
tUrTfALywQRUs0a1G+k/7Z05se4ZSj2mYI32fmcv4BCnvLv84O8/tsX1xNVoGKQUoC1Ol+eGcuAM
NMaTiMlkjXgoRkSfwnkno6b/6/Ja78+SrZSOUZ0pOPaM2k7XwmIa343G8Z904Ix7vXGXgi60DkCk
222uj/Hh8nrGcjhPLiYFtlIqggyMZB0pqdMFMxAXvaNnTPkCzSjvMDeM5bFn4klrOPKtem+3g36b
YXODiNQUYHOnZlveTpjazR8bJCf/KgDbyw3AVvW1lUIrOfqxj6J6GcYf3NByHy//4tUbsm3w7JwF
Zev8WRruahv2zdQhGGvkd2LO5yN6YfWx0DJjxzAufQpC/dr5e7+e1IXNJ0G216Vju1pPB3KEAXpS
MZ10cajNB4jriIj66PwzsEBd3NlffsB/otdvn4QnBK+kOwo1L4fT767iaQ9eogDAVN0xR25fXVPL
DqYp8q0d6uNtJGf5RRvMBB+4EThImbXJYWZyvdOpX24sIcYrl/o6AP3n9ygyBjYkuobu6vgZKXoq
nUBOCbxMnoV4etby5xCXfvi3XzKCu63DcdH40dP4kAOYQWQYZdRnE4Mix5O4nb5eeUGrWuefHwQE
yZGScMhUZXUgGdUZwCVbPkmQpf0WQWhACiY+TWxOK9YfsY8ERExjFjEjnBonubc6Tf87LUUU7vrM
ZNJ4+Red2SOGcl3XcnThLNvl9BC5ujaQ9I8tYAA73buxMT2jLTUd6DvIX7pBw+jyeqtQvLwA7gPD
tW2QzkIXqz2ZdNjfdLQ57ioUo5ENRsVpeBCJzXC7kmDyj05V2+OHms72C+6afX1li4olKqy2KHks
tz7v3yAHW+XtTZfiGNOEzV04ptNti0UdwqD6+NmN6g8k+yYyWuHj4lv7M1tmNZS/knupol1uY5x6
xCoJcXHmOuNGgYFCFNhw/g56BJYCe4g3fmhHz5NU6hjJFCRIRocRyOz3yy9x/dEcSmY+GGKQJtcL
rdXTj9aYaBlStae3JT8dtxvbQrxGRY9cf2prYFfwdHm91TViO45tuhbUaF0wDHf/icS/pXKhqEOF
Frh26zhur0PypPk8MmesArhumzSbuLyv7MtVcGdJqlGubMlzGrphr06uDTeBXr/Temarl0dFxxvL
jwm9otZstrZVjTdoLRZXNsfqtmZRR1nUAYYtrEXJcbU5ccubMuCe+BE4ymFymMFOsx7tlHHJsdLL
etoj+KVpt2NjlC0De3AN27hj8nPl4eX7H+LqSI4I7lLLIWtYfeBcB9pTw/nycPbRh3vmbGH7lAEn
z7i57a75YnaGDa23o+G3kwEiPRk6a+04vag+spr7loGr/pnOrkWDBBVhPfo6yMUtBzAvipsfYkB+
yVOFIoe/05mruT8aE+HNGwPIPoEn7Gr9qUS0NaSCrYDKIWiBiD2w6DYkQyunCKPoaCgN/bZBGghj
n8wcmZlOcaEtNWikR97QZV2Pf2MEun4LT0oLXuSAMPNrDLY+/UhqjRzhOIxjJzb4RyDLfXnPvjsj
1OauJSVSNZRzwl5e8W97VgDXww4BiJLd5AxHE3+wN0wXUcMRc/mTnopz5aMtm+P3wMLeZ6CmC4M/
HL7cEnh+WzBpoG5jRZZ5+jC2n9DKLZ/xRA2urPLuSvvPMpTVgkPBTbt6rhL1lhi8eeaB1cDGmabh
bW1KjFrMXuL2XIpbLUNjEf/vENoTdiVpmTVbFU7JldxyHcn5IZSUFvAYg+6La67u+jGR6F3iDuAF
rjm8mlUa7XNsqb0cI74egflFAjIqSo9qt7ryEs4cD0FXyqZToKgr1q/aQJivKCMDyxCYhVs7z6PH
DBmjm2HZhSOcjlvgPgqfSPyHU7oxHy9vrTNfmnpGsq/I6E35zxXz25cOs0bMUwaQMsgNEK/AQbOf
WpRFf76DBZg2nWsSCK9ur3KFfig6hRE5X3qGmYiy6Wg/SMefrH0QD8EbSH7E/y8/2ZlDwxdVyCSS
M6Ebs9pccROOZZiFodeYOOKYfXMHeRBEfQewzBLYYVxe7txmRn7Z0AGA8wfb+fTM1HoytUzDQm+w
U67RMamJbz7BYxyTPSoPuKSkJRIbU1zeBz7TgclpjUe9rn5c/iHvsgI2M91xWk7KXjrA67SkN0fA
A3WQeSioCqzVRzU6HjydMfli4lU6byosq+S3sQG0t6V4EtHOLmgWb2bH0oKfiRr18tHvBGqrKLXU
s61tmGxYclcbbiDkpiCXjL04mofywwwiqX+sDAXT39XROGq2md+58ljkZg0AB0Qt2pyXH/DdDc5l
Kumyk3qSCktzVfUjEol/tKAR4wBW/7WIxR7avkfdFdwQ3n+XF1u3frhHeZv8YQEhpqmyLjwANeRO
xCWBaF4q832IrNAPKJ6oZCfOZB8JaopqFP/NeS+ADVSLMVf/UuLGk97zj+bPAiyMv1VOEz1gmG2U
ezx8xY+YHNa4sgXP7HhqMlruihNm0wFc7cCp0OH0NpGHFOYswWljVWsGqnm1ZuEUDy1Djb8vv50z
cdPmrfBaKAGlWO/50Y4FrXYt8YbJ7XfYClkgYlXkxYSxfSlFc9/IAJvDMohfL6/8bhPgBy6RUSVs
c0ExdDl91iY1MGWqIvahjcssLB4RZAA/u+guA+X9cHmxM0GSBN+i+ILhJ+msni4mLcgARlnhoied
8baFX7k1puR/cQkRp5gcKVPYFFarbH7A4KGPIDx7zZzQzQTgDHZUNzQ8PNFUQkihw3BoAgfnp9nN
5Qc89x1JzXRbJ14uzerTB5zB5bitWcQeZkIp7TtRHFokh3ehw/JZA2kVepS5DcQ8HC6v/D43ZuSw
xGk2LPeDsTrMYNjl0LlJ4rWOWajHUKP9c4MpSvgsAsFQd8SpEWuLYvT/fOsuudRy31Plw9s5feS6
NOVUa37sldi73CRDqW0m0Oz34xjbv0Ys6HDCCAo4LfRayyt3/rvNuzTKac7rDAppqMnlc/x26QId
DyKnm4VnQ6LbFvxdn2bhIwUY69mV8urd+6XCYRppMAbkITmip0tZYDpy+kPCw85ZwMDD00kBOd8E
djPeTEjvMfLVsz8NRLzUZVVuIfD95K2ni9YpcP1Jl8pL0e64o8xCxQpPoE0+t9GhZfZx5X2+v3u5
Eih0bIf+mW5zNZwuKFSGd06SWVx5UAdgRmIeHsd/VzY2BLiXTJs8ynj6Mke8PYTpAdNR7IsRzZo/
3M3L1WQoeg8MCdhWq01l2nFi+oFvek1buYemBdmJLEW+M2slNyB19ZccftqVp393eJdFuaeW88OS
7uptRz6SmKPuSy9tYjsEvNvNgGUG8vWNS+ruIXCIGrWyMnWsga7+aWbH6owqyTQE6Q+x+PTVm7pR
E91jC8UlBvFvtcI8APWPovgAJitBIyNo4Br8+Wtm/mMTIxni0Z87XXPWsHDMgp5kDtcwCClVfONr
hfvoYHZyCBapNwCxWXxlV585te6SSTLpMoXB112tajDgGILW9CY9kzpqVE2DsFPg04w1QnC0l59x
2SonJdjyXpGD5AhxmXP9nK6WpaqLNS03PbMkMrShyrcM7Y19FE7fJWKG3uXlzj0cdQDpIokHF/pq
53Yw2SLEnySCEVO2bUWET54OniVHneBKyXFuvy69VSlIl8mUV4l5ZVTDbDJg8dIOlwhddu5RQ617
n6tc3rZA3l/byDB2tC8L/crGMc4+pkN0ouai4FzPMGqkD9CPDV1PIryeOaCb57LYoowz1psKWol/
40bA0G6w2tDx1sW718QlInAnl/5XK200+n0Y+xv+2RiNTGT2Jn0/52hOvIKu8MUVOMC5TaDQUSC6
0WMljJ9uAr/1/aCOIAPPDiDEHvAnShkqO+YxJc0UJtqV9/Mu0WHTLcgJNhxlk6tWNcwMCL+spgBx
8axtf+LnWB8gpGYf/nyvObZuODYwRXbCamubrTNWul6bXltU7TMGS9ld26LuFDWzeSU2vv/edC8M
SZOSFJ4EZ/VAOBNYGqoUigS117d+2IqbrjLReo56eSUQLtv29MAujRId1rFj2O8xL0lgNTVsQAV0
3wFuFSCDrETUfgYg3u99MvAbkPT+bpIl/BgdUZbLL/X9Rc/yitk4sCNQyf/s/N9yConYEpoTuetN
oTPfp6X5kJQI3dJi83GiB3YoQhQELq/5/iSzJsgixR4lM3ZWaSNijPgBToteBa26J30ekTFTg8Sf
UeUfrAKb5WboIWAX2o/LC7/fp0vuxM5ZhpELzuj0XDTOUFYVaCDPjjPbfCjNBoF05JKr5PPlhc7t
n6WaX4oq2ghrKEWvWX01SeJFiD6Eh3V3eR/Z4Wut82ovr3Ru+/AazaVrywdc15lJ2OrRJALHK8Na
A8Fmt7hRRnV8ZwwDknFJXvWfklRlX4dOj39Z3I2fLv+Ac+90SSJo0NiCImB1A1C7lpqWTbaHctT8
6CMPiJER9f6fxxjqNdJDh5PCtGYNNupjZWoKzQTPCuO4R9m0rZxDQnvxj6MM63B/Asej6cyQ5HSP
0L6dnblUGFsCM/2mzDm/g0pUU8PpPy+/uTPHgGTXsQXAv+Vfyyb67egpMzTBT7uWN5aTduPrRran
xz1u+77CXBvsGTk2rssWo9Ir3+zcyqR+hBxbST7e8td/W5k5zwIPJ+ZAGc++IpkU79y8heXBfYpk
bayyA7J+3Q5M2bXh05mTQW+S8RcDScAX65NRRD180rBTXujm0LA0pltTmya7bnCiw+X3+/4WJN1y
IXkSbHQaKqv7Ioy1/h/epQd3mDGWP0XDMTNpqtAnRmtFwynw8oJnYimP5TAg4t7l3+vXqpWDKsuY
8GIEaCn31m1nuWibRBIHxaGodwrZj8tLnntGRZAx2KrsIkuefknqhqFCl016bo/GdgCA9s4UcBd0
VZhozCTulXBz7vMBcaBNaVODAp85XQ9F7FmfZCU9aQrQBfwiRMhmDEkG589jNVNZil1JR+p9WyNq
p7Eq9V56c2G5b0Yf9jvHGosrp/3cSUDqw6IpREhR6xmbaAxEAFFf8coK9eTKzbTPeAHku6AvALdb
jWi2KDF+i5T/h5BNAgt9CKkcB5yfCdJvlaMhX59g0EeiboD7zTfQYO3PTeG+CQOMtTnCi6iXsuyP
t4sgHUQucykSpL0E898PftGqsOwTeqA0rA5tkAQ70y38lw5Rkl0FNzO6khme2Z8CNUQ69y4fEtzR
6YKoE0DgHigy+7Yx8beO+luRC/8WYyJG7Vbzevn53qEvlreK0CsFJULAoP1W50GP68mK3E56iPq0
WyuIkbgBariLhgFawkhusOkjieBGbypKhb5+KBaSz8DsF2mHsBmuvPAz17OgwcCQiMuL47n6yiNG
i1NhD9LD0rZhau7g7b4BkwJF1cYX8lgPbrlv4DEcK5BYT44dp/vLr+TMiaXmXJAo6OYAqFu+0G+f
3PRnx4+6WmCFM/iHiGm6N1Z1cxNWRXDlYc/EP2kAXGXk6AB8EaurE/lAiUBpJ7w4c/Q7SCYoonad
/bmI5+jXpOLpoZW9fiXKn3nDgMYBAFARLFF3FXRb11K9Gi3Ty3WEfFEUd7sZXwg0XDZphaPspkdS
8EPQInuzRZtd3SlzCLsrT76cm1USz30KjsdiHsZZXn1mpCdjRPsogCbcFr9GzeB/mvtQzH9+msDN
WLRblzE9IjOn37JIBxT4CkN6hq+Yu3TomRZlI2Dmw8iTOZPeP987LtEXpApfk1B1uh4OxQPmsUy/
as3Ifo6aaXv4x2sfCqgHV+7OM9t0GfSLpbonlVyDQlHvC7TaTE1Pp3O7Rex1xLiyRT85ECHa5Zef
60xUIvkAgrOUIIDnl8/525lwk3juZcmtmQFUf3F7qroN/D9cliQeDti8uo5/Zckzz8fmpMbiEHKn
rbcpjJiY68wRHtwt/b4urJJmX4N6n4286eWnO3MiaGVadKf/M3pY7ZImwtTNj31snowFo2OhvDFs
AlzBdzDnoHjLfvyqycHeD2gaUGJO1tPlH3AmDsCRcxi2cRpAX66C8BSlKo/8EmplOMwa9Hi5QN8Q
vUF2Q4wG+kQgd5ItxCynunJCzrR0ibZQnABdUxRR0Z5+WjjMVVMVYUoaZKkJmqCP0Jxu4740452N
eZfmoM8XhcmHQRjxtnew8nbm0Plltsq+ufwezkQFRqmUuKCc2dj/ME9+22bJqOlU1XpyN2uJ8Yud
kW3LNLb+PJn/fZV1J7VHiahDHT+5s/TY3wl3NLH9QBW6dbLis7Lcpzkqa6+L8ms47nOfmYtFcZKY
cEEDOX3VZg6Q04W0fjdACTPvphoZhxc3sIxnhpbpt3bUkQFURqrGK0nbmbO0DH9ol1DIo7W1umfi
VhM2wpTxHRIQ9dHJG3GIYwPPiiC6dn//M0haRXbH+SfTdRT0oHUC0w78NYnTxZ2qUxMzFVCtuPZE
WYa/RVd2bXmLe1/n7wNsIvH1HXNg3seqgnA8Yx0No+jKdf4+dIGbZPqz9OwFYXJ1nZP0JLM/Zdld
TN5fYRFaT9FWJ+f7NJXW8Ni1+TWWz/u3vaC2CZYQNRYo+yqcwIoKLF2LsaQNx+yQp3p0U1lZs1PC
vJarvN9R0nJpzyw8LCDU7urDYtHa4jIErS22q+Z7aEQ5Sp4cURR98hbOeSiynT65qCZePqhnHnEB
EnKDg+eBObMKGr1ddjE+sr43IkhXc5PW2UMXhXmxLZOEkf3l1d7XHHRqGAezdw2ItevVJJxVbEdA
1yJs63xIkUK78csOrxhMvlHPnbqu3YpywanT7vZ/XF78/f5hnLeQEXheRXdhFZsLmB1qwH/Ss6KM
Dl/aTZvaKns49ra7SYOoupJCvI+BS3XDpJ8WI7fBO2ajzJCvw5THa/2KJqqVisMAiuXm8lO9/4Bc
rTaN4SUPhLy0OhWDEkj44mHuTSTVH4vGmT9ocMi9tM3dayXNubW41nTaNrS6yexPw56KVFqCd5o8
NIYWYEeGDDXq3/CUk2vN2TNLUTgtkHkOE1ivVf4V42TfDuiJe1Onou94baUf81hLd9o8x1c25fml
UNNjEgjudB3ncOQodcSueigYxfgRRZH8KAozv0FW/Br++cwWhCKxQE5IYpeh5+kLdJoerz43G7we
ta+DU6OenUUDmI8CgcB5aLsrj/YPC+I0hluMzRdAjmJoj+rj6YIwifVwsP3ew08ww2zTsaLbKRz9
58KsrK/YT+iHunDQ6qszWid2wD22KzMxHEWK2QyhvMSKFtPdy3v2fbCzCDhULoCR6MGtO2FZjTec
iHG8QusAVQ0xBTeq8xMvREsGIY7xgDboH5K9aDrAHQS9TKN4CefrhL7LzCFPEeb0JAK+XzQQzZ/H
KkQ5EzWIvdFgVnf5Gc/sqiU1AEAAzcsm7KzevDsirZNFndegE+3l6CHf0uOfj0o1xuF/sRRcGIAL
1NpM6U6Xioxu7MPUaD10ulLK7cC/lVpg7kMKsyvjtXNPRZgxlzbK0ltc7SccuDuEr+LWG/uo+eho
hnsg4TVeaHQ4V17gmU2iaETTOKEmUtZ66BkhslHqlWo9vRpRnNdq9zgoHFVVGA8PdTWhVTUXf15S
03Dja5FDg3Kh4jx9lYHb1I7K9Norhhm4yQ65Ex8oWoptY4Y9dYjYMgZoY3hgdI8WVuHK1P+JMEvZ
XBn5nokU5F7cywagRDoTq3yg61JsjusCDDgCv9OnFruD8DavK8ToKHI0NFA700+3f7yRHElgWkBN
rLu+nlUz0WiYzcZTMhsPE7Zb+wgRmKOpIZx0ealzz7e8YspQl+zSXV1buHKNCb5RZOeL4I6vuz/z
OfJvwN1NSBho/f7ycu8TD4upF7cjQykm6Gs0reh6ysbQqj2Xk48aPwz3Cb+MY5kXn/AXio7NYtWF
vE9z5WyefU7SAApgmgjvgBeIFeaThjmvNzZW9IKyR/plsK1gh/rCIqtY1jeXH/RMFUiHejk1ZL5A
AtZXTEyaUVZt2XsWLCwAaHGCUXmKm9h2GlpkZpoah5JgihykJbN5pGDKgr+SWku+jUbS3F7+Ne/D
BWcJatHSbwWptg4X4YSgOXI0M323agh2mLDNH9w+qaaD3hjFtT31/iMvJxcBh4VZu+yt08Pbh3U8
mWmle0ZVYGUWJ+jA73Cqk68TGuIvro3kNq5TcbKru6S8gnh8H64YC/wzzSYuct+uDixQI2NCWkn3
mJFUW9XE5TdjqKNfRa6hKuMuVsFWGzvf//gFA0Unoaa1Ap9qjbOM0Wo1rQFX3sBAVM6MW+cxz0Sz
c4Imu7KTz3xLGpwAl2hVkQGuIUROY1WhadGcGopEfsvVON0imoL4oI743v/n7Lx240baMH1FBJjD
aWd2S7Isp7FPCI89Zk7FzKvfp/QvsG620IR2DsYDDODqKlb4whvuz0qu1XXUAlVdcrRM6ucqH/P6
Q4a8kVJTfzqHIKYPtFUtpJsL65SB/jvheQswoFHAwCTViMpEVaycoTdm6gB/53PyFpAtLB4BFzne
XJJKz4RM5bEhFdkM+JJsUJVbC9DeGAr0EN0QAFLQ8JZNpUZVDGLPtD5XgOH3mjdln3LskXBAFfHK
FfjGBqUoRF+Q4hQpw7JfJij/4Aw9MiuUUYH3j0pzBvOe416PSvS3vOIgXwTHpXz3U0a/FVUFjfwS
Xrsr1+CvWhD42HiKIswfDexBgC+FzuQQXDvzvGvRyvtVeWLI3km2BesMXsY2TEJ6SaRajNniSaji
iF2cc2+o8uNcq15+qKMUVcfc7jBBKan6rlx2by0w+CzZdJXSDksMJ3XBqofPnZ/nFLvUoLZ+xshF
b9wOPqBuV78LBYe7+wfl9nVhmghJAH+QL+myk6aN0n3IC/KzqI3m0Z6b6tCOeg4Jq86Pg9KsyQcs
xwNuLKt6klVFUc9dRiVah5yuPbqmP2lZGaJOb+Biib9tFHZPSatmXbGRLSp1ZQct7wM5LK0F2TaX
WkHLHFctyyKCL234+Fw1/amaEKrd5oawEcPukI0tQg0iXG65u4gG/n5wx2F/f6FvnlU2PzqPFKDA
mnAlLFHBosaFd85D3cc7qKWYW4/F8FlY4JcO3hzX6vOIY6d9CBQvCA4VsiFYZ2VVGj4OFTX2fYQ4
fbwSi98U6PhNFGwMCZ+FCwVd8vpgRaEdAmKtJj+ramtThqG4jHRWtxa0GaAUEUY3MFy3LpZS1PDS
8FhhsfbelFb+CJ5aGcLBVAKjcv0jNF54JYZN4g/AdPaOy4CYiY9nx2l/qZgZr4SoyzdeDkdhndRD
8ukJU6+Hi8wJf6Nc7/3IHkbxnOZeBjspmnACPzRsk8TZIF6bYtyM61s80fLEFWFlO8op/f088RuA
jVGa4JCrIP8WzxOK9TEmGmbvY5Gn/7HnKfuaiSh7Ek3Ur0xXfsLFUBQg2XmgHChwLjmpM05/ajNY
HSJ5hYPZRN3sbRKwlafh9lhTaqF/KOMILrBlzOjlVkEnfuj9vq+mR5FB60WqAleabFQ3Lup2m/un
6Y2PKGVXeGRlKk7d8/ojegn8zEKbO9/g6w2f+7QkHu9yYxpz3A5zOztDcdMDHBIxLt6EWWuqK52D
5V1NS55oiVAGYjNgOHWxjewqdVAdDxufTZbgUZCYxZQdoNdBJklrB+WrQok7LChzAw/vNVGlG8KZ
HJ6p80RRniHQkQv015PYFV7vYMo++xhxhbp36gWJfbpx8X/KDshpC/fi0vtTvxQmUnmU09228oat
mNXe/d7htKI9DbPrGsfM1mPlu4LAXnUweuTP94qKfMGxgWAWim04Ui74FQUiyZ61LnHw5iglEeqH
6+HE/NJgXY6OZhyhwvneLwyqhGdCoz/DMVmGUGbsxeB9Q3pfcf25iDqsoFtMbRolg03R98Wlc/T2
YGixshKl3h4YAzyuhONxQ8gs/nplUwPT6tGeAl9VQZIm5F7byJ7yr++eHqPQGTZJ6tg9i+8ncA0u
dbMLfDzr9GQTNp3UijL7gaphZ1Xu0bUBh++dMdVNsKR5+Om94wMogb9BmAFuFvuT61lGTlmMUKw8
f3YCuKHcVGLT9fSc5igNfmIPGO7SMOs8tLrsdo2ffntboGhDOkPpDioh4eT14CjyVSjbzJ4/9hr+
QKqVPyS1mz/3GoKPtcuo9yf7xngUYtDjk7wf2Avy//91WDxEbvsoGR2/SWs8jUvD6DE7FZDLmkoh
AWjCeiV6fONlRS+HgIM0RGIalo+abQcE4HXh+OHcSioIbudzSfqhTvTInTowUK+so5JGBmCaOCZ4
nmLYqoMW5Y9p42XFynF6awnAllOg5nRKWaXrJRAZegA06VkCLCjOSjh+Ri283ge9mj7mlRKvRDtv
DEeHxIY4BrBVUg6uhxuKxGlxf7L8cEzyTdRCDCnDyd5roTZuJpXuwv0vfBvfAXSjaEH6rsvq4uI9
GE3WElea8NyVWBls5krHjhQFEe2nXQbFQ91bNh5fk9l/QQEeVyIPu5LidP833L4IvAaMD2ERlYub
iyO3aSQHRgM+a9TKU9fg1p7GUYZJA0WSIkThMOO6e2c7lxoq7VyEH/lTppvyNvtra+c0uSgSDOEZ
NT1vl9MzPXqlUxwg9q+pW9wGLQwl0xOZn9ADW3xTQ6XujGdMeMZMXNEPiFCG5d5S4Wnu+6zx3gt2
ZWbULWUCj+KI7ONcz0yr0govIx1vZkdpfLwulU2R2+l3bI3XChNvnVZAQZSXqHexY63F6agCA/9Q
rcOyzbLmg5Fi4FnYWJVVGvLhYhjMbTKijIqcHH7mMJFw4PWiw/3t88by8uKQVpMgSBjsYr5BpoRq
1Xue33ZdeRgG66M7zclDAALl/XcBEQPBCxc/q7ss+cSZZ80WMjZ+z3oc3bxQq40w8EbYFn0mtlmY
x+/Um+TWQbeHR5XqL0k82eb1x4xnE23+QUE2bdT0RxAPFsx8rT7BKGtXdCXe+JiygEeZiR64PIyL
faqHQ66F+Cj4c9VQJ6jrRv0vqGrtH7tPsUap4U2fzakd8XieOvVxNpXkG06A5sqVdHsFvlLI2MRA
s0hv5JX118msyrk1oC3X/lgpLoXaFt0skaaPbimEr5HhH+/vn1eB1+tIH8oaIQuJFK1isuzrAcsW
k0MsTCrfw7kGyRI7y5XyjCa5Y3+esaNgwkaQI1AutWmOrWfWysuIIUr9YA1qWv8JamWyznY8KfbL
gDkq3jWiyY2fTtLZIc48gxHFWzPo4twf9anqDp42FAg0xwIfo02i6/h4YjyIse9mpJ2rxpspDD3j
W+Q5mPccNVE30cEy0x68PlwK/buKY9wvNLawWHSRCXf22ZCE6bNblHm3iQNRKPv7S3R7Q6NgzK7g
qYBwQXh5vUKFUeosBL8/bqrg6I3zCx3T8URjJD80E3hedQzGldjj9lgTqkv5Pmqesgu1GFNRTIyu
7RQZV4wcd7HAvlktLBt7K4qQ750ecCnCKogXZHo0vxfTS6a8iJQ888d60r+auFeEuzZ1m3EbOHo3
Hqt+BKM8C+7TlZFv0zF6+hB26FRytsGvXo+ce2Eu6AJ3vo0C0AhnPVRBnyghBi4UQ9KDa8b4RtY9
3q0zd9zKzXn7WckAoSpQ2KFwRhX0enRYX7Xg2Rp9q88NlLnhElJJGPc9lZ3HInPnj4UkYt9f7De+
q0dLgs4axVcYo4snowMqTc8dH2pHH6P61BfQBk+qXkaIYzfvfwuRWHMMhDdl15t+1/UM4xD3h0lr
el+tVWtvN/iFE+B4mzkx1upUN4v5CgrT0QZwSAtodl0P5SDaPI1l1PoVWEucNLN6j8/f8DSGqnYu
kizFTTVdw5TeLKbEnlD7obsFSoy2/mJQ8kpzKOPGb4MQ2XvKYdaTU09ehX5aFX65/+Xkdri6J1FY
IiIHrQSglM+3mGE8JVhuYszid83g7Uf6W0/5UHmbEImy/QRzcTelRI9uV0iT7tpceX1v3yeZeEkk
hSzZYxyweJ/SGFgUdke1XxoQ1lHE945mMWQITs8i+oCgcbad6DuZ/AIMxXd4Edc6tiLvBrcTnIP/
o5pP/4CdvNSsSb0SB2VXE34+G6hQtJ2F8wFG4JsMNdvP99f85jGUY0n1EIPOMDW3xS3YWTrymojw
+tZkgGQtMM1MNkWLiOmBG8U6mFEdaCsn9K0xwZQT6dBUQ3d6eS2YKGwIO6j9urGq6FTlWjR+sYWC
oXVJWejFgTb/3saPXFOTViU3kWwVLwVTAycblbSzagp7XfmfDYdqa8+h/WXq0Pi4v6S3BWXGIrhg
IxNbEXkv1rRK4sC28k74Cl846ejOVkUWbjPRNpRslWDSTgQEXr53q8r7QqBeWfsojfXmRcHANEg2
jVGX7cpd/MaiE1gCuQL1Lqusix+Fqkjb4mqd+wm+bt+AJPY/yO8jZQNsrz9Slwqb939mitgkmlKX
SJ7r67ujKmbLUUoj97ssrxu606MW7yLM2eYfgZmaX40W18iVGFOXZ/T6DoHtQvkR0oTBll4mJ2o6
GLFFmcyfAXbkzmbm4MTV1sKwcELERJbJ9CirpuhsGFgVfbTtIhkONQZt1tNU64jZtNY0lL80THaM
bWVpbfhqtJhg7tPZVEG8OFS9bj9EnofmHBZgg7WJKhzLPqvOOIpTPdtVe7y/o974dlILlxjCtQEd
LTsUUWk0TjHWGajcMj4ViqWfUkWMe72yvlRulKx0H2RqulhDysWkrFLmm4RycQ9WeV5qVZw0vkp/
75yObXMpnGmtjvgqiboYBnof4AmeNF7qZa1dRB4KW3M9+Liu9I5PhlsgxaLiLnKoXYcmd6CA5bd3
o4JJwucavVTtHBKroSRtZEX6PZ1xGnnGJHoIvlKe8aIPiYn927SzvMLQ93gJhlj9pUTK0rJ1rPBk
wzfT9q1h5E6HD+oiCj/VmbG34jRoj6DsY+UEZZSKWyGKGiYgkAP9FFdmr+EDXTnWJp2zyfmIrK2K
Qk6QefOPtsSkFhNMXL3+LRRNjfZ5oJvVU+RpcbzPEOwYtnGDKdAuc+t5/JqZJpIvsa73f7CfyKen
udDa7pJNkWIgU2tEs0Z8HhWFchZejdzQRtOR1Ug34Dos7wnJw8ClHjnhQnR/k90+9TQ+iBWl7DKE
6SWgAywLv4EkwG8R0x1PTaWPmHSHUZxtocw0/90f7SYwBSQM5IBYGHU4tsEisIBBHk4eTWt/tDOn
jnbIiZv1M1b1jnMspjFO/2vrMOm0nYtnmbOPR7xVXu7/hDcmDCwbwidMZSoLy/tJGUQGHHmqqS2M
xTcDSsU3gecMrqc4q/x/DCVPEh0fmBzLF88rcmey40L4LbLQ2rcZwsTwXUmJUP+M6HSZH+8Pdxsq
srRwEykpvuoLLmrYQ1cnFUAA28cNrnnMBWZwMFz9TBPdI56r2Qb0oLVy874xpiwck9Zz70LmWlwa
ZgJGFVMqXGHFVHQ7vWt1sbUVM//Sh42yRZym+xR5uN7cn+rNR5TUMbAPkpKDa8wymSessWkcOzZA
tsJ8dPC7Psd0q/GzbNfe9Ztb+HUodAQh1kpu3mLLiiQKGgQ07FMTKfVPs/FmscdmM33WEUPxc2Pu
V07kmwNy6UuNd4rxS5ikUUYNdXrFPtnm/G+A2vXjgFvXTnPn37muxl/ur+Rt+IuEIBc+jBC+IVAA
+Sz8VRfBmGbGXtIxT6WqpB+1zlK/mx3BxD5JCztCPrko8UlOhjbwdcVptY0aIBq1w3pW39//KTeJ
gEF7h1Ib8FBIODzl179EdYMmdBtHPw09Rrv/KVM0Nc4+d90haR+q0UpCqUeWqU9zAshla9eA/g5J
auTDt/s/5HZ3eSTNqGrIXpcD7+f6h3hdQwMzxm51mJtwExqRetStpjj2YGn8dw9F+ihNe9jOKujY
66GwvsXGvsIJFMNbt6RsE2WG/UkXoT1+I0xzvc/3x7u5gFFRktI/IDTpv7DHrsdL6BlPo6p0Rzux
h32T29G/U4uZFKUfcYzMCrq224YX06zi3f2Rb1ukHCGsBIBaoCSi3bQ8smJ2BRI37TFyGnzbEBV5
iXH7vShGUO1ZomoHxxWFH81pATprDpKJ5fzQNGrs212JkZyJfijAhHyHPh1iXnlV+hnKziRmXo3b
ad9ZH61qCH11wOQwC4T+ZGqJs3Lh3ZxOOQucrSCAw3anFXq9gDFwldDE7/DIOtmXqK5rPyvVZJvg
AHHA0WxNNfYG8E8ABCYEUVVycaAJy6uOYMAuhioB1GWaUXVAzT2ihW4EXYbc5DzXevhpRGm0Owsn
SMMPHUj7jEgBOM+Di0OH+tkbI1c54qtJqW2jIKZkrmV2r5HoVUzHb+T6QEqBNAuo8eKOVNAIttqx
E8cGe4az1kz6RohIbJo6LrfRoMT/2rlu7NV5MB7HMiDJROdh19YJ1rZVkhy1TnV3mhliRhVFyUcc
uM1DY1n1rpnL1EfNP33AfhAXULSSv3htpR88EVvbjMvRr6LG3lj4qh6AjCgn/IKnlZ17cy/J2fF8
u2CWEFxbypAh9IeAUKmIYx46xQ56VfbwahheVkLfBWnXPo5oRu3UtmsfaIZF770i5PCUmxDfkQ34
5QOUCg1Z4jFqjnk5ATmtY/cYiXre9raxlkfd3g6AS+kKGIQspAJLwqkGx2+sbCPx61z1RL/T0sQJ
DoMlxuRgzGVQPrm6nRg/gjAq5p+zoPynriz2TUABC4nTZdD7IZABo7U4X1Y6qJko+AlpNl6isGy2
GIc2j9aQ1+fG5qAr7Tyf7t9Nbw7KhCF1yQt/KS4+IOAqXDtMfU/obR9vRYvSOMridumcVOxF5l+p
rudJui1SUzRrSuM3zw1CQOwu2R4B9UuseD3laRCVXmpqcFIGtMA6ywHf3TvpnjpTurK6t0NRSaSH
RxHH5kJZSoREJDN2nE/eqWzs7EQJUf+IgoaznXHiXXnNby5KHhkK3yR6sr5PLfp6VuGEAbLqBN5p
TOPwoOaIxLm9bl/gA3wVqZ6+t73DcNSa6aERHMl+6PVw6Vjis4QF7ymDKL9XUVPfZoipnZQIlyyl
QqD4/pYxFktJDx1EARHva/uC/GQRbVPHVAPTGJQHE5hIDjq0rIeHPBZxeoi63q0pH+YOgryU00Kx
EY5aFf9g9zuoxxSDSPviDqaKuiz+JAjNwlhUD8TR3fy9Iin9Q0qJS2syW2CWZ9LXZG/aqT0dLaAB
c7PDcyp9GIdUtQ/aWKXRxkP5v94G7ThOGF7Nwag8ebCXn1ElMbtTMsFX3CLETcfDDEA2nJykssbd
XNVBeIzbwMlJwXNtNtaQHosLBYYt+A5peSCROzLdv/4qvYXrPJWf8EHNjOAohPjat5b92QhGZ+uY
nb1Legc8z9Sv1b0WJ5qBSTCJ36ClEmmY5mJgjSz2ta6MVFmIkIaq/YRjo+zrtNV9LTKHkxTzONzf
Em+MiSAnd7QhNz7iLdeTxSs5rqzZrR/G0LVPYYxeQdFV7kUk5oTIeJjugN+t0Yxfo+K/3l4kwBFa
ZUgJ2ES8cpnAhz3PuyWs+UIBx1T3fe/OOrY8bVbSQ9Om6HcpguGfOlUM/JTLJjO3LnrkLyHuxgg4
JPDst3VtN81mQi/0yazrQhyCPHKcx7AK3a/WLPTwW5nkStZyEwPmQ947iwwcyvNoqnFyYymqjRfi
rPyETlab7PqpddzPaq25xa5Wy7b6aLjVrH0VQ9nnDw6OYSkllWBKy22RgaHOEcX1OnaiFIwPkQcU
uFZg7DCAOn2hsodex1at7QqIjlN5Y73TwqYQuw6/oUvTwF078I6k3/oKmboNffPBR4Z+Vvcxz+aH
ESrd7xRfu/88CIrupsEN+303HV+A3syrjBstN666xZNVetHgzUhaX3JPE+iMaT+nKYifTNg5pylO
jJUI9GabMRxBIcEASkSkpIvhBDi4YATSiGCklVyaoDdpzmIJHlC2Osyd9bvwwndyLeUUgWNwlMC8
AxpYKvN59IOaEa7tperE9GJVc/lPq3fiYhv0az0p1nf/KN1crmgASqMEcOL4t5CNXR8lC+HROCQ0
fKojazoirJY8zHNUHgE9z8d3DsV7z0WBryGmOJINcz3UnAZ1ATk4eKjJtz+pYpw22Be137NxXCNs
vOoT/X1WgbPw1VATeRX4AWx3PVaau7VGatlcuCtLcjDDbPOzpQ/KD0NJTPzKUlf81wjR/QReNXRb
BS0e7yhyZ/jiZnqYQt7DBuXUuhSyIUCh+VFPnfatnVptDZa9eL7ltSJFlri7JRyS2OT6p85hSV27
7o1LXZrT9wJmzi/iCuNl0oufSiKqlVKZnPnfK0P5CCYJca4Fx43S8OLuLNLGzofCnC+gcfrLgEPx
49Da9XtvaBA2dBkBglBagQgkj9ZftY6yq3CoTKvhoiVl/TVJB6x/qyw/aZXVPoddHB/MYXRWBr1d
SQYlNqFPTP2IJ+l60GTqAYjMen8xh3lCRKTSvC0f2jqimRseClHaaxK/tzcEqwlvjlyMWwK0y/WI
41TMpVIQPjtRrarbykDsPA6MON+OeTt9UEN8h/rJS1cmenNoMTmWMTT3kuxULy8mRUOtHpaadmms
ud8pqW1vyKr+tLO3Jgz9xkh0RORppQsPT25xjlqYl2mRde3FClA/2kw9PBzLJE3caHYkVi6IV7TE
Ym/KC5COJR+RrvhiOVU4Vnabhe0lSJRg1+k88VtFAFD7pzOcVmx0HC7bjTtM0fe+Nfty03qd6aHL
qgfGRgYL2ueQXlh/qru2r3dmZ6X4dujKN55Cr9znrdWdZ6/FuczW4hBNNSE088HBOJ2uFT2BZO/k
ffevWdhqukWFp/yIBqqeHlRzmirEkDtB08RpxrUzebvKEPlJS3BlBNMPyed6G0HjGy0NQYGLhX3b
MUdLdNM7Qf9E+2JYiaZvzwgXGkVyJHyQbUAT5noo0fSaNdEAuJRO/6eoyfeDgUdM8uuTjVWp5a93
Xvrk84BEkDGS0jNcb9fjBSD7BjsakJXMdPPPiP3Qvm/1ejxMTjitqb0u6gdy7/CGSdNQMJhcdItb
x5mMIBalZ14sxJ53VWEiHMCxv1hl6CDD30/JAWdPAdxYz+ajUUVruiW3q0vVgqbzq/AG75z80H9d
ezmN6XLCsvdihu54Fl1nVlsv1effri2sD2Yh4mDle95uHd4OeivgRREvhBJxPaKX5kmGubt9Cepu
3kf44fhhN7j7cIznlVvn9rLDsgqFW53Q21ER770eKrR61ww1EiojSLW9imzoqTNHXsYK5QsVP5wf
roIh7f39szQrJd5D/0WyBYj3VCIIueR/LWkiyiB0vaC6EDRnCSBGZ8i3PVLP814Yylw9IPrm/ANJ
LFABAAf1fKzUUDe3qH3n5S6ezCrdiLl0jackGpxDpULI31DRc/RDUhexeswCXfT7+796uQ/kj4Zd
hmMpcAiJAL3+0XqOCIE9QSqLCRGTj0WXutqugUH2bxVFVfU8hIP1zvaJNHSlJgjFj7xcQtAXl8js
jlbf21N9idM++5ewx813imirRy9JuubgBf30472z5A2SGAzK6RA6lngiBxpsNo1BcxF9XT7qzaye
qIOLb0modmg4GmsKGssclxmC/ODOQi0XMP9SNJrv2etljuVmCNQ9JAnX4nYXukYe+KXADGtjIxL6
xZ4rZTvo3fzt3bMFY4gQAUKNVD2WejCuVVCgGrT6kg2jbe57s7LcrddVXvQ4DqW6TzKLH/LuMSXJ
CeQb3RrKKYsLTVpe54Fj4SY2ZeXXeNRrZLlbV91YWpN/jF2lebk/4PI64Y2UbRhZhSUmvsmsG9Pm
WdSV6SJZsaeMBvxBeKApu6xZSwduzwi5AIgobhLKBjfQvirw9Aa5kPEyVJqxr02z3JaTpx7DIvw1
U5hcSebemhkhDKOBs5PM3+sjKSEegwE9/VKgexltBaz4bjdEZvvDquL3am7iiS7DDYnFlk02zDiv
R+u9KTZdsNfHbJyHvaPn3wbIZbseVb2HtO/MlU7m61H7O3JiPGhNBDi0TiXzZhE5uYQLA6jT+lhq
QwSTODG8/KntXK/dAMDKYFLpcXUcK0wlN2FRGPS/FBR9TjlcoE84anoRio9VkW7qKnchqjT68NHV
UvdbrYhG3wSon35SG08ptkWujDSeoTe6Wyyjs32YoPMJYFrp9mEBcZxKkyii7RQirreNnCr/cn+L
Lh/516nKkrlEUUADXNxzBHaYt/a1OA6dIp7CJonAMav1gU5YQXMI/53RpsSrFWZ2dLxgWnlwr4dH
VkYKRCKdTY2NTgzX+/WXLbSs1V0aUYdptNNToOf6eVKGZG9QdGl3g4IZtjLFBSALq/oepuqaXPgC
/fa/HwB6BNYGFz48yMVGdqzaC1OAfwejwVe10GEtJ9qsvkRAf3f4Ic+Po+5aH1o9732hNeG+Bu65
S2ylWnmar6/j//0QXHgoiEkuHb/meiXyOuoUb3ZV7MIDwABUrtCQDFHQ7eqmOwcwpp/rzgkP0DvM
4/09IP/q/7fduTBklZMgRBJupZjaYg1mbLhBXET6MXXs8HMazMFDQxS/8qmvr4zXUegI8sRRwKcK
tCwzZnE5q505G0fXJD3HsVJ70SZd7LwkWCtYXF+G/3coOvGE5jSMSbiu1zIAUVU6kWkcY6fTP8RK
yxMmtPF7EI7uYZ6DtbDqZmqU7kk3kL2iy4bY1mIBXaVvPUEl6hgXPUwYFd4LRqTKYaB4sL3/rV7F
Ja8+FnKfPJkECXwtqPaLE2OFvOU4BepHYbXt89x1wU5TXHcD1VQ7qm3yO82jyidLHr9ggDhvQity
H1U3Tj/bBY5LxHjNkX0IQsIo3d1E0HWebHzPdSeJn+IoV15mOwXCNCDnLKAZHvvQzaFBS5NJ9Az2
hd3VH+/PadEr5nvJOUmJDC4imRov5qRZzUSxudOPNYKpn3ijE7QCnPlkpIagDA2KWjWL/qT3QtlG
2eycssIWNGMVsXeNCVEDF3XV+7/pZgvxkySKkdaWzASWy6xWkWb09JmOrpFaH1Bg/thOzXQSBdKu
ZTn/uT/a8vDLBSBK4GmjNMoiLA5/ac8jLVTDOELL8T6nHkJm7AEq1mqjHqvZ1DY17LHvScXV+O6R
aUARBqJIRzF4mSynEVEaxBLjWHE0z5EGaCYxomDjONX0STVi5RI1s+4HSrPWibqdM6QHyiFwHbnv
aHtcH1LDCgTF0ik8ZdSLd1rb9QcjwcqvNDPSS1eU+yzL8e3tjDVx5ttvS4TNdKWctkVqsVjtvrIK
AcItPc0e/KaqdMp9aRnRY+oSpSHOtcYXWoxHS036J8johWSC228xXjaaqM6EFQwho4I/fxhShcgs
J71zPYSPxxm5U0qs/en+p70dlrIWDDbedTYVbMDrBRZOjLqyLbRTHhgKLpA4dmGe/tush/EQz+Ea
/mvxlDNLWfJ2+agWxFVqhtfDQXboQhNp6RN2ZGLXeE63T8ve+GYUcfTDUrz2lI6uvWOl1U3O114J
7hfb6XV4NOPc/xmW8x/Xw9uYRHUTYg2njPf83IFW3LSxMhzrKvkQ5626z+L0OzRG43B/la/zeGo+
lAoAuRCf8gJwky3GDQs19prQ1E5ZHcTfXOwht2Y6hM9on+nH2SC6o/2br0Sobw5KgRTwlbT7Wd5O
eowinuvl+mkUlnFQcttFkoEL02wiWPikc7u61dacRt/4wEjPcFzIUmFD3Ihhgfm159zUTxHwsiP2
hMEm0bT6aCToUtgkV1sv6JpTUJbWDoaO/uf+Qt9uZ0rsmkGCDDcMqarFIzGg+arHs2OdEIEe91ln
5VvdGZKjG1nJZlaj93kGyg/Lj4Q/SPhPDfEGxj7FupEOdWqfEnd0t3bpuk8RYA7onjXCkyvP+luT
Q8WIVx3TQJmOX+9e9C8KZe47+5Syh0/4OosnfZDoycEcvuYcnJWQb8E8+N/soPhBsuDmpey9OK11
OY9oosTOaYZdsKkTY36ohiH/pJeBrAxrxlFEdnHUMxOHN0CTx4k3cJOQuR77vJ0fkkDvX5oEd3Vy
hPLZqIr8uXXgilSaFm3BBOXAUVRCoiEIh/x9oaT8NORnJGb8CUhjCXSkxNobZZBg4awN+bPV5dbW
0BDmrUW3pntze61wbUsXExXRA6J0/frDzH2gFY3T26e6dJOTp8OM0YCjPA+NDQQBauy2zGL3ENeo
Nt7f74ug8nWSkNl4okgYpVXt9ch2wwsZuSB5cFCx/pk9fsCmNmrEdwpN+3x/rDe2n/n3WIuzVaHa
iu1465ycUMMy3IGuPjmdfbbhEmyF2Tun++MtPGLYfpKiDiYMiBjni4LF9eTiuersgBb8iaepe1Gq
/rnQunSnN1H7eRBe9Lv2koveVZbfox6yQaJtPBCoSCKqUu/u/5ibhQZ4DhicuJ3XEmmCxdlzepyh
VcjVp9FR7C0Kz9YZvuZj5DXGp/eORJArJWTBY2NMt5TiBYJmOgrRLeE5OgdKMiv7oXJ0P051+50X
Cu0zhoBjweLSAFpOqnPbuawLT/N1u84vRRv9VNzqd5yN+YuWq9P+fROTzTpCWMlGpGZ6I7KA0U/t
hJlhQj6yza1ovOTBK3BtzPp8zVFs+fQxFEkCT55Eg9ErXLy3vZhE74xsjFhtpk01tbbcE/M2bwNt
H03GvyI3nZUEZXk8XsckE5IugjDD1MUOsaaEvqTZWH6EEP9Bb0pth7losY1tEe/bmVrb/eVcXjpy
PElpoiYCEojL8vp0NBla/wVZiQ+uvN51WmVs1REQ4W6iWPqrV5ClV8fcmyHp9RzV+4PLv/yvBBPR
Azk4YwN65glYNpvVoHC6frQswJS1+t2oKnXXBQJ7rPvDvPUdqTqQdMDy45/FlVPmldV57mD5OLYp
B3uavhgKFJ7EQZ8acZXwsQ6deuXVe+s70v2g2IMc1C2HxkYCt2rT2PYTww0vqMj3HxPbS7nCp3Kr
54P67/05Lm8WuZR/jbesQ5hFpdsplSS/HMsvqhj6B+QKp//62HHXcA9vDUWaweTkDca2ud4y1JRg
3IkBQktNpSpry/zJ4aHaSVbGyi321irCWQcwBmxRSrlcD5WoQxG4AAF8N+jTZBPYobut4ywlbkDl
atPbRbES7r41Od56WHcUqqRK2vWIediYRqZGto8rhDhy0SiPnR5YfgpA9d1DIewkuy8ul7RGVnw9
1DQZnZWIyPG1OP+dZcb0pCZ4aFVBNa4s4+2k6AzIuIJ2HOnSK8Hlr1Zc1w9uUzqd49NDiD7Alzfw
LBmkQmP9PmAFOS4MWjo8gAtlpZOM+3pSaZeUUxAajm/o3dnOpG2yO7Qg1VxQaw78fCOy5y/39/7t
LqG7A1cSPoxEcyyNd6Zuxp3QnQO/DYW+seG1nlWhSRWAxjyC4nyf3trrHKUaDQU4WA44ny3ehTzo
x7EhQjjzltq7qRDhs2OmxkpZ6FU+5/p29GQHidCZHiolm8UwhhZm1mSOIZaBXn50sqzZNnPWv8TK
NG2GJO+fqprGgZME0UttxsmWEHWItsiYx/uEf22aptdPMHI6Oph676zcqq+gvZvfR+xI11KChpZ4
YrMfkejKNMVP7D7cNMAEfuMD1T+IbvialSggKZltHGBXGzujrZytlRfe0bKKZjcFkX7uh7E9FWNq
nvSkMaS+zHM9zkBD6yxEZd81tnQoxT8WtoVb3PS4uDPU9BTFDve2ldi/02SwH1HNSveVaQ6Pijk4
fjHm46mvGm9nCdDUQ+KEK+/lG0eJlj2IZFlR4tguDm1p5w2Beqf4QEbHcxahmjglhXVuyRJXFvjt
oSTcnaYADbDF01ymojGtclJ8iwf6CSI6utMges5hX4iVoW5eSFtiH2hV0hEAIe4ttlqG4luKGEp8
dvom2sWJovte1KgbJ2oU33Dh85kmQlL3j+3N/BgUaBItNwaUnkPXVwUEQa4RY0zOSJA1x7izmqPh
xv2xMJO11/itoSh5StHg/8PZmS3HjSTp+lXa6h49SKyJsem5AJArmaS4qKTiDUxVkrDvO57+fEHV
mWaCeRKH021SkcrFEREeHh7uv/9Oao+Q9rkoU6LwJTC86Cg1OR1pBmM49crQOEOdZgs14u+MEaN6
K2p2OrZJp4/6sI6gN1u3dhWsss0YqIHL/P/p+6Qxr0/iDDCJMRLy1gJ3xTGCvzhTSGukbtYsIQbs
2lx3MinPXT8Oio0yTPT6MTP/ttfBeuiZaW5HSW1B/0sTAGJ4FJRold1bkO48j35XQAjDxSQvEv+j
Li1PaNIDD/AJ2sUinE++Z2bFKlKhYcH8p/dRq38ZlJX/R4LMraUl+ceIDH/NCNkKgJKkVlEw9Vwe
nV78Hk78mE4rXbaNsqm6i7IWspLMlGyIDErJ7pWgdCZct8wetDq6MWgJt+AAzqpGXx+DKh2gWtSs
gPqbY/2UdSlnWS3HR0udYHCUZIhyh2KYtLtJiUO6LyWV9c2ou7Ah4pNOf9WKR4LFogi//KjNEmDD
V0Zwot/UmsxUElw9hK/FOj62MqjDyYfniir+dKuzuxdEzQN3aCN9D3AjqO3g9jnHWlRN3kU5/fiO
RZwod36amLYO/nwTrMz+NHil4axpi/ApMAL5xvNp+HV9N1zYfK9VWTpgvNde1+dLP8AsmDdwiR2z
VTds17UcHPNIrjfFmI9POknNBXkXF5kAEUcCkHNBZz8T2E/eVKRdcuyMQUXB4x4Ey9SUdm8ZQcLf
ge5MFAP4zpS0ipMP8OewKZf6IF6adgDRIseBC6TPXXKvqKwOUsLkaA7m8DQABdv6tE87akn7O6/0
X1TJShxjrEPHaOjQs3B8XDCvwqsEwcCFmfuOWJY3/mUzlf7oFVNy1NrEI2hUr+9qowiPQCiWOvS9
X2FUmJs/kVKwtMRRzkUVHRX83WClR6kMRjvvzZ7wsCV9g7TzWWnDeIm2+V34SADRgVuDTsQZo3hz
Zr2oOgM7u7Lq45Cba0eOYFusYROmdinIbSnLYFJJKQeUWyvZdKra7mq1XD+QftS/mJ22lJN9p3C4
HsQjUTk2GSfZfKrLrDGSURqGfWwmjWWXAEX2CUl1B1UrIAmZ0ruQeTiMRaf9QZq/3IWh9NfHdhmh
UBGnhByC6aBwSTlfA1pn6XmfUznWqtZwt6IDgK2beXADJ8dwM5jlUnh87p0QGufwIELA4cG1bO4o
0NEYZyvTV0dLy3RXAwfvqkrV2jQoUiDlUBIn9jNjwX4Ll+eNdwtERXA/AgXF++IgmfMiaaXX5KMe
S7frMVeP2WAGn6RG7uD6b0nLNp2+H3K6daRZthSgvyhZEGKIgmEo/2bmehh8wkMjZXOrWJePuW+t
d7QKrA9dDod0BV+i3cirgIsNLfyuL+wsHsOYYWYigEcUT1jQebA7glgk6MjmnGrQUW7crbxt1Fcf
zFEKKWwq0IBcR7kmzvnd9dqsGyub0tMwrNp9IDeq7TdDcKpqeXLi1SQdro9qZp1e5RGvULkeChjs
3LlNwfv0vj6mp2RtRq6hV/6+Ghr6gU/KUrr3gihoyYiJUNQHHG+OMaIQPezSZJ2euOWyTkXumaad
9hCXWmW0XrogCq/1XEWtM2mzfQhMepLqlOaVJEJU0wkrimHb3khI4+dPOPLqJ07o8rnQKusEs5hq
09J5teB/zuyxmFwRV+BwwTCBa5qZx57OLXESmOkpr7TUd1OYqxwKNtWnStVuNCmFF/P6as4N8i+J
AshBbFaEM2Z3lbFhyObIHOv+NN7E+nii4ZT1M2ul8tjSSA/4G15uEVlfGsv0ZMfXiXTAiJvxcMVS
EeUM5YxlEuPnis59EOITjohzW9gGdV3T+zg7xZMukfmtEsPpylqjEDsG0NZErEaq+DulN1NH8pLG
t1fUmp4AFtcbPdBgmVaJEvrF2vi9zWGbNGEJUF0vHVebhYm7pC4r4kzsOjYDi3b+qE2/Im0uydmp
6+hkGVNRSwsA33BMT5NvQwlPpQEf91Kua+1znUfqxl93625h+Wa2/HW+xBUTenYR8pJnDlMivOV1
ZGQnWdYnEBG93pE8N4qdXnax7UWNZJtK/MF88i+plHObglOLq9JMSz0pNbt1yir5sWreAV/9mg1K
DshlnDYdeFIn14IfeSmvP09VNy3s00tGgaPyf4TPvKPeKwdoJursVJDIu2tg8nOp0TOOoVL8cX2J
L21G3C+FzUGpGNwl5yu8LiQvyIsxO42ll70AS443Ztz2xIA4qO2Um9D2usD3RxVsACDtyGnB9fEu
W1EZUdES+MlOVVgW91VAvzMvNNpdPzafICwPYTVdD88dK71g0y+pEVgXcnoylysyNOcjldV+rOXI
yk4SPWZ2oVyGrt5TLbtKzeBGNqHMn3xQIddHe1EoMGQThkZy2fMqVqiQyYGMfn4KwnZ6igyzuFV9
GhKaVapvPc2vHsLCWCJJnsNGX3WX+4XgSwQcxrl5PtQ8kT0/HgrUJ0i0byOE/HtOrnFTl1H9WK/0
n7RXNe7WtfSlpJb9RAePiiCyoS6VUV8aPQQflCngGIkc3PlzeMMqgs+lzE5pYq222mi03+XAIjPd
J+HLYOne7di2/cI6vy7k7IwTISmgnASJoCSeLTSghHU8joT5lQoedxqrS09lq1Pgv46Gz+ooy43j
l/L0LdUSfQvwKNiZoTWyJHl+8Ly82JLsDW5ZuKU4z4XpgLSa8C8HPTeRuSNeGCRWWyMNTuRyYFpq
16Nr6pW6MSvoEcfV2tuNY9LvPqiB4pDBHWW7gRR5l/z0pMJPY1rxnOou8Ol4BaTaltucbg04A+ld
17fwyOiVsbAK78aKWNxu/gJ5hM8/W4TC1ySdyvDglDSr1c+EVtIH4CrxMcn6r6EwauowLvmiM5nA
EKgCJnqCspFagbPiXN2KoY7VPimz+4IeL+Gu8tb9OrFB1eZ67pDOM5tPste0ydZSmtH4WMgK4SK2
C9UIuCdqdudt16MpSAlYme19Xk75Dfe434lwUcM01CsbkpNh4VCc2W2gkFwuSQKB+xAVYeosPNkW
naHnmt488mdXtVRJ9noM7zudbvZgF9VP17XIYure7CnEAcUHiCmqcXD0rdlpWOWmlllqrz3K9E1z
BoUbTBrBBmBA1YajOA6bXq5ovR4k2W2c99LTdfGzQ+Nv8agUN3lxTM20CQwBRd1qqD3W6hRtrG7o
DlJaycAhR8uNBuVZ79eGMxB1dq8LFl/8ftz/Fjwbt1r7ahP4hfa4juLcreHAeogUZf18XcpccX/N
LpUxbBRYHOfhR59uD1pZ1NpjZMXS16qjoFHiprkd16a/z8vEukkrtVsY2nsNYkkhQCJCAQsSKNvz
3VJZdezL/qQ9Tk3eb+kbZ7hGA6KZXmi6nVreEuZjfiq9LuIrwTeEGuzUefInCc0wMyZDeyy7onWy
lVE6tEGDj17NR5eiIX9rRFW0TWD3eM6htnWUQK4eSghcFkJwM+9KPMhriwYVj1L0TxCL/ib2FNfr
cRWHkf4YGH620dsyPCo11dxTni9RtVyYZDpoUb9C7RPQ8TnLleEnJWiwXn8cuvZTaXaro+rr+kvS
xSClzKFcKvm9oEkkfgijcmsF8TrHLWRKbXlT1eqPI7XV+yxtrZ8cAJLbw9Cx8bTRoh+gtlQ7cWF3
qnDRUAQpmr1h+87nk+51ahQrrfFIHz0ApVbUHKyhhQA7b7TT5FFPEef5oyYP41Jjx/lZL5aSaD1u
pAgqCbTduWivpwdYm630x2KkEDYxSlK4GuTqHojJ7ejJdLCM/XCjm/QdIlXebnMwQHYAR+2910TG
JsgKeV/71RJw/XwdwI1w0ON6Ccg6NzwuJufPtYriICBWY3wXhRLWDcHORLnxQrkqLddTVQC/XdZE
3e9pm/v6x1j7X4UjltpocE+Umczha0GvEl2ljdn3oTDDbUw7hiOTGLixYS4VQZ+fC79EkaegBJXm
iiaYufNxahEey1od1t9HYGq7xFxV215Jxr1ltBAwSCb1/VYsy5/XtAKzIxqYfujUJSSKcOBqItgG
toQKqXP5erIaWsLb0Y98oGBkb0GzKH+qy6AzvsRlsOo9W4I7YFownbOAghBLcBGKOqK2nPqwSZ+L
VcIyGxutVH5MdSpRIWcFRryBkcooD2ZSFV3tAiCS2yeVosP1J2CgcnQ31mlQ25riAXmHRsLbNB43
6AW369ze8ESiwTF03YS7yfBBFHX+YHhcQPaMUP4BSpLyGi2OV9vIy5rO1eu0/LrOim6pEP/cmhLH
pgKeElKi+QJ3/Q4suZag8etMPfhJuKOmZfbQf6Yt4WCv0jT4/pFz8m9RwhERvW9wZmeGO2haNhwt
7X9SrBeqt5HVgnWjvGmdPK+UyPw0dgG9CNlrpr6w4vN5RdMB0VMkQYAOKo452wCxbZpOWUPk23Fn
tjfhOlN3I/T+qh2ahrSHeCBbonx/N6/AeiEFIu5BD0gs62wpO4+2UKkV0D9WMkmzS36jO4WPVW/l
3N9dn9hzC87EQksjTDexDrJ+bKpztZGwYabUlJVvR7rh7fMsJa+f5L09Fqvwvp9M7R7utNgOzCnd
Xxf9bmaB2IqwHEor+DDmoqupI04IQSQtx7X1eJdzaXTo8lUQaIIKSSnJBF4X+G5eBUbfopqLEirg
OPPsdx1KLciWzGOsrRe9QH5YGDaQsfY2nWqrXvDT30szRJ0+1VHE/Ph7ZiDjVUTkfIr7gKwxWEOg
RnFq11FiWXbPSbUg7d06cgUiwUMPKuwTfJMzafKk+ZOvJEZgy74m90iDO9Su9MDTSIIkeiwQvZQm
WPqYn9RRW3+9PrezXBOKxMz+InEgZEhid7ZDe8K3idqpXmCTClFkqIXVaHSLPl0nx3yw6PJV5X5E
C2+5Wn8P1lD+23FjyV+bpm4+1gGMZxFdfwXTP3lG0Rd59iwBLvNkWr0Z2K2phrtWSZqbJi86ltzM
6E80LbEyvJt9UoyEtGjjRvUWRmK2i5Su9Qeik1QsZH1TP5JObbdwTUm2liTeIYjz9sE31N7V8UQW
dtHc34DtWLTpYQszbIKk4px+49LS5MSs1mmH6EGN0j/GtHikFbP6Oc9kUsimMh5iyOcXrMYrI9C/
b0ekm3C8cPkgFSVGCnhvdgx2XshJlKtyYGs48vWTXPb14FZDOmYOv2vPqhEM+X5IBuUPo0nDBzVV
2uybkay62xp2xt7W83j8rMtZuLIHMx2L2zDKtK8g9/TTCvKdT1UbUL8e+nov7WqqLocXTGJ/28jU
HTsNHlz1yYTCq/11Q/iPv4b/9H/kn36Nof7v/+L3v4huVqEfNLNf//sU/lXldf6z+S/xsf952/mH
/vu++1E1bfXjH6dvRf2PbZt9/9aEeTb/zNlXIOnvJ3G/Nd/OftlkTdiMD+0PCN9+1G3SvIrjmcU7
/39f/MeP1295Hosf//rtr7zNGvFtPo/1298vHb7/6zdBVPIfb7/+79fuvqV8zK6+TWEyf/+Pb3Xz
r98kZf1PsilgDInwsO6Uxv72j/7H60um+k+QWVx5qJQlroyd/e0fWV41wb9+0/+JVSJFKFjRxTEq
oLl13oqXJFX9J3cW0T9HVKqBijB/+7+PdrZa/169f2Rt+ikPs6bmm9H2f+slbdXYhyLIhkUlEoSj
dr4bVMnPIsWvRrvUm0Sl22vTVLu2zbT86E861IZvZuZv8dfFcVITcBLFuLCWzLlRCsn02rjRcHni
etS/DwkZycTOcO+0J1+zqumv6/KE4TofHhRSBOwZoUDDzyHOcpjF1UhrdbskNfPYEH19LkMjWtjd
v9CCb+Tg1L9WqJP5ETVfwIDOp5F/WkmrYPVwc7jf3u/d7da2tzen7dZ1tyeH308uf7uuY+/5yT3d
bA/2gfecTvx6dF1e27tHXtsc+ZF3bw+He3fPqyc+fOCtjnPg27Y7m6/k68VbtjmfPzxv7w8Hvs3m
6+yNeHl72DovvIVHsB3xL/zMLxvbdvbOHrm8l2/8tLvn629cl6964V8OG3uz4Ru/uif7cHi2DxuH
z2w2G2fjOI5424bP833iy5xbfjgxEp7oUYjf7Z3j75ujeOvmeLA3zp3j8jOj3u9yBu/wdNvN/tZx
tofTVjwoz7bjk4/ON751z1uPd0/7/ZOYJiZKfNo9nVJbiH1y+OfrijEzyLgZ5ys2h/TTCqrW5Gj1
cNrevxy2zwxq43xz9kfnaUHSDEP4XtJsizV1lSgNurF1H77+ee/b9/bmjztHthfkvPpHV3RwXpRU
l3URmEIOS/T18PjIOjvMN0uyvzm5N46zkJyeRaneD2x2pnkrCNQnBJ7cl2e0hXW6vkbYufPt+26R
xPZ+c1bXSgHfW4iEh5vtjVDo7en1//z3/mXL3rhHV08vp+3L6b602TinlxfW0r7doViHx91ht9tt
drtb+w4NOzo3e9T5j9vbV3W8tZ27PevNzmNbuM7DjWOzPzfHB+fmBu077hccj0VFmDk9mtx1XsR8
uV/dZ/YNM7ak1a+p1ms6ICb0zYRNWPJMR8TN9uXe37At2e73YsMzbY/872Dv+Ensat9mhMef+8Lp
7Z/ufr//2dsPT0sq8hpVuvZAwht780Bps8bJEkp5f3i+3zo/94fQ3u62YtJPW2yc+3QSZpKFYSE2
NjbQEb+699tn9/nweHK/5ti2nf315s8tX8BQ7nf27vlTx/S5WJHHww692xzR88Le3H2L7OMTS+26
iu0+oBAvlv15c4cl2br23t08YIeOJ2FgrqvqK9702jiFw/tmnHEuDfSeZ21P+5P9FZvb2Tz3H7ut
/fjLMjM8jOiN495seYgNdvf6E/wqxLj2CLMzaDLHfuzFVH/FvJ+YhZOwa6cn9951bg4HrPX+hd2C
scbic0rsNpsS87rdMuccPXtxCrhfWZzti3u4v8dgozf3j75tf0GLtqwJp8TmyC78itU+2q+27LA7
3B8efxx8+8ej+NI/n+9fQvt5sv/07QPGDjt0/8ivP36gjdj8vXP3hI3lvw/7p83T/qeDyd8/2c+c
IoNt+/aOrfrl9u7uy91xv/l8OO6/Pz1wUjgPHAfOZvPk2t9uOYj2DzfuE1vU3hyPt9js456pd5nV
12lm5D+Zbg5XJHK27E+cy6cbZ7+5Y6u/vvH3J/5ZGIUn9+bh61cU0fm+sCLXrRdXgHOdWPs0bTA5
Yjglb/iD7u5OLkceW9923OOvQ85Z0INfXZ3+33pAvOVcLFEXs8sRi0ym43TP/merCani9C5tdpH9
pzjrMZfsi4PNG7EO20dxKrPQLDw/PfKBg32HQ7DlJ/HZw2F3x3/3T0yae3QeXh0bpnUrTk121B07
9/DqLuyPRzakUPWt0MH7rTCngb1HhZh+rPXWxR7fiGV0919PeDru/t7lM9cXQJwO/54IcPH4s2sK
iejzRmQBUofzieimyfLlNqvttSJ17tgUnQOSrdlcl3K+yn9LIYNODkFwrs/jiLlH72DI9mrbyyJr
Q/EKbZKzIXnxKbdxw9iSPsZULHAKkCcSyAXbRwp1HlBNVlAnWMO6stvK0rbhGhKQIOlWC+GR93On
cysXyS5Ct6DPZvZs1a7DqJKhEIi0QPkih2V6aIDXLyjr+7lDCrlZyBmhoyDzfr5CVUkxYGNalU2h
UmA6gTXkrR1Xut7auTXmtb0q++D5+nqd33jEeomMDwBJbuKAH+atx6GUgsytGyubsmrlKEul7nZ1
HJ3kFlKTD4vi5sc9BziL8GVmk6gUqUzrauop86SjnhJY5rYI28KpozRZgEFdmEkqOYntE3kF+inu
km/PH70wsjV9/Sq7C+vo0IZwKlDH1dxquWrd9ySlF5yZC/rxVt68knNs8ik3OuRV2Woq9unKK6RN
1BnhgpwLqyXCrXSlp46J2/NsCr10PY1hrpe2lZCqcGjVS5CsASH0ovpduSDs0iRS2kAWins51OPi
9TeHuFXC/VVHY0lcXIA9Ozo4BYbhOVDyjK4xrD+WXX1VRYNQEGzj7DMoCmcOdKe13roJldJeJa1m
61akbMKGyKcPq8/Cfr40j3DnA7aHrRbXfXYorCQdtPUgl/ZYyYnbEPi8q6NJsa3UrxY2mHDpzs0u
Q3kjiuDJ21kkklhU9YpR6VN+HwSmvwNkVP4O0Ee77bW4/J085NfrG+2SNr4V+W4iQ4luJCsmMpDp
m1PR4Ynml0utQy9KWb3WLpNueAd1rq0iqCZ6vNhFaLWf4pxmZRLZjYUKq4tSUHY2M2nad2ADT/e0
MiB3Y+ciIK0OubENu3wJgH9J1eEgIxJKPobeETPfpLJMOsWURmlLFXhyMtFUdCVG6v1Mizp4trBX
zcLmuqiBgnoFjwUy83mVYCQFSRUaamk3xMt2Sdf+oWvan2QtzM3HlQHMjwzUFZMLxcy5/pGFDPye
5l124Emm06f12tWS1RK7wuz2KzYvQR2KVuBhhoMAFN25GHrjhW0CAZldqpVq1xkNV/UpiDZFUfi7
rId/rTD0nefF8U7Vm16yyy5r4TfSgg+7OaAYYX0R2cxXd+T8Qaww5WLZccqssiYxHrJaC+pDoLZp
vbCCM3q/X0OmBo0zE84KymNm22ygPWKwGvIKVEAQH+VE6bZlWajPeVedfEOC2rsu8g3FriubWh3A
T2McOKxBs2qsQztK5YIr9N7SCFZzdiSxdcDxc8hoP+IfSd0AIFNe96rd+1YKY33T+6rbw3Zd2GHV
GY9129Be6KM6hmTS6LB2kcl95x6NVNam7YqTQuTSnSqnNdektksFdxfH90bKTMXGrrAmv8Roc63r
XFpPKk5fetIu1Xx7tP7Io36JQue98WFcLDATR5khabhzXVqbPdXQ1Eja6riuHMmCJLHTmqXc23vj
gxTAxYAQSDkBlTuXkuWKF9cmdXyxbxmPFPqUGzWuo53cJtGfTVh9kKKdrSqgL4IUF1kUKc8sghfn
BPB1TiQj6jXohsu1dKN4Mn2012l9Ujo677qDjxe4oCWX1u+t3Nk4DZJcJe1LSjtJs+om6kHNFkE7
0QxXqm5aQDGOHEdLlQiXJld4m6SaBLxynlobinUKgQhFkHG40r82Uju0G8Xqol2fWXJhw0/WfLm+
Gd5bdspCwcyS9RcVQHNfsFV96sdqv7Q7r85cgEWVq6ZRR/3e8HG3E1caD8YQUBbKnGY7ItYmEsQG
nWrGvk02cgxMaWj0jzvTgo8VhwRHkN7U2mzdsrHOc02ht4VkFv1OjTVSr5H5IJf0jUoqeXt9+i7s
uTNpQoveeJ1QHRr1YGCt5DDxVjTqMmPDgX1/GhcOxjVfdO6YgWHUKRZHOwQ6Q7z+RhD7OEyCYKIh
eSfXR5pypjvgCxTBpfp6Axamex4gao5t2msEH0PbiaMDH0Nkq0TpsOC1OZdtwnw3xQ2n/yQ11lNS
6so9jXJap1D0Epp6gzYbReDpCyO+oJki9coJQS9Agaw/l8qdBJzmqscVXXmtXagWPahXEb1a5W6p
NvvCXge//+pdg+PmeDwXtS7qsYYbFIcqyLsbuHXbQ6o2+jGk8HJPh7smsJOyXqrXurCkhDiIO+CI
QMb2muV4s6RVUCpT0yBVbQ3Ft5MwXLt9mNdHcs3t3aDRtjZbWzW0Pt1SWfI7tRWHrgHcBtp/jow5
nlCnaLQoSyyKH60LW5EzdUssZomM9N0KirQ5mBpxJ8PdmtuWyhvUqp/Q2SlsVrldt9HkcsVN9mph
LhUdXBoR1kXQaNMRExjq+RLGWqiFetEUdmxlQ2GXrTS9dJICi+31DX9xTLC6sGREBuDOOpcTTtAF
9HJboJXx6NbFqN3ISZseyoGGFB8XBVcADSnoXADOdSaq6b0sz9MUUaVf24Q9JLeYxj+CXB4XnMNL
k4cvxBagtyckfDPjQhOPgEYMBc2DNDncVJR92UEflJvr47kgRRwzHI1MHmjC2TW29s3AKsMQE6ZP
cKcZNZSXebrUEPWSFFQbHUAGrK4zKeyi1dpPvNzuY2DApOqlP7vWyj58J4fBggilYO7EQOG/nusB
7Q/KQPLjAo7x1ts2cVM7sdpFDuGQhTzMxQG9kSRef2MmspyStWmMaJNodBRbZOqGliDFgq6JU/Hs
eGE4grMH24fNJb1/LmTVDGWar6TcXhm5fFtGQ/mUqjRIpg+oNkEmMAy768oww5ZyqAiJotBRFKkh
dabdU5lESV8iUfMtJrBcBe6QZbHjWZ2S2AG0m1Agdf5mDHVrl8ml8lMapWOtZ8U2UPv48frjXJpk
FhJGA6r14NaZjT+QSbytB7QmNoMXsxXdPgOjW4jzXRICEJoiRAJHgoflfJKNsp/CutBze6AgOXTG
PjIat5atYqkG4dJqCqQUBh68KmiUc0GeFmeyOqKcWZQNThSohi330nald/uskcYFk3hpWECEUR4T
oj22+Lm0FlLEIe3ywjYb3buJu7E8FFhQ9+MrRH2BqKrkzALzdi7FTMxKpRUDgEmqnG/zNkg3g66G
H18ipo0LFNaQhZrPXJzlEsTv8EWMAOrukt7SnFWoBx8NE4H9EZ0cMRvca+joeD6W9dTRDUHofhyq
6YmyIsUtvGy9YG/fRzmEGLBBwE0JKr8rBU2NKdfl1MwFAjS8lca1ul3BAJP3umUbcncH8eNjIcke
um56N8S6j4ZVFAtnyzvfioeAXwDCdZ1IC8Vg52OdSvg/Gj/BCTA6ZbWBzqDOPmmDLne3etv3cJn1
VhIeKtrwLYVoL2wDbgLgsABuQ7k3d+ukPACcnlq5PVLiHzuBbIxuX4S3quZrTlt7/P1hHeXgARP5
2igLauTzsbaKOaSTjBWBaz60+1qttmY6Le2E9y6IAL4THRM1eAB8ZzuBeLM/VCbLagSh70DdkB9o
2mgeNI/il+sDej+DiKK6gqIHJMrzyxS20pArnRnMYz2U3DFPyrUtgxv5DC+v/h0q7t5b2Odijs5P
IsEvAqclDRjA2c+ZT4O41Ae/VHPqNlPJ1axS/71s++nPsjUTd7XKlD8JgQw3BZ0zaPWj1C/XR/xe
XYFLizafRNshLzBmB0GalbJPsWhu00jedxPD/J5U5oueEZwqrSy1WxqeX5f43nwKiYJUHQQbhIHi
9Tfne92HUaisytzOJIULa9m2e7ZKtrCSQilm00pBIQRUOvrJ2TNTGhod018wb3K7iqRqctZZGH4t
pzHV3KrwtE9lTB8nO14HxIsEn+LSGXFBZ+l+iSsr6vCwrLMzopoKM85IbdtS4pVb3afJMkT1q+A5
ryt1iSbmguEjTcI1mXZKxFC4D5xPqapIMQ2UZTa+UX/CLsbPMCHFbqdByghAPNCfYjXlmjx4fQ3Z
m+d5pi3Vdfk5qKCLXQgkXZh5crGiYhbXWgBGzx9GSWqamJc9xr6E7IrYefNnb+DLZ/IA1dnoxad6
/fuq9IMPH2VMAil0omZgNWHhOJcrp1ailwWarEP5ljuN76nTzupW4ccqOIQnBz4TFKooHiGMrYm1
f6PAgufHA3Wa237dep/pSKmam3FleTdNqLXm7vpuuaRIQM+5rBPg4c9sNhvqggKpgcxqIqp+LFZ5
e9fDXud2Rt4/Xxd1wfhBx44YkomvhArn41p5mj6aGeMyI9P7HjWr8fO6Mbsd3WOTPcnM4Mt1eReG
JjqxCO+QDDcwgXN5iSaFaTvm2HX4tFwJVkanqnyy6XxmweZcEEUFlaDXZWhEime6ERpp4ddNlNvW
qFW+rQ10MCLll0E2qmTEAa8P7IJNpXKNgWHlqB2f98CNhsxI/FbKRK1U5HiwIUe2VJL0c7x1rXxv
xqqTdyVnzcLN6ZJcQo2IpFQUIMlMV1p4XRL6niG3z4jeDG2o3SkjScaKbiif+1zLb9ddIC04d5fm
Fi4yUsOC/gc+1PNl7KiJTxvJx9Q1RAi8jF1exGVOO4baWDAtFzSUigRROUW8WAaQfi5qUvvW7Po0
t716goe8nZTdaHTrfVt5kdtnvrTA4HlpaFypReqEWDGXxXN5ZW/65bC2MtKbmnFQpElxU1/PH6d1
mCxoqNDA2XklKm3JM0ChxFzOzmHNKJUG6ryMCp8wudMqQkeRpgfb65p5UQrnLnVZZALf0cLIaRGn
ho41KaOk3JSevL4JpKD/EJ31q4Ek4SiKcwjgQgusnE9bTXFIZYwFUhJ9MB1Q6JSOUlNKE4WRDgJL
lK6XtELUAXGPwamAof9cnCxPRtWG2C2paZ4gOX5IcwqwDfwpGwa6JQrNS9KI7wn4FCFi7nXn0oqs
jgyVzpN2NZb+MQsrdUvFvXmQh6G4mfqpXTgALiwZFpkotOj1Rtp0ZiVpKVT0AwUBdt8VBTnZQFY6
189X3pIXcUHZESGCYsRnqWoTD/LmWBsKbRU0Ift46DozdVNwA64JF3Boh6FXPV1XxAuzyCSSloTF
j65Yc2FUAw5Z469p4QMvZubyOOVfWaXpnu1JBHGJ+mvBx60jJzaRUnwSXO75sU3/4HQIoLiwoy70
nFjyXYp2ocZuab2ledVgQ0K3xFF5aU5xqgU5OESJBDbP5zRoIqlIJeoBzTo5KmQSN0mqUmyqKUvB
9SVJ4mx4s3pGASQMRFBmF20TdgdMdZNssjHuCieMC5by+vpdOGrgPeAuL3wTzpTZwFLq85OgXmV2
M0zNbhp16dNkeJZb6jXt/gZrPJpl6H35XwiFF+UVfsRtaSa0Sq1+Fa7VzK57JjEEBvI5HY3PtAyq
trJRqtu+DrQFmReuZxh+vGqwqUAW5kX3FKfldaRWGZxZ5cr2g+xoFUPyBd7y6K88VdMXnQa4LoRv
1UHph3ThVHjvS4uMECYUj5qaq/nml7XcHNQkzCh1HFYPrZKNdhJU/jdan7SnaS15m9or65NU1Asn
33urI9SVnYIfTUBhfhxljWaFDfFJ21MADZHO8DeRGikP1xf0vRUQhKrEIYGUEUebn6+U67ZhqMCe
ikMdvPhT0AVuQ/FettW8IX9pWt3/dl3i+wkV91xCapQaQv42tztBk0qwj+BBpE1Im9MyzPRPVjvF
vl2RUtnqaqbbMGXD7ukVXrSEWLgk/dWLhzjJFH72+Salh4ocrjTcULmAwss1JTam3es5/dMsuLNW
dph5U+8WdAaK9wSLVz+uj/69kaAqG0XmlCTWQKT0XL5BNgI3GSOhDLF64M+3uND6nULF7vbDkgiR
EhkijfMaYD+XxN1BsaaEUzLzLDNzM1o/jLYVk8/fGtCiBwvm6P0uhVicawR+IWv6rkFCHUlxNDQ1
x4mSlN85QNy4j2J3FdOep2myfOenY/lH0ZvFLhpV7ffrg32/WZBOKB2wM+3tCYjNBttS/d3WSAc1
Ft2sCigy9Chbap1+WQqdNHB8OZ3nzeHZIfRTtXo8xF6yjtGo3XXrYYkh9aIQaBHZ9SA9rTmmpgbn
J4FIYyL7qfgEIJ3my6Esd0s4sAs7n+A2xK+Q/otOoDMvitypnvZZm8FTrOmuVVLmaK1owgPWbziu
1430YZeUrD4MOuTIBI/uHA1W+8qYl2KJYAlUN0m3Tu504l6b1B+0T9e14ZIu0jEGJhoRsASTfq4N
aQQdTBaOnPlmXx/kqNQcggmpq4x9cijqSj6W5Nof9Coq/qAG7mMtnYXzLTxFppSoE2D4OS5YT+IO
2AfOtzf4kmKXRBQ/aevEJI5JMfmzokjwbOpaWD5D9z9WC4N/7xfgYYkWWTjGtCGao6VyOv3S/S8h
rzbl8h8sRmjYmcJmdNrAT2pgjnH86EuD/r8wOAgGW8AiY3bmrABNGP4fzr6tSU6cafoXKUKc4Rbo
7jl6Dh6PZ3yj8BGQEAIkhKRf/2ZvfBePx46d2G8j9mrXVgNSqaoyK1MvsMNACyzCCDnBL7y0Zehf
Iiixv5O7vjkjOHlQ1QCjEAUAYjgyu98/MLP9JKvUDy3dddZGJdwJI4jdvxNB3zb1/t8yUGVDFxGH
/p///j8ZHWbBJR2SZGg5MApTjVtrO3i3KcpJs+SafgCeOF2JhNwzx9xxAdr5wDbzH7fzHz/jTXBL
Z7obJLdDO6yrrF1WrCckhvtJFTJpRRUOKscoP04zGm8gMh7+/TC9ubH+WR3kPrBVYJUHfuybG3NV
gxo4dFJa6KZuV9mS+wPtYNqrBvsezPC3z/q/S73pnuQhKXwm7dBuVQWDtWQs29hp9c5nfRP4/nkg
+FjhkyKbO4tZ/L55iO1F1g+8hzrqWuxXFAxY1mg/i/Uy8byiH4vZsP+YzZ0XBYseKB/my8+z+G/e
IhRBljVTVdfurO9ujSOmnbCD30lW//JokJnB5QHqDP55mypvGBRhBA2mtnIQZb7eojERFyaRRXyB
UX2N+Z9iRsT/9w3yJuD882iALs8sLayNYuT39wlZbdYPPh1a6ShnAIDnbQhNEfQerbWAB0IFLePe
7qduW4C2//vif2wZ4PnY++BFgGiPWPumNl+tKVLCprTJFtNd0JX5Jgfp9Z1V3mSNMG8EYRjygWcV
TJiYvKX6bOOA4RUVR003wJ2l8QmMUvjiqgPJHTloj9taTvN0TOLQvRPO/zh+Z5cWgM/gwv2jz/gm
1FVcUSa4TJqIqj66jzO4LjwPxsQkrcFv0eYdNOpv6+Fc4M5HLgeq+psz2Id0jCFtGkM4PLX1uIey
heTD2GTbuxKQf1kKvfsKLXyQm3AO3zzajGmuVYBO0zBUHQe2TKF1uJcR0pb1nQ/4JiM4f0CwIACx
41/4+74dcuQiX6BntuOpNFXXPZvmE2EBTsIQUns0Fhg/2zfewKkrudmTbH/nI/5xLs/LAxpBUgfm
Dnbq70ckJlWFHLiPG2zS8kSCies0X9GYpiRBfqDoO1Xdn6cCbgVnaSRsHuSLb42x5s4JxhnCWjzC
0kuMkz0sQ2/eeal/PtVvq7yVqBNIg8giEtYA0S+arsxVMzqw7qK+erA2ec+C62/LnRXC0NfEEAWe
7/eXmE3onQ5l3rUIYnTiR0jp+6Fv+mxMxq0up9THsHcy45Ae/2uMQVcYU4CgwII8iQbW7wv3aDWC
vx+TJilV/toLwJhK/0c6ED4SlE5wNaCjAwQIJ/73RUblxz4vadp4PM5rRdUE+dVpfqcD9+fGOIsG
Q7YJPHPoN5Vv3iGHpEC384q3cQzUJysHdSCgr13+1xeGVc49IkCiaEy9bU1pBXW+uSS8ndMYmRnG
XY9wbX1vP/wZPnKERJS4GM8E4vrWeB6teuZh78KhU+dV3fcU19se8QvHANb/+wP9ccWdGU3Iqc7G
bBgUenvFrTCeoXQYRLtgTOx7EJt8yrJuOS48c60uFbnq0ER951792/OBCQF3YrRnsf75v/9P9rkG
vOBuwVvkQ78AMgaNXcewuHEk2t85yX9bCicKcP3ZGRz14O9LZWNvB4x9AcEJibmbeyUbZcvoFUaK
9j8fpvPkHjhI6Kif23pv9jkNy+DnrRSQLgvqVOnx15rk71EP/vxe2A+AI8D5P1+bb+OtTiKoBmGq
FRuw8J82FUIbSNrfYOZV39J+Hm+nQNb3sLE/D9fvq76JEyz3CuNabGhhSh7gfDiYkzq7Pv77Xvwz
FwGoiQ4ark2MnwPffPOtnB/EQlCUEHgE3kuxBXh2w5RYpnN8HfUcwm/DzpKLtDfs678v/bcHxCWG
yha+veiBvHlAF/RMYHeEeijPXZtvsbgRhr7XSfrrKmhqnz0TcF++xW4zvoHxxLKhLWJrj8msBDhk
0Xt93T+3PGoaBMLkrJoFLO5NUaUKKqfI9LylW2DbSe2zjo+Br0JeLDI25p2QeN7W/wMu4jGw3Nn7
+x9daFSTv381203psgQ4jLCwpKdOLOFhyoax5eu5V1Vttnpnm/zlCKDrB0HVc98c6fGbb9WbNCW2
2HlbFsg2jImAWRUESq4oVMzRglN+Ywut3zP3+MtrRTwG6Qar5rgzk9+f05Bz8rVY3na4fI7ZxMMl
Gza0dCGVF783MP+Xl4rkH6p85/APecA3L7WaqIe4NSyutDGdwugZUr8G7AMolg95pfsLkapB/uew
jEYjNLvOFxwkwso3uVxa7LvW2ybbCWBog94Se8p3k1yERNnv//m8AbjCMUejGHDuWwaV2QqgAL2V
LTj0RWMjmzVjqH78/yyCTvTZHPHcWPn9i9Fo7sDnM7IFAXqHbDOl7bRX4Z0b9I99gfYJrjHgfujZ
nImuv6/iULwBXOSqxVz58jCi7d5Sve6n3kf5539/oD8CJPZ7dgbEkCVilOctu21a4QE8jXJpucqS
JwZmFrscgseAa6vYSmFH2y172cMGeV7EF75vVfLOFgGE+kcQQ/0EqiQS5DMTBIP0vz8vyjmBgU+x
HHxGBWbASUjGeLy3Y9Cw0M1lqmWo80GGsaoxOwnd0pqWkuaiiQDdseVQDTSS0Uf42fn+6yDAxUgv
9xGuMs99MaFD8Zl5wSd+URCryY9JcsLKhgyUEV4Pwk6CH+jeUfhf9H6yC20NdLE7fjIVX5Mn6+aK
qCbv+/38//dhSV6XopfmV2TovH8OcciTD6uEm8qPRaRma+LND9GBEzUsvOaR4fJqmznMnQuec4Bj
3PoX108GAPm0Qfa7OMbpADMfCMLbvaqBsJXrLR3PSgk86cfyGe2dOL3OMUdJf1Qac0+fBArChNcK
I1HRBI/GShatHQnfJvx45djVvHIJ+2ooXe4fI09yjEoqwxmDmZQqRcO9qdZPLk1WfreqjCSwV60Y
GoR4FpW9LqOHN1+bLLsrsot1CV1IDsZy9GKakY6wfblYYcK5n4wE1arOx9LGRYvJlGEoGlktlay9
nxmFtzpL/KPaQjT9GOcpj4cTXJP450WjnLXtuKqZfABfVrEPZqgCyM5bBLPHPrMaPzUHs+Ql2jqK
gdYkTFP4OOczOK1VB9mIg9N0Mc1WZCN/0GcNGtmShGzV54z5Qn+Zt3XstwZNpmn7CF8oNF1rO/Fx
7VHKsiq66JPYuMd8cEagiujCtgCv5JSkvB7jdQufc1eM3achK+1CjlAP2O14OW526x+Kfputhc0w
sraHfS/UuNfQut89b86oLHLswedOfV7Pdguou6a5Ms/BJztz9QBbIfJQ6qQbv6e4seOukYSUnW7D
vvK4BOJPs+2jgtVo9jMOUNMVaEpDTpw2fWcL3jdDaddIN35boHnZdpXaOyyPg1w9ceYlOOvbnJfh
5Ltsml7LTFAuavAleo+7ZdyK/QtipY1pbeA7Fu6XDVaE+kR05XVSx3xasw7OhCbZ1nooQ8x+6nWC
Eytwz1xjbAE23hF9KVMfNObVUwfrqabjZPGvc1+F6GqP5zR8Sqd16z4mFTPTEyZb3dhmFSN7g7GI
UNQlNWxqrRo8vZWQc8KwP5rx4XkkYI+YVm05Fl/3pbjxnufps+HlFo4lU4hADWh3uqetZirqyMXi
YWHd1dOSev8KNxkc1KOkHhINdSFoAEVk4mRa6XWyxnKumsCgx7mfpp5kxdjQvkQbsIa1LbCA641g
irNqIiu38CPrCVCslvUaLKA6Up6q9AiK0FRiWi4iwcOHjIZpfwXDkkCUGxPlbLqJ446ApQqNH9CS
a6/KTnzNltXNQ1PA5pI+5v0M4QRM7XhW8ToYUGS2GgE2275L7nnf1yTuqhXmFOBDaH1VRLBvMB+E
otm4Xq5m7OfttDqMBevGoigo8nZOcpbdwAAhlxt0i4Z+6i8NojUHRxqa4XOdQL8ma+KUkFk0w7aX
MKAMiUT4+sRg1r5tj5NIFlHBa7gq9ujTyhRqH2R3EEHnZ0ySFLfOBOeuS5CGdHyY4dmxwybWb9FB
aw9JoLYiO1/vJV/8crFAy2PgYBQaJXgNreK9+lHKGJjH0XCf/zLzsBfXERWafimGWKsnWWAaH6w/
kJVAPMQQqfoRJ4jJdWyRLTS7G6y9pjlUC588CuTtmRq1jqdx7PL4WsN+QTcIX/RbYSTEjYbNz3A6
D+Npz1gEgYh96aI67/buNmdxf1dh8uAYj5W4A642A++RRaWzp3LIpDig3bS6uAborfq7fLY7Bnfn
ZEnJS5yg9/0dzzQkLybnGm0BDCNVJ/wsQA5RLzbfgIcwJifQrel4rf3EsjbfkaY3glfx8pJscUng
SSDlMt+QTFTjI0yVx+Umwg3M7pd0cP4G8W5+CWnk++duqhb2vQhDKR+4IGXxYOAaVb2AC7Soo1Zk
KNo+mq0/IVf1prZuAmn0sBDJfqpKR+s9aKuDPLpucNU3bFmFPcci0F0e1jyeph8VS+FAsZIV7+Gg
gl2Tn0Nq0Z2uiVpj7GrsEeoeskQCniIwHMg/Tj4s4aonPMVYf+rYKJ5ZVxo6XaS7znVxpLCqdBF8
RveZuSbsJV9/2dLvMAQQ6TLtdW+idCONNiSNv8Wrg3Mgpucnl4cWExpWjw1UkDrI91dVP2SY1VD9
mZW69gmcjGAHPC3Tz2KTlI61KheNSdm+i031dUk5nZ+LIZUDLiWFjd7XYIaFPG6E8kkGZkq0STMh
kJZuPZWlHTF/DtxjuR1Itic1iDKQCyqVQzwH9UBvrxK80LXGDNWwITRGImoEeCDgWEaKAEhyagCt
iIohLZ9dB+D0me1E/uimmZfoVsJiBd3gOXqOCDpmTYK9mDTF0q3yu95C+QiCF27sStLePeTT7i46
nC92I2C8PjWIPjBLiAD81jqx4hWe78vj6BX/kQ+ZkRcz7CYe5n3PHzB02pl/roXXroxWhzlHnV9N
+9JvH5EplGhJ91klTzCF4vAdngwzBwr7RNckqlqziwDDaUCwpZbPKirwsTzMTNfV06hFb7SndT9D
7aABEQ9SBNkyjvzIcxinobrxsp7lGL4OBPf35WziJT3Mvd5BwTZGHtYlEsccVjfpMaVTd0LxAcWQ
2YuZgtTGlr6d5aRoY0Eab1egF/Dgw/X2moCLOTYLwx3TZMLiowx+hCqQBavVNH7dN3GpB1v4OrUl
uGNQiqs6qAe53baDJ9pddZC88DXnU3Eh5Goc5Gr2MmopwTVUR+elmk3FApyPaGNps0YqJ23iYheB
ZNf1jwh38WedqMnWsa/0p5QX3aesc+xXD2TnIVohfYI3Qgg99oMCjkSLleI8KF7tdVVqJKsQjZnz
m5lJJx6UCpM+xTBtny+dwozOcUtM7D4JTJkvbboUZIDtgd4BAylszVxXMj0wX1LVcPyZu/N3QCfc
C2Ubw1gcN8hRVNGmAbkIeIkehqX4idLW+bTFX6s9k9ddooJrwWwe8AzUmeQ0kADntTgM/IvCpxka
mOCRY4Kp7wy/dgKlKMvmCbQ/KWL4PJTyyGFIHzdowyIH70QJV5uER93zKjhnF2nH9rgukKmAgsHL
SjVVNM53YszL/ljEHHo2ld5yc0yUpoD0qyCqWgWtfANzlEzUJIv6FEdf0uwQNujF74WW2UcpOh41
e064qaUrZl2LfnHuNiu6GWPWXVJ1zdTtRdQqfM/5wxJofAFJf5ldqgSuJvhDcFxpx2KLQp1gMghe
nYVBMNNhSMfjJC25i0GtUt8iSL/XpETMrJfcbV3bdwv+2kQUlTjYyiLjy4shgz0kHLOvq5EX6akc
EcO3eqwm8VOExO0/c4iuvMhxxn3C+2FI2klX1Xo0sKzHs0R6apAtpVDj3kH3uGJuzZ7jzOvyamKY
A2j6xHaPoegmWs9g3l87y5Bc2n1HkmfDXMVtrtLONRCdgjVE2bvh3i9x/EWnVX8zjEqenZWTziAY
wmOvmZhFYNxDlH5aY+q/ECVYVRObDtFjvBnIFWSgOMgXsS4WvTGhzTbB8t75AKFFh5svh0cQue+R
1z6FjUDWhap4uFZRtlWNgup3qLWAo1HbdX2ZXOBTZfYYtn7X2KpT9WgxbsIPzA0GNijAqPuLYSdL
fhSg6ojaYoypODLD0A4OhMm+7pWLXtKdnAlRmObkRzQh9aFKLNigzPXsFGJLoUGUdZ08EeTT8+ee
J3s9l4UYGt1tiF1ANgp4WuwYkZQXK+Zd79F7i8cW+JGNLpfCRJgQI6hZcL7ygdgTxM0dv5jScp2v
kaugahP4LBzSfhX+Hsq3TLfapRiFxwBL/xmwvvwZR6H70c9q/wHpl/7r3onxZsrAzTsmqNLvA9/E
08TI6FqKDfWyJRPVJyqS6WkVhCJmyigkx8LlI5ICCvf3NkNCkZzyyEXiMhmlfgLODnvgBvU+qrdg
puRxxYwdrCqWbm57xuFWoAlurQY0XmhjsTEt4THoJhSodkzye6DyEKYIGGaqjuDo0/VIirVwn/hU
leLSpALpsLG0OITR4h6q9TAl5jBDq26oc0L6V95hcr4GaY3KJ775XbdWLiw5IRSrW5AoGEZ8k5Bj
7Gar8joNHDoBIFJUv+gau1/UkOqXTjNUtpazxTcb3TKAlqXGfQaC3TigDpHxgWUoz8F7OYtFukgu
X/d9x6RL1ydS1LoKyXeAJaiBTBUJpMhk/VSyQn2TkyfJFYylxlNE83Jo0M5eF+hwoAt8xOSKmBue
MXBP+n6Jnq1iFsdFhe5LPs37hzyk7GtlPHnYknh7qEi1i9OMjAf0SZNhqriQAJ0OA+fLcU+lHg5V
5EpW99vgb/dldPQ4prv7VkCOVNQZ8eY7T6CRAJWXKclb5uLiNNLVUjRuuvBV0xQG8wB3JndhhU6+
7Xu6FZjp8errjOARDsVW8tuYx/RXvMn9gyXogx+TRedfbTfypz6DQgZGGkd9teUdUqQMYIqtPTg+
9gLuQoVvl32Qv9xCybdJOx4jvnn/cVAGkixahbG/48OSAjaVdvoZjXr1ze4rIQ6ewA0EzM1xuybS
zSsKBL/86vKUffHJ3D1suMLv87E3r73JSllbvLXvxWLWayeXCLn+hG9eQ38FPjmjIMgDx7E/j+2m
GrQFmnoY2aHe3D5UK8rwmjv4qzTIZ89lQpkN91Es3XSc6ZChIx9BzehotbdbzZchK05ALqPX3Igs
hzaJJnfpmuG4xxi7LNCoQg3fOoy1r3VauAJVKZgEJdAm4qvDnjiMcAjn1FUA5pse9xiF/SFeDGBP
kxpzKjjedV0ZafJGbfHW1ZsusMmYTdM7tpT9M5gX49Meb+gDofDbdJ3M1UJrBgWGvJZ56R7F2GU/
rarG210PurtyPUnSQ1UiiTmuTpamEdsZUaEs6i6jpRjN0bmqesKdrobWZsN0zTHhbS5XNeZflE3I
reMkZMeo7PvPHRLW7aro1uoRRlLeYfZRYMZAJy5jje9hLldGrhAXS5TCALNL5/RHuSQOJKCJjddp
WMNzum+zadZM5xPkjjyBhRK+zEkCityP1vbhhXXOuxtEi0zCiFTEB5mWZm8WUCaQzsI4dUc6CNvt
evOVf0HRnTxlIuk+ihWDvvVgliyuO4IcoI2Fp7BW5fIa437nEI7uVX5c7TAXDaZozH1hvIVwL7Qd
8ALCnjcBY1l30HRLXNPPIZ9qC/uu5dAhbc8aMqb0MrM7HrPCEAR0IOUOL3qc5/Q7ED72ic6p/pyC
Tv8FMIG/7saNu8b0Y/W53K36gU7geL9us/zGs5BcKjwmrNFogvLXASWCWgY4/+DB7RW7TCY9llh3
89hRhJn9wGhi4zpK2YI3i5iBPkic6ccR4h4o9mOwIhA9i+Xeokrda4j48uh69iT7Yr3ObgtYR34d
B5F+TgpAaLVOR/NNaKhO1W5E/7PRUuVwU8/4GNfrpsuvQJiRJG+wI74J2eLWs9WVuoWRBx0wWuW2
m3nrkKTQaItaz2CGhbGuheS1R93xSkDNei2HPMXvjmeMhIC4oU7pzJmovV0dSiCMlaL4D4NaTkyS
/ZaVZ1OQHFCsqZc+LrpG96rcDsia4JaT6sBfQNNn9/GW77aWqI9CI7tz1rbAwe5iyqFHWNs5L1TT
JRjYvypXv36NrU+f8lCliN0kTA9qMuXnrEsif1mJTjzNhqvvBhTrW8hHKH8c8gG23nAFSl6oQyO1
jnEDY/h/WKLH0U64AlgP2UyE2Lx4cBMtPm/JjFIOLOL0ubcWV8euPKZ+8lW48cpQnlyPGkUyct9E
bW0yReRlKBVk6VAzMBSkZQohJ42sBfZaMHOp53RcbI0jnn8jZB+7Q7/sED7iqIibsRPibkpQT6AP
BEz5NC6M36wBQgknRqrostSi+NnJdLoCfx1ZzGiRYkQGhuHoLBdLCxoy2xtXwni4LbMZBPoRDTFI
ZWJu/nYA2PR9H02VH41R8THLLTJ62DCGoYnXVb/SZa/uc5D7wLWfIElSi0yOa1NB+/EaUKbK4GAo
ho/wUzZzM5spHiHIapF7wVZvSWqTdPLjVpFib+Q+J6ExaeRu0rKD0XGpzAAPWb8UtZzNUByTcouO
+MZzQOaGUWcZa/IKchHG3TH0Hus2GzN9M2I6br8QQImeCrKv/RVUI3E59kir+xqxiFxUPXX2RLu5
KNo1KzGlnnUIMimaZVcsGsMdfLWW6hBcL6795NcMBVjmk7oiXt8Ne45bbSo6wJjjtk4XQwGg6BDA
PHzJ2By+LpWjS4tvKG42Z+KorXaNzT0KJj8bIuZvlRzTrsmRoXwHyOBvebGbvkXNPH0wzpPxnkKK
wXSP1YwmcOtUYuDKw7ZhfY0SL5F2DFu6fUhZ3OVtOZWL/yYCobqehMEpIKXBV6BI1VEZ6kQkpzMB
ACPOw1p9z7NhnQ7LqsP+urMt+lgCOLzwlvY4OMFuL0ru1XcYbI79sYym6RnC6ennTRG+NntC5Csd
cOvWFBX3p0B4BdGlvFLHaM2xS+FfuY8HouEafXAbm4eLFb1uXcdTGoWbbqyQswSUxR/zVKO9GLkY
ygAJGthjO8yidDWkSpU7lCVXAm2ORH4UDsIJkE4PE6nd2rtXk3KkoXERTcVBjvgxrbILlnblUuiW
Bu9ukTwvqGX96JdGoqM3HDCdLyV6avPylXibl933MZxbCp4uy0MJ+8fyEJdgnDT7vvi9CUM2oTNV
bIY2xLugcKnM69woYNq/Yl9QyP7iOwzwjK72+cvCYKhYs2JbkgY9ZpQ1vkg2dHpIruYrncZkhERn
kqA7BGE9dInXuZfNFEJ2v/Fd3FhK9ql1ZkcpBFPjHPWVWyEi369m3o9xjBwDDJgONGA5yxWGoBju
e+TrFlP871Z9iBKOvM3DWFoeA7q+aZNPQ/4gR7AGaue3GR03IYsPkKRLitrM8JPHQLzbajRD6Nzm
+MxzK1fSo2E1V9299RDGqdEoEfRkwdqF9ZqDOmeTyapcsXXi9HZkTD8CVJGo7b2aonP4Hr8OLoV/
7QKpJvzxAdl0TVhkn+KQVnezdMadQNfn93rqorjNoBHxYCqIN0LP20Dxfcr3GHBV1G/IBKiOI3Lc
KrSMnmXPO3A8eGejRqlpCLciFSjVMlyDsi7NlrnDHAiEO8kY9vF6WMvoYp1nY+sZ+P9Tj11lwKyB
Zz16FanqEIwHHKgBXJmudqB7oRDNs+60dUkZWggTz4AyGTddDae9ksFznrmv6TQaeupRpV6ip5rc
qWLPf/Xw8tsQtzrjG40NVNTZOAZ6FKEToV1ZbJ/2jEhSR9HgNbQx0rEACDMUspnlDMK3hzaWK0G6
SMKONi/4sOIDbP/6rAFOuy/I9vfyFiDR+omBIkcB+KMVAi3bPaDrFxkAAcO+BNJ4psEfjQbcTWOU
jt9IPwQ0JdNKPDEg9PNBFqTyDUF9cA9DTmROmC5a+5pSHdBn9qO4ZEmMuV7jAMvUZzPIqS2Qua7N
BoxP4ksGhQLApdnaZHxOP1ZrhLo6wtDlIyCfCC2MJdqQCG2bqI0ogUn5wsz324CUt4Uet7iUokeO
YTtil9buvf0WM09H5Hv7fMOFHKPL2DDytIY0eQD3N8g6M6xCh5VO63qAt7a+DSpDA6zvMvPpH5Ch
rmw1/4y31d2RiZlnwuD7fajWhf/MEoHrdLYufNs9We8SP/U/FwUJDxQHCbub/ZQjBDEVP9sxhV6v
RffpoohV/J1tCHl4VOwx4KJhazc3rV+KiaAxH4KF4tZW9iNGkiHlAr02nh1wz6V3QND0I0rVMDew
q/YvIEmTLxOQCVxkVe90PW4R4bdQKwWe1JnFfpx92Xvw/QNsD+a4WH+uFJotyNbznwQijrRBMVp+
iOOzY6pfnf5EnERmDUdXejvyc6Rxfc8eJlyfptlNZK8BjmD6FkTmgtRs0FF+67KQ5oBm5PjgIo98
F0tOd7EjOWQNLe67srAIViusCh+XcuLLtWZFDFvvWNqs7YoRbUpIaJfxxbakkMrKoLCStSaa/C+8
oXOwQqopmhnt1Odo79EsFdDHg0dhirZHB2mS7AKXYIS+tmQAwuMg1YM4Kw0cqyn2Nwh7yYTyA+l9
nZdE/WJEpmkzuX5BKWwT9chdpfcGePmgj1U6QfQldkP0sCIFoU0Ols+9Rvq/IhyUPcAnjI9smIx3
dEWS3TmovzM521og1mE8yQ6Fv0wxEfizzDhPaxltqWywSfyL3Th56iK+DoCC1/XrJBi6tRZGcqLe
nJ3vc0iTfl9x89yh0xzdQ69XxXAnD5qhZScFrDfOCLHjU7R+Zuj80RNP/HYvaaTlNctNCPWC45Uf
MYwI/I+Ts+DxWWv4ILVGLp+UQzWAzaPJ0IBi23+bBHqzGKKERyW02YUATDSL/j7GNOx2WI1dDx3T
gPgdqHx4vz5GUrGONH8QkRALXnWHXEGBDfqNCgDTh0kjFDeeO+zYUtHil0mof0z9ZvX1XOa4cjxm
bqKmsJn7ij54kTYaJORTDtnb/nJIQY8/X3PQw5xnlSD9Ux36dpChiVmDtm544c5Gr16MZVTbWJBr
DL2rn3mxo/EMkWeIrXJAwJ+3sbBFPVIJDD/riuVSaoK/Wa52QUqbFmPWLKLMfgH3yIB2gEVwBosl
Zq6mVKPMgmg8/Y7eCdriE4KabQTgw/jGr5J+Gkm6xAcCv8Kh2Qeg/OgjM4Dx8HXmvIWWnHoUe+K/
OQxYvOKB4NCCYmOcDgWmQ/ImXaw2px3a6Vdo+NC9VthCH5EtTWPbJYzQRpWBwMQ4MskrzabhGSzV
/suG3uwrpDyj/gScWj4vfMh+rkH1rkbSQ9HzBzb3bVZLeuuqctnXQ2ar6DuI43OoY8YhAgAnilRc
UjHunydYd2VXcT+xtTVgg2AjY7DzF86jW9A9XIATD3b0SPHAvFkOuSD9fNDrkF5rqE0AbnJT+pMl
Ep2ASJWs7dc934/FEMAmHLaMElQMiujutsu4xDMDGSD/x9mZNceJNGv4FxFBsXMLdLcka7csS74h
5GXYodiXX38e/N24UYc6dGIm5sbhqQaqsjLzXdKf2K/zvup7PfcLvt1VKSoVLBlB5p9Mjt2DLBeS
WiVsQ9OfaVfrO7M0p9SXaq6rX5Ywb0IPYyLzVdEmEKEycrRun1LAPtqZIiTDcxVlvkyaWHuCDosz
gCpicgO7wsOl6gTdmWjNA7woDOVdXuoyJ7iP5VelAR7jlmbah7cIaT+orTVE+1Hpih+2JDvyk5Jm
tZcrkcl9puXyqasn8zeaC/ozZdZXttd06HGMFwMnQ8EA31lbrrPGSBRPz0K6TUNk2ndwdWUWONzD
SxB3Tk1QUsweed2AO8Q+YnhLfgjz2k6/aIQPOs9x3YkdcyqTpzSLZto95qgkuwpekkE7T6OtLDtr
8bW5hz0ssiV7RtdlFV6Bn0XEX2+WwCq1pfO4IsE4em6aPy0GukYA4iOurLEIMzwsXevKyhxloqE/
Tl9jXuWzXBZExlPqJpWvZMQ+f4i1GLvhsqrlnpZQdN/Gqz9HPlriWVHj/jt6D45f2YcQUBhzO7VB
bDit4UeKhIphhI522aacvzd4AgRIwy4BujSdYJuRZnE4S62RnkhoMWBuAjkS38SWIjax6o65QIXQ
D3mH7xu3gR3ujIkigjHqs8sk305Jr815DC3PmdQp8aIBZyI/L2moXjizZf6RZh1/LwkpjBxO7P6y
EqREgQMHynhcsry/ng21Sq7JzqzrUapMITaHckh80ywg1ZA50K0RYhBNUAyaQgNmidg8sWlWr8Pc
8yC1nkQPBUXX94maAImPUmFwsDgy/JY5kZxRUy42NCCujnQH1Nt8kZI0ZV/QU8/8nEm4PfJZvbkV
/Vj9UnLFTL5MmmVeoL7uf1lDbu5ULe7rW1r3YF4dosiZoFRb/7lDkfyewVb/5HRfnw1pQZ0IJY4+
vp5FZG9dTWoeJIM07jroHjDEwGDxURrmCchhMDJ/1rAgx3RzbN7stCII9jHdcm6Szm78NEtaPsXI
IHmvc2RpeGXcGs8u1KO3OBfTs1rbTu8VWjm9lRhEiyCNB+WBfGKBoVLz422n+GYYffOcTZXqesRq
kaKBgncCc8xoSFrmSCZYHlnlQu22tMwVxgCGVgPu8bS5pN04nugn480UnfFNV+3+wVAoUL3WGdpf
mhqV5CMUQTIIgTUvCx6QlC7s9S8JKanl58nQVnBW8KzG7FPHmHaQkCw4+oU8cBfGP21jNDuspedF
x+epTqzAgAmTBCEvUPjQcm3Oasg+8BNNT6At4xkGfi4hbHlrTEa0wgc2vIaRUtelQ7sTRC6TzxhM
5b+zaWgqWPhLflfmZJ67eYgksBbwbhG46WBM+ykF1q4nq6j92c4MnixEJbpbQi4YsHFn+iEzNXuj
IEDHnRTK8qSJWUW1otTjkxHN6aM2D4KmkRhB4bg+KunD1wCZzp2uuhu6sL4tDE3/1pRU+g+0nXTD
r2Fe/ZhR1r1G1Vx8ba2MFBsGeAonLAn155hZ5Cjw50S/VYC5Y6bPR/VbPFQrA5EaJPNGbNy6Q6+W
meINvct9ocx9CpwEmPhkWZBa0hibS2+sy+7PgODih0UJGpFv6JxPnSSBbAKMy91V1ph0ft0u0TfR
CchEEkRnnagRA1eY1ch7Tgqsp72+18TDpI/TQ8FgMknr0kjfYNRRhMzd8HuCWVx4cbvu4rY1kupi
kVn5UgEIs6HdfEp8hcaA6oEdxEx6z2nD4fOZxTdxJ0vbbwyt4R4e+Uv7Ojb6mNEeMc3xXFXm/MIo
QohDbTR1D1EbQrFIV6K9ZxhjPMNH65UXavP8TjdpdfPmU+VONl10j5wG89xQlMalJjp6wM1KUeLA
mSYGkUwfdwKbptozTUX5qkajZu5sNacvOzSJuIUzWVo+uhIaV9RrFqh0KuzZJ85C3iD1Kh/mnvEw
gVLrfPC4A0oOOAKoPCIYey9KrMsp0ONZvRgV4HdieDS9OdIMn0yyGN6TpfQ/hb6A8iOITxgxI8yZ
Ql0Z42cRJmZ4hSXreFfWOMbsOQoENqh53JWVyRxkENihjsjc9YZ+UyEtroq5aq4Vg9ji2V3UZUGX
G/XiKdYc3qG3GB4Hzel+DkZnNBcCz5AvZQ4UT+ZWhcCShvlGH28k/NlNdFHpKOzpxSbVQR1rmD2T
ocgvPGoLtcHW4tifkVz9Sdg/rIB/+75VC+s/acS5tVOaoXxbwwNVGpgHPt5kEpd2OBXYGoKXvtbO
KNA7xHpUckMpDu0ZehS3eYO4AHqMFd4uds40v4VGHFyEeKmGwA2rSJISGcnVYpZ0sGUIT50GBuyP
fa3M2W3mVlyeRV2MGtun0a8yE8wJzxu1yqmhrOxR7ab011gt9o8YPjiEzFhXv7dLTVFk5rjuGFMM
2ybSVDSGUa+GpOXWoH9nF6bXUPF/TWGb175eSrI9OyE/txdHwxGyzNWLVJPwmaYFkJOAndbxLnVI
2b1BoRL1UuA6yEbuqF1CyomdHU53zGWySkV/KyHDEa10ruG0HNSLuK05EjT+3ftWk/q9pANdBuGo
j6+1xq3J5jPGn1rJqCEvzVLry9DC/fJKt0qexxm4jJ7UaN6gwR7Z4ZAr410Psa/BG0oaVPN2Boph
NUK94sM1cDWySXnK3CmCyLYSECuTaUOHoR4SAm5YvjaISF9Gva1uSzWZ9Is0l+q+VKbOOBBc68y3
u6qLDVgTtAQZBUQ/IR+ushL8U6xIIpw6x7NRlA4Xk2sW4A1FYrVEII1mL0NSEDrgkw+8PegZ54mP
EDbwmDrTAvgYnJtsTJhm1uq0x28QldE9KKfMspkr08DPpS1Bt4J7I+52g7Rzfc+UIFraaa83L1Wq
jX/GkjsIRy4Q5yDt5vqr7Qolv4bom3xJiRaFb49rVQXGzI+ALpNEnk3u9YIPqfIF1SIwtr2M6ZsR
G+MfMD5WbbI2cwP6Vrlz1xgFDWGmGy7UA/jfgrqWjtl8RwcnzS+xWSXfIB10HQnXIHsoM4kCZ2RC
ypL5jYSBdRHRUmuvkdO2NwNE8953aHctF0xHlEl8B9Y6aU8wLJafJF4DfPjJNsL2uYsypCC7Bgsu
+1IByn/D5Xt8mSJ96g9g8k4VuFTFcCx6BXdI6mua25G9KK8ulmjYdjmWexv3mRvDBosdkuuq+toC
40OsUhP1pwI9ogyWJDPDHeQQF2oUpWkRGC0cIZDu9QAY/YxZoVY6Q+073CkWGbYN0wykz33qqtp5
WHp9VAErFx4ThXJ9gGk73ixDu9B+W4gMAcBI/xhBmu7Bh0RW09N0sucEewQ96KuqwfUHFiBJZlbM
9Ipbk5DTiIyi34EYIqCMdV0HL0WJMyAGhW0DfouNYyYXO7yo6S0nmBSR4PqVqgEZAsGV1h7bMYk3
E1Zqzp7OfcbdpGtAcwY0cjzjmoVyuWwGDdBKV6KvJI/jsItxUL3CTEbQYVFLRaE4btm+46TiqlCn
xRx62Ux4B0ek4XOJKzjFNIQTG27Xkoo3M9My9MMlNpq4rQ7ZFBT6YPyOl5IYqCRMovEUvaBH66Zw
gL2eYP3Y5HX+DWKiLndU9dPzEMVFfKmQeINtJFJ/sCMNh61JSHZkZ5WdADUU4mYkuXmr08H5il2w
C/mISUXhLncXJJ2LrnW3jZNoP+JKs80gTSf1cjGjSt41btU8jHNpqnA3HBjs1ZraF6GeNb6h9rDC
yMgVlNel1X4v45w6N8UWlCAPiTMM6IwbD4QDMCQ0ZlBy9TJXFMhvSn9PmFoGX08zOI4yxdForP/e
A0bnDl6lVt0NoRGcGB5R+IISI7+YcVadAggPwIPQfOrXGX1cG9QQ3uorZqao/0VT6egHVaHH59Mm
EFwlqsX0SIKL4uzEqFN+Yjze/S4irR1JqLPoGY/d4WGOm4EbRlrRW93N83+RDc1unzVu9tPlkm52
FgcLJKJOnRoLmtSGFzqTcvrseMBuI1Y4N6gYSPwovbNf9OjLt0rayegJrOGfQXHp0YxtN99U1ei+
4f0CmwfE2KxBAZYUyrKuOL/ztFh+JtRWPJXI4bT1hT0YfpqkZrfCeebgq4md/0jwdmVoj1iQ2xt0
6kA9k1XT0Q4uZNGyWgrIJ6rKx4+A7a7acdY6T7W10eQcGEoMyyiNmp0jXWjX3C2MU3IiY4l8ANn6
lqlj6hzYqqVem1HJsIFEjHl1IH/MvtcVUZkkDupRr0lCP4TH4hd00/QeXWsHzzDRCmUHIzy874hP
sU+aLyjTkqr/qsEV/ybBbp5MCxzB4Ha8Lqpcf0xz3Sgf6nTssdpxk2G+0Jxh+trGbYsN6tLo2ADJ
vAsPc6Wnj73UWzpP44xoZVYXuo3kLpimLpqTOTuqJMXaJUZFuTi1tdUEWsep2UVdMhEf3bEpL0tj
0nrkuKPhuPRWTeKDqXf8cYyc55dMFqn4eK1VOBqkYk5/OhXEiQMWGUN4M1DjQOhiSv3jBG/uj0Fp
wKcWq5lLGdFrD40YOtkMAwZ6Q6fmP8dmCp9CMv3fmEKtbdZ5Gg0CATngDimO/ooeBKZHgTzotU4m
LvKmE+6hzscMlBWFUHExwe98pFaRDDVOtRb6vIk4aBRLLfw2R4noZZqW5zBMaJIEYYhMhjzStu/p
TZNtmqgCvqQN9LsgYbykA3jQcz1BrtGftblOfk4OzF4/z22yXNR/Te3XqhPel6kBz4jMnyQX2DXO
9pVeWF+VQoPI02Mact8qolv82gn70UP+BptJ2mr1lNnJ/MPpLfHVAtBSdyJcVCWIXRdwgrlQUeJn
TUFqmit6+SCcznlkcmP1qiqtCWGpqiLNJx7SPmQyXHmNJE0p0TU3+ht+8hA+oeMWlw3Cq2En8H3v
fH6P+hSieb5alrGCI0ID9XebJdGrRjcNRm09FQlILFvM0/RCmWEKDivvEoIb5AAo8N/Dco6NAEbS
AgxvO/IAw56/qcOtq7j3QN9IjqHke72OT9ouajr7tktNZSJU58Kk95emL43Mkic3zNx7YEM6LmMY
Lsra4Joqz7EUpC1TYpDuz0S2N5IGSg0NlqXXVYgdPIRV4U8rplWxb906NYIZLoQLz6ubr4zFKvC6
UNcbJlXrPNkZQ0xbNofRoe9E4dh3a91pElT65bKt2qjxw36gt4d/k3bdDovxLcqIYh4GlwnThyhL
9k4jSWcwb27+GxH8XSd10WnB0Kjg5YmDqoA3zYb0za6Ocm9YZuUFASLfeJqxRHeSRTzpk41VSw3v
UqM1RorGBJ1KQ3iTle5Dl4WL6VGsxyQNoRAcCFVTvo2JvnwLk6EXEMLXPjNmcP2bkbZ67S8jfRh/
YQJFuPoKzgBu9Izui1lGCvRZympv1m1xg1ysuXXcCMKxLQoy+8iwOwZFuXKciPTA81o7A/UuUzaG
e4iiRnSRi9Z9UMoYFw3XBbH/og8jaAZweBuEhP0WiQV3/aWWGq7itR1zlLuyUahFO2D3HcVqmSJD
TKvqQZsFtAA4Yy0imlAF70Ij1+/qKZ5l0KiTMHxnQQLtT2rfvw36qIy7sW9EundjN+NMxa5FpgUB
dYE+F0VpIGgJJr+niMbMrl8UMfhFhQCexGzOoFy4tZZc4T/mFjfjkDj3ZpLldaAPS45Mq4Jjd4fk
B1C7R6fAy6j14rfIStHu53gJp2CeaFnto5jEOBC8xSZYCOLkFikoFS82l4qgK6SFj0ltk0vUjL5Q
IHoOJCEzZ/VPXk4MU0/QfTxW3YzDS80YgBsGInQvcGYNQMiqtW5qE9zZ15dZQi12ZIoXoxEKmLdE
Lk8BSLkVoYDyMtFJhYk3QssOcvRDv6tQzt+qXKR3Bqx0dSUM0jumG2tTiFbyPyccKP7o69IrpHtI
xpWaADadnas/yPjGzqdEKUlBh8a5E1KvxSE0nOVHpIzqDRLTQf2CmEz/PZpCX5szOfRMZglFlzSG
4wV8VC3vEBfoAg6/3sfA7Aw48CEBcaLsKVUfYoYeZH5lqHywQVXNp75tgJXr3gLezdTWvZyVqBsP
I9/768INPl0YdDMuU7onD50+0EPC46y/hhDBLVnBPrklO+C6yNW2GrylpYlxcJK6oYGloSb4Sk8y
JwWpBg2+VJk5D1ZRQYbluonu6hwmsTfwlr/DUB/u1kIPKo6aowdTlKq9RycZ/sokHWR/0CcqDGNy
cmgijFR5deOZwxzJeLbhZ+W0K4oUY90dbnjGr5xmG86wmoyfYqPsqHxVt37FZ8jKabKV+a9I1A0s
iDCjpYSaO5dw0kv5JCoYAARZ+BeGieexl7QMJA84xfMPd7aWgTxehwsy0qo1YeGQNsKTNvJHI0HL
4INCWT9Np7EfuINafV+FETg3W7fZqV3UkOI3Upf+Gp3nvZbS3NmlU0cb23QWiJGxU9ytHNQ5iKd6
uiFzKVvrIgLRnnexIZwaa7lauWkHbs2LrKr0S4eeiOY5GMxTwleTFHctYsDfTagud1bi5J03Qqzo
L7qF/ts92rMQb1PFrng3sWFWO6Z4dfb10lm5fKYuUJ4Vl8YoMJBU4edbKVluN0rxmpeLoZIDUh79
cqN0UDzKLziKoUA0dZA1rPHvNhNDXSAXtzQJEjqtMXi2EU14CEDJ/A126cC8DRfp0l6XaHm8qp+Z
Q/ux4nr1EvjX3IDhAVh/YtegYnJGF3Ij7s7FbLo1xB8AYUP7ofRV6PVZ3R/sbJzuFSXH7FUJIz5d
1wd51ovDx8tvBd/r8sxpRY7vYGMLCnastUbD2nTQVgoP6RXlUA6Vub9QYQnqqDvlHRiF6y2mEX1p
phxa8MeLb6eKMVyO1TVVBXXUrdU/5Xh15oRZJtBd6WUhV+6uESEHqWAk4C6jqkigNdFFi1Bmg58n
VFRoRHdZCduEJIaGd211L2d+0VZ7vv1FG0U/hOewbgo+R1QZxGEgzCCNXM0nVXquSYUJPGDhDWq0
Xd6NJv5eznwoSzoA2hhBDZ9pOcAncc+8qa0FwN+fxQDD1fVW6O+cxeqJCN0blMRlEdFuRTsXQezI
6UZmbWVVwcdvYesNsa62OnzYq7spnJiNTYocjZIR7zBBoAM7P43E1qHHIZciLZzM6SdDfrUzJjqn
tiGWe8Iy1z0ozI31BQTJtspacHjkgNq9Bc2ENFfAxe3U6RL2nHuQJdrtSrc+N/5hHW9owTS21h3I
+mKzA50KBSL8F+A+jPCQXNH+TeS3wuAuuKQTBLT98at9/6DH623212wpCFOkRHhYquNqqjrfzKz7
BT6GDle87oLaqetH18yj/ccrv9/ZrIz5jImpsc08qvWX/WOJ1M5mJRKDnc2EJPUqgtvKxSurT3q1
/H2fDAlk26DIoIlzvApLJ7pbc6L1UXRX5kp9cwpxBSg/frXhW5/ZN+/PBe7bhA/QYwBBvubxco7h
hm6hsFObjtusozXs03H8jrhGXHz8+t6fCQOfDZtJ5MA9+Puur/ef14eUq2mmhLshrLX6kgwGLRby
4cSH4IkquaGde2bk+skVdYyYUMAjTTA2Kwoq7LroOfMyVsZf4Uyjy+3StZPYxNk9bo3OGZ+RUzuE
0QkOQggH+6etu/jIRAgD5JZo3PTUK+4iWxlIux3K/8dWZAQRnvDCMPhqmydLIJOTUfAul9qu4Tp3
LpyjqT6zyqn3h125gDzFFBQ48cdfbLTh6WYxq3QwBCykhe5ykcZas5vosYLg0wv7eIuc2oyu6sIe
IC0jmm1OmFU1ZjQ76xYRg/swlhiD+FMU2cquz0lqzkSSrUnRetJc3VZ5iwauEdsxJZXb5+TAKI8b
ERVvCYAe/NAM6soir522XMcRK93w/PEjnghfXAyYkAliJYPftON3uoTOopuQRD08BVB0Cjs8tDP9
Vr1I93UeOnQhdONg6BAezzzuia+JCSxoM55MBBdjk6gMWlLFTs1Jb8PeedUQXqfcxWK4YFhZv4/Q
R+8+ftQTp2FNyBjNoguupG1oaUe3g2OXg2VBDw1MnC33vaKfm0h+4ivaGo5ulsClCOvnzWNhVxOl
5XrmQi0TE6z3rE0PetsKdS+6tZYQLZKoWPSpe+b5Tq7MRYCEjWGB+KUff8oQ3v/UMQ0MsGRQX1Bb
ZfR3sjC5m5mM8ZPQDtd1RMkZngmkJ04Jy6kkF3hdQ29bf9c/gbRB8W4jMOW9ZnK6akt12GEEqzy4
NFDOBLQTj4j7n878Ek7KOin8eKk6V7VlNAseEelfoDQwyyazQXebgB89SFjKL5lwz9kVn3hAd7WG
Z3yQSQNF3XxS9NJYMA+ckYRvF6gNbCSULeEhUhEpfHqPulA+XIZsMPUGD8zjB0zRnNNO4gFD/IAC
t4PGNNbmObu39ydhHbigMmPVxPDN2joCqoPDEI+aMTAK/gF32ZhB54vT4UwmdmKV1RqPfwieOOhv
omePXKUoTRcs2oYiKkVpQtaJrTO7/sQqjDPEWh4LRU3F/Oz4jU1qPExk73As4IwUdw3eOlVQNUoX
n9nmpxYiocTMXuWOYyccLwSgZEQl7VNvGTEmTQqt8eErnjEcfh8U/04UxS6L6fBkP5un0chXxqmk
x8njZlfEzmTeJS30Dzkh+t8hsJbz62e3HF68zGqEoc4YQTL24+dKYHXTPiBh1nVJxRY7ci/naQo+
XuXEg9kOYdFQudssyrzjVUbsW6Mmq6nE3RrEMI/ta2bJtHvH7mNfTtG52Tyn16MCYI4p6d3WFH/Q
1N62aevAQFBa4D+miQKuhhFCm1RNq4d+avRfHz/iiQ3CIzLFjEsGy/93lTf2+IhWeJFzXCYIdyvA
hapbPr/fseShL2bqa9R1Nx7fbmshcUdz4PW5Gt47E3qnNs3mM8Mr36cFdKJMbhKbqxJF/ObshlaM
29Tqnqkz2Q6iNqYsiGbGrzD23YM7Okhws2gCwWu74vDxazzx5ci2sAs0GVUoaKUc75QhUZO6Zl6J
V1lG9IICyHxBmWe0+7zCtcOzMhhF+4+XfH+tMJeCV7kCOVye2zs7HrXSHRmi7YV6uRxMSFk/cgVA
8lrRqM7vQwS8wqvqmHbuxwuf2DIOrp4OB9Dh/G2tZhl7Sf6K3aA3xJ1ym5pG4bVSjp9OY3k8F9tL
Db0Vjt+b+6uSE1J+B96XmzvlAVljiMebUtochTwvzDMb9NTW4WqmGbi+UThzx9+v15mIBU2VstSZ
kgPWXlDr8kTBlD600xvsCOcbk57dQSe3fvr867R5jQwbcdg+5rq1/slE7ITWdWSZkP/hMt0LLJ92
FZaKZ0rUUxvU1iiJSSFNKtVNyozlk9QxnIeYbGW218JX+KFPmHpCv60vkIm0Fx8/1fv0g7hMJY3P
LVUPofr4qRbcVCoUgqh7itiEGmlEQJIW6CxUL4yyzmzJk09Hpb9mIPzX2dT7uFNBDcWlAReXEB0B
04EBTdrKnfKLrDDV9nFB/XOuG3Zi0XVQCrUPb5R7fHM7LBpUZbmgtZmZ2gZOhYxrhgtf4W0TFUXw
6fcJNQG7UmpVrgZ9E2CKMUNpi7UOsqgOgZGfLFOdv6D/susJlfg8aucqu7+zUY57wuvYFKorh/dK
CrH5hFPhxpEFPOG5nL1ilwydejNOuIi5SVdehA7wkUjq9hDDjmQOoAJE5UWzDShY4JN3Zv+eCDou
5ifEdd0iwG9zzHiEncmEqAp+TRPtGKYLjS/CLf7jt3z6mf9ZZt3W/xzG1OryQQ2ZgBMuy2R5Tb8a
bDEu0jD9Qne7O3azcqmOYGxOjmutzIGjMS93mMyTqmfGx53aX3zx/w1XIDxsjmyFoVxoGzxyBH/c
N2Cs/tGbOoMWpkZXQ0ud9vHDn3rFNMC5ULg+18Fux89uWAvzKbBm9GxTr/FeQ0Vkz8V45qlOBAbS
NuAQDPJ1vuX61P+8YdjBRj71FAvY6NWvYRqBJdZa9Mbw7XP5wMkHovBaXcrh96qbF4hDMiQBQdbR
MEg8CBtYgYA18Zms4+QqCEsIPPQ/COLHD4S2KZQao1MZFRwlzh6rIqMPKLdQQX/8fU69OUb4cL/S
fKcBscnlGzJ8B2ErCymduldgpwd2NdgPEtXw1//PUpg/u2t2zRzw42cq2qntXIWPJKdO3jlhF4Ny
OlB5YRSN6bf/x2JMvKINR54ttqU4ljYxDtFkvQMgzL7vO4ZfwhIPhi4v9h8vdepbkadxC2LJzDW/
eS54TIbVFrRvmBZRPGBn4dxazuCciVXr/2UbODFKttcWETfE1o+5zAdrThb2XdnCnfR6+KKXBMfx
OaZLtZc9ip+PH+vUzqDhB00RxhI41ub60zuE44UFfIanVumnCxK5JmVQGMl9fOZjvX82WiYGm4KL
j3bG9tlGQ7h5C696VVQ3hzisHyqnuYIuZ12oTTKcebATqzl4LzNCgbkvK+XseB+Ova4wcRyI3RwV
6yoqXOWJ8U7Id0S/3GPTF55JOt/vD7rrguE55BEaatfNWU5UC9K+UiFsB2d/lWKZ6btp4+PHn+vk
Kkw65BjTzwD3PH4qRRmsacGhCVYbLqzGEDW30DjPzVU68e7WXAiwhQqBxvP65/8EWlr2KKQcuPXl
MA/3QoQrbQLl75VRjNZ3rQ7z/z79WGxBOk0ajvWgPJvH0q28SaKYugCXMTL2QvudlPYn51TTXaAo
MAhLBHQuj21eqSkYTpTLQI1X6TjptvjH0GE2Sh86BiI1lW925jS//1rEdZMRnBSWpJhbULAeJCqc
wYXTl9f9tb2k4Y3aj/r46eiOrEK1mVNjE901ZxPdnQLODySQDHeMrtoVWfFnWelmjZWeG4X17oEs
XVCG2yp1ssYE882hwu23UXoVMaKo5+S1qBS5y7r40z16VqE+JZ1YBybwQMfbDzIojG8by+EmG/Xa
y0oHO5xxHjP9Zugl1L20dSHSoZXn8ON2WZ/Fyk495xo2KMuJIKCOx78gp9xZRb8wmJocvkzS6PG1
kZjFZ+9/rpN1zhYXMzczofF4GRWL+N5Ye3lIw5zA1cc/JUTji4/P1pprH10ptD3XkSErHu6u/x4v
0iRl23St9aNHJywr5cFKLgrV3ldC85h6Q4KD8IuZDWf25LsWw7oqgiN6u8ZqGrT5hvAJceydrB9T
f+XGznUx7LQq9HMrDZbl5eMH3C5FA1kFgWBQDm1XVNCb4JHgLbFAD0UZbE3RLY4nod+PxfBFwXN9
5xQhhDJu0+DjRbc75O+i4Pzgmhopxra/l+I8ZI7VFHt4eGQPaATy3eLMzplVtrfz/1ZxyHl1fR2u
tzlvANERlsA8WozUaYRYoqz9WJyUfLTl50gTJxZbB4agRQP1ZkzGJuo3VcWoMnNlJMYha43SeeRC
48acuvCTG5/nOlpqs/FNKwztpWYp9IkjQoYiPGCw8tmUbV2F9g/zMWiuEUk2cbHvRQz7HodGgox5
GEGOAdwWe//ZnQBCixKCOEXLiSbJ8flCdbCkpoVAMUykpIptY1wW889GXuCfo1U2p5iCBF+AieIR
U9DQwzvrVc3E68dP8n4D0I7AntXB2oWmkr35KlOudFq0YKfG4CLrt5jwdMgR6a7eEva5cUl/t+6/
YYkEg8VoEQCZADJtp9SN+CQY8wCUBZKOkww5o4Jg226vG6WobyHgVvvO6vsLDGA1f0pS7RKn3PxM
bHx3iqmRmXsiYHA5q45z88RFjct6EdsvboIKoMZq0Z+s7Fw2dXIRWB68U2AbS90ugvULVsLRazbX
hbvTa928KplX5x4+9fVWVoxBIQSOwkLMQNnEij7PJze2ptFjIF4Me1k63/BOQUZqpPGZGm/zRP9b
iiyXca3g2Iw0PN7yemgnWUly61kFAvCWBwz6XBGfCxJ/VwH/+fswjMHcshGWqsJKqoxR28SM4mhQ
RV/r6nIOtdtS+P63DBDDOoCPctXcvDe8cwZANAUq/WA2F+lUz9c4yfW3Zh+Zh5iCGXXXZCLGRMM1
ZgxSQSzdR5cm3i0+n/TcQd8cwr8/xwIPWI8gCfG7fqRTatjoYRdRzVPutUaWf5mwNNgn6NvODOX+
yw375wz+XQuqnMbGAcAnNz7+joZRYP888x3jtHnqEfhgn6UfljC7wLb4wqyaH30y/ugFI3SM8Gtp
9i8TMPRM1ld32SXe9Of6FGus3PwgLnKHC93VoNJtGUPILFDmOtjkq6Jx9T8FHrDZVdkCdd7jn1lm
+yxZCu0RX7jk15LgSH2GsXTi5a+jbFXoSpAmMOA7fiFhs2g9FqCDBz0MH1+rqgI4xDKo4zQPPj6u
J87Q0VLrT/mnxqrFrMXzuu3izlIuMzbENclo//mTyiouZxQ223oXHq/SIG0Ny5wz1C9RvNfcSdlL
Db+p/8ezUFYJcECQCGuzj1wmLeTYr7GPqjT9gTK6vVUGxXr8eJVTmwO6B0eC/ggA7ibqwLqI5FCg
rM4SkR4Y2xrbqEJEtIuMqLtWJc4OWi/llT6kw7fPL80dBbMMwsf7g4K8uhRjgbxQpzl3MwlzfGM2
gnKJ3Nu8L3CWwz7Nsu6J/ef4ge+3CeR56i0oSyTThITjD6iM4DtKk+Lh4Rj1TZqV1UXstucgl/ev
1gEG5NOpjkqBt+3Xx2o9WKosZg9p3qNqmW+D4TyFi3U14OKCb2t3YRvN57gtBB86khqOAbRZNWi6
m2sRDdJI2V3OqE8xLHhxJebgF1LoieVjMytjfBvbCBAGm870+ePPue6U4zDjCO4tSA3AL/BqNkvD
oEFQlrG0Y0HK1qcw3VUyrnfMO0Lw0DXnOg8nXi/rGUAh8JIhsG527iyW0Ig0PHEwQs78qaysC7fo
lWCSmbxA8PmE4Z+8wJP43BzA9/FsxQXhKkEvZfdsO+YxMwcRSOOziLGR4mdqpQSZ0bp7ic/WmXh2
cinqdsSgeBpyax9vVOyERrtQ8Mopc/B5P8bjILtL5IBPWrcafnz8Bd8dC0bvQaqwDHbtitlvLm1l
QkLtmAgxzAkLD6XB5kpmzE/7eJV3+2QlrLMEARSyIsXl8TO5IbyzBSsq/PIKp93NY5yWQW7F5m8k
Yg6WaDI9N2743WvcLLl5jXqODtBhsIGP4lMGwsj+pLbogqLOhzMP9+4V/mXjQ3UgwQK/tjZXQ7zM
sYozEpaic91fYllS+EiEyjPb4v0qtDZA48E6uVWxcD9+hZiLDqldI1Z2s9bc1fGwYNxkLWdy3/X/
8u+BJn3hYHG02OSagyHp8SoItASjn2C89GGoPk7uwOykqL+cdXvwmEM0PQ7VOYTo3ZK8MWqXlb29
kre3ZV8ubH3SW/QUSduIYMLG3PTdqlPuBQZLd67TrbZ1c7f7eEeun//oQanNyNRW+iGLwrk8ftB8
GvtBzZgH1e0Tr/fHXXXQb7QgPrPMFswkZhyvs7l2SBh7q85ZRwY/nsuAERze76v7t48f5m9J8tHT
6MdPM1ltjACQVbQDxAKPkR47cYvbS8AYFN/cgb55XxrvChd9b/7+8drb+vPdE64b95/8iwo6N5p1
spbyf+yd127dyLauX6XR9/RmDge718XkDJqKlKxk3xCSLTPnzKc/H9XdtkR7itsC9sUBDhbQC5Zs
FllhVNUI/3ek2p1NLvzqi3FmHP/u1jrvyWnBv2inj1NkIVLaUS/dXUF1/S15zcfuwoDNd5h5K7Md
hqr8MBamrxm3IEJs9APt1M4X1vJPV6V5K9OaePEtSlBKajiN11mxeYzs6ydt93D7cQmg+cz4fWta
zMwu+czxIAU0U2xIP7WRIVjdorl5MdrGDTKe+4WZMM3lt5qbmVwLcCXmg+Y6+xHt19WXdHX8zf54
u9DMLwzGy6U7v58nVVoZKIJOX4UQlo2/yAYdZJtrff2w+1Stb5AMWhqwBXMxr4OqTSW3/KnNds3d
jgUWbO7G1Zebc3/lVOsHrgUrNDcXNpal8Zvn2CtodcjxNH6D/ThuxR1grE219c+DvbuKd81qoWOn
vf6N8ZNnViRSKaWkynD6SN9O+J+6QvjTRqNtoTunpfpWQzOToQoQiXyClyspReG7damIyMrmuI2M
pW9amiszo2EaYWWm00IztfvGPQqQTM5lmGdphCLJUsz52dX21nfNjEdoCrKG7tjfHRhfgGtYG1tQ
cPZNsA7W36i9xxCLq29LX/l8/Hyr4Zk96bwEpEBBw8pH+bi6zc6LY+XRdfA4or6dPwzX6XFwoTja
9cKMWeremYHx6j7Qs2nGKMwZBBiYn+0RpzzbXRl2vkk33tq0TXspdfsnf8vMfsozSzPIaRRX08Ig
BrkNjqT1dWKPqyd3ldO92VZeLe7jvzIAxARJ5p+K5qizeW2xq8hMUnGasrCINxLrQ1lbnBxU2zpJ
bEh+l5WDsPWu3Kmn1n6hl39lV1+2PetlZGWGmBgJZ5V1t9Fv462/7bbDOtpWe/loyW32qyElpEDc
grw64uKzC0GIXnU4lHm1KhGBFyWKcFGpUoenJi3X4Xj59qfNDQHHflyf+DsUhWR/8hZe96peB7Lr
x+poC0qtbJFJQlxZKgNQa8O4YHMmm/JyidAUGZ7E+ilFMg3ksV43FZuy3sstAC2XYvWTzEpT8oKV
eMGGzntvakUliMVtYCqanbtWVGDVYCFRPaopzr1Ae9I4Ltu4ssVBTi7CPEluqGiSnN/uRZw4XKs4
tBMH1af58+I0kaGXUFY5yEa4k/kGeVZsqlonl6jWx0tzcX6T4wO5w+G7ISFfowprtg6A8pSjZQiD
baRtatlIYFQ3aMAhpVRqmRJdx1Jbo/uaGMjX4tyuhBUSiYkTh4N7q9VpnaEj0Lbtvkh0+ZKEkgLU
UBnk5ioXwSe93S8/Hb4JuxIe0yW8TaSGEb563TEqLI20NgxYllLbgh4RYm/AGiJd66/7CtwratBa
24dbQKftQ0nw8YtXWZ65lggQjtswV/SlQvf5+XJ6JYX5QYQLxVdwRq9fSUCrKQAW39uQFiL0hhV5
BZMi+YTvH02CLm/N4yGX2XaDtl842v682BQGjQw1XMI46ZXZ7oSgq9ANVInYZW1+LsjfuKnRILpA
eHMpUfQXLU0VNTqReLwKpPO8/kivmsh3ljyiqhfqZFNQ87TOhhDRUEJVT28P8s/rGi8mbi/UA6jZ
EOdRec8Q+yRD0co2UMTZ1GUP56nwFiIoP11yGDaKKxWyMokhswVMX/xiiXnEJ5RwbFrbFXx31QMW
XYWJp6yYUMlx0IzZxojdeCOLoXpGQD9+0pJBWrBgPy893oHUm6lqiUyzubNtGNvOywpWl4mks77x
Mlf4qEYiaYFWjSTOHhVjFF1+u3cnO0ahD9k+Es7619+daH6iZLFLvX2VIYQzqNE2SQzl6PdbIb95
iheQdkDB7OtWvK4lPDWELWovYD0RREJsGKb2b/efKip8iIRjjXDl8xi/GMNoUCKjJjfEDro8PYvV
SloHAiI0HSKi66Tp3e3vftWUtkFSJUEQZo46mzPyIFYxSFpk4sfAOw4zYdy7oFkWLgk/GxRT1ijd
5KOIuv2Ud0jxL1G9waxsMLHpWhSRwYnRaj8STU0gaUPrEIjtq3bvCtU/WVn/9aX/P95T5vy9e1b/
+W/+/CVD82nKHJv98T9nwZeSsf9W//f0z77/tdf/6D8X7VNZN+XTH2cPefXHtkm/PtRBls7/zatH
0NI/b7J+qB9e/WGT1kE9XDZP5XD1VDVx/dwc7zz9zf/pL/94en7K9ZA//fXnl6xJ6+lpHq/15z+/
2n/9609p2k3/6+Xz//nl+UPCvzt7aCCAPqQBHpu/n/f9Hz09VPVffwrqBzInEfqcVhF5lGxFf/7R
PT3/SjI+YBxJpLcA+GicTNhM06ys/b/+lI0P7BL4qdknqOlE5+PPP1hh068k9QOHUH5MuFHm99wK
/329V0P2Ywj/SJvEyQLoZX/9+dp8YtYo3qZgFN/llNRPPt/rpSfrtZW1TfA5MDtUsg0AuU3fiwtz
9PV+8E8jk4LIpGEwiTO8bkTFZFDy6n3uzMg/AhRurapAEI7FvFvKhvjl55CbpSsyrljSi1+35Gmj
FVuD9Umi7Jzkus5qr+ohRb/7xSD/04tv9xrrWdFMVScPgZGbNdN0WhtUmXbfiSAvN/CCmutei6nu
fLuZ6Uz648w69RvNcLSbwgCkbMyjDnJgBiYAx/vRT5C+01zlzjNDFz7ZRDrzEezMDMhbhPLiPXX2
S7f015bl79bBD03xrGkiijP7FTELm1IV76nod9fKhPdaCeKgrJECdKmmS+R1jv7j+SAExUIB8Ozg
9m/TTJTplETO3eyUmQWZIJfSeE9RQh3e9InaubZIuUW15Q4BgktE6QCpTHilD7WSqlCQexCI20yT
a2OTmXm3FE//eQZPYXRM7BRgw5zPXohccgKzuXyPsVU3euFdFzmSXlGUSAsb7s8NsccjQyNyeCKA
Ps8I6QDtDoav3At1VGxdkv82bTR4NmrQ3sJRnq1vPr107NG0I5LWSC23MTuLplB9mcD++Tgo3oSw
ClCmc92ehWNmefIR9lUkrVAYsVT0g1v32LC8gfRePUF/tEJRDGEonVqOFUgdv1+nmRs+IkgJw6Ap
deUh6WpqMT2pLlN7TAu0aHWUALNNqxQtAm4DWqEruQxMwJ6iF+snSgHOEQ4Y+oHgTRIfzQG3kr6Q
IK72m7AdkbVQXar1V4oUefVKUD3cG2mhGMJOwMdfnbgIRZ6Z2ticBiMKp9tEQyh12xVN/mAmFE2f
VYLlppemJfh3ih6Nhh0rvZgdycg6FRDSw9ZaRZLSXuQFWWhbtezg5I26hQQo+AP1I5BZ8DpEMrhk
5aj41+DI4F/aBHyyr9yUYP3EYhiz1aKefz20HZQHPUe8EB5hIhhHeeBV+9zNfdEekeXt7aLUcn2l
jVlw5HmIJ666BqjrBibQ0F4bIgDxkzHV0aBPoqD97COb+LUUU81cuWUgo9DHSUd3H6TSFL3HRtdd
Kuw0oT5vG50DW9+XJvqGEooKdCyKvMgPHxe1rPjiR9WkUE8ENC0pwmXW6BUyrpLbgyaHtmKUxRg5
LuqGZRfaiRDHFig1xa1rSdgMeV62+UrNu7QSzqmWFMryU45+QqhcgjzKzeRIRGehugpZog1MC7zp
rv6xy4jo9DtwYXCGa6WJ6uCEi35UoG2hhujroV4FZlmDIoS4c6aCQRmMsTavE8TxOJVAGoGYK249
tL8iD7iaBrhvLQANQLZ2DdDCKO4AoyuNitqh0eTeKi4yT3X3AEkhghGN17T6OoZjHvUrRUzKbyiZ
kmkIYFkvLKhUNVqDpy3qG83gaDK6ebhalVwpwx3ixVo3lVCKQpreVH4ZZgXMOk59GpW9SOKtVYWm
kGQOvLzYWwWZNjb1M2Jy7ltiJJ60rauLO+53KHwOWYfYpFKaZ2SYeTkAlsS8U0pAGChl6/ETMQHZ
+5ajAq+eV0M8khVbuLlxIXtg6WsTTfxdPyGQbsGZyYUtmalIxAewMJUYmdZesk9o3kWPUCfAOAoN
PvUZOkE75ERNDbSTOkp0howU6p0vS3mz80fdVE5rHUF2SOxWiXSoBtkc3XvwXCcSIJN7Hf01nEDU
WAYbadQpe6wleGI7oeuN/NHzo77eojDbj2v0yyX+qgp7BgBj6zXefeeSE7atKV4UboaubpVrpD5d
9wKouhRvzUERtftwiDTlmrpf0f9qJXWhf6mCQmlRyOUKJYG9aBI5Q/VYstA3p3RNsM5QX9UjHTR3
aNVnLcTmWLFbse5cc1VUZRveRBA448aGm2F014OSpRqCj5k3NtgaHFGnMJlGxnLiUqdSqDuDmUOm
Qh62MVdp18aXlUa5OKWVIlan1WQC/5LQqhMBvILmRjBWPu2Q2kaBQCrjS0n3e6cpQy4vfVl5yH7H
edCzUbrQYkItkL41BR26RZDRN+20IlvTVnJDH9ZkOoDJS+CZQFiV1coepCYKdnlQsdsGSZ9EO7nX
3UtPifvbipQ6kawHjeUSCJkr0kU621BFzRsaBWrbXrueod1w0yD8rMKh9dZWNpaAnUM90Ley4GqT
ODyFcraLdNSZlxnBp2pA+BozH/aOpPqaQvBViFAHrlyBq1LqteLKBA920YFtAk8zBNpt2sneZ3CQ
ZY5yquCioAvFt4nFllNQN6nz+3L45KtjJ9l+FVSfdUEUz3I0ruGo1EEEOrpBjHzTiebwKWP4yjV1
+0Zu+0oFJsyQMusz8h9BtE7VMj0ZBw8it5d21V3VVf6nwdSSRx+WIULCZVo81pRP9LYedNkesYss
2Pk6ArlpL43JPhLQSN+akLfbifwYPGpGol22xRDfSEKjPIQJQv12aw6wydu6CD5KOLQ++72k3jTA
Qr9goUJyWprAMtdsc1Jgh8YED8JPo287pK8bSsZ94xvq0CbUHprhllx0+DtysYRoEUBzF9CgbsQr
VB3TnkbKSdNELzTRBnGOOJLZuQA4+WgX5+doRfUOeiERkdyoSV5Eenpk+TVUb6MwiKgqmVNRdy6O
VXcycjgdnIFM5G9NENWnlYDQwuQp7sAfB4iIwuSS4zOWjnsO1Usu1jhsXLwy1tiHGNoCTrJplj7V
teySxNBCs/8CTcNAkbxF4Qx6RuR9QWo9BbVk+ZTbGADDkxWJXXVol8jInccgDNuViGTwY9lpePt8
qWVcuGolD7pZFsSfdY4ZW5iQGoS4wkirzSjCBFrDIencHX+7jG3frNpoEyVZc+oDZdDtJEDTfQvT
O7pnyaTSrnNT2UdjukrghSO3CORCzrUrpQr68e9r+//GrTZ/Sj/W5dNTzbX2/4G77OQxOnyV3TUP
yctL7PS3/77DUu7+gRwXC6elRlYpSS7/XmGn3+BeRSlOxqs5iXb+c3+VlA/c86hXMVWOsdS/8bB/
76/KB/zwOjdifodHiTKT37m/TkHJH3ekZ3U6IjLPLydJKk+e3fie89EJgF10Wl5fmwmZ7i7aA49S
W8LL8iA93wW64VtHyPPE+46ZvjGyXvE2Voik/6qrh/IokM+CwYeHTDaud5VYlnCliENwESaokg+9
EFxLWuV+9rJOIb+tW+VNEZ1D7RvaLYIqtoaAw40n9M1JTbbmlSAXyjro3f5GYocagbEp0alfGsUX
V+y3ZtTWl0H/jI0s1dbYyODTfbvTRvM4kXHVbMl9wb4DSD7F1c8h+XlQ///0/pNE47fm9/nkWfnj
JCufHl5O8+d/9c88V8QPuA4olCPuhZjLVK75t6uG7PwPeNhMir9AABC04jf/zHRV+UBSKalZOGKo
XSFG9X2mK8YH3WB5TBWZZKzy39+a6a8muoAnYCrCxdX3eoIjNR7kndd7V5aRhEcFssQ73xzFhYTt
146TH0+fLR8uELgM3UK4BA/0KakrdLfRvH7Rz4vekh/PnjmPK6kh1Rl8yhVSwhdWkrOFkkn6zofP
XDBKnddFIrcweePwc85C2ade1m7e9+azm7HSVhPdlzevOlNe4RE4EfBe/9ZV/3u3zIOelsY9icic
d6WCoto0nZA9xKk40YsSeeGOf2BU5zl1MKtzgfoj70oamv4EesQWlXZ3oerh0MNnvhCQJVEPPdO9
HGPdW7uqetvXImvu+9bziynz2g3yo29YZy/jLJXbhuMQBNal0WYi6qORaGtS4NumvyS3+Nr58aOF
qeUXUYA663su1ap56Rn5eBZ3eX5UarCFei2oL3oopdTBNo+CaES7tz/pUHdNP3/RYIx7GJ30xLwM
m+YcLp6FtDYU1fc9fLZ8UeJJ05TyokvR0z8LcRvbSI/evf3sWVrLj66arV/EJvLGqJr2siqkjVwE
mw5uhunu5frWHG8yNOFRZAuji6gIN0KqczI9ipsvrrs36i3/zSw2PHfhQ58d0j/2+x8vM1vvHGIr
ABxVewlZlThptx29EyG56sIz3YvWmgJABebXhAaQ9615D0JslbJk46I4dsXTxEJ85O//K6DS8HeA
PKz81thCItkAw1bcpVqOWVLOjzedGQ/RLN2k99v2UhH8vaI8DmZh6/SI0p+U6Vbq0DNIoinVGgDE
VmhyG4/Syoh7W0ytY84F9tvDxy7z8oT0/T3mtQixlYRCKQ/JpUg9Qg0mtqPnzKTeSTo9BJYAIJZ5
7+aXrreVsn5F/2SEUcEChCXkEtB0fV0f8ZejaOvKyqoRF8bSOLDK5wKP+HaioBHy4BLt35BLnLHv
evHeLMgfmrCkdUyuYpmRxZPnH0HDIUaP8vClq4W3cLxOK7H4FuTWaZAn9+gcXsE2O2us4L6vvBuh
ImjUJOtB6o+7SrZLfzgxJeHMaEoPzFC1r13lBsLIY5SIa0i5Pvf//nPRJhufIKDl+ycNuQ2B6x6V
Znjsj+O5XvcfORcci6K7axqDYmjP9gXxeOqxQKKIyx/Oq7bZjap0GQrV5yAtztJcEleKXBxZLfoc
QXwZ6PAYCsHcUueyHuL4FhjJNu6jTalB6Ku7YivH/TF648eGnO2qtjgx4/ZckdKrOM63XouiyNC4
zlDoC7vnASs4L6WkBscDFBIVjtyywfk9HhsdfPKuieXkTKxS9cIflYpIw1I5+wErOFfCqPqRrX8I
+YYy38pBuUXR+n2b9TxOEXZyoFocnR21Y0IAhFiBxfr09iI69Noz461mSQRSSSmcoqBq0YeEaZrB
1dvPPrQKZra7FaokzA2tcCgmqsjx7DX/MozL8CIsdETb3m7k0AdMxuHF7qOkymBAxq2cobMuGzU+
DsXIed+jZxbZKCsUcwujcOBo4UKIsyukidX12w8/1DkzIypovYkqhVc5rWV2toCbaSVVkbiLalF+
17xR55kjPSwOPP1S6dTC4IyC0OPYSJfyfX7d70RxX/d7Q5QnJdusdDqD/cbSoEp2ZeS/60xBiPD1
03uzJ69VjSsn7uNPxkgak+49vd3xh158dgJDcA7NM78pHQJtJMsNo0OOQ76wJx16+DTaL2ajYQox
SSqYndgFz2Tx5naaGO9aq5SJvX54qEBlV626cKLe+jLGAQ6tQFw4Cx168dlajeVyCNUsqJ2kMndp
2eXrSip+T2bh342aiP7rF4cBVxWEqmpHttxtXpE3ReRrWL9vPGer1NUIJkSKiZWBvHnUUkO4Dl18
bm8/HQ/QCy/Mj1efLdOkTSKtw1ntWI0KwW/Mtm0cfSwiggfx+K0DDgxquXVQZfUWYsQHRmIullvp
+jCK0dRZefSN+QT+112Ssjz07NmitTID3ypli45cokDhk7CxylT16O2uOnAe+0mkpiac7wW5kDtt
baQPaaIJn0YD1F3cuuZmLHpxGzHN7Dgt5HPTsEroa4Ob2ZEmXXFkKC7SFrLyaAzNTT/qynmM52uV
5pEB41PSUPUdutNyaL5GeqWu9FbS3zeBzJlBqElo7XtBrJ3cNJ+8XqTmoq0Xnv3rY8hP0A63SdwS
/z+DaUTCUaKVFJ4pxq2oogTfxeVpk/jNBqBT9a578U+4ibGm9jiF/ev0kKClUowACfn+u7ZafDWv
l7Ehq25aNgJb7YAWKVIf9aoysc1vT59fb4g/ZeIRqS3GuBlqRzP9AO+5lpyoXZ2sq0Zayic+NP1n
pqIJtQo2VFQ6qIlyY+h1dWPo6e9peX03FfNKU7dQcvifZuUQ15BXnlZ91Qdv6bIzyxz5/nRjMlAv
dhYT+dUkCMrCsSRL3Yt1Jp3UXfCFDCpO4kU+Aitrhb1p+tHZUMmWXRFL2SAmbi0YwgN9N9fYyIwY
K6uXpTMS/M7y8qRJrW9vj/yhR882e5KY1bJM6trJDPVLLqpfxar9+vajn1PEf75Vk0D7uts6SPGN
awalQ21ns0eMTF+FCnndei1MSrKl167zsFfXUWjc6T50zq6gJCDCWB0LNeFUHSzGzkLoYmN0VvPR
SFLhLAlMd9tZScbtZhDgj7uJnSckfWVuVO5GWY83aQ7HKfa166J1k7WEU34tJKa8gbpXINHkQ6xE
ct1upTo5quOqWlt9B0g8iEdbFYvi0hy0fO/HQ7xC2iY4FyyQBIruVutEHs37yBIybn6uT9gpkj+i
/wEhMULaVCq0fA29atgMpvgFne7QFjsjXA8RSu9EK5MVcAxx1+nWvdEm/aaTyfMdp4QHEJyPfSAA
ZSU0tbCiD43rbO+sOiEehj4rHOjJ0XoYoG4IdbJg6Q5szHMlCd0H7ddGbe70XpDYQ2Ah+iymT4Zu
4HOgJMqDJUjAUZpkCcbM9xYOpges1PON/8UybEtfrTxRzx1Mub+vJhVfwUqKfS+3Cy0c6rXp5y9a
kJHniUiqzB23dE+FRDJXSDIvZWFN0/5Xy2FmwiO5y9xWVHMHV3xj+1bZ2S3VDngOhGEvDUK0MDqH
PmJ24iOumuRU41dOlRcXTel+FtPs+u0lfWgEZka8D6LEHIqucDpStz+ZpZJcpSL56ZUeLSVUH3j7
OQVkGIHvQBfOHdEXT4HFfg0jc+GcfeDtp7TXl6OLhp4cdh5npDIO5JOaPAuSLXTxTONyvLDsDjUx
M3mNIkeGONS6IweidZoTND9SjDK388Hs3+UhR4bz9Vc0QmMM5SCjY5JL+qpXh5vQWtJwPtT5089f
zP/R0IugzXk2ZAoI0GF5llfv8+yr+nz6D13j6US/nDC2SzSb3nkZnhcoGZEpkKUQ6U7c1vvE6h48
xXqXE4Jan9fdASxML8pK1B0jsCCGu14EU75aQk4d6uyZiS6pAgKuZmlO4UsiuTS9SoLO74lXfz+y
zIU+0PJoSYlJdEdDHHBNVsM5ZLdsYZZPC+YXlmwuGznxA+WmynWnENv8vHMJpHhWGaCNIpU22b7d
CsiwsH6XzZkXhVHVUcKGUzSoIkVvW2EWQCIvhXO97X8PGPejs2arVkBmZiog1JxuQtjqxa0gW09v
v/2BQf6ptifoBjknmwUfnxAhrl1J216TioW+OfT06ecv1qup134Utg0vPiCHRcbex9aX3reNzHMf
IhIMC2R+Sijx2QokCvKWuXr/dq/I0xz/1Qya7VHwOU0f6Kfu9OEpVXQ70YzsuN/KKZR3d13lZ32A
qIC065MnWXmMlTtRHU8UfW9U4Wr6U3EcjNF2dBe0659jl796n9lKVykYH6IwMRwTUU0dhUGzj9dS
gSawJe9F95RAhdpcGEW4j9rzNAWy5GIfC3UHTjAspiBGof8ehuXHbJzZhS4Ms1HX48zhcLDNYg0i
ehkuVXUfmDFzMblUrYOcq2TmuKZ2ZmTFcScLS5b4QBiN/JvX09F3I71Dcj1xzKbuvmh+2OyT3HvA
OR9s81HBB1pow74P8kffba9VKb/NU9G8InNWsXMNLHfikbAIwyeAsUzcKmulYK3kcnfRSqp3mVX8
vao2jaMsyz8FlUgmby9/JthwphTFUrXtoR6anRJ6gv8aXMrUEUT/myz7xcoyySl/e+IfOAPOM/DH
JNML0jITB9TuWTbUZERwsUNQO3mQve59K3deG9YRQQrarosdw+sfUEF81Lvbt1//UN/M7M1oVJlS
CG3iuL21SazQAd681O/PNOZfrEF1dkAIan8s/LGPnYaY5d7vR+ljrmThmSyM1O3Fgbe3EjhENhKr
5bomJeo8VeoYXrxS2lWXx1t0H4O12YX6ox9k7SnEH5K6A1yHNTdBciGka03u5a1bd09wtupiTTKj
vk40bi1J8L6IvDrXOfbi0QU72NL5NfUNsr/jRrF+X+/PjBSFB6kCMSxyWEU73UipeY4XDPKhgZ3Z
HMo4uLnGdeREZvpk5da9pC+Y1gNPnlOsxK5HdKrJQscDW7pRK70Erl7t3tUjc2iOZpSgdMYucBK0
pDeSR0ro0BRLi3XKsvrVLjUvzFFSQctHqefxxhaNfZtTDc6xy7TZE3IHO7Ri892I2YMybe3BE+oA
cKwsbvb7KWwSSePaj7V1jbCjot+aqr/Vkh7UnA/l2rcz6SPr1B7968jFN5DfkdjAGXlF1fZHty02
Fd5JWqrN+46favX272Yl7/fEC7/vM/OS7U4U5FBS49jpR/ExyjCtIuUk7xuY2SWFaLQUKlEWOWWb
ESvvt1kgv3PMZzaIuixPB8VMFUnhnWZydZE377ObP1E2vC70ozGZ7CYuH1OgDLqPb97XIbMDT4yB
AdquJ46mU8LjFO/cz6csxZcnwCyJ0bzU+8hR2lheW6SV7fOm/D317B9TZGYWIjdKUUBseHpWnHlu
Q+XYePeuDplLZqRZAQKhVBNHHCPN9tC13Qlx9HvCdt9ffA4n8LXM1PtWjpzRKrM10Pdz1ZWt99nh
uR51nsk62hJN6Ayxd0d5RmVXPdo/7+uX2V3EHTtT6cY+dcBERluvXFFkl23f9+zZqgRBT/4bp1pH
Cq1q03YmJy7LlY/e9/TZwhzxOnm6FCSOWqh3SZg+pjlX/befLT37f35xOpjrR7leHkWNngaOKAs7
DPEpy17Tb7G1WmHuxbikomVf9fvJRvdjvfHrOx1frDzI9uCN60Hlip0Il147bpRG2ZVJQm3+V0RF
eEKMY1iJtVOZp+g1ZWJ6c4Tvd6Umw16RTgMvWUcKkzS7y7h9UnG/UqiQq+uSWkIHA56n2lHW7Ftx
O5nqyiCJWwx3/GRkWlAGuWf/KBR/n0JayDIDjYwzfilHKgcEBc3q4dF0v4omKd3SSlUvuOyeshko
o/m17PeG7q+x/gKDZWa6XYT+tC1kFJhJvrqj9cKoP2peser5kCC/CilM4XsE/8kdcsb3S9VQ1kA7
PFLCF0ydzqoNz/hraNpSfbLXAI2ZCS7c5O9urKYSWGVXq5xf+n1eVXbSnvNtofvUtPmWDmE3a8X8
2I1RFA/EdWIgKVIWx0CrLNfjj9tpjxsMaZW0CFVJzQkegzvXItMyv5O1fdR5pw3XGikJNp6s3/EO
Hv4VL06OZOm+rOSVnmqfAjU5cVM0e4vU1inoGT2JYtAzWT81CCD5nrfS8aA2VWx7orTpR7ROyuZo
6kKJGnMuZY24pVZ0zZvX9acQFKLYDSepWK1jn/TBfB3l++kb5ebejPQznACUmojr4p1OhedI7Yu7
ud8R7kXrOXSq0KO0ydU+e9US9HG6i/xqMcysvudXLUqaXCOMurs2arkjAtXUGyVjKKlLq5FCbbWF
pXfgAPd8hX/xHWZW6mVLTogD5ve01bIb1dMXRIYPPHqerFxERR6lTRU5euOrezNzDQr8jO59Lz7P
U86b3tK96apLxOY+6fqzqE4WfLAzEb3v+4s0DcyLTikIWmtapwROytz3e0phy+6YBeY3GiLT2+nE
U0WXHVOv9Y/8UTqX6oUr2IGhn5ftx32dxn3ohg607G/EvATHtar8OtHN6BsyP9a52QxL+V0HP3O2
YZSDq0LA1AMHqEZx0lmadplWrgKyGGpi0wj9GdQftGnDorFVt6HCVy8la58rFZWILPx9YHjSwvZy
6MNn24uhK3FcxknqAErOz6iHiM/ryozvAxHwp6oO3qYBifbOuaO8Hl+T0j59HMLU0fruoYjN+2Tw
Ht7eyiZnyC/W7rN854upE9fKmEB5DB3JizTss+GtrKi17LBWgr0YldaRYMXDGhn37H1XsOew9osW
jV4aXLOPYkdOkcEhwYVoI/C4tz/n0BqeHRFRoZITjWCpE3XZpzTNHxJR/vyuR89zjBW/rARTbWKn
iIZbSW8/4+9cmEwH3nqeJDw0QlSHqhw6tSHeulV4R7n8khvs0LNntiELITmJmRQ7ViveuZG1jYt6
4QD3fNr5xeSZZ7pKrpk1saUGTmnIyXE/iGgSaol6DXfQ2PihHHgrITWJLmfQWjdxN1waSLuF5Agm
4dpvAmmXZb5M5byQrIWhaDeUawebAI0CqmQH6ahMPHUFsE7fRnzEupMlxCyBAC7KFx24Us/zacsK
6QIJuVOn6VPK8qNtiiUJiZWnkbnq00vOMwMJFfyfWIGkbIkncNSCZ4euxybUnOlENVJIxK5ejY4c
XefJcdgLfFG042dcqms92URGgoTVnV+ip8HRoTVdezptBcrnJLpqqnZNuTGPUY/q9qvY3LfNwr5w
aOinn79YaXpiiLkW8nUcfINhR4H52ytBRr7n12ZDnFmk0spKKANV6MRS7n8cgrzZ4jwdb1S9M4/a
AM0ulIDKTSQl4kbqYm+XCjLl2z5CNjuU2eE3Nai7gIZLbUurXdkmzSK5jWQff4VQqR4sSylZB1VX
nncoQOxFamtXrRG2O6XxR+xU1573mRadoi4vUZuh1UdpK8M4zPVa2tZ5F510dVrZpZfIx2KZcxKp
wrTd+uQcMkKqcGNm1pUYi2utly78mkJlpLn9VayRkFGPQ2wbcV5S3Z2PIawpI1ulaZuv0yBQTgXf
UjjJAxsSm0S5UTt13E4ynRslFoJvQtOFDyao9Kc2a/MnPw+ri1HJolUQWdHGGnkJUrg1qFJSc4e6
BXTh6bhb9EaKc9mU7SDsxVOXJP6tnveo3YSCuQY+eIlq/yNaFsOGGmqwR+APj0KkZY/JszMKO5XD
U4qJvF1UFA8B7NRV3rXqmakmT2i9ebf+6H+ysjy+KxJVO1Hlyt11KsB4DYSDLSYhiR+p0rUXqRjX
u67um6NBb/R1TIKKPUqBcaxWFaWe/5ejM1vOFEei8BMRAUIguGX5d+9buW4It6sKiUUCLQh4+jme
u+kJt9v+DVLmyZPfyRkqVb8H5ajE+yD0dN8FU1cFQzO/oydiEvL0lH7ROaIPndVPuK5LG3B62mba
1vjesohCux36zUX4AkylAfv0ZTepvh4Yax+a3oifCIAYTbgNCieQDbJOYw3Y5FpvY76flnEjlUZ8
IbIJjHkJsLP9tE/0H4xD9JiRVj7g28LpoYM3N8BQ3bcrXIJgNOCjWsR23nYBnIDr0uC/zuakiqXD
irYR9hRH8w/DMXYHMTJSmZYvp7aX0bkDk0xWq1ZtQezWnkM5sGMaj+snCCCgo840P3dyDY8WqSrF
sCEZfFEir0OdJo9B5uR/XLZxVBoYgg7KTd2lSbu2gL8bVRnbtldQ7gDACAMOfT9GniX4VGkGLinO
VtjHphSUjRwOJIPV9NJFzKVFDrob4L5Dt99y3KFP2tL2L+gWgM40Q/wfbQEqR1/YqP/6xXWHPEh0
DQRieFQNyaotD+Z7hW3dEk1G/DEmJu5LEzT2qxtidpZ+amtAObay42Ei0JQs5h9CqfGEqrC/ZNi3
+xI6W0q6obt0wPZgVhz0Rzdv5LCkbVeKOBhqKLgpaMRTPiD+aLWnfTDTWUvlvoBkSC6TZ7It1DCt
eCMsvXimzguImUXs0FL97P9b8iuZQWkg/Ky15xXCAf1pFmzHqkyeP20Dlxds+MefCL6N76LdZcgI
33JxcXgxUXoO7XkLNvvEzZTXLW6TY+gzM9edZeN7tMj4lgRUH5VYKCZmw8aKnA3xX8B0xrTsYuAU
YDAxV+0g10A4FdE953nfnJYIrBp01Wt/3eNkD6CSdtE5c0Q+ZHPY5zUSTOAdTZLx3cukO47YqHmz
YGEYbG/NiNJBvOGKxLex5wCrCGzQ7AoLVDsn6M1mpEi/bDleHNAV9j8m2bGxkg0AUFU2WcPtoMDX
Q7p9NkYwv2YBrh9ClXmK06l18IGv9rsLWPPzjRL37vIeohb4Nv+A58Hh0blohduMxO4p201aL4SM
ew3ujakcnX2A6YSMi7UZu9LzHauDjZvuZzIux92quE4mh+0qysxY7chDv3SC7JhZ4LeRPBoKbeIf
FFmGbZ+NxzegVOx1NoDpjEpDxFRZaOsdrNIqZSvW0qV3TyEEwgrszLA2Fq62fvFArcq4gYat4cro
mfrbWbt/GXjjimTbGyBEROnmuWxULIpd3iZPEIcJPtEOCkSDXSXfA0HUGUcqFrS+2tJclY1IPBjf
S0pkRTBL+y9bZmwy+TB5jNso3QscFcDrYMEORmNLDnFiAF5ol6FeSaxrlzhaBykB9yjiexktLepX
40k5cTsUmci5rpCbYtP7yChSJvifv6237sO73d+QJCxPM3PrVNsm61+WOW+euBULVBMdgm40DVnl
CDhnxdhgK6ugADAXY4eZzRTMCXxlyIyIRBp9xVti/9tGBvECGab3NkOWWGfb8ULXVZ5j0DwKFEms
nBXeI5MgdTU3cfoAqJdZiz5VKG82zOVlQ9oLR8D2sScLrcN8lG/BrOWJ00TcT1s0/uuQC1cCb/OQ
mQZ1izDxA36ruOTj6v82zbY9LWCalXbKl//GjmaHfVuCDwpy0tm7Kf50YzTg6XJttcYCZxvYb0Xb
hb8j0X2HI3vg3UjLzkTxE1Kyd2CXlxn7r84jtKx58QQXwEiHpciM3KslT7oK6S6gMbHVVc4lX6Cr
0oKM+IEysg6HQWKGkfFgr7DAOd7BJmcfzOgRNLejrAQuieEd3VFzReNYDzEJcDaueTFxntQ6Rm03
9wEpxgEWTW6bpHQIZQpQtRbbiP+/jb8m2ZWBG0uER46lx5XxhHrmO5RpCOqNSvF1eXCHzXl9HuGO
rQYAnlC0rvC6kEM+D+eNa3EckQxbZK1tD5pH0TFDBtYnUgblMaOW3eugWQ55P4XPPh2iGoM7gEJo
E8PVG/bxUXgn8d/XPZ5QGU6vcsrj+KBMNKDOcoE4sZgRXs0I+zg3eyhh5Nz0wbnUl6TL08MWZ596
ccBDBu1x20hTD6rHNYbavY5HEVRDnDk8/Ot46REjjeYZiMSaEECPWO84NuQUtbUiSX5YZPsX7LKt
BKRqoEiWlAtI6OBnjdicFPo1BWQIh9VIKx7lwNlNaX80udqOOIyg4VETHrU0+PP/7GaKKNgvoBaz
rJw8tkYn3ebnZZjjG7xrz1QMWYEY3Rk8XbD4Yiwww+kw//2pbO+xqOsK1hAfFpzZNikyik4CXClb
/dCrwPDrwaVJpuQYxA09TwgGLJnCOz0irroYcZNcRkVU0YAPdx2C/Bffu/QsBQ1u4+Tf2nAhZQi3
73mZo/gTmVJt1dH+n94WduqtemdT3BYUhRyk0x7+EA1I2BsNuuALCmhY6imRB4ly7mPcRHdIdF51
fDvwJHOfBj8gMqsieS+CJDplam7eUuf1bcf1CWJz+5bL7QWHia9ssC5v8x7y70z0/XlL1v1M5nY+
AL5rKryxqlhZtuLlMLk4xoPJj1KYscSSfcCLYI3JDaAndZgla+s1XrApnGtb5nH0soPzW0w5dmMn
w9KbArzyOoFjDP1RxpcOtYksrJZZgfJh/ZuPA2GlN+CH4CMDNABkOlA0IxwQxUQHz1DR5OihgmxD
mm4y3M+GmBu416h+22hxj3u2Zq9Ka+eKloj4m5MwOqSLbq/LPj2gZiSv3bK8LwYh1B62/2rb2xDZ
gWR87nqFSgN+kbrzcf6gG+3+hrT3lzYX/9J8Cut4EuRtTxXi8bDark6+JdGJp/sEZ3/H7gYVwdLc
hFDelePbrZnRUpTIuZt/7uy5UG7ZEEuJdYYc21VV6OcQyTKSyc9e2n0pkfHZVyEVPc7CHvvUXZ4d
nDD329wycJuU+E1T1R2x5JwCjjQOFRN8O63Z+A8aPvobZ/i1x7l7ddgwOaw2DQEglH+HhNkSNoy1
wgfG7zfQdVHgo+KbyKLhOo22g+6SvZwR1YcFiF4XCPQcTqBe41iknGJq690A9Wv/5s2+baXKurUE
qDIXdZ8AQ4aei+hDrkNqS05XsWPgbYuRT7/GsMluHaBghxxFDFZz+28FXuFh2tRck75VeKLCHU6u
he7YLJchqgudk6vn7YhouXGq25/dXoA51zoQ/V8a+vQpjvVWOwi0hxVp7LZwJhhf84mOWIEYoazj
5/7jpnE5i6YNAKXr2GHVU3oEKWI8zwPLUe86ecjDHDZ366fPOVXx70kkWRmzPSxxfabITxbrCbt1
pgIGyh3HqTE3L6L2BHaivHNrpE7aLn0ZNRsCKuCJL7vU5fduiembVna6JVYvpYEVADxpPFIgW8PG
x3G8hXYe0AxwXiuwNYsu2DROKdXe9w4A/Uw0WYmpAzun8STfMz/91A1peAvxI9SIaUhhP0dFnG6a
A1426PuItxYdLGZnMzW2pqvilUSUHCyJrn/pNvwEUM7ZGSs0XOBvF+QfxgboY9dFfo7G0rjOVJu9
z5ZZIOG2CDveSWjvdOP3BwTe2XKYGP23Q1fYC8K1BPNvbczrsoWkzMI1/dM2fXRShOmyT0FtzVbG
YU3g60Ek6S/lfFYuIfgTNA/+UWRsHgCEiQ9kbSjO1Jy5asbW9Gve4tbjQzteW+rS66bCqJpU3l39
EMsTfr39AC7Rz5DIppdQRrC1TJL8p9buQ0usfOmfhGBwGaMHvyOHvUiotKdEmH+wGHwl4GCpYvMD
r+c9/+MbLuox4lMxkMidjMGNbacJH5Qz4T064R02eKxU9npODluPEypzZntYHE63bVpV6bt2e0Yr
lT8Dfy9K3vG1doEXlQzxB8LWQ1rJwe6YQu3koBuGDQyaqTv505MkxOW1XmV4DpB2XceB0BeVsb3I
oy15GTK09DiF0ORtwYKMcDx9z5NRvG6w4ADHDxhHgUjjFwnwZ1ig5QzLWCtsrJExKDOY8g4WZKfD
0uCxInk8v3cgEKMyydAhcfGvBXQU2LQJHHmfRRW2lIYDMqTlsZNuOaoljWrfYTNYEkDN2mWd7hdg
RQ2O5OkfV434NfSiveKiZG+gp/fnICE/7fpMiwhYgePeNk1JA43ucXfqzEm23ascsdPxsNMjAsW3
+wbf9biGy35CbTBXUQYbZLPbrZzcpgqsGvknzGjx4SsenAxoln+2OU6rIMSIbZzy/VEgGrYGPfR7
HARy44clqCet0rdsH5vThPL7OkP9LbIdzcQ6NohTXHdUHTHwpbTDjhSWZZPXcRrau32gzdOikcWx
JNh/APgwQ5U/cHHnVBQ/R8Q2Bwp/07mdd411wGR5w04zugp0GueFLhrwWv/L0xRrdUZCbNIsw6CS
mZPFBVUA/OeuDUYKhdgYu089JqxultmdCZ28WdD9sHCTbw5FZructgiWAzlSg+dCymOEBPcybRfx
i4z4mCSo8o9QPyjYBu53Ay5ngWtg/JzSxBykHp/1Qh/IgvhmZL4NVWZFd2+wjlcw5cljyudHlY0h
+KjBSi+h4s5UCHFnGKKygB/snL2nikXlzsSvzKkS6H1bhXb/iw7s18Cbz94M479sbEWpHasEW8PK
reDoFekM3taQrr9DMDPPGdbA637eRBmTMQOcNJCvmEa3lYWQA2Lj1NeKrwuWghZx25IAa0gBXuU2
tXONlx1pErwvoFkkeKfyvw1yVyGVDb6OLPpYB0DdBULXUw8XHrSSXdaiZxrvqk3XYkBVVDsOlMXg
huRVE00uSuK0otKftnV2z9GOnNlB/DeF6EczWCqPPd0e0R6xExrvpWQ/eCI3qI+Otw90XPAka+PR
naXrhzUh+9MbaGB45xBB32PyfCVdQJ45FdivjN34rnVLHxurw4LF81osk0ZKfavhcu+j9ALhJLoX
CRpkFbIG3qP8l3H7fczptaGY42fNoKp+Je2hV+l2bXgvKg9My9sIueEuRGn6p3MddKQA4KrFbnlh
ubnrVfeGz0xUA53+DDaaISflrvZjioG0su+bzV5QkD2CJYC2OSJfIh9e7Si7M8y8DEBaL5eiScAg
3htcNauHCrHF9+hVkMnQzncjzpfGd7Le/T6ctcH7WbCQdXdOBOYWYKcHeoNcH+2Qbb/ZGv8UGToq
bSe2sgFVdlbJQZj8BrA+LXoZsEu3NA7/TrIVu9vSA8qnsG65gNidO/4OpGoVdtnNDiSurU1/AYf3
Rmmyvsd4XE8iUvqWjjx9hdQvDoD42uNP7k2hxybDnzOpGueOymTjH9e6SBSaeYXHMFQXng6ATEob
nqiKQalk2Vy0W7q2hZewn4BJC0u2n+KnAADPUGZZHUuhjwEAKZcgNiAOoJ+vFMC0BwhYUwWYKT2N
egKXRI/JgWZyKtk8cmCLqa2AaWSVtHQro3kdP2aepxdHMO91PKmgE3f3OzFbwViHpiFsL+FkKqUN
xz0a+YPENt7NdX3wBM5k9xZ3+NTxl86vGZFz7XIQPFGyPrAsQqeYJHi9shE8MIkOEtXAd2IVlG0F
ACoq/AecW2k14/K8m3d6dY26sUhEt6mdYa6Qiy7QiwcPTbx9LVuPqLIJRUrCwqVU6zgcA9ovqAD2
7/RHhYLb74Vpl5cTSLgFy3RcYa6EFLxVf0d6/hXwH1tiKO6XFVY/jDuA8dTR0zqMVxIjsRQa5fs+
MmBbpryYCbvNHstCxLib1hoUTDwmhTHkZhTtih6BmXW/RN8xrrZ5BdUXQx0UjEuA3sD9XqCmxKhB
o7V5okmOpn0ft1M4avGRMujX3Sz5w4SG4gxSMLkCKpeUlmVpiVxVbKJN/MJ2ckkNZrokOs5xcoyg
erJofuMzyR4zaRSOljC7zLkFJZmgz0OaU4EpA0JDliys+jR1hzDNz+KHdsg54N2sx9McJt48wWDa
fUfOgu4cvuGJwBUYCER5JZYVEQlP3oKSBWYNar1Tugw3cDy/TNxcEG95jzgfYKqD9Sr2J7OnFQvX
o+BixnjCw+2RBAgCS1J9gBn3NJN9LIHxLX4otaj7fsEe/BILmVfLhpN+G5+XvblkWdCfwG2coEI4
6CH9Xs9xfrW44KzNDhu8wa3cl3rHM1/wUSNdKb7pQJILG90bhqePYOtcQbV+MgZ/fUkbbAv0CS3H
YfenZfGPLaxQYJ4KV22JkI99n6uDX/flJWtTKOJi/9VKMh1E8KWn7muPoetT0A7KNMFgZO499kY3
Jg4Z0+l/ybhf1LYsJ86brhAdHhWOMm1GVOAwvTvXvQ6YeWnL3gYqq9m0qFsD+cn6+W9rBjipcVkg
Xzz62cq8CVz0ARPRXSDbZ4xYyn3cn4gOxzMheqwswTBtn7cWliD+vgbuX7fEpziF+3XKVzRA+hly
QX/sUp9V2S550a7LDT3dbfChreQenVb4YEGvb3jJTN7f8TUM7hnHjx/5vaZdeJ3hZMbRMyLZTPL8
ZQeuFz4ifGbIlIIQCm7HbgExnuekBtroJXGbLJ1ogI3KxyrXUJI8n05A/cIdS8YUGqQcEGjs7Mec
ma2mvAHdwPAb+LonFu6/sFUV1j5CmYQaz53W1oDKPTRQn7b1bppg3o3W/zS1JxSSQUHQyO9D953q
fLnsljvoYPqUrfIoJ/HZzeKG/vyabLj7G8un1yaKrzP7A0zphwr1JQ7bSq8PKA2qXkAM+UG8XwFv
hisY0jz6Gh/6vUylER8yld/G47jIo/6gYwGitWVXumbLJbPQ/Eg7xyA3q2douQngz/FrD4W90H6/
GKstHKpYgw4iH5SE+U9Q28FMi+1dP2EcmthHuqmLUe0ntE+FTOuvXCoIYAAhwzY/Fzoab+GMllqL
KDpzTWzp47u+0W21CCy3LI48kAB2+1ZH+uds6s6zw65Gvn+MeYigVD8dNxhbJLhWpcMsrWR0Qlym
JPSy7+2hbV8ANblGiNr16GvX7DeO+7sm/uvNMBWwVaPac7u9WxkSt+mw/m1pDmY4YkqKjQb/+jg4
IShsPmNH5YyWR57h9OowanHDf75RQ3BZIrCaj1iP6SBk7y3TFXxhAybaQ9KjkI8diPfD2xTkG+6V
LG5xZLI1h5eN6d+G+D8mwGgKU874iZPlrfl5VdN8UBgiMLRv0URRrAQLnD1TDoF2acTfHgvswezu
N40WfZxRQaDd71+h7/8NhmA6BdgqnVNOKsSDPIUr2l+SDEUvsKbJwzCp4yX9hDSeVmSK/pkhf0bc
2WMkAYdr+WCRSpTOddyo8Tg3/yGhCx2PU1WwagP5sf9A2GpW0mG8k/kN/vEQmRVL3Ru8swEi2EFP
Tp4DjLiWYfrrUP+FBIwz1kQzKlkJj9wWYvIT0kMAy3pg2QTyeHodXFiqFs3V7vmAFZ3xuuAjWjZX
slBcexdemceXYrt3OXVD+PJznZF5vbpQy4c1XZ+xKlPz2B4ZdR8sFwCFM5v/AenzGKa48Bo0QpiJ
f7djxCrvt79dj6D6MYEgnam+1AYLaxtQaMHwmOn2OZzRck+xZBhKrtcubQ5Lprp6a7rTOAUNcD6S
3yWCdMec2HdvNCu3FGlLsEThGMKYJF4ANmlQUEOd+U8NMMM53K07phauBbBXRN0npC5oYynvQcbD
oM25uTJBXKRqkXWa8g1nz/gSrP1rmMT4fMx9nMAg0Uy/LZ7P0sz2NTMIY+DS7dg23X/PUf7fIPrf
JDf/Yca410FGpjKSq6xwwaRl0KkXt5NbF/6JqGaQSZPuROGqvjnfD8XeWmRUyJy+rSjW69jwSwQ6
XiUzDDW6IJ6ftzlJqsmq0ygsWicuFoyeoYs3HcZGQTQPf8Sqk3Iawo9pCWwVdBAd5m0cy2SHOW2O
cUExIqdnx9E4tbZh6CU3/YEu8LkBRerYTzEsngzJAqnc6ClrAl0KtkxlSKP+lLrlPVGBuQ8b0dR7
FsGKmkgEW6/9+jLQuX/nSwdhmHLzkjFIcQDf+ztM/tI6ALT/hbmFPU3Kfc6cbqg/sgjAA672R6QH
NHdobejLGIjwFTdB/MxahSKNrU8NhgUg/ujsQIhDiZJy9ivcl/nIkNCLzxpneRP6+HlGoH39/1I1
n/s2rrDp424TrsBbJCTchGZTr/GmaJ0k3bPKHNApANIC7q9ltUcuf/Lpnl3JLHGSgESFgAfxhVVW
eRxRJCNbywNlEGGMBQcCOWKysGH0nLSnfR5ft1lYnNzx8jToZEZ1KPsid+D1cQXxux3AWwjM3YLS
4JpODFHx2Fs4KVDHqz5yDbaQpvW0e3XYIzy9G++COtVx+wsndot5rPntd7A3C2UxUsmxulsliSJ1
mLbzNeoneg5WQmrhxq0EiOE6jMSUsiP5/dDmBEpg47B0gtW5Vx5ReSNkF+CTgErJ+u2JOAYXQB9i
4S6OOlAakw4XZQNm3tDFDzAmrE98Dn7cN+G/2OLv1UuEKFAEBldJYDF41A6BDGPwMa+YDXg7aHQT
GNL7vHlBlCRkuwUH51Ti9YhnvILdVkFfCN5AzYCwtGLHGQ9Qh+rQJMPJETefogWaAdTFNKkQSrRf
V44PcdkSfW4bjycZNpmWVBRXfGUMFa+yN9tFJcFUDT7xj579SA7Us9I0g0QhFYh370DG3DeTPxHv
X6EuhIXGGJ3iPG/caV9Efr/uWXsj1o6HZh3gJ/BeHxcx708Z8eDZbwk4WVMsmrvVrt05XUX8NQu6
V3uTk5voCMz5lmKSNdGfSyHh/IhksbTsMWM7Yuob4282jfQqaCMgw/7kR/h0/NMYCjTQMkYoEOEj
IXCII3/kPz83/RkkcnK2s9nPnjiEvaZsTwAG7MZvj9fqAV880ZLP4f6eLhb0psGquy014TNTdvhN
exJfVi/RnfJm+qCZj//DkCyFB6YZDx0meSXsXbgroJjSSuwbv4Py2ZaI/yH3MtN5gYjTEQpyCjFV
YAP2RuS6HjEF4/UkGNbnemPO2g2Q87YlO2IKHX/oMYweF/xRzgQJnFeN6ua1RyX/nM+d/tMuZGPY
nBdxFY6h/Rm2wY8fweIiLKwzkZ+Dag8cf1whmv2jAR+P0Q65tVwb5ZdyaZD92Q1NLivV9QNwMXMA
Jd+6Bv0cjhnYq7tD52BLKCKn2GVf+u5+ndj+J96lxTuiQfNcJvelwxn9hZL5qd9CnIy9UMe2behf
PPXutrR0PMC/mCHkxpoyi/HAY8o08g16dJJ8toTzO60zeeiXHS1+pIDbLTChpVjTUnblR8Qq4Wfw
PDXVZoS++XjljxZBJzdm2qAaBVN1R+2hQ4YPgoUGmx1n/J7w5sQM/rd5zb4cTcdTZCBcC+d+cAPj
jjwUhUjX32m6Tij3pNr+NgO8oZgWYljayvZrCZg/h0gmfGXz0CGJmlFfEWJWzGtw8GIgDY0PakAa
LngAcsiAKpv/dXhyo06a+47hjwlbHM2+EsxanzAUlV9EpP6fyhGS0nUNBDaSJY9WMxz089r+W1Pa
Pws7soo5JG1jpOIvOcerN2iFSU4Ud4eRosxtcd3fkIOIDZzNX4c01uchpbBOrH06f+wKl08+/Mdb
1iJ6mJvhBLK9L/2sgWfNaXPqWV97uNzrZt0UVKUAewPKZ9h0z/g95mLv/YSbM+8pnpKweRnybnrb
9dZiTQOqhqpHM6bftEW2lwnw3Vu/Dpec4BzueqsPJOqjm0xsWBKPcRDyNVXdQO3+CoO8vZ/YgjFT
L3SJsS97cDEF4mTWn4HVsy46dCg4E/me/KXjsGC9DTpL1y0cTizBnjzyNe5a31qkgWNq8qhgyzs4
Q/iLMRMsAiKAWSDHV6NZw1H/Y9w+GITsHOIFP07gWiSNYF+14llC6qCf0aozFV9l1vCvrscQMuTD
R6uQ/IEEnTAoAQVLRDVHcv7N2lR9eHwmNUtW3A7YLwZYDRagbYGtBrEusj/O3Hz5XiPYhWoE87H1
iN1p89jP3pQowcmJgFx5P9A0fme9NScqthFTuBjS1Dqh0jfJhv5GR4dQNbZmywCnRzL4ctwnuNVa
jnl4hGJ2VttvkmzpcQt9c8AUJ0PrnLGadQh5k13Uw42PefGe+/WQZwHmxR5xO2bvUwxMMBtqGyCY
Ix/bYsbg5s/UwF/nB8QpORh/CjFgp2XPM36MmxVCF0I/7hBOg8wuG8ftkcQUD6WQSZWa/D0RGd4E
3M/DJ4+1flBr9p3aUN+Ib3EoGBniZiHDG878pUa8S+HsawgI1AvdJkgFWsXnxrGhoJz11w0a2U0i
GuZg5RKUEHr+jWM6AkRlx5v33YzytgOT03v74uHPxFw98e/J2nQYcIaYbwARjoXkHkJNLJW520m/
VVFD0Ak2ePXTARg+AjLVQ0L1Jx5/dt6nba3QsY2ndTThZ48Qs8vGPcbJDN4lY9vwrdMBnJz99Ixy
bCo3T0Z8fjxAaoVZK4IEvAoONcTlyKHHmBFmWNEgAQhAS/TVrcGv38HSqen+27V+hyEojfFaaFkz
rlRtM41+bZrye5j+u4NlqKYDTLfLJh3+8GzKjksO0YrzcDzF4QJXROrMNcU1pDBp8+S6KN/dppWS
Z4GgmfOq1uYYB80vhJyR48r74LZyR76aWeMfZ7vderYkZ4417SMNBT/3WunjpJb2GXFQFMWFT4J7
MS8eQTLx8m3HblP43ehLvpIZvOFlh7+Gi+nImh1jfL18ZwgFC3+6/ccWWdETJstZdEta1pVbgonU
jLTMC4XZZ6pG4/RXr5oVf0KHPmLI8+/eRfI6GJo+gtMJY34f/HLtNtzsjLEkoWSs5waCU8AWewmx
vHeE6rfd713gqnaUsrS73X/FLWcVH1lcxnQzL6PO9evsR33wOqZnIDlJ5XE3fAovD3C8FYtWC6QT
XlIBl0UQumcI6ZDBTUwLh2DZh2aN+loQxJMVGGjjeyulSztyHIcRecAA6E+LeV1NF7EcJj7DCTye
MQivfLbxgiJx6zIhcxBjr3B5XYZtroNlE69ih2mMtcR9Z9CoILrt+jJvU1KzrcE/tgITCNQQqkCS
1zv+VXNJcOeeQHb+5nBR4vO0yzFtxP+oO5PluJEtTb9KW+2RBjjmNqtaRCBmMjhTFDcwDhLm0R3j
0/cXyqx7pchMqZPWi2ozWS6SJALhcLj7+c8/5C8zvngPg5WpNQtDeNF2fXwooX9iOGH6K2dG9jAZ
mXohT7l51izpObw5MgyKXn/s+FYbRte6DaOqvSPspYkXddslq6aamyAcZRCRPLeayiI8GD1WY0KJ
6Q6h5ISHnGUG7pSXN61RQ4XKSMbDd8JLryLfs7fYoXH2Jj5uD3FhvJ3tpgrScVJBLxr/UtKU+kSp
TIUZW2bxpo0xkruwpg6qUxdouxPqIjX66YoK+sE1i2mDmaqNfXDUNReRMTzUM3WtaGaSM03vpU9s
cWjxw4YFA7BM4zGjFQkrErXhLR46zzbZVl4YpUABZH5SjUIoHJx6+KqLmdZPVnQTi2qpAmpVIpdi
agzc+vRX4YbmpqjsdGfVfo20jZZhuBBRZDbLRIqxxQae/53nlbad7CjbeqTAHrW4fNaGCQ7ojEfd
1vGT6qJIJnhRHkpHt5YpneW6pP9q35iZk1wbYUWHy03am0nO433iYlJX061DckfHPC6yYZOl2nM+
eukSJpa9tWtaJ9nJO3KDa2J0yD07DmiKmoEZsThgOto3R/jLD5NmV5vWqvNdiW/msi9nhNyz/dmG
unJIit58sknigr3Tx2t/DB+dfHxNMO8LsqKwVhAiEANWTKk2NMPbKvO2un0cZggXTlI/a06RHBuv
LW/t1mGj9NoA8ooxJ0RIRfGMRz2s94jexcLJtauZPDWQfPO1ZkFesrt/TcnfUvYmam50U6qjUJU8
OqgT586JVqELO9GLYv9Sz6dXaRhlYNQ9YK9MPfaurmS3BbfLC5cSpyxM743YPpAx5cKmimfLWZFM
J9dj0uDLB06xUjYkUOnDxkNp9dTLKl9y+sd0Rw9dLYD069w5LIFXQmbxdQMD4nOaVPNXMVXlvdAh
YriqM24hdmQsRF0J3q65Cy3q00+2JpF9wvsjsA+SYwDpHpamJrZhp9V7zacCXJW2yG9UPsIlArNt
aPuFbvPqC/Sx0HUIo4SEtTVowcLTTjDLriwCQ0VuLOHBsn0MlbWZ0KbS4tLq6xhobjf6ItlOVch0
jg15gS84R0oCCUI5FIc8HwTBlx0Bl30UDXcdxLsNZC92rCEPVz6sxPtGr/KAU/20rcM0Whpg7Rdx
okdLaBMgPj0FjkM/ZfHNpDbUgCUiP/OBaM1XT4UAbS7xa2qRzZp/NYwcxIco9Tckp3fvDT1WyvEZ
opMgFUz2SfnYOFYF/5CgxHnZ6X4a2E4jNqgIdO8Qexntu5za4jKbJAEQCC4T2DaOfZO4ir0SjwdF
NfFVAuMfOytN0iByeu+rW3pQ1Dp4OyEd0U1YzM5RR4nDeSop7wby+PC/90ElVTq9+jBT95WGnLDO
gA97GzkO4YbpQw9xCkCqHw6qrSFChH5F0l6LwZZBOBBfBAawNvntpYS5ChSfQjeIcvfW1QsoJVov
FukIm4+Tir6pBXmLvhNvQE+5KKnzeE/073iKFK++PqojNXj4UIBrbfxmrvYVcZbsZwlFSc0EbRNn
2lIRiaVhFu3e78ok6CiMHueErFY0NYp9yMBMk+zJvVNlct+Tccq6l8LlGIXdb7ysiI5lWPovfQ+q
1zoyXLnF2G7jjNNM1Vcj4RV0OPbz0Istko2ew6vDecanRIsnOJRjFs0p8LDXfG5ta16NrIULJ03G
CzdBqMiJyIm3NscHAhPobppGAtMottUXJbQxWVqyqp6Aq4vbUUL7qBItPDTYH61ck17vbETJnSq7
4WLsIFNiKopmpqAmMVXv0wPLnVvXiO9ivQk3epnSjyuMzxBpunSZsRl6ZhtuYcxWm5LMvZ2qXRhc
VmSmiypyrDsz8pqLCcYcc7/Nlg3vEdiO7fOq09GKQwckn7TAxYCF8Cde8vQYWpBPKZKLR1K06R2I
4ZTW6noyXvmdOVyJJoyeI36+TL2eqjhl86zqEBuPKen2ZH+mK4lF8Kr2ozrAezJa5jaoRoQzG45W
rLng9Xc21PYA/0z6iFHSvEoiM6gH0mEbQdxeGtrUHXpjRr2eDNmu9D25TmZ//OraIe+Czw66Yfup
lxVbOc3VgTQNTfZoUmQ6RyvkOKzLMsmBaqLpk/SQvoMPv8161616E2albkZTvMS3XdtaTvNM7Cht
SwhGK4g7glNnHg1oRMjfACdF4uE24/tgz/Uiymh/dm4fB+mQxJuGN/CopzNqo05XT7SM81VFsvFq
pljd6ZPn7PPaS2EShOVzluWfe0MH6IxZQywXUUdYTZ81rZqRxlg23HCpLWv4vLcZCgYk9Dmv8mS7
dgZ7hLAaJ+p4HazG+11r+o/C0+6rgn/ncX9v4/9+q+oJaVKs/mvzpTrFw8vzXzp9zr9+639Gvj1Z
jd/p24IX9fJDvv1zUry+vA5fvk9M+/YnvyemmYSfkRCLPtHUff0UAvjfiWnC/k2YrqX7ts86Z3k6
uuQ/EtNI5/3NgSzt+4Ji1YEGhO72j3BATYjfLGGReGHrNj8mH+yfZKZ53/x//q3CJPnIhXxOQDvw
o6ML71xh3nilN/k9XGijcmz0WxXbWnkX1WWPa+Y4UwJgc5mkxmUaSmcNo7k6OFgk3hMkSkp92JCT
ScTbOmnSalmEp4xRf9TbA9o+G7JEPdJi143byfU+2b59cDnXbWSdDJvGozxxMThHk9KcYpTb+VDG
kKZO9Mio8+03q7SqgAPdPXwnWLPd+KjrYDRtqMfajZcCsy863iaoyNZUvpl6B1/e0tF/OkQGWfFc
7lJuf1vzK3e15UVQaMwKoLzSnI0IcU0oQ/oTZQQT2on0ga3YiIPKqp8sQ712doxXXwGMquv0Eb0W
ymYWwveti61nhf2BD73uUmPtT+UNFk7HxkzTJZqF7uBOUeqe7IrLBmsLESZfSdGGcFhEMToRWYXG
xqpGfVeRUar2eKw7F0ln2C9Ug5K9zquWo27dlc1JEzFxOlV2JACEYGHRO8rXca5vEzfltIG8xF23
xlSu28GVwWCi3sCVOlnTo38rPDXc1GKCIT1xIKei94+OhVeYl83dCvlAvCDB9qEroek5dX1KFarA
6rUqDpd5fIK8FN4SmjnuDD2WV0aDrfMo++qgaTbKspEYJsNU0S7VFHRPUMJ7FKqUy3Vfqrd2MOiO
J9J4moveOkxObD7nmIVuirQtkIuE/Y503IIHmCgdajSh24taldD/rRCeIfngge7aFx1U3kWcFTPq
nLBdZ8aJMKEDym1rX6/jhUprC4aqD9Zq1/18PyRFu/Q46e6n1LVvCqQdW7duE8QkeBrUcZ0dUGbB
CVW2tYnyjjF0xCiXtszdN4Rt1ZOXFsU28yba5zVeJNZoppDLXbLS5wpbb4dNJioymEeRaA9+6Bg7
Ex9vpKR9efSA/WE2WFG4GGrlFyuqW23N+dFiTda1g5P6nC2KSA4Oaj/b2JAyUb1Mw9BvKL/0TdPN
bbUQ8+BszcaDrGOiOGMzhW2W40lyYbYKCn/cDMxrLztUFG3+IqbCDS2QOFProcb32itSto1bEr+O
JHnQHv2cw32l/HETdpX/UpWyedBOFHAmzsxMcbNA2tl4YxnQukYJqRdRhHyL4IPu9TTqb1vOoEsY
HZ8gMrobu7QhdOueXOrxmKOf6uMLLM9HuhYc1wjVM1aIDNu1HUGEH+3KUAtdlzGNGJMU4GZomo3v
l9YBDO0mKsAORVkmN6U9bvpRu2q72N+0RbUl5rg4jq2zrwk/vvAtfauGpryD3QPDz4iPru3cpX75
grW1XCQNTC5HYRFb1qcB658nga5mrkgQ7K3X2QZ9gKtG0hSxxhVM/eykBESda6LN81rjyR0t59H3
4bSb8NW3HE63vVu8ZKGA2YwHxHHMCdBOtfnNbLX+dcARJgv9+6qqNifVU+A5VkAFTCTU/FD4kno6
u6HqfSEF+gnVx0NIgLMstWLtKUB5t2oxm5Yrx9U3UH6+QoWLDpVuPxl5/+aKEBlzM4SrMY9eQ4HO
QJ/j58RGCFXN5MzPYsQVx6lv/dg9yqpoDvmofaoSYz1LvTpJEwLpEB4/Jjsn1p6gurvXwiLDLUma
T33kLZ0E3QU92mVVx9e0U/cEbWtrxEF7rSvrtSWMCwdSQi97QG2zXmtJlK6ayWS5cEF9ZW3dOUrI
DSgUS6NLRXo/0t79SgcpX2tudGdalE0c9IjoYvwop8pFXfrHSFkEPdNTXtIQmheTO9gry+C4WJr+
uJo7bwXDzzIz3HkaUGvWjEtv6tCMoGPbT04l9oUljj4Y1KLWvBAuJrLeFscjVxvnE6X0LfXHL8ms
bWztRGK14ks/xWM1RbSDdLteuHb8FimO5k107/Xl1sEhaIG4YYUd/yXmYG0QD+wptAlQqjlqkZfO
TUzfrcj9w8ibsXB7IZ46jfcJgfEVJAy5HWNDLEnzvgERQhA3oGx3/K9ZFBsEfyvwZgUOVuH0mybs
nmhkIohdRrmm+Uoit1ltcGWG8j0rY0X4PNIJOwFg6IFzxeweiGTo8emfH5C+1Ys2raHSmWXBpqXk
Xdy03XIyATyl0a/C1Mu/oOzJb32Nh2a2/O1SVHBlKatItBNF80Z37GStM6JozLP2fZb9HFR8U5gI
WrOpXA2QNeqHGII+IgzSsFyHCT7DbVqicvCHtXB9grKneYSLBSxkLJt8yF871Sd3dcN/gxaNc4ei
ruuHLdRvEqpd56aLaUxoHUS1SNE06+g+gyHo5V4Qjr0kIatfcWRfJpbILgoF/8KaQy3IUDHDJMPK
iIdtH1Ov2QiNF04rG5SUogFnnloXFvE4vjR64SQB5iMQ9VoAzkUkaaovnKkW414qPGjhA8l+xGGG
bXBP2y1Dq1I4CiqaM4IjYOEL4bSHQlfURDYOJB2soSZ0kCaSLelyNICrF8xdVw3UIuFXATvL0q2z
z3ojIdf11PVEHH8a007tGJhrXdoQRzsMsXVc8u1mNaAACruIgigL/DxtWbfZAZb12Ougo8bhBMPU
/XTh2D7tqFG/qb8BwthTGwaIRYX9/UKFQHDwB/iOTXLKioC9rU8G2rQkWziwNQIeIW3Zgeom6KZh
DJo8f0kdJI9d6MC7qfIFhyFslqDndaW4b6nyGCUTqGWu8jUQzuuE+OLKqWS7KXzzqaqwHOikHy2F
XcKXNIcCBrLzkDTTZZyHaus3JoRKN6Iu02i9hihaVmHOLLWyiDjFbJqD0J76HeFNJtwPvXeXuh3S
/KOpdZlpUXwwvCHboizD+QKy4JJkvc/oIclgdwdH01EPUv7WgwovKpLZj1abQ4S3tfRxaIr50Pe+
uutd+9mNmwalmqddTL36iivfumm4FZB8YjOG/qSRdp5pabuEWlvqJPMf5KaK/bXRkibozkwjL7Dg
hGdT2KzzIYtWbdTQQJ7Ugebzk20VcqVHU3pfFLzwbaWHTIHKW9gOYP5gN8lr14TJfiqaCQqKK+tl
k7X9C+3jQLkUvrVSqJuLqi6nFeyqEkCjTwSEWdvloeJIWDAAVdU5WxggmrtKNU2DpjQQg812EE1a
c2M0nKZR52OIbgWWVc/tgbYtMgpzMkY6S8nUIL3P1ET3H50qHSLImnExrUXUPUVTMnUrLdbMNihi
SHeXHo00RFq6aUQ7sgr0Gz01NB35rCPbdaHPSX6tRZNpPEtTH3cNQaoyD1oaadVjjNcJEhWFEP1o
1Dr6mJOFv/ulLulQGkszNsN67+fuoDZNJof3SkVuj3pb5FDWF2i0xk94HNCGNSJzJnUyabUi5y2i
8ZRHIk/2RK5In37RXKh7zdUdHM/0uHmtlddhjKfZprEFsYlTOnTanDzUHGv3tdONS+S4qG9Hs4mT
bZhCCZp1ae1zRZUiKTaMg2z70F6RJzaEz2A3ziHRURdGi3zoe0xDrCJDuJ/F8T26BhlYJTIvaSHc
PUxTn4z7LoGBOrXYuW9FDPq7iwq/4Lt2VsKGTz8zxpGF5+65UwYMWWDkisVb42TDhTGDxnE6LkJx
tKGiUpMA2/Q7Uw+RumW2/eqnRaSz7xkn5GZ20m5lTg201xwGSInMxJoVF7PmWVyDq0Xxroe01AYY
XWD6oOJSPpeTBvukcrwEqvRYGxhodEktnoZIwtIvWwdy3lAKWIImIUDQ2AaZtvU2GttRu83idqYF
OsI/vS0Tp/E/Ga5kqTbdKdHXeu5rasPbpdN1Q3LawW1NIGzQX3cyrI3xINACmOeNtikrNBps/ipy
Ll2jSOBzGCLOV5GRqBwZPRzrRc6a0b7TLR7Yd2IN4DbMR/siM2l3UeH50aOlSuNFeSy8i6oM2wey
bWjisikUA/n14a2uDCRZMwTj8RI8RW6TsZqNd8/sPbnRcRXqwSUNg2IFwL6bDnOfVkcNzcq44eVy
hj3ULXehj6QobqwYhPpRk0qvaYKjib/Wga/YZouJwthMIUnlqpYuMig5LCZp2HC8w6eq8JzbRM+K
XZIXENFPu00rk4I6FmVz22NU6JSpv0rTadxKhEhL+E7dzptN/drF8eFa6AgKc5rG0BvqED8XvD2a
zz7Y27U/WtbnMI4fqJiYn0aH2JTWB4RkwWuHnYdfPA29k14ZSQ++qpOXzeEK/WLgGU6oFvE06i8+
bIUp0D3dXMgaUuO24RT+iVpPgclDJZV7LARcPYhnMLJmJKE4ErLBAHFUCJUaOifQH1v6XWRMQpyq
HZiiqCteVCacy6SCE9CEBu1sz0L60ENf4gGUUXcpUuSMaZzeyAiqj5diXVK43QiDE2LBVRulX6cm
lQFMOZylpprA2MFEpdY0FhKbXtA28AC6XzTL6j6AT10mb20lq6/qHH36Hnz6r6v6S3mn2i9f1OVL
ff6b/xNxKkzL/hUg/ieYavGlLbp33N2+sGSpaff+n/9xMkH8HaTSHOs3x3JNh/aB5To2hhT/jVKd
fuRBuGHSeL7Fwnr60R8wlSl+M31eMtfWLc8DOsIP+A+Uih8Jy7Vcj8Q6Q3ctIf4JSPUt1OY7jArG
lqsbrsPKxzRwbK72gyVV0xUarkZQXqiod7GdbWo8B4aTLBEUQ7Al2LfCxSUzm46Rl22LXm24KWqC
funHIFdElVeaxTrw2M/oeyXGR1CE4wwmNeyQUKIC0LR9HeWBb75b6hk/lwXqMtDV6FOdtQ8d2uKQ
aOEopo0Euac8tQSq9VjTOIEirIUYAKVqE6v4E9y0YHTa4AQX0LRa0EZeaI65SUfzItulpg88xSnK
w1/BT1Ao2PSjqYHTe5MCMPT72xkK3pBoq8xXB8femJm5YKOl4sgXxtAG302C69+H8H+VXXFdJZQE
//kfJyPenw3smSGXpzu9U4Rs+Kqp9vXE2dG5tjoo6ohkf/5JP7qJ2X96hGeuYpyqM7g3PEJfXGsC
8PpX9pt//iqETOuOQYqHhSTZO/uAxtVKSTRSu/aiy0QHUPTuSNfIjHDpoFLT7yNB5V8PC6/JjjXY
XgVbTjgs91cKMKNVxcpEQdvm8R7sIXD6T50pSe9APmItUMlCUgkXEX+fwlk8XUs10wWptXjtwls3
bzQa4zjEL1O8qsKpQlMM3YoNv8PAqjXLxYxYp8TRwKT7Xdl7Di6/r2ysSdGX6i8epfHnEWYADIEX
Gu+xK74FWnzn26aDMoe4d7VrjlbccbIZ31LOE373qav6bWZA4ihOTih8R6xuGZRcwCLg9n7+oP/y
OXx3G2fOgQhSEdpEPIfUDxdA3IRD+AvD7ReIS34xp1h6zmbvj9/45E753Teuaqv3Yw4v6xFbA4Ef
EiRgTrS/+kbf3GF/fEtOn+NYhu+w2Dn6mT0kLj01plSMrISKXNu7VA85MCIbK/D7jj+1/oVj4IRg
geV2t7N2rKoeNccn4SMCIiSeLD+qtVUYvoZAKj8f7R+d9E6v1Y+3dmaia0kIPjLt2jVw6TIe3SDD
cgXNAxBStKIK3vSOBismuv35x/71Q/73iJwtyL42TmHd85DxvwpsfJQqkS5hBq7z8J+5l/75G54t
UaWdJDhU8VETgk7Z0sIv/pE1558/4WzlIMoZ862WTxim59a9l90vlqa/HiyIORSDBnr408+/m6aO
bnoQb1hkMa9T0xstv5UEkfTDt58/lL98HUzT9n0bIox17hdPL9+HXcfnNNB4/X5Td4/6fPfzz7C+
hev86WXwPFqFBiaJpnH2fkuAXV0vmHFFC/cgHTD+YKdLvJ2Y9UARoQfJE6H+vOgKXJmcg7RR5kQI
xFzzcYygSNTuV2Hj1jfgRgbhACbY+NCrTsJFBsvF6AlTDSCPLOy3GuheMT5gXrC1cjhlNGjLOL7S
MLDBL4ncW3uj1++RGvBUxM3En4/KfdObd83i713YIbW+ByzuMUrwqhilE3S7E2a90sx3VNhGtZzb
nYL/jz9PgIvE7gS8ndyQ84a3RvNpr5fraCasEyv4xVzvQlKVYh0qYqKCdn5sNGNv9uk2BzSmksFu
YlXJ/CjKL/oeWfNr0rpfbat/RGd754XjLSFRShyHZLzpcvdr2vkBpQ9ctxb4DmFSz8Cl8UExcDLG
HqbCHYzw3aTDOw0SsVe7gTMQ/Ic/6vDcZlDqLHNjD/amomVWI0XMIsyN/BVT5LpQ2TFDdZs17zhL
Leate6Oat2zehOyNp6+Axdw6NMBhtVuwrdIB8X/urE9t5rM5vdhY4CMoAELrAmv0sYNAMlC3ATTI
FXaFq2lEeC3Ty3n0sKYRmyF+ANpfN7RGHH+DTwC+Gw02gXi0T+CGCo4W00VL3pukWI8Yy7tWfMvj
CdBGgQhizzbZQVTZF1Ms3r0Obz8PP68xwoJUdyU+QHh2CnFJ2DQtqmg4mv0A5AjI6Er4lndhnCMw
OSAgCeoGbovAvQrYoKByspBGeg4aYhuchu2BNhYAGCC8jZ8B6FaIj5yOt4h6RYQf0MkHpl4mzfvI
LyVFuWjLKfBelY+0JRpWiW/sGmXtcDyCgQJ6E+/S9MWEIWGcjLKzYxlxDlWXlv77iSDHEVDrti7m
hi201pO3bVGbGNuhUu39+6K/kvYQcA7xJxlAq16p7lXEqxaE0BfHqlsP+rWO8cvcUNHL+LYq+rVp
WgHmloFm9k9pZLH7QcPAEITMTEyKKCWjci1SLAA6bHtDcenHPUigWNtVfmxd6yXT02ckIFelUx2r
ebiVg4dx1QxB+s0Io71r06LgEKq6tw5X6qJsH7FlDEL3oSdLrEITE1WvavoyWJSdNW6OI4w76BIO
jUStlXcCD4dYn+lZAahfd0kLAv2OHgxjHvZDw1gl3D58dQ5Om1M/UvX1Biu9QCFRHNF4GxlNMHqS
8xSASBFBPF/UebZF3HkoGkiygmC1qHyuuVqHfMirriqhcQeInNKTTdoVvB3GYVh51JGO06NPjoMp
fURSuYthIHf0YYSy11n9TLjAddiZEKatdTXACUdZqlR66Xl3uAOizkLWprt0pkK4E2IlSRk7HSaR
KTlRfoNFwG4Y6G9P5g670FUCoTp36JXp4aNptVsnpdnK7Ec8AOtxhZvXymrGC39yr/ITjY5WG9qa
k46UaVnInQ/JiJDm7QxdsyXI9/QNM0/dIWff9AJtfLRKy7uTGpOHUw80f8rrpEh2cVk8e612k6h2
P8rwQoAJp9GwGbULvAdPYQv42T2nIguwM8MMERrf1K56e1jyjqm6Wht8kFHT+imGHVKvdYupsBl2
hJz5vMI4z+Juc5JnZpW/8vRrDpqBCcaI7Aw6PlIYzCvQh8zRcGF6zcqzrE2YuYe4jT75LFC4VF8U
4ita0oXUr2MfLA1FKuEjiym6sJPoxhX90WyebRHdtt0IqnUJoAWq6aMcANQQtLdzfIDK3YlOU+XZ
5sR0GtLxqKXpYxuWy9SAQ+n0V4ZbXM4ZTF5bwOdPVkLLd4m8I6P5F47bZxF7HBkoarHEwPXH9gzd
8M62dG3CvhlkijZnUu0RUbF3sRigmaw8EhhEvibmGSwFSzbAd7JnAugeK8vDy6vXL0fOSuBN11r8
mA3uL27tTwfCszs7255JEi1zDmTt2sE9AjrXlY5bjkjnhS0fc56lLwvsAfLg58eCPx09zj717CRu
drj2TrJu14hOl771qDpANfGrICb/dNb74exx+hgD2YawhQfL5PTlvztJxa40PJxk+HK0wxzAclvj
tN2p605vcQt3g2r0MY4erk4HgDSWq0ngMzjD/2o8IHBKHnMFhRBxMC6d3UGoemkTm3uq0eMBtRTz
yuqsBwv3WMdSixaZCGB80Ojv3wyeJ2c3OI/qViX3ysDulL5IJg30hysScikJe6iCKPztk98NzsSG
9YS/l2lxOonkqqtpu3rDeortjXSmY2uibnfntWd+wQWARHl5fXrnHAOpalQ8aTIL7Dm6xpcPn9Xi
MuyxN4uGxxicDJ/oG1mL5wHhpBvfOdGM81cLR2Ga76QGnNd3WwgAj9PgPIHC3s6UJrrA90SIZU41
Vrvp15Gswa7zYPc3S1XBASg4aLCRmCkvdGwufz4/jF88uW8l1ndPjiUwbCcCbpiWR501MW7vLG19
gnG82bvoGeP5sdt3EnW/dxf6bz//+NOk/3HeCPCtExjl2DhBnccNy8Yb7dbi0+kfygTT8V18TAr7
Aqbk7/XY/2v+2/8dBPn/E0vOpvL8e/jxMfmiypfiB/jx9Be/44+G7v9m8Trblmm7IIoGy+nwRar/
/A9DF78ZnOl4Znj3Ga7Pk/0DfRTmbzQCdYN/wqIWcalB/0Afvd8s/p/vW8J1fRuu3D9CH3/EVX6P
R3Fc0zyrcR0TzfWcVyMehk4wuS/aZP5irf67K58V7SMqnTav82EfkzAKhfRNa6J/VNP++6bPoIo6
HbWw0spxj5cPu3Nj3GZm0f/ibf6b+xZny68PYzEf85SQGDsugrEqrvIsNNffTYy/wLH+7uJnW4iP
hYk3iHjY22534Rt5hoGJ3//+ev4tSPZ3Fz/bFT1H5lXbceekT4VrM9PKFZLGjwS1MVPOkbexhHjQ
CNljcANBJ/V8TiuTcD9476e997ulM0riVHk8xD0iI1zJ6jY8+Nk0BB8b9tOIfXf1KZwSJ5ydbp95
NZZC+Qr7xl880dOT+/fq+6+5+C3/47tLDxn+H2E29ftcVLrY9tjLys2MxKN5Uf08j8tuCvFew79Y
O8D1FB982N/2ou8+V0yKWqEN1R5LCUgdwuwXORKkD43XefKNk4dGjv2f2uN2l1wXRdFcQuP/BWL0
N9P0POSmzjoPZ5Cyo1vmX4YtDme0/8fjx+78bGnwbFAKB2r5XitG/zbN4+4ejsHHlrTzDs3ozelY
TmO3L5PhS4zlv1HJ9w/dtzhbLYXAd0EWZkcXucYA3Z5LTvWCauPqQ9f/hqt/N128rm/Two+7vdno
UKFU1WAahlfxh65+fvDxmYhuqmoGRmmX0nBWcuzvP3Tp89Ow0Rld6Rput29cF1efAtfLazgC/QfH
5WxBpguiu3hmcyqL6pTQEw82geHaHxuXcxgxyi0V61rFzTcQh2TpREEezjcfG5mz8qyu58iZI269
9U1kSFNo1K++aWQvP7/86TJ/sbAZZytyjLe3U+ssMCLSsN3R8iHcd2ZR3AIhAuNQeuq7n3/S3ywI
5+lRoz6brrRhiTt00+FKEQZdTHj/fOzqZ0848RS24cjT9yUi/2TTpElyNZKT8cF9UT/bdXE5CAep
s+KUshUkm9EEUk33i7P93w3N2TPGdx1/eZw+9jX9MJQvxvSEIdevWkx/d/WzR6z8HrfLjEdcx12H
mQMpjUnZXP983H8sS/61MeqnD/1uxRE5auQhgn2RtvbwtUHSdCjr2b0mzApooOjCKVvjpG5/aKSE
f/ZxeizaqWgBhxrNv8ToHXOU9iORwI6L+fCPX8WKIrSo7tTu87RZO+EYTHiS/3yU/voRYIf046VV
KgUmOGO7n0v5yXRBg5Tcf+zSZ1tKVdcVuYfctYIdUKh8k8L4/tilz3ZZG43BFNqGglUt3iFAXght
+NBdm/rZWCOpbqRnsZVAbcIQMf46ztgofuS2TSqmH6Zkm5CApAaONQSaHEzfu7dEffexS58N9tAN
cMxqT+3xC8FBrN9NaMc/dumzwUZCVXLtiMOrU6Hs77TPdjsNHxoS4Z9VO7HrY9utszqqTs8uZyMb
N/gu158+cut07X8c8M6A76bSSO79djNB+RdI7j925bNV1xbpmOlKtHvtZM8rB5pV7gdfybM1tzQo
fuJSa/ckWV11Y/JQecaHHqXwzxbcEXBAS+G07nEcqxawCO7jsflYRYD5y4+DPbsq0zpyx/b4my4R
KC6i6oND4p09R9j74WzgIL6P3OrFN9RtkycfOyMJ7+xJ1u00Ym1Vg+rHlrsaqqzZdDF9zw/Nk3MM
u4ZBghkSg2Li/GahYunSj6Rosyt4Zw8T73+vLcqs3dt1Sc/S1d7pbXz92G2f7WYIGkkfdZjehFk8
x1N1kwJ2f+zSZwtshfAfV5Wo3TM2izD6gm7yY2uJd7a81qZnS+801mQNLSrzDbDgg0/xbHX1pIuF
FryqPalo7zFO1BjLytePjcfZ8oqCoE07s2r3YqQVrIruCz77H1ul3LNX0rMIATq5fe3dSWyUa6yy
vP/YUnISz35/vHIkxGdo+UQw0DztW+cpLJI/eKR/CySdVro/H/3BF3+8do21PdZsbO9jVzUwvpoc
RY+fF82XohB4feBC1H6oXhfW2UT38E1x08jGpsDFhyuAgO2v1f/h7Nx67MS1LfyLkDCY2yvrWqvu
ValK0i9W0kkM2BiMsTH8+jPWPkdHHXbSkXjbamm7iJenPT095vgq5v/E3/5NfpWtNvNZURjBE4zv
Zn+fmOivLEpeNi2cbBX/BRdAakD9djF9OpdF30GxEKDhdtvoq4nh6FEc/UhwVBTqBsDDx9mZTeXT
KFvtAOicoU2BVuQLvGUquEdP6Ndt0U287cNXu0DX+AXOPYG+zGSGp4MtYya3bQPZahtoi4TA2gTH
UJ+F0K4WdEAnb/S+7btX+wASIWtSmM+iPpjvjH9FkrXfNHK62gVMAVlkMWDkoY93GmY/8CjZNvJq
E+BwlM89YZjrFIiOMc0+dBK9Jv8++HUd/2IXSFe7QOhgkJ36yVxgTYzmBwC9dPECJ+yke2ewXn77
97/ymwCl68UIWC6E+EZf8naBDqPG/p46+od/wm8GT1fRXwx6BOAKM994fhYpzO5ytvFHXUU/Wj2Q
4WeFvjSAKzivzg5J6KYpuVoz/HNrFwab7hjl+hKabyaEjWGzbYmnq7kOlxTNswu+GV6od5qKc93D
5mTbR6/CntrGJarLMNUKvauTY7DQgkHAtsFXga/ohJ7VGjli5uB1oGf4AKDvMtp2lKaryIdpCXrx
C8x3DjqktOgBXsS2D09WoR9Ezk9VhxmH79bRwkK19uxm05wkq9jH5I7QESD20W19GmV8R3DP2jb0
KvIFUG/ot0oxIR7acfMKRfrG+VgFJJm4RRcjptqA19LnORCAf5KIX6PjF9tVsg7I7OpbVmM+YggG
IJEoUdjddqQl1z/5j1IWTHAS7H6Jvlgp4MGDvRB2lNumehWSmsLpcZyxQGKcDTaSaO2sNi6QVUTW
DbwEmjQGBGZpohca27kcIHzYOPoqJAke53AnothLYAkCVCskxcWfakDXdfarn3IVkJk31cItqp4w
LU01lFl4KJo9idE57rPimwPLz1/tQ2CtselX+I8c+B8/8LAAWgSCKGIpJfuJwh+eoOlv29jrOGV6
hsXqNFzEsDSHhUE7tQzNxooCXYWqtiRIh7zWl8nPlzYHgWHYeHjSVazODXRKMcXQnfXPoYpeizq9
2zYnq1gF6aYgVhDM96IvqUQzSRsctw29XvUDhateIfSFLA1F9xFkklkbJ9v2L7pa9QPJNIvRPQ8z
Tbjz+wwwKNiHbDuH6GrZU7t4EAixCoGBuqAVGeovD3O/TfMSr04iXPaBM4a4GS3Ldoz2CywEyAkU
DTCht/2B1TqHv31EmxaJHK4u6JqNy76LNw69WuQBM1m6NFiJGcCVeLF4GrXbto3Fq0XOAJzn89VB
o5AaThQDLDDDw7YJWS1yE0bF1IxYiVe1WpECtKLa521Drw4kH5Ah4gBGXeAbjH7TXvawJJKwJt42
/OpQaiDGSJicIZVoa/LiqwSNvUuefN82+ipC8whwoKrRyIma6HszVJ+CPN9YA41X8TkvYxpZIvUF
rk9f0mB4gBBu69ir8KwrGXRTglUIj6fvBM5QfWT7bSt8LToKnU07uMqjmhOELDoUHgRpyN+T3G1b
Meu2GT3maIkvsHGJuohK4lpY3zTblku0Cs86iCUYkIih1EwPYFneUJ1u0or8V7tfF2sJlxmOLCOI
Pg5JfrHuT6n5deP7RZJxbfn9Z1JXwTY3YP2AW7mcTXI1ntANdKoB1ktrCUwyNXzj3xs3Zs0hT/oR
wO7YGLfxH7aKYKgNYpnLDs49oCmITC1A+OptYqporUmCYhwt8ub6OIJ2g53qQY1a6Ma72FoEkxfw
f4+GUV/gAvIOOOk70rNPm3aGtQimiSPfuh6lo6Jbwh+unrI9zMKCPxU0rnP7q198FcBuMXNstEUa
Dz/xER7WZQsq1LYIXutUmOmZBg0bpRhTPTnWf65C+GBumpe1eyHcxqtK9VgsOXp8LFNvyxhtqyCt
FSopZH16xBPJxcfq4Ct+iz7hl21fvTpaR5iW9GJRmO4YzRmg58IQHs4m2wZfRa9ytYxhpog9B2iO
HklMa4aNs70KTYMO+UZkuO3VaFaPXHYU8k/Nkr9ZgWvRHqx45QIMHLJ1DvO1BNauM0CgG787+nlD
k6h0Q4SVIX2M+BOwovdG5Nuq9GvJnqQGFt41IgdGh8B2WQ0UCQm/bvspV2GJPIaq5XoFLoruL1no
1u4IRFPzbtPwa3UR9TCEnRRKDiNwmzWMF9lEtiWP4SrlrXVEBnLNS9ERCw9pA55Shmaybd+9OlUp
YSmoCTixTTwxWDAl39t02VjRCFexqQM+2hionUuUiRcWgyTai21r5er4+s9z1cLlTfEMQ8OA69Iz
JOvmT43ZvwmftaRI5oNLUcGFFdHI3sH5folc/LJttlcpL7z2Y/hvIehz29wxa95VPm2sAKxlJ95I
4WKLqE/c8A17wJ1u1bZcOlzluyYSghQDYn709SmFjX+b99su0ms/gK42eeZHFAHTRRwy2T7AQf51
y2STtejEwxG2acBGu4TN+M0P2QN8OLedlWQtORnRBFMXCz6bXqGgPHiAqnxTRMJQ+OeVHYyAiOY5
IpIo95z11UtRBOdtM7KKx7yf42iJscHGNnyraHi3pNvikaw1J8BDhfHi4N8FM6Y3HQYjWvbgAbLt
u1dn5eijqRHXAw3dK8d5wODjFG17UiBr2R0werptgEa5iC4PDnYhxSdAtMymZJOslXeEJfD2GXAu
JJSdgKR8rPAium1WVlHZom90dFz3F4A1Prs8fFWB3KRXRl/Qz2vQJd7FxYIjJ0rgydiowJfczdWm
mCdrCRHtfTo6eLtfJtiR7qxCT35v0m1rfC0iQv5A4rpJ+ktq1Ws+Fh/Gyn/eNOFrDVGFramqDa79
MAsDGCRX+zkFX3Tb4KvYzGzU5LB60ZceLMKSFgJAuXY8bBt8dVpmgXSdutZvAbA5GBHtgd3c+GOu
YrNBH9OMVnUscDPNsAZ26G0OoYLa9uGrAxMA5GkUaLO+MCENIEPFE+Bk20otZK0kUsYmhnFsh9bG
6DwRYGnXYKVu+/JVdMKHG8gAi9/TG3/ktHkbuNl2sOXr6BRCuaJGFgFf3r6EW9cr4W6TagNdgj9H
PgdjGdb1uPE0UwEb96kFojsEHnrTpKzlRLUMKuY6019qxM0UVn8ncIfdOPbq3JxC1silgi4MJxyp
S3hkcRhDcNb/qZTz67wQHmo/Tw1oYpRVPe0vjIE7Cy4NTBI2vVSg8+Pnoae2GtP2WtUONOy9wRjn
4Dyjc3rbrK9CtJJJBuAnnugqndwlYXyTAei2bej45w+H8gF+FhLtbr6Db4fuq2+1a6stu1YKheDP
g4d9WoEIndszuLJw9eijYjcKE+w3fDpAN6uVDpIPwB2+sGcgm2DiWYUfqZN+y7xg8NWdLaPEZdOA
TzfxfOr9fJq6TVsihl6tczTvRh7+fvYc4sW/7JqRlAXvtk35Wspi6oxxXsT2PFA4+tl20c++mMzT
v0/5yl/t/7o18O2rdV6MS67TLjTnEGC/8BzOFey8q74AhzkhTgLbiZjKz/AJnKoTT9MBD7AJfNhO
cNvuGiCZ2xqmt3PhxUO1eD3VUGhKuinNBFp3NbPJ1ZjMTdKce8Kw9xHyA/qYr//+T//l5oGxV5uH
E0HCWqjhzkvffqYJb+Ctv0nugLFXs+q6GCjKSJhzbupzLUFcI5p93/bdq71jWVotclrBnd2BDqi1
Aza0Sf4PdfNbCejvZmW1fXQhr/1C6uuMC9B0stjD2m6R24IwiX7eP6zTnRk15twiFuF7BAvWMU9+
bJuY1fluG+ZQMcGns6T6FI7TDXAGp21Dr/Y9F8GPGZxwfHfE4RgVn+GhuaWWlBZrCcLYwhArNVgq
EenoDo/MZLdAdbfpu9eKMuaSFCw2b85ExrdJ4/eJ0hv3pdVCyV2YD01hMHQxRTCfCm6EgjPotu9e
rZO65Ymrg8mcRWgPvsEfQOVgkzQYW95qnaQ8tlXLBnPmSrX7xM3tAS1w8ZaLGkZfLRXGsrD1AFCe
lzbTY9m1dOIlQPRsS2KCrWV1SDZNWwnA/vD1+GVv6kZXd8U4pc22FbNWl9li4hB/I4i0ewt8fy9s
s+XlCwt9dQCHUy9ByEyHMxu7z53nT/gNvv77crluq//1wIOhV8eEm0AjRXe/PcOBXd36TquLLeIZ
VrbEZFvScPyN1XFBRs3CMUywpassLydl/mau31QpxOCr8yKuIUCWfYT1njSnyHz2Kt8WSWudPU73
QC2wbziHxcx3TRzuQjy1bdvO1xpePvakVwsGB2jlnmm551xveZ/CjKx2gNSLrkuS2ZxT2oPOnorH
gLNNGl4MvtoBgBiIhnCKzVmm0sGxzf7V1mJjFrtW84zxtAx1T815bup7OrRw35XbQmit5YFJcz1n
McEa5HUNnipgVr3Vm8RwV7fsnw/naoi7pSOYlbwfz6qK97MZtpSArga+Pw+ddkHTBg0+vKjliaVq
l7fplpobhl7FZdjBcGYe4ZBvlqC0o4Nb56Z3Ywy9isrEm1y2BENLT+AUeJenX/59v/pNkhVf//s/
ZIdROoCfEWBg+Ney+4CDnmiadNqWrMSrk7kpLCzxI2vOGWsnvh978MtK4MHQRLrt81exCa/0LO8N
vMWLut/1iX2DbevLtqFXkVkkvQbhAwmL9G20jyp/nmxRbduu4tXRrAcwbdIRKUsr6WkagRcrwm0L
fK3jCYgcs0Vi6FhmlwBc8arfpJlMi7WCB9Q5u4CijgUeFNW9YC3mXNZ/ctb7zVJca3gaJkCbn0N1
pjEnaOCz1RFsvXxbcK69g5aWFgPRGqPXwAPD3hBIr51vuVbbluJazJMEs2oS2aszU4CsaNwn+plv
O/GjVZS26DLWTGhztgOsK5f+VtTV26ZlvhbqADEDMBRp9RlqTLigVskCK05UsLeNvorP2cGUcpCF
P9eFOzdJ95Q247Zjea3UWeIggdPr4s/g2YE+VLTDwXfhxrR/bSdTpzCBTdEXfO5k/g5YR1cCnbft
7PwvnY5AgR1grfkMZZk5gg4UnUwhNlXdYPa2OjuHiA6zipk/t9kMI3oW+rjdFXq+olX/31ju6X9z
2X8iDX4Tpmu5TqW6GqUw/KQBPhmeA4cUlrn/PvT1DP5F8ny1p/vnYdQJYmvv8JOGSeN+gFXV0wNX
0/B3p6kEXBKSzeY9WDIwov79D/7u37I6Vhcf9nMGnvU5HV8CgHzzPxoy/m7kVcQuquUULgYehGl0
xcE0e0w21cnxA68O1QDs1SXJMUvVZB6bjMDUd9NDLYZehWs2LwHAcMSfccWodhK2fMDYbSyKrBU8
HLTCKDKDPzNaizfUjgILxFMU/6nCAETvdY3/agGtjtWm1QPzoujPqh8z+gFa+eriUhckd9WYc/Ky
xJr0HwwXNcTh84I2ty8+nWKYUdesl64t6yTkSqMHkHbLBc+ncAX3C4eJJmmByLuFnaCtL4PT8/hg
Zl4XBxGyhN2MYVMNeyWjxN7MYzrl9xSyGXJQLMY7g0t4wQSgCQX/RAM4ru7kgi0APkwazuMmSaH3
jAu4G50B5ZuGJxrZALbJY0j5KfU1Y09Tn9PdkszeH0ATvbg2ou9IouxXGnbjffLeP8MK+gXlpsrw
/GhiDfd7/LV5l+D1Kj1DbqSKmzgP8x/BYHVbOlhBckBd6owf4b5Iu1fSRO7H4otOlVXaajSghXjP
uOl8nLTfiFqUgwesBDC0arJmeW/6SvrjmKfBfMzyxA83QK3J/DYwhdP3SZsocGinfrbnGLX/epeD
Gvpm+JxwGAZPIR52SdfLm5ZPfHhoK9rNH1JIYOu96EJi4a9eqHSXuTFhx5EszFyu7THVPlRipo/O
JfUEW/8oKL7OmPThJomMhUZTFnHzsW48C2+CKQFk0afVCBho2kZoHo/xPgAWKOinwFhV9NBxPQPW
R8Hse5zrWr1MUdN0135hRZ+7uB7xNaNSEg62XR7uNDeAycFLRIljKAYWPwoY/oDO1c7ANKrFKSB0
VQv6ZCYmMpYTtTwA5zzrxv3iA8N34QROVsk1S7MbSig8UvNiaYNS02J5n4yu8ZoOhEGwm0LBaQlW
VCaOi5phadwaC2fz3A+AjEhJ0OZdhZM9xUkaZN9B+RxiGEn3hJ9igl6c0sIIQe1hrA9yJdMwxslC
BlJUqueA7xbdR1/wZwwaGTLpLrjo92lJEt2bT7bJjShR1s2Kc52Y0AGoEaGS7imiqBxVnNonW9CZ
weo64m4pm7aL532Cbmt1tOD51jvDIX/Ba+yysF2HdkzktzFA9IcBGLYRWICQ1bsorwS/Miyo35Om
F1+mhoMvHYRdh4ci1VhQ/8CKcB+0pdlHFA5Yte+npBjKlk1sOhn8Z3m2Och1ZS01zR/xdJCaUkk9
dScGXJiBdhq9MRWYQFqikUrMI2qOg7XV/Ang3srP5ZiBZ/89q4uh2Id1a+M7WYTye7TUPjwFeeD/
HvCm99fMRfQBjmACDvNxHQwvjIslBEUznZbbpAKjttuBedsDLMrgjvsEs+AkPFreSnUzWxZ1p2rK
hC5NYt2jdhZ8BcRWbHddMvTfppqi8sdq+OKd8aANRlowO/h5p6k/9Dak+tYFQ5u9TUkXXITDfylr
15js49jnrewPzeglLJAn46h8hsOkVD9IBaOUAxM2urr+9ixOL36MOdzflONJpXYCz0J9XIKXUc87
/GPn4aEH6ceddECj/K6f+usaAGEW2xLvOX4u3AvZawbYGnkVNqgVVLQGLdmgXHJU0dKm7d8UAZ/w
W67jln8zBQo9+3BgSLHrWqbtbT2A/3qjgG+Rj2g9S9+lF0G8E6GbkuPQVdY8YDcNPBidtkuPckmy
qBxcIdq3aQbY5o13hF3yvqncjQZIiV/61Kc/pI1ae5Y0U9O9UgrpQtQ68xFwTwsZUGWbH6N041NX
eSDoYL0/22Bnlki0r41dArYnC3KM0hm4VO1r5EsamAusiTBIq/zBgwUdnmBoA8JLg1QtQOt2xuND
5puC7w3Yfx0QziYJrhDJ6UuqcqVvOrHs4wV7RzkRnlyn9yWCu+q85EggK9jCV7AJX+LhcYFVdV+b
ZwGe53LAlpDhC7lg2J0B9qBgHEgWkpuA5llH9gDcm3c9J6iXkdQUXwYSZ7d53E336RA0Hawr6haI
CokOqCNFEIz3OAAv7Qw85lTcwEHovpjS2txUDV3u81TpO5S1cLrHqgnhQ50p1hw7kU1VOVNUjEsE
aPGXdMX8UFRUZrtimj5HjS6+JYXmX6M+7NVzn9ULVkJNKrJLwzrfe00EDsQKGOA0ma9wkgiyDCHr
r9TlR0cFzBlVqA8ooFd77wi8YUd2qr0/07Dp9rD+hutBFp8GuMKXBZkfWQs2BEiFbVlo7csqTgB3
D5pnpBG2lGlhd9YHU7lM04uA8Q3QCbAgYF3W3TVgWIBhtk+y4RObAneMwqbeW7zQ79E2c7dkw4xS
nsiD/QiZ0Z61DpiyLnAgKOW2OnmetRV2Z5ndF7n8YOcBGDTqv2aMjUepBd2D0Dd9yBzv9rphxu7b
ZNC7AmI0i2Wbc2w/ifcX7fFeAFXAB0Fxgwiww+NoU29zHmA/5Bq4Efy4u0C0pKRkviczO5HG3xdu
CA8ZN0BIwS58N2ai3gGn/iBT+xnTmB40X8gZhayvILwvhzgG2cIptodl4Y9iCmtAgPGinEN5gwTA
g2Tvq9PcMr3jV4J72FscK5Y8hW3+aOcMfb8BQebT2F2S5QqdxfbUUl3c9VTe88pP+zSdn6UaenGs
ffCZehwIgotbmMveEw4GNSPmrZtEfjFpPhz4lP6AJe0DE3guBic7u09kNyISOr/TYX6HK+dyPQFy
3L9dhy1IBSM0GREbkG3FSWyOVZyCJeIrgJUl+L+01y88Y9k5GgERCbvwmcY5DOaFBAIVqAJhYVDQ
h/j/ZArILQeqwEEmVNygWJEC6TgBNCNQdAZiRCZPaKDKcNLwPf5BTO0XiEwrOLUv5iliJP0xpXzk
+wLQ2A91h4blvXYSj44EdrrNHUkIKDuds2R+WJICcJcQpMgTy2Uldvj3AVmbBC0nR/QlE38Ju5jc
p2EAk1PKvGUwj+/yv7sZtq19Ewf5TS55+rFv28SX8Tz6TxAupuERnhH84yTlBKxqIisYukU091iZ
gxtK1tfLG8r2yXLIeVTv2llFH42quwHc6nr4mPWa/RgACPa3bWsxOxY48RjhpLOrAX+z4ABBoewh
DbycXwZVMHXJWJhHxyFi4VSGbTDSQ0+GFqh1qQAHitXEH4AjMvYkYyr+apdRpGdqKqr2eVRhWUW9
gRtc186F3bNR4ltpjleE57ioyd8mg9rpDRAOacuoR7EVNdJJfwrh5WORVAE3eq55r967cab9527M
ph8jOtHqckjjOS4HZMR4u5oUofs5wZn25Kq26w6RlUWCh74ZyJIMvJLXkFAuDn0HCHapbe45/rUj
NL2VzYbHcZqAOjZ8GEUJq3GrngDKY1cPSBUTbCxNOJaosCYG3Aa1kHIQbNa7bGDkUY/RIl5h6ViY
xwEum/rYh9ZUx4Zw5IYoMKd+N4E3CrOzXqnx6Pq42dMuDM9ImqNi3uMqeBcU4HWRhpALTbTJbnkB
dE4JXNEyHCT2mY9hFC/+WzJzIHI6p4GAHfpQNvtKVg17FpDLxjcaVEmOqUBHPeidpAIWJota7Cvw
gywn/J7ynKi6UOXoAWXaJaxp+md4lCvAS2GdVgMgxjUpx27J5yfcW9C2Qs1C8wNy66cY3a3jDlcE
HKULENHLHjYJKfpRaVJdcsJG6GvSDATUCuaIvHTNol+9zYcvVOcNVkZQ4IAEiaWCx5moph9dkFdR
CYuS8Q20XJAYFRBm7Ezaa1aS+kLGwPcgd4d9Tj7cjk0HEiMO8i/UxskHowNxSbMCF4oGHuvYCkGX
SuKRulII5+mlqBhM9wrmbgcKUO8P4YDdwK0uz0rZDzzeDVF4jjirgDaZ2nEPkxpNTzENwJXqHCX+
eSQNODpxJ90ee13+abGCByCTOzAEWd+rTwDS5P7QSuQCdxo77/IokK6WFirAI09VF34NRxMvO1x2
GnUag1l0h6Ug7AXIxKI+LEHgyCXzAH/dst7OHyCFrH5A5+HYzuhOwQYW6VaD96RJk/1C5d3o2imC
0/s1MVLozpvA10y6b0XU0PQpY3Q59LMCGxevf2fPbAjiPESgXckDep8McFTaLVmD+iMBP9ug0EaB
L7IpZYDK10IgH8vi5FnXPQjEg6twEo0ie86nrLKPS2L64Wkic/tVTcpHgMJ3VVCCEYXjyZh4iPdJ
v4CnDODuU21Ej4akqf5UgberP3GSdm4X80XfwNAyCPYIAJHtmDTXHX6G7TB2+3wcdn6Zhvo0iSW6
uHysAS/XC/U7A3ND7Oo2kJ+Q1Mm0hEV5g+4efMjrUhTN96SqpmeUy+O3Okum7lAtY3VjoMhGkjSm
s0RAAmF+qaH82TeeuAPPxupc4aWurDx80I+hsp4DCWM8e6iHkL1plzyieQM4pygELhs80UOGpqh4
N9UFR0Ur9rW4NX08uXKR8Vhh+56r6sD6ojqMnrLmwTbxEpxCJ8I7ePBNH2HvG9yrIKPjPk7RVFm2
eYzK+DLgXnEgOo6He26i6quHNw2oJchkp8OQEJvfpqTNznMhJNRUkdPQXJC06g99ooP3WRBaooiQ
7RRsxU/wPtZXmc3fvQsfqO37yxjk6YKcQmaAQmckZifGtQHmiC3FczHJ5UuXdOxCJuYeRIWbYAl0
HQF4CWf4/BVy6Nkdlhln4GlUrj97svC/emXB1dRTpnDagCXqjoqTsH9ETQ6XchchPYQcln3DHVq+
CjM6AOeX9KxzoLYHbJY30Rzz9Db0Yy2AW7Htd5a3BXqVq3ncR9q3MELkyG/EMDyMBZMtSAQBtrEe
EKNPGrotWkbQZS8H7ZfuYeybkR14MmWPBDLf8czZiGtpO4fJ34jsa7EmzMBWG7SXQERlRX+npO/P
SWTpJ8ObtEV+Vbjp0JJuwKrCodjArbMubtJOJbScmwyIUF9oF90ykbBirzN1PRJk/Urq7kE4Gu+F
WC7NAqATtOPhC200UFmhdwAwx7n/sOCs0AfJJoUOLB5g7kiXpTe99T66KGazD5WZgw6TXoEdVwBe
+BdmjcaXOhZqCQ9BoiNlsOuY2e/5pN0TICvYR2sSmOeqyjkk8FVbAIQ2fQ+XJV2+mDbh31Xkih6A
+lAAVDXPOx/ISp4mNs9hOYfRiAUx3oaLPyRUkvrQtpW/Byrp7Hn7NLegraM4EWU3OPwhOSuXOlSg
cPVB8W1mOTk7oJdeaxJZsQP5cwAUV4Lne0Nh8NHsc0OXl2BRlpRW0uiLzoT47CIbU/DfcCbtXJx4
fWxmjlqOJKh9zdF0b+AAj/RLdMHJJqh37KZhWqpLCBAaWFUGj7I7OkRRfxeIMMfkT1X4QcBgzDwA
PgJaAlAkuX5tJt6ZXTvNrf0w1l39A48MYwc6e+RQhoGNJ0ZZ0tkBYGaT5i7wmP8o9ulT0rWdPHZ6
udpw2mFOzgkUpDCgLBqG9L4m9LHJI+DqHDb2+7Bj05eqlm12ykQPARp2IaC0c9FXZN/wuuuPKoM+
glYer7zAEGG3GYGlELuOEpx8Awq+BG/iVZSe+0w5cQPXCKlvrHP9ayYAabnth1piUdOu3jtFVVO2
ONDAWUYlqbjMsY26Eu88aPAX4EBWH/OrPHqPM6MHzRiGEd2RihYU5GFoC3nMYmXqh453DLeeyKX9
wY6V+zqyGgcAcRHeGV2V23xHdJ2/SiD62E6DYl/fhTEqGh9wCSjmm9jGM/kQcQjpv2VVs6iHKRej
hRXIxKOTdlwOT3kLst73hSvg0VIw1H8AKknqW4Lb+oLIFUPyH1a62VdDXQdPHLxKsNRIhYcIRLrJ
BxyipFJ2b+cW12lf5ZV6hz8QcJ3xGCUPMaqbUVsG2HXoU5So8BKqJnP7KdNtXNoQk3Hb1EKD9RwV
WoCmhhl8n1pQGA+eAwS2d1mjcL5NY6s+2XHG7oYnLu0fCeqBX/ASoueS5SLkuxYOVmxfk9G9tnGd
RPsODBoodiZcp0scItXH1DZXoCgLUDmwo+2R7KaG9A9CFTzasynL6levwgA8uzkPp10/LH58ymyj
D62yuDbiCtKKI8trUvxAFSmZDiqTicarFRLt0qAe1b9A3er6Ms/wf7iReZhGAsa5tnJHlqGO+UkT
XsHUEeWLtCgRZHHwCKwxNtrWVPl4kwYKhGu0fbbG3QkkWZUvUxdF7AuPiwKE0pCKoRxZ0X+pBP43
MqQmmcq2XfDv4JUcvqDonaJ3Cm+h4443A36gVmXLcJ7wB+QeyEOXodBE2/RL2DmjzuCBmuSlmNqJ
AdaINQ6OYNY9hTIcxd8g5A249MqGN/tmDqsMioKopgVQolR5+pdJlqD4O3Zdj8KD04BgQ/kb4PrU
ipHuss6ERemRis/bVHDr5tsxrkRTs64/m7Rrz6oY8kfUyujG15h1A+5AetLBBqU/52Po91IBqrgo
uMNueKACY2L1IMM8NemYeXTODRJYRPc08+K4beiVvkHhFKMjhZOlG6KgrEI57oI52fI4i+9ePcQs
KN0HeQfpP+4wd/kyPOAas0WlmpH/kuY3OoB0tLg6ETQzLnPmFs9K22wryFqaz4FhhYc6WooQ680+
k/oJ1/xNak98+Up6NODZTs5hAw//LL7gyvoShcEWGQ+GXr2cxihsxjpFtxKlMCLIghppO8zR/vAu
+8vHTIy+eiaVKOc6UV07xGJ6HMT45rLkbdMqXMuC0VgOIFga9BddF6+uz270pN+3Db16J0UmESmY
NQ8XhiudAoNYuHzLuzEmZBWWDWRHuLrAVwkFV3+fTyE5qqna5v5A1qrgIuhRxMPr2cVGwQkW89/H
IPu4bU5WcemHFpsgxLSXa2cIqka7oPHb5mStBpajBjBo5HAfwcPKzlc1nrpGvW2ZrLXABPmVHyOs
bxfKz3Fr7yinW7Q1GVk3doCWCNVRAGeTIm7RR9S+uIVt0Rxh6FVURrrRETxZ0eaXVfJrXLXJIepq
sXH05Ge1BGFmKgCxQsN2vpAjJN4PM5LObafD2m8SoLWItg7trDx6LqLqRI3cOPIqLDNAbknjsH8L
jRIHxHuog3VIvTYt8HVbR8HJLAYoUS9Fak/KLbee/A9zZ9YbOa5t6b/SqHdVk5SoAbjnPCgUg8JD
OtN2Dn4RcnBqFilSEiX9+l6RVX1umjW4S0ADFzg4VVlpMxQUh83Ntb/VbxEz4m1aG2bWmL5SAQbK
yqsDZ+RtVEcftz21NS1xx+sD5A0YIaL67/NcHxBdvtvUtF3U0QoecnfCAovckDxAnboea9W+ZtT7
FzuDraTPOZMi6or+rGZ+TaVzlk3+sO3Brd0SN6Lg4PZAEXKfwQ26PC7+Nu8YQOpfzpyMTBVSipg5
uJWEaABsiWJTWVEAD9SXTWMP7tgK2f8ZBWrIxDlXGdm2BNryeVDv8046eJFLOXxqIyqTpvTybTu8
LZ+HikwMErfn57UgO+E21x55DRJ8eV9/0OSgR6y9EmKABk4mCqW3PVIfTy34yU84auFUhewZX09R
CLfqhXiueuW7/KkIKKC2olGbtQtQiF+fBb4ElD1lnl/PuP6+Wg3roXnAhf07OAlkJZQuotm2GNtI
Mta3jC6lQhwjhuqjB1P1Dj7xfXXaNhnstcedszAr8fLDyLvrc3YjqNj25HaRQBH5YOjicHjuBPK1
OIc/NVzqbcvxH8oEvAYJQQpcTuBn+6Zrbt1g2QT5oXaNALa/MRMaz601LgV10MeRCwnOpv62qwSC
oRwbrtDfw1h+7yb3cehhPP73bV+Wgj+ZEHaZQF4UuE2H5OksCTR2KEN6N7mV/yFbNqnukfS11iBY
NrQsmgOJcL1zY28Qn6upeo2L8BfT+Y8FAyj8WCjgNsjzYYi7zfAsS8G6XZ6FQ7HL6965y4TYuOrZ
FQRlplQlJnBA3Up/oAu7CcZhS2IA3WQtTMPYSVzDAQayRsioOS1ynF050Vfe8l/sjDYGVJSqzDRG
5bkzvvu9IGQEtNOMG8E0dgEBdRWgRSDTnHEnujySbK4+uaottk1bu4bAbXpfBbRD1xhfpIw6FW53
K3P39xPgL7rGLiOYHTk36wQ8F0cyCcioCPlips22/IBdRrDW8FsZPJyeimk+OxG/c9xp25Jj1xBA
HVYZH0K5MwSVFa5ZvR4X8n6xvrLDs79YGX7895+KcTru5khcRuJsxgFJc7+ol9sBVEFIn+dp0sgQ
juIBFJX+nSooeewg/nIQGrXBt9Br66ticIMKevIhwq1o7jyGrgvVDEfc8LYcavGpDhulUABK5m+D
wx15wEavs2uKcBwqsx5tTXLKLhD1eRvAm9qFC12vpYe6pQ7cjf5K9fKmEtG2FJOt/y9nM3kGEqUU
ceFzEcmdEM7XbQPUCscbqGBVVKNpj92Axq7WbVutLfyHMfMwlVC1pfncQGuOEdSUrwQ9fzGnbNX/
lNHS1zgQplAih28vu9U9jlft06YOsTX/qPtZotxH6wqXP/OSJ7L8tq1lKxSnea2aKZfoatLGc3YV
thtTp7Z5bFYZGfmZiNJO7x0ojoNxm8kYtY2MWeETNmu0zF25X3R4bcBc3dYd7svjg3E73o8CTdOo
Orh6TYBP2bbd2dr+QqK4dOQYfB0f810O7RAEeq3Zb3twK0BFeWyZM9ZHaQ1pWkKm7m7qwk0lLQGl
1nzE9dza+QEa9xwVB/zgQ+Oy6bHtywHcfrh6hjtKGnSQOIR9bKqHbS1fTic/reWQZDPeXGT3tK5Q
/B3Ekfm0rWXrYFxVswkhWfXTwOPNbh10taMd6gu2tW5NSG/InCbAvRgI2gTXnSM0eWsxb0JMBNQm
c4KEnuVQpftpxXl5hYvfYg+pcPnKBvoXi6AN55yhI/CbQPppNLj1DRNN9gDd6MYhbtvCRr3DPA1l
axpCzTRxeugrtm322HjOSjVmXlHWkFIyJUw8lWrddnC06ZxlFIZG08FPByWh5f/WrxsjUBvO6UGB
5MJcFS0PkCHkHn1XURluShISG88JL+sGJRYeTyszvcnW+UYbfb9lgBObzrlA6IYLVc5T0hc5fLKz
NjbC3xb2ExvQmXd+6fHV8LTl7j1qDu4Ubkq3Pbg1M2kI/wNSo2nEJqmi+Vl5m+JaYvM5zVTJEAxA
yCnzpTxRPY6nDFqSTSsKsW2xFQsqCowjT7GuFIfAIUMyiLbYUkwZEJvQqZfK1ROEcukUwQMo4Gc+
1Bu7hb1cwo0BkZd3I0+liZLMiVDzsWmhIpG1W+ZeX9G1XHi60LDdQz9J9hH1XiuE+/NlkNiAThlA
bVqPaD00XO4bUbo7gihr2+u0AZ0OkqeaGQxDmHJci7H6IFZv09Htt7K+n/bMwSsAk2ox6/UYVp9x
vArMzujK0dtWFZuktxQSyph5ndNIkFOh2W6A+GzT5Awu7+KnR18zp/ZQezinfg+4gVmiBxjnbFrD
IdN82Xa3KorixXFOZy4LyN7z/jBkgThuenIbXFpDjK1RjIH3KWVxRNlbfVID3TbQbe/jtQj9khQO
T6GxeVdl0Jd4nb9xYbHdj8NmAmGQoXHImr2YQjO4M97kbxzn1huNwKKDXjvkqckrVAh4feaAvljm
1SamR0BC67XCainAvaDy0naVybSqHQPDcNs7tVauRtCwJ6Ihqc6yHaVZ6hq2baCH1tK1BKQ3cFUg
aTnBY2muILOLNkVBxEaXAvM2N53OSdo7/b1kzUPfOltQVQGxyaVtVzQQ7k3QprbsPbwtYaxem20D
xeaW+u6EWitI6lOyMOiFy+iDCea3m16kbYNct2pa+7ZYU1QZNwwJoHJ60HW7zUGP2NTSrq5m5lYB
Vq3Rv/G7dq8jsumUgkKEl4sWzH4ieHBXczqSADCcZt8V2cZl3BqC0BxSjY3TpJ1EUgw3j3WsFu/j
th63zprCx3URKSOToh4CKiB+A2H6tue2lUsZk0OxamdMkdROAl2kNYpjNz21rVsaZTPqckJxZKmX
2PNY7PBNyVpii5YEHNXngGZjWqEitQqzw7SJHhkQW7NUeYssxOiNGCEo4PN5wIF7cqNts/IPmiXh
tjO4rWM6ofIpKWDFt3fNNps8YquWYF/nsrKaxhQ6WpT+0ZvcbDP0ILZBLso25jIU+ZRKd7zVo0ig
RNu2CNqqpcntc1QfiUsFrUbpZ12nThN+3zYArTnZm7lvltEf04IHqVFOkit/2xpoYwzDaEIRc4kR
OHuw82u6pTsUZHC2xZy2bIkDkDgoQkcIz9xpjyovHufRQJNN3WLrltq+Mi7y7WNads67tTKHsva/
bGvaSgMFsPSbOanGlDp1mrHubbg277c17b9cuxcPph4lH8YUPsp3GYves24bbJ7YOFouu2nEEWJM
Ub15bMxyCjY6ehJbsqSrYpmNg6duGMljiPOvUBbzdVuPWLEabS50KirHlPkfc2L2tCu3BT22YKkb
moGHKGVOGfze1nY89vw1D9vL6/rjRTOxBUsgcqAQYjRjGgi5RPugVUG5nzLFPuW4FPbjQHvVtjwT
4da2OQ+GADk9YjF3yyvWqPMgnW0rua1gqkYvKmDpN6RRLXcZgPkE+vJNr9WWL2WrKxcmvCFdKpM9
aiLL66wNttmREpsF6vt9gE3IGVK3LUjsjE1w5c5i2bbl2yIm0BiqseIlVtzu4g4YJXVebltxbRGT
S7zQuAbdYgb/6Eb6egTVZFuPW6cqgXtKZ1aOTlcdxaivBc472HbosTVMa41LMNcUKIh4ClFKIjY2
y14uhijvrSJQ7oaUTg4K5KsUhdzbTsc2/DMKKqx+SG+koxPAirQ6Ad/wmsrk0qF/MvltWY/rzRNB
8fCQlihxuTKYRScHULNtu6at62lnXxoUO+lUVfzRXUKU90ZgMmwaI7ayp5FNj4qhZUhRS9ecR1U+
ykIN286vtrIHOgM3gq+0TsOoPVRBcKpmvi0VaQt7iiKoyilvh3SlzX3FVMIbVKFv6xP+chQ6s5vj
xFANaTux7ygkfxIjGEPb2rbmpD+EKqyaQadMPHPU0NZRuS38sdU7vBl7lg3o7EysO8gZDjDu3LZv
2uodUGGYVJcBnbfanPyxVnseDvqVxfUSRP3J7LHVO5HT0RHIFY2ts3LPBorlz71E0SU0fWXv7Qfg
nGgMzBYqPje9A1u0aPRswEGKVNo6jkqUUKhLBhB4U+O2WIgswkCHLoF/yckay3Dsd01GN+kw4Cj9
cmS2Q+854dTotAOY8iD9SiZBB0Ttpke3tUK1M8ytrzA26ViQ64aCa4DT87JtfNpaoQJWagWUqCqN
aOcnRdt+5EOzzXyb2Goh3jEdzqxXqYiC2656W+b+/bZOsRaDHP4YHop9VOrWE6wi3G91IbalP2zB
zlCUs+oqNK0E6p+wEse+Gbe58BBbJGsaKspVeiqlNL9CR18PWmzbkGw1EHgwoZlGodJwCUE6yOKu
3XYjTmwUqIkIDIG9VqWlyA6rfGYk2zYvbT0QmUFJUSTsU4iYE9ji7cJh4znL1gP5a8kKB0bDqaq7
eIxmgMC6bQGRLQZaWlGjPAm0h1bk+cfQzOXdSnL2ZdPYthmg4E6EWeTLPs3hNMqB82nnjSGRrQgK
hwVVxzWaNmExJPUyVrtAynnbCLRVQWIUjuk7tN7T6lgLYMm43HYBZBM/K1XAdydvWux1KOvP87w7
FSMkt9t6nL1cwOWl3sxduzylUAMhlHsbyo0XejbyszQtR/n5XEGqQqGszbrGvG81mIcbH906dWI5
yTJdoP1pMDTp1/oJFJGNGURbG+QVIHh0yuGnSUfnASiiINum9yB20XBRtquaPPBBBPjcoMQuMXg4
G6/FiJUYWtapHR3pXRBNbrxCeeTTbXPTtuwlQ+n1YJhNp76cvENY5OsRVe/Tts3Y1gZBHKmCnOfT
qXb8awe4lWiS25LYtjBIhJryAUnsU8lWIK5UdMOycuNFoa0LaozRQDagV0q1PKi+qWKgFDbG/bYy
KHJaZCX0pVNGsDRMEKY9UJfbgk5bHORWSnrm4nIWAfEBlpfxd3j+bUkEWx/UZsXkNHOAxrPsHgat
HzKzJSb0I1scpFrZaSCup5PTAIcIlmAAPsGGtRBNhy/XQlqAkFoYBvuWuUgmFkIf9Hlby9asHBVt
Jw9Ykgvb+lPjtAdTq439YaVrsUkuqhAGhN5+vpJTeYjWTR736A8r0pS4xmNF0U+nqWqzAxBfFOxg
wbYcmNG6dfCMPFiX44pjOqk5SHpSPWbrpoJhNO2+fJFTWyOv0o/TaRjoDcvzZpczuul6HY1bOybC
46npAHI5gdxzG0UB4PCB2rJUoW368sGDjpSiL+rpZEBJxAcd3WDaOE6s3VIrUnNwUy5+UKDMBUyA
PLRuSqX60R9kQVOVyZ4000loXHMs9ervZ+p+2zR5bN9eh0EbOaIe+STm/ri2foxO2rLr4LmteUnC
QSBPjqYDXu8aXe5kvtHbxxa/ZEB1A4yEpud5PUTgJxck2vYqbemLGnuyEoWZUyEnFIuuegyJ2mi8
FVrTskdZFFcziN+Aw+64O+47cGe2vUhrWlYgzUzg002nCzcIl1egCfrP25q2JiUIM8AVwaTx5K7e
QQBUE4fItm98bmtWdi0MiCrAh0+tqO5Z/UU4wRZZPsafNSn7TkRwl0Bnu2TGnsCPeT9siY5hkWpl
ZsjoVgK0LAQmGrauTXFEXc+Www6atvZJ4Dl1Q3GVfILzW+xLd+eDr7HpPdqSF0UxU+q2mk55uSZ1
kA5yo3+prXZp2CTYBEec01x0CfJJcSc3SVLQH9Y+SXq19KTD6pcv/ZyUIaqd15xu7BFrPoJI6Nc0
x3NHkfoCNPb91CzVxrZda7tpiAOdPNou3OuRhjvw5Ta2bM3HBhhyn+CgcBrlEi/Zsww/bBsg1lwc
8sLnw4wBAj1NAiV3bJr+t83gf7/wHNX//i/8+SvuPlWZF4P1x38/iBb/+6/L7/znZ17+xr+Pz+L2
c/us7R968Tto9/fPTT4Pn1/8Yd8N5bC8HZ/V8u5Zj83wo/38WVx+8v/1L//X849WHhb5/K9fvoqx
Gy6tAUDX/fL7X6Xf/vULvWhU/mPvcmn/97+8fIF//fKm/fzHH3/+rId//cKjX0PXB0LJA2spYvSy
+ZrnH3+DV9oJNRT/+oX5v7qhzxCuuK5LQEbFS9EChLnLJ//qcwIMIaM+lDIed3/5v1/z7rdU+289
j6/9+59/dp35oWT674x84AYci2QYERpGAZC+dnFzOQRl1VYhT6gTunkc+dzFtUJeEjeJ5oXeTeWK
G9dpCuFDAfYtKoXqEXm2eBHiYokglStj3KbI79LJDEicjsxuKyamLO7bEXnDvsBKD8cWGg2X9YF/
DUEoWQDCnyRJsgj8vytet+D5uzTi9043Te/J0hd8V0oBHlWgWOclXiQNKLekJ2+HwSk+duvKweKH
rXQVawgf53hac0wLDxC0+kSp4s1VtQpgA2et5k8t8A4qYbNyvRhgc+Dqyr5X9MA56lv2iGjFeGCi
gta9CKvs2PbcYzszynU9K1cBQu0tGij2SML1KgZ0qqwP+mJ58hCJerqah7oIYi93UfY5z1UY7Mp8
AR0b7B5O41CPKwJEAfAooKe9cw7gAIE7IVO49xPFl9wJBHcZpPbqlRu5HxVoL16tD2oK7Cwjl1AO
era1qeBKoiFj5XuJAY6gO0EoAs+czLQt7ndQaPK2agR0+ABsJwMrgluiyeDv/Kb04V6Bk/EJDXev
ROEvpROBGwIBFoXco+C9eDywcxK0kXlbmChM2rF2b6njz4noTYiwax7OrM9eq3f5k8/DMSjw8KEs
jJh9O2mAJmnY2uPzZr0exkGVnzKgORJwfvVXMMjV8adZ/ifT6bIv/dzlAFURSvBphGNuA7X1cvkf
4fQQMhikJgCRz0nt5OYM26JqB73VP+P9XLoSH4VlhIF47KEzrWUb9ZLap8QNE2epwn3nzOJraSRw
5H//jS6b4YtvhOUHOFD8PwtCN7JzVKUZRLXmZZDkDgth5rL2B+Spglc+hf24kPvpczzGGWj4OFh6
DB+HEfKy52rEUqZcjbcbkIKcor0/cwdmJuAAw5/HHcr+cWQN4Z8az6HOEWqk8nveVUzus6oXYbbr
CsWBk248PmEVKup5fjObpgAIfzBe9qny8lLGOQP3qosrX7IsXhh4i3Fl4FAEc1bhPEeV37c3Ue46
2GTn1f/gQf607NdhxABCCBUqyKA8oFbiDj4CAAsPfATiODRr+6mgHmjAuyJaFxjk1DM0bzHruELV
qeM296AZY40YJtweJFXDZHQstc68t53TTwXgq4FPpjhrCyCzVj7l6srPRjheg36PBCwskicswHyX
tTxAXEjagi/nOnNmDj6ED+cWpwPp/NBRgNxRu+hP7S1d244mA3CbXRuPug6yq1HMLUZi29ZknxM6
VIcpKGWDeHMyS3bdTsQv97yf1uY2M0T6j36bTdMu7IaKf1G17po93GZlfyxCrbsrIrrsY8ugPUmi
VZTjxxkGh1/XijRveV3DajwGJLQc7taudqr3bVRU6q27IIXwgCovWZ3CshblDfACcop1A48/WOtI
mGr0ScWZSw+ezmB3NKxygr9EPVf1+7yEmca7ng04Ue1cVZS369g57Aqq6HH5grRNh0cZwj56M41+
BqeBNlTFAZ8YAvw6SzhqrCgm+wJsbHNjnByI/WKSfIrh+KHltyxvalA9qiEPR3gzLRGSvT7VPo/D
VjnOI/RGUfBYY8YJMHDGEOjbEpDwvafcdnjUxSi8+2mlxfy+qcq828M5ap6Ppm2mdUdDuNC8aUB0
uzDRYaebffSmAEYyNPBA4/ednHZPeBdF3pyKwQQ0BzWZT+wzy8cA7HpJ57b/modNYAxKjbWpAbCO
SlTz5GBRxZkLsDCydthAh853nDh0TJ0ndelN3VXjZqjDhXORXk41Spmas4r64KgL4/pH6YlujOU8
NgU2AS3Do57gMRoPjuMG+wHPXe1UtxbdoVfryE4yAvdgYRiTCQDvsL8eh6ibE2IEPIEaDR/ffVmP
sBWpzCKHHbwGsuEcgjOf7wE5XaO9Rxx4TflZuDyGS5Zfk85rwj1csco1BnR7iPYDkst+zA2uNdcq
gMFIoWYdJU7WeWo3OpQVSQv+cH2cwcEv4zKSyxx3BYjNl4MTya9dr5/zAwnptJwKJvlVNQDrduzq
PnoqRZDLQ6GQGU8cxip5QAIebGlYdBVDHKyjT86McteHmxGA8ygQCLsbBnRB/gZUXsUfimJmzglG
FmTa0Zp0t3rigcR6JEWdqDbLH+DNAu5q3jvYXELsM0BUU9DN2/VmgatR4yR6jSBjg8OVj5eLJ28C
fM4IEvnlGqO7neFDsuKWTpUsOsGtrMEK5K258o75OMENuz/3Luvh05OMsAiD61NY9jpxglW23hGQ
94y+BrGyNjWP+R7CQ2w44E14xLXho12X5UWpkBcuQOR+E82kTfwxM7G70tek/D9usF5sA/gsN8BW
c9lCEd5a2wDiNIkpF8CaTE3dwYWxW1yGxiQeQNLvFx6V76QrM/w3lt9moUP2ArZCO1XDW+3v9z0r
crh8aYobdYTnIfAD1NZ4RKjWdocAJg/MWwL/hEU8/+JhpZlj3MAF0XWIctp/BjINPJdig4XjCUeQ
5IfMvvlAPRf1HM8zCe3Nkgwd1q1mhhvV338za0fHpyD8cn3XQwTBEf1bMco0u2UhJ7okSHHDD1Lm
1XGKoGP5x5/CwgA9h90c0Z4t3uoFIoqmLWHXUQzkrdIeS42jX9MP/7gF/nm84MsE8FngHCYQng8/
hJdhA3Y3gPbrzCS4tRxxOAn9OvNulXL7ej9K0OvfgwttUKfkd7I8EidnTwNW8Oi6E/00XPc1J/TY
dzMByBveB9EtPDGj6fHv++KS83zxkAxdgKMaqtswhdArLx/SRX0n5PxwHxn7JtjD8snbcdnQQyQi
7BBhPieF4/1OLvlHZ+6b8qsSWnwf7BP1i0P4G/nc3Q/q+Xm4+Sztn/yfePZGiA2zEszYvz6A3312
mtL5WpSfHa3HFyf3//z2b+fxIPrVZ5hwUUARseOYgCXnt/M4/gY/GzIfhAyEvuEFEfj7+dx1f4Xz
tRdEl4mEX2FYM38/n7vsV86AaEZ7IcEMw7HrH5zPf+QVfho8DsMA95AwsLXUEVsk3Eec6iSQHYSz
ejTB2Alb/sJW9RTlOGDPDDRy7pj2RERJj6g8g6XGUpKrhSHETMXI1rgOw/JzMClxVmTO33NP8HO+
Nh8ro59mGMzfShM4V7xrH3w1zTseKmBj6gbtFu0CDykpd2sIGjstKtQX1NG5wH71rnBnhyYYvfwo
dPjGyUYDs7+hfo/Iz/uo2s4TybSUoLXj4W/6rnnKcqDyw9XVsc6QJfSY4yXc5feUf2ZNq3ZYjxR8
VXSWZJgdHTM6oVrDWMMl4gaeUMtJyGzeUeQFgc7q8JQLfvrEtWO+8rLL7hFeUsRWFHBCs/j+Uw7s
+xnOgsFe9kGfCLL68aKX9npoRAezKvhRJG6diWe38sQJFkA5xAOBuoInTPd1ZVl2UNigHzJKg/fB
gIjE9ASmWjUQYU5E6anLS/dtLxZ3r322HpoGbmwF7YKEBrDrACQe/wrDLhi2YXzt/KCL7uEkidvy
DGBfHA20B9JUlN8acP/BM/GmS0lil7hGjl+168xhXGFsNXERkj5mRJlzj848i5b4WEG0e/Q8BOYJ
7Aqrm0l28mZx/O6uzhQMs+G6imgMhqeHwq/haqlEd+MNPsK3ilS38BSbPowlrO+EkwXv/KqI3ixz
41x3uZgeF9EgQhQcVwlFr5K2beEwiODmNpp7d5f5nrj2UB2T+JKiNLjFaQ2JjrAC86EobkYZlbuh
mty49Z0BTjCRiGfOmtgDUncPr6cVrkRwuSHQDBANrztItGb3sXUyhVLJcHlvgO77khdK3vByehu2
KHpolWC7MirDN5C3wyYT9iXHDP6LJ5SMySRb9DNvs/p29ODEGBTMnH4sG/8fltE/T3D+j1w//3bp
PInu26g+65eLJn7lt/USacBfqetFgM2E+If/A0Dx24LphNGvLieEXBIPHHzmy7L4+4pJg1+xCSJ+
hBMrXC9BHfrPiknZr9EltYC2kFJyOe6t/9GK+WK3RSjAaBD4iGsuz4dUqbXbYjHFaab2/cO8mGXv
LjL2eMev4Cn81nUw7RpkZuBRS2IelnDRgo6i988rpGApnM/VnmZ5Artp99DS8t1PW9Ddbzv+z8nW
H+ra/w4E8Giw20O8gmDF8/3AtWkmZaANuxyGjquh2SccWOEl4rSwMNxJ162P0sDsdR9w3UInvZLm
WiLfCm4dL4uUZM5yD8aF3PfuqB+cYtI81kIjOepQcZLUrHcMqcxrIxGt31ViHWSsEaROu1W07AsK
IwAKGUWWPSNmi9QeDsttFsNUkF4j5lSvhM8/VIvWV/V9OMi4eAOXoAcj4WeAgy5wLC7yOUNtoeM/
zN04mEOWzQX8c2lw8suxhBuOs6ahUztH5Yzlp5ZLnLj0UiC7DL+M8sYZWPWmzDg9QsIYfgvx4nfw
8dr//UuhlyexnjTgoI5h1Fz+YWvTixBQcRKVxbEy63xXtUH7iPKfvcJVKljJrnkzqSV8nItZHS4q
szfAW4ZptQYC5soDRETZyOZ0yER5BUqtObzydJfR+uLpLvE6MooEydKIETtj6ovZhwFgxQ8SaO97
MeA6zIer3M7QpoVRVH1Jl9dv4FGanTUN6TXXhr5yKY6I548P4cIUkcDfhCDcti9VOyQbPR82cIdA
+05z08157p7zNoRfrld/zCtPJovbLDvdVCopuPZgfCdgH5k/rig3SWrV0au6X9leB4ZcO3w8gnpg
du60ihhiLPHO6E7yWDjLCQjh+uB3nN3BQMYcZ49CQlA94b6Y7pQg1XvBlybWsqvfa1xE7cA/Rt0j
83bKMQ8FnL5ueljXxB7CpAlKvbF8KFDEBKxjDlHZcRLB54rntEiamjWHzGFc7Pxpwn6WjcVjS/rm
iK3pumT1GsY4H0Fo0Hm0i90FJcQCpCAnzpeB7CrNww8jEMIwvMJuhMfgsFiE7UwEZcKFPlM9BEE9
J9pxGY1rx/tq/LZ5CuGWeip7sJIvEClYm+XY3WFxE2Au943Zm4bD2FQWpn12nIbu4ACLm5AG/WsG
lcXImyHlAdh7+Z5UA1x3ABE8rcgNPUU+6EVO2yxXuQyXI9j+2V5mqkT98CxOjtfrz1mod1Vbdtdh
uA6Hfpna81jDEwnAH+BIeYNaCS1u565uEz33/Lobpuoo/MZ/R3nVJhLQ8/3iT8WxWGh3HXiseI6A
ldqzsJ9QNCvvXYj9ExAWPnbMVYcwgLE0GZf1Y9AIuW+FHyEDFqmkNBPYv6hXi54Gk30CUOtuXcjU
76aRuw/ws8p3YTg9lGaWTVKEQL9Uxgm/57DZKa5mJ/JvXeRPdpGG+TeYufl+cpDsjJcafQ9s3nyb
s0I3O7jmtPfAwE/J0lH/yJUoj/M83C+tFIc66HHlovM+5j6YyihRHpHaqaIkb+gy7iDCRCq5hYdi
VOIlzkwgj0hnmmZGl8+gJfAdArxmL0z4aVnhsd0I86kpIufZKbTZ4bKhuOOueJoREe58gU5ea1S5
ws4xQ9wWfXWWYd9nc5TOjVFvsmX4QnvG4Jom+S4MXAeeimwnqnzac6fg+8Yf+v1aIb1ZYiC1emZX
0+q8LfrqbZNxfVfrMPEUisWbenVhnn0JsMds+FbDnpXTbD2avrhtZW4ORVOGz84afHWmodxNCD5j
moX8UJVIU43IKB4JK0FOETBczoqMwolIs6t5yorvrlr0LdYa2Ak5cOH6ZNYB5pm09g80g3ChXFHT
txNg6ySFly+pMorvoYR+xlaNoJ/nww5j0ryRuO06wEFoeFgaWGjnovfuepfvuwURYlTBPlIqDve6
ki7uNe9V3cYw4SR77BrzU4sLyC8w7fPSair8jw6SHLDXw63eEnmXUlNN3N3Y1K2JyzwqcDpY3wkW
rbczsFDHBmk9+Jp3Xxe5fMg1wA5Y7/i1hs37iQU8OzhSeO+VC5+2osjOa9asCLdbuIXOwXo9tLAz
FBEg9OtU7qpsAXYHV4PVqY4qB25mVVjCVg7O29+hlCufGCwUwxiMkfZNk8/5KfJIcGgGg8T1UqUo
IGpwt7FWx0G5UYagdpYfxq5y06o1mG6Ndx5R/v+dAH12KzyFWqwVadi9yKBUiHO/ru4irZ1d4LOP
lVyuFYyz0kJjGQvdrI8JD/pz4bfTvq3dGlZwTn0brrDGLTlMsWBhPXdXIgshOfbKTzqqdrVyineO
DPtbD9K+0zo1UHO0pkN+uveSAOyRB9Ot4IKgs95pBns4wrQ++LD1LmMyZxF8nudCJjwv3+TF6B5E
UH4Qnk9LXCujUippp3F9W3kaxJ98cljs/R/qzmM7biRLw69SL4AaBDyWA6SlFY0oUhscUgZAwAMB
+/Tzpap7mkyxmVOzmjm16laVYDJw48b9XSnaLZGnzrZyVXumm11KZrxXhqyJInR9o8JBOia7Uqr8
pkm7gnl4kewL0cjHUYr0s56V+s86XsZL3yhessU/uB/69d6KNPt+knm+KmPf2IuRBGenuWN2PwbC
7x+XXx1VQrTsBnlScxnPsiT11nGDyqzdy8YVPejOEF0TdHhDMu8Dp0MPbNq5Y5tKzkxzEuuxxTsq
9/2NblT1mdOOF9Lprt3ZNtc4nF3VqS8CrSP4LkuRQrk1o9rJasQuSxf33IqXs2jQb8qe/F5Gm7gI
OqMimbpV2s1gZ16QOXMUkpjJWL1Nk00ko5dyjvDc6CK2O1JfIcUQBN0P9ReCjatn0TT159SQ+RpH
0grX9qFdZb1lb1P34J+TW/K8dMgFNa3E3DkZWesJHfp68odkbyWNe2Mpj9nu0uSbAjeIgNFyEeRe
a133BTntIXo0DGHw792BzmfnFR3f59kv72SCUTLT8MtWpZ97KTidz9GnZhjqdZvl8udsFf1laTnF
pYzcdOdNNgc0FQEaDFNq/yBeL/9JNvZ41QxNvGprJREZMcsnyFz/dBAJd+tMI8iSjEs9XghhqnHR
7IZoygIZK8oXHvYGLIB4GrwLksP7dqP1Zeedt+lQauvSI1U2aAaiENZZNGhiq4aJaDHQsCnHSzB1
kYEwzCWTebs0TbIatZT0QrtXwHy5LXzyQWuz+FayOeWXzSBH99wpzMYAzSmX7nuBOXS9Su1G10Od
BVSRhVYzpa+nQmV3dekWF9g59tQnHxv9AY6NulKuWTk7EkW1OSgEtgp7XZ8aZ2OMZjve9OXcQKZI
CfoMa7czz4m/FZfCGuOfxCtysvYJbr1jEN5ZVyzzngNMW2/xWy0vmAhMV24x8T6MeeYNzX1kjjRg
crhwIZoAKxpz98UidPIziVzZ1hqG/KouD8fy2dZW5PP5z3qmzB2JLOa6hMXQgY4tHaBlXCfZGpPb
nh9Oj0FJMicNzT6x1v0yA04OXTzXYWu60zYSxVSH+FFM5qo1qoVs2ZmQ6GCp3LEIlVLys5tZufap
sHqYFL0Tf+oJ090M84htH8qw8wUXzEtmbuIiH6voyU1bjirKIDKSFMKhmtdJklKb/FZ2l/FEojrz
lDo60wo9OssMt0HmaXXlvi6d8c4crObM6IFtGKAMLviKMHatBVbIG6BP68uopgeVzm3VEOqapAO9
GRa+dE+T2ETETb/UnYFr0aKJNmyjNP1ECqD5pap18yu9trnmX1leQMqWdeTGpU8DW7k/zFIlbuim
nXXnFuNdGxHV11flQ9G0FYyX9EvKewsjUr0dQ15lmv2lw9ctXCyThnUADtZtY1obWXc7NIN5UZWz
ulhGdwn7tBkDVeqQXgynKW8jqqzcSWPxag6xoip3dUQasmjifCW1fGjD0mYWFKrKlmdFoiK5ttx+
KC7qfFGBHUWJ2omsF9plEqnOuAHOTCSGW232ffStPtBpL78TwNqc697Qr0phFPsWH7HHxC/Dyum0
YFrcNExtp77XKkcL0hx0qh586jvOktfaIFMsD1o3lHM9LgGJrz2x6+00bB2zsXVC5i1Qt2U5yH4J
F3vGIbJ78fxufiQK19lbbtNddFk7f8+lfJrIGz6rxGIAlFXQZtKuTb46acUBeGlBO/VFGc+S+Nv9
bDTxpXL4sdNo+Bw3LZL6rl02Yx9fduVUPxKtmezKiW6BMVZfPWsqcSLO0Tke8B5lLeycZFRhih56
CUoHaCEwjVx+L+qCUEZNXvH9Fpf1ZEgZ9tx+HKD4MleaKEzeX2zT2zjezyLznVUxqrOhHrZFlpG7
OekJ8YztZF5mtMjrxG7UdSOKYs2bsPOVxbCCmPUyXxKIS179PYUaGYDrrarOrILCrDSfiW45fiVv
RV/Btb4ha5T/pMxQDemyjL5kBNbJUCs9tbUtPhp36ovrmbRGYnRoR1y21MRt2qCSSAFJGNbCOPWL
C68hTpqw6VVjQrMUra8FVq39yId+IqZb7tl3qXL4Df5MJzGpoHYHz9/1jqXcVaspQoGnUlU7ZZEQ
vM5zBN6hO2fNNhYkJO1rq+4ueec/IePPZegTFWuSSxmWprZuNasCYc8xpjSTvWb76sbXi5tRpTkx
wd4XolOX0OoamkmzfY67eAw0yfdlD3V0H035TSYzcTkVbvnZg+lTMOzJ5sc45askisiKgr7BmMDJ
8+mFirJshy5b9fOog/qPXC8XdSjr0Yb4xhkVn8xkH1OAVxFJ6/3KjD0GR1YmWfwmRkaOxv7qJ8yQ
6HbCVLryIR8TGdoNLSfN93BR4cS6o6XLzq021oNGTeO9Y1v7fFIXrWjyu9mBCcbIeyb92uEwJxnO
fq6XCgxocgf4B0lnO9BYNPOO2Pn0y1j0Bm4Q2Lm3wdQa7XlizRT5hmruz8K+InXbCON8Yg5tmPET
O06y8uVgbNt6UlAUBn1lVY77rPftQ5077hUAmXwpsqI7L0Z/hPCRJbSs6P5zeYfyPHtCaNTYW7IZ
4r3fmvKbolf+kkweZkvOGD/Q2GrnWNOIi7oYxud+6dpropy7lW6mbLjcWZbsa5Wa1rpjyh42S2V8
06FNJ4GYMTQuWscdQp3NYG/lrrhwiEZbub6ozlNpyB9/f3r7/lz2DQL2P8PJ/j/RUwGuHPeAhv57
iOziGX+85/ztmPef/9lfs15P/xNeluHYBwrhAcp6jY1B1fIc17MPCDnY2X9Pek39T89j0usDoQNu
mAeLu39iY/qfNrNZMOED6mGYTLP+1qT3wAb413DsL2yMr+d4xMvoAKV+02hbQ4gmNLs6CyYvOyuz
FA/DcYTQkjyVXb+1ZvE0GZYd9MV40Uz1noSUmpln0YS9WT0dZPNdMT05VfxIRLvbZ2ee8ZWWxdrK
/sZoyUAaRPEzKpZ7zWBTWsZ7RVBJOPjLatG7MrBU7YRxl3YhxeuqiuI9oeFBBVdi4yv/qmeeG/hu
ts2x6aLultmqnrvNqM3PFjttUlZgRK1zsdQtgZo9UFv+05fUmYrD7DB/zZXYsUUuqE7vjc7xQwzC
s5Dx385RbOtyuOWochuL9jHpnG+Tsp5mPf3R+wkIYN8EqWF8kcOy6zG/6JX3kjfaxCBLMvWdXEYz
Lvnc+aprhrCqk7up4S46z4Fs1gSeIcdVBbpa5eI+xo1vNdvtD9JFb/MqEpe8LGD9LtD8G4PR7spj
vBESB345+wOEjUT1QVy6AVo3ZzM3w5UuEvKYCS4JSA/7Xnu6Hlj6wjkE7L1OzUDTQCqXRQP80yiO
KoCioDhe39pTDQmOGksDrXBkq9j/nCtfy8TeycytprvJ58xfQj/1n9qIMOiIaVvutleMDKAV0eat
Fm3O1vM8q13lkHY/Z1M46ereXRhIM/QcFAqlytw27tJtmUpPF4mt0l3TZVsd4e9q9vvhGvqN/X3y
mphh2bdkarxdl8zaOp5M7SDHNFfpMIZ5rXMqb7WwNhRx13ncht7clGvp5mSnRUazs0iMSQKVOT+T
rFoPErrB3y93/7Na9n5R/D8IVh2Ag39fwzbtj/Jb8sfdgRr/oy3/eC6///GfpXpuv6n02x8X/M83
MNbhL/sH6u/+acNMwTCP4484QPj/RP1N+ACA/ZQwpkcG0+5/of6aEH/CzbEFY3gbWgsU3/8ubZrl
/+k7JAXzfwoPwcrfKGxv+SLeYd4PcuX4lFaMNqD5U/ZemV/LdJ5UtcRJaNpJd5+ZbnatFuE8D7oV
bXLO98GiIHG+enHvgFO//Lz+VUy5Ktxs4DnDNLg8ZOkDCPDqqtrURfmE6isEyl41/ZWwL3L3pfUv
FnlrHapee9MZt42SzHJbJqZMsOR9U95ZabYaxqeeDPTK1fdF+9IazWYAjWdkYETY1E/7AitVp78p
uwG/UxmOBC2m8sLw7xsBd7nL6OmolNmyJhEinHsG9QkB7XpDY7w1Ij9U7qkw4F+OHR897uFHePW4
ZttU8Od5XPfOu0yvmgDUKVhW2qYK2+t6bd7kDySYidAI/BPY2IGT9NGVjzhLRFNoBIxx5cjp+8Cc
xuuofYyFXDdl+rOf7L3V/fz4t/3l8vHRJdmtXz9sZeOeXphcst53602z3qhVE5Bcv7G30a7aA+Rv
7j6+5G9r+O1qOubPIQ8ZHf2wmpJ9uoZCEFqb8YTM+d1LEAnK/q/bv1PTRQ/dVhkwVCf32+Kla8f+
xGmB3KqHQj59/DTGgRT32wt8da2j1UJ4ocsIiGvFVyj06u/etvnc7qbzajs+llfxj/jMuAYAss7L
m2TLkMRkCBmMXz6+iyN25K9P9EAQ9KAeQVkyjh0QrbzrkU3mWdhpa1OsvAeaarj4w7yuOdcxzRKB
ccop4S329/s1j1ZrIVpHV/BeaHGy9ZCSAsyRLoinqggrRvknnvD3q7mMwlEZkZKJ4udYjtR5TPw4
lDEprDRYtEY+3cQ+LsnZnDirsjLNXT93alPCdr1EFdStTGgAz3PT9ruuIROtLrr+GmKNca2lXvZj
zhzr7606yiNTdWB8iqUBwH3sBCRsjvlVC/Bn2Ukatgz6V76fRucmOozQi7R0FdEtnCgZbzmbnmE6
HnxULgs11nDNXxj2q2Kli8LPGb84YQ+6GhRe3G7grKW7j9/+oQq8WuSmZfFMoMyQOw4747HAOp9J
Lkk9eOKON4sMFMjpFWKJ0r5vdb2+xmvTPW8LAX2HrpXJD5yq6ARF4pf3zpt7YHeFdms5pC1xF8cu
MaL2B9OQvtgZXu2tbYH9TNWO9c5KUx3GVFGtUXp9TZy2DFPQxHOZpPUmAy0KfU1FZzD/T8WVHJUZ
WzcPBxYfnh9sFwNay9vaSc+pSuYOhD2bzsJ4dmnOZd00e6v1fpipO+4UqrETm/GRdovgGWacLB1w
f0wz+Oe4YJuVVFqZcNF5Ku6AEPRN2vvZZ9eQGdpSsikDI5mXlUVMqLOy5WxCTGbKNUOyG2or6EVW
noht+RUL9uqn4Z48PiYDBovlWFB6j2rgYOi4YjQHARBnxTAt5uw8cgczbIgW2uiR9z0b8zO/StGg
xPOwUkQ+3Hy8QH9/LTZlgSATNIsmR9Xf3KUX2CNa20wbhyWShNZYClZFPugVx6squS0daYybxfaY
wtT1Et1FSds8uzroM0D+CAeQ7j16OXFXhxXw5sXwXdosEgs5Jf8ce7pb8dhpAyySjZaa47RZHH+5
lWWe7kqoPLcu54km0K2hFgyU5umbKsDhVrlrziJYyGP95MGyE5yWXI1DaLMsoDlmfMoz8rgHOGyT
DjRSTuX8kB4087fr2EeB6Y5uiY+RYUcXU94Wj2LMoJEWsRNqwyw2mSkOoZjMrWwptH0zj9W68xRB
PZwnQyuymFIr+xNfHOqLWPWnBIvm0Xs83CEDBVjjNNEGOepv7zCbzY5UQeHsymiG+uhAXiUhJDE2
qAKMw6AftVebg5iJyNyRCDtsPfiqaxl7IkysyAt09yQB56jy/nprfI4+9dcH9Dm2Y6wbU6kaMulO
yUWFft45Icny1urjJXS8gnhy+D1I7AzfdSEPHwYdr+s7SrK0ULG785f4h94uagUi5K4LmD7Bx1c6
LrA80IGG59LaeuiK3WMHSNER4dbYWbSbW/kNVAkMuoAPY5gwzYgWt+Ct+M1zb8JDcVQGlCjblgGn
hHI0ZQmSnqY68VX/cvx7/f0cbsk14Bfx6KgSjrMFRpMi5iZ2tItAiL6Dzlk3BAnv9TjXQmlm1ZYi
X51jvutviD43PosZNfDI77GZxhRmSqT1550zOEnAWFqt21GVZ9nSFVu0i/K2YTteCwJhTuzJv/9m
3DUMAQ57nJv0Y4tRIEI+ti6Ndv0APyBNUR/AqNZ3eaSf8tM82pgPv5nH2hCOSf1zEX+/XR52FvsO
mKkPCdrq771WxnLTVIb9ONeRQqHlusXWkCLbVfMCso3jpO2FH6+bX06VRz8Sh2IdOTpKcY9i9/Ye
Zixhs64yol3Zjc2XaoyyG2uyu5s6mcxslUdWMgSpPfcqVPagfS/5lNKAyb+1XjydyCm1SPXZLdsx
XgNRVElgurjDDIhCmq1sEnDDxMx9sEAF6NUPrXwubGlXO7ew9RqagA3OISq7OHFO+W1XO7xbWG2e
8BzvoM84dKSvPj2VlM0QZzxXBGy3KfrZDaMxUjvZN/3aBhHfFLUrYa7hwKPaJV/FhttvP3657ywl
DtyeZaLmP6jLDn/+6h6cThJ40/EBEDM+bBACLttoyJ3zwshOZX4eHT4PS4nujqhi5hiAcL9pjPTB
8eJF13YJ1KFVbw7JilFDt5bz5EFT0JMgg6wTqApn2I8f8p1F7POqDwOUA6fx2LwwB7eaZdZou04n
r8Xo62JV1YURmg0gtMhq3ASKUl8Xjaqvq7o9ZTXzzjs+tG8+LbShW0jL3r7jFO1d5i2AGnUV2xdR
P+ufShZfoAn/1Ldy3DEe3vHrSx39nJNKCt3L4njPR+vtGj2xyWRx8s1cmegi7KhfVSLP/vYWwkVN
dGNCCLJdjv3rC3Ng/+izeA8df1irTvviUgaudHesT1zp3cfzXNejEYT36R3Oyq9W65AYhvIqweNx
LFnZYGzsbumTuwzRmVlE1p2tL18/XjtHx0JWLcVP8Fo5BDGhOo76yazZG6OGh+t8dMtoYr+6ud9u
ShLbN4JO9MQTvlMUDtfjS3R0oI1f8p7Xjwii7qBTSOM9iPRZ2hkP05L1z72ewZsx0T0kRpveZ1FZ
bma7qjcpO9iJW/j9JUPDttEBUhMwb/jVCb96ydOSS78gWHNvJl6517wURYcxTFete2gj0zpa6dNy
Km3veMBweM8GwRYMPflpqYhHPeI4dWCENVeNJ2f8qkRcbCJnALzIDQOh8tIibw+aZSxIVtXsJGgq
oU17z4jEWT772j98Y8De3ncn+eWX8HbTYQLrOw5Nv07ROLaup15P5ZL5/q7xnGo1QiDbJS29qJM0
Ha4ckqlE2dorI9fsvd9JVPFQuzYO5j7byIVaC8slujlg76FKYMmPddefkSEzPxauRHJS6t2aWCPn
PI1k/Sm3PLI9SnJ8oEFNq5wj2F7NcfFJTJF5qWA4Q1RLxVqOQ3M2zV4epp5yT3QVv//u1EbDZtlx
psD4yHr7cY1WWrULth67CSC3Na7IPQ6U/Vg2V+lwylvunWsdOheaWw4FwIVH/fYkK7ctWpxq09RN
Lpvef0R5rp+L2hkDMhruuyVP1h9/yO98WaaHKgM1sevQOB2PT9LcUEusfFaYjL7XAh2PQ9DgQUME
zKL33Q7TGB/k3s9WnjLdi6iaoxOv+Pdiwi2wC3BqEzb45tFEq0obqRZDi/eZh6sZLj3PWg8DzZkh
qDsj8dIfP/LvG4/JpsMoCyManvr4Sy7LpTTrOE72Xjn3Z0JLm8tlMoaLHEzqhOnZ71vsATpwUA7T
SB/8fN4unlnNUBuSMtlPnnMWV1GLiKxwV5bV5duOt0kzj3moo4/OqrFGufn4Qd+pHocZFWULTJYD
3HE6E8CkqUFMTtliKy8s5xR31dhM1pVvtrD13GWHAE976YZcrL0qWq7LSvuSOoN7yg7v94WNyoj6
zbnNNpmUHv78VfH0cmljc+2DBhst4wE0E6LQlqc+H83LNjHR7sv57+W30tMclE0cEplNIP9EyfT2
mlGLpHJhKrZ3kBauI3xUL+lfxxNr9/fFZAkbNbqPSFz3KNZvr9L7Xq+VjQevqtQhhmMEsDPbxQyS
RVcnBp3vLKbDG2TYwsQRu/2jSgT3Y7RGN5f7vOqGsyGy73Pdgf8ZRfpOcKYKraHKL2StOxgmWvOJ
+IPfP1IelEbR4FzI8PPXQP7VT1jjyZRFXi33JXTN9RQ11aaJ8C+aKnO/DG534ss5krj89fPRmjIi
ofwedP9vX6yl1NjPUyX3UjfhgjrutGbdaKu2HEo4WX3anekxdi7sVBg6eCrBqEMNQdO35UbpPUYy
fZq+6BA1AXgrdzcrO1rR2kbrEYuK/UFqSfB7423RocVb3Cymy2jRvDBiEPtsDzC5nE59PvFBHlbD
2+2Tl0iNBbA8TKiO8YI4E0kHJVbuwT9l0HsOLEsIOkESlfFWonbFnUs/GycFhD/xh1M66yf6mF8D
kuN7wEGBPY3Tow354+2LpWcq5hGzl73qPS2cGHOvamMyvaDqxAP+BPJaa2Z+2GSqrJ2NBcgFvjne
oxDDDALvJTujap76sVjWXeKgm3GcMXTIG995mukjXYshudFnn5WCA6jbpv1NNHhG0GuaBUFjGH/I
6Wnq0pbzZmyjhPHjE2XvvWKDJQVNPyXn4Nvw9gGbok4ltiByPwpLblQtyvXSzMlay2NzZXQRbLu6
nJ8//mnfqwOeTWMEXGKhcTz8+avPwxJSG2AUy33j9HagV1PF4HfEs61F0PTxpd75EpnH29Qc5r4Q
sQ5//upSadz1QqqWRaRV4uB+EZ/3sZ5vDBN/m0yO+YnrHerK0YIx2JdZtQ7Pxif59np+1UJP50i8
F51AImW1aQBRsj2xLn8/B1tcgo0KxR8z5eP6ggamVhoKDCQ9DravtpeEKkW702HHwgdd+leaMVYr
PqDoxJjz3ec7+A2wZBxQ/qP3qeBk19Lw5L4TXn8phFY9jJXffvr7vxroFL0865KCdtTbzXGfMO7Q
qGeTL9ZVrEeX8zxoO83Vshsnggb1v7kexAGOLIdT/tGWawunaMee9zmkcm17XbUxnD4OgcqswEMp
9PHV3vv16DSAQOmrwMOOqnWGa2Lsu1zN7URxnox9tlJ2ueymbAmxCb50mukx1uJTTqfvfQrUMX4z
mBm0Woef9tWn4IMAtVFpy31SG+hFpdtsYoGOI45m7dJNdfvEZPTd6zkUQS4nmFEdL5WmtPxiSLK9
XYs8MJa8vIjwqiKjhuHmUI2nDLjf2fIh5TEbAlTnqzjeL8wyr3AT4gDE5FMLR3yLdlNH76jgIe81
3arWcE4rpq7wp0ddS050HO8UNZpynWPeYQgsjhtz/G8c9mAn29c8G3uuPUFvbfGpgLj18fp5/0os
HSw8kKofT8ESsGw/a5KcEDoZraFAt7s2BT1nkJqd+NzfOfFQrhi505Bz5gFAe7toZjlMomMSvU90
lbxkJkkvM0bWm2aRzT51+prDduldQk6G6mZb3SMkxZPHrsNFjovqweqT1pHxLdZGb2+iRpiOMxTS
M47tUag7HZurqUVrs/CXTeIOYp27hdix9uNQlkkVxg50bOFG9c4vtGH78euHR/fb/SD2B+k1Oe0y
rTqeJkNvxm0KO4hdKhshcNtKqp+FssS1W7nJsoXoNFs7VWfW97zNo2brWMQdTM1oP3Wqnpg8O+LO
Kaf2Uk3tvASin+A6au5wZo+D+TBbY6YHOJDlnxZvSuNAz5IZLeOAiBeG86DKW+YZ/TUWn723AfIs
fkRpOaK6qCf7aYrNzqOMyBWnxwDq4nJr9CK/Ilu0W0c0FreFZdWfNDORSJbGAiEuNkKokhuL7nTV
RMyOECCOIsMiq1SrwSkhO1kJhnCIjMyOAT2ALcqVLu+2vWxqmh88UGUADdvjoshov1Xm4j0URcqO
W0z9+OLVc37p6XnyxdIWJwnrIgGGdkYTgnvvAtbjP1cYq7hsnAu9FfXlhE+eXJlyKh6NjmrYtox0
tsCP3Ns8xT0SISvp1gJp/XMzV91DsWg27iV2MdhB2intTnHb+G1kcSEwzivEU6GX8V0/VakXQPnP
3KAhweROYwCmbUHeELQsfYxllZD2xejVP8ZUPsSu5tprcujFY6PSctoZMygskq94fGl0L19neuSY
AeNiKVaxdM3d4X2718V0SN4ek7g/9xjulGHR04OF6WS53dps0/mLlw3ZC4Yfg1o77DRPFhqjGGNP
Z37yhXLcMyBwK1/1Q+pe1cucPNtZGvn7VnPFXsMgCo86VIlXC06gfuAjdiyCtknbaFvalfctrQpU
VGZeQfnRcDu79CenvYuyUdgkpFezWE9ahEQ87UuXrU6Ts1hpqb/cFVYKiNpHlZetM+Vi/pcnQ/m5
MOup2uJ9oXZWUiF4bzNnvyDOXuXS0S89265vXa9l6h31DRAEUoDhpi6XBnSn8zMV5Esv7vWIarJr
815eYFevf3L40bG0RRKHi6OmZVMwO6OebOtUj1FnNCY6o2LuPbx0nMtqdqZvZYNfaqgsNxqCeGwU
zjgGPl0s4EL/nixRBodpWXSP+XxcPxpjPbzEXSaRtupug9luq9dPmPVVP3xk0yi+l/550VMxsZjR
fFlqrrmTeJTX+Ciiku5m236x1djqYTQ1eh0aMHxGlmECGXCy27u+yZCQehG8xLDsbee5g1lbhDMl
6BllxyjXGlZLj0bmyi32oIUZmF5aF6hWDn9PLnGNXKALWXssCMWLzcQ020bj5H0CeYoNhDGVhbyV
sw3OkIn1kFqud1Y2xNOGeSr6KNTicsBE0LDKr/7IgDXwqhRlXZ3OcbpG9GOeJWwfFXyKhsSitsmQ
Klvsyo/uXCRJkPg1X5KVAlqFvZ608aYv+3le56jUzGCclxxQTDr5p8Isu08oumesBKaD+SBcjW9V
NxVfNAyIiP7yDYltKSzPoIyGbu+Pk/mAOebwfWQODLMrjYc4FGkWwTXPhJeGS6RpUMySvH9qR93P
QhP+x9dYmmUbGOPiNRvh69E3kkrVA9mizhwaTEStIDZzIwq576RYJdBPLabJ1tzs/V6qh65Miqt8
bKIiQBI0QfMslH0r9cXk5F37hwNv2U6fEmus79OuHvlBe5bupm8L40fSLvZ3ncyROVjqeP7UErSl
wSyQqlx17WCz1NM6/UQBjzElsU0MGizEU8i+MrmELD1EZtWgsotBZtPLEJXJizuL0QgwB1hwLm51
f8CzafFv546UvlWHA/V4zunIvM97d0qDeYwZk49Op4s1Xx5BZ+PcZwji3fwGawf1za7luVrSL/pi
W/2mzuD1cKDpY2ufuS1+1DWRY6sCHuq4iuC9oekZprpdsRaq5FOdWDqmMI1b7irMJeKzDk9XdwWE
pd30i+nIdSqX9rZDn3jre4P/MvIy74nTvChs/wtHRynxTWSzCRXFHXJs2V/opr7Ma8kCfqoR9KYB
Nct/1PNYI98zNmYrLMoiWtZe1hvpusd0+l7myHwy0SQP/PUtaVSWz++0ZDOS9XhAL5ZqfCwBc53q
Z4VVUx8IpRWfCxiSn/subzoeKp+weJ4nrV75mnYYb5T0IgHKI6Rs5mLat97cV9t8qo2LvMmwkOkn
zUaF1CsMctBpopBt0A+ymJIsT1kTypeBXxXBqJIMtn1b1ggMXfqrpehQXk64ayYhiB/65Mwf44Tb
w/2AuELxNAxxtx3jcfCw66ix1a1ibTxnMZvA+SZCs1XZj3W9cio1IekyK2S0vQ9leC6d6qlomu66
pkHsQ8P0JxSUCVPn0CDyQA+wwoEWajSDeMRGwbv06sWv/jpH/i1/qP93Bnr4gnM++/e0+utOtdXw
ByOZtq//+I8/1qpqK9X/se9yKPVvFEN//VV/kerBlf8Ex/7l7U2LiQHUP0n1jEb+xDQHUjvKH9Cl
A5DzD2Moy/4TgAs0ke8UDx7/MDj9h1zIsv6kdaZFN6FZ+Aerqb/DqgcJfdN0HkbwJg04sDcJcTAd
f+PyzBjHVVrufG5t8b0cclxh9LYLketkl9XiG2vDkT+TpoxABtyrRRTLJkpwjNMrE2rtcNkns/V9
tBpcM9DK5uGkjJsRYccNZ6TmqqAD2rtTq24jid+sZeb2tS4L+zofYp9KV1x0A82Xm0/daunneB37
/nzeL9G3XDdvsHbB2LZsHotEZBvDVfgu6PH3WaRxSKvhBb5X3xUzCKj0nsRg3tS1le6Yk9TrsRwK
DGioKXZh3qDje+krHPeKiHbAS2Woj959WyHoZtZQBnauqKX5ogd44uUB4c1fKXgPaGY/G0nxtYoJ
t3RxODIK7Rmi397q85+0M00gdesqXWKaHZOk1EoxUTO6L3Nb01i3tXgsmuwlFd59R+dOYpsWYCUC
N7tzriJLO0NuBGe5rM2A48V50nfVSsMnDMUP6iRBAEGYiqXc6mpgN2GaHUhBcPw06Q8RfoWYsUT3
PV40AfgJWyRWhytsBX9GBlVb+foD8sh5Ow9dhwmBUGsX4en6v6g7j/W4rXVN38q5AewHOQx7AajI
KhZzmOAhRRE5Z1x9vyV7nyOVvcV2j7onkiyZCAsr/OELo558WMBLBKYchcA7o7oOVLBugTXaXmMU
p3aZyBI6xPIACEYfIU1IMcVFv9GHNngdKyNA28iKVr089Cd2zeg0ZAgSh6XkVWxVokS+xXMQfXfb
JtR3TgfGyKlR8mzrtPIpbxluEnN/a5Grd9Molee+OqcGVggcfskQH16a1jPl+EPKgDxZ0g7dfUYf
IWBXKqHLStEnreXPuBpVd9CKq/IM0kgrhii0dI6upg+28jSTRQ3SdI5IUd9zQnkTjkSTKUD1tlKM
zbw0mgA47jBrYcTPE69fEb5wBA2HLoupBxeYLGDmUqOQPj9SdNWpLqBfMihDs026GV4ctPMVkg3a
UzYjgB5GZ0nHoF0v8vgYSEg/WS1IEqpRN60ewGALDG0Nau4ooY98jCu9/lbQtxAV2CURVvpN1BeV
TxP0Ji0TQpzpMal57rQql0M1StND3hNtdh2zKOxRhiSPujfNQfX7TIo3lslVqrg8FY12g4H01Ipp
5CvqWocCuD5kogghB9fJOxbKdwUdE/jOjEFatQ58VMa8qNpBsIHdSArN7dpGewIM0n5Mq5M8DofB
zK6UWCm9ZSkwSE5YSeSlCHoUTPa2Y3YaSF+iSRyJpGTqGmfXPEkawysnt7dOITO5ywJdGyu+WRLz
SOU0Es1cPUsTYojSYMLDK41N2ZV3MirWm2kpX+t2IVsiLZxl9THAU4JwBm1uKbc7L+6Kq6wp9FUc
9jHRfcG00xNTYDfAigCyfd/KqeUDHQvuq479JamJlBFl8zMO7Fjn3Ru5PyAgDteQ57UQVWrV6lQO
zCfqvkdAp2gyEiaKKMortx3lhR5PN3qWSmSLfsCnVPWHmk4QgPswd2samG6CJp3oGglVErMOXn/s
f2WLm5heIHNL0IT9ocwsyoLlUTJnFdJvUPoGH8k1a/jTcDcTUWeT48IIMM7OE++tqt9QoZiESr//
GttrlMQWCyWUGE3x2IYvLktyi1M4ToU5maVbNgpEi3BIVQiGAUNSKvx7iBz5dunsQlDeyASE92cE
Z57P5o/C6tnyZwdJ/2ku7gj7aiJyvb1Nzx8yN8yVIU+qL8U5phHW8piazB5URe6DgVNA5mEEILbn
PuKkqII33Yw+c2PElDpDRcuqyEZ/XLvQMPkgzNwOvXUfpEvoN3RCvHRJ3+chk4ld89ZrEdw8u+2g
SE6siFGBti6i+TGIk0+AhRYhvqzsnGE8AHou0XpnyWaFEbtllF1Bs76qc36eY+/otONBQ13PXxqO
JVtPXhFLf276XN2h7aIIWVoeqxbZDgpr7NaGPbva2NeRW1CfBkbjSEm9SiypQMKNGPbg9ClzTQbo
Pw5q7CKwctQq7WYYWXdyWN05efGKwPlDUgcUP8nBXcTVQ8/q+bR6UJPPj2xFxpLqXpqZR0RZs01G
KeROSyvLpzBB3iDxLVWOg6lvn7N6THejknxQ5tToqXVn+xVpdkdT1XaZMcSbUNUnH9aecq9YqgFs
UIMAu+g3I4W8tZFJzhZJcT8cihYhgYpvG5j3ZYbay5ThLzCenS3bLvpchuJu0cvTZKSvE4/lziH/
c2LE72RmLXyT4iqp50fKG8ehrAEmqoO1iW2yOLiC1JjD5jlfMgDRCSPR2XhGhPx1FlrbwslemQfP
xcSkpux47+TOt0CKPmSbVqKqLuzeMbID2rwEt8FUnLJ0fgyz6jlo5wFIcdIcNJCIwmgxrnVMtBcq
dngsEj4lnKxXdV5oHIL5qyIFu7ky0UuIwg/krBl6eGzoSUdoZhWqJMDwPE9jlVCB4hkVhnmYqXtI
1vw4gdrcIRVRopqeJzdSGnKUwoE25Ui6H2d4so3e8AhG+pFN4SdlolXXhR9pzy5zlrbaSFVWbsCc
Gq4W8XQ2aBV3jCMHfQJ7WkPpVf2aFh7rkw/LgUWcH466lyPq5qGb8enErLZG4tspI2dgTJeH0l38
PmjSDm8LVNVy6b4/q9f2dLqx2jkPiMnm3CfMfaWKUzdEaSEc2Q2KGXS4bDa1GJvzCEYD2LouBASs
ymXZuLoRzIdmUPRHKkpsER2brjFW0YweQvxuaJwCnZSdzvJhniwjLqjx6k4Cihf13cc0hkBtpNy/
KlS2ozS4J/276WLoN87SVD5qlOTgtaWtm2ypjmFH1afJoug6wxBhd94pXYSGHuPCDt4aMJcIMbXP
5/iujfPWjdOxQP8KUyFax7TuCoKaSmXLUSG1rKy4lJH8YJ8N0NwQEoGgr2bZFaYjb7gFGV4ylK85
nhsQmI11N3aqT5P6I05bph/bVZqy+8uSFfo1yGqhBUW5MWazOcilpUHIblQ/0p12LWnskMnAL2rF
1LT0KRMJogy+NDTDcaxJ4gZDvpETa6WFqnIVW6yajsE0Aei7ZGWnYeT50EeiEmIi+LjEaKPlLXtk
HDHcoKXem5xtJ8s5eKfOkARoHigqHdtZqKALl1nRHXpg/WrGYsNP9Wlw1fP5YmrhR1mlr+HozO5w
DrGjLDcPHcA3ly0r9aICPaRgyhF+D+x7O9IIp80CteFF2YZNBWJ9WC/vQUNFJ9Fm6T2UOcz0CpeF
VmKhA1eezl0GgjE9wtYmUBHIMT7Rkh/9pNRnl6DnEYWRbjNOart2Arhv8ZBy7BqZA0SZGUzzDbHF
gvPtvLFQ7W0FvhM4T8/W/dISL0+0+0Ud478Uq1PpYaDB6CYTw5ia2k6Oou6Pqvo/SkX/z9jf//H/
+n+QAH5uBLGxAwI845ahPp7RPP85dT2WzScSoX+Tqv7thf5MXE3rX+SXWA/pukYR9pye/iFprJz/
hWbU2ZMIHtbPiSt+R/zQD1yDTS8DUxragX9mrpLqIJJMd5k+Lyg+uLD/KHP9JW8FnU7azJVoICEg
DEviotuZ2aGtA3+Nnvrd3AjUT5+Xf9ik+sstzp3BnzqbnaJ1jbJwC89+CN+G5+yasg21NK/4yhji
ovV2eafL9n5mWWXq2Nyp9JvN6SvwwGW37Y/Lwy3gM8rOGSr164uERV+kejRGT6MLcID6/hPctPvq
GK9+mlWnP1pnv2g5X/RK/3Kji16wrkx2UqlT9ESMCsYNzxZr1SjCeY9WW8KFnbHrdtU+OPUex9d2
9pqj5tODMj17lW5Nr1zlzkr5ymf7Bxnxpz7fX57qAheSJVNoLtkcPTX2Br5SullRqvf7Fdmw17xN
j8PrhPD8V06aP/rtv7vtRaM6agJVry1uK+8Ur7mftssVvTHpqX0Y9soOgctTS75giGK3s+5//yH+
9pXBouOVCGXMNC9piRKBqKknXfSkfCOXs9G2ei3d/sWOhH5PoVK/Tlex6qNOkL7//s7sOz/3VH+M
9c83vliWjtqojaycp9pMwUEoVGEfv5Wb399EueiU/uUuFyuzhaFhIQ0XPZmNsGDUvMi1UGjYUCtu
MDwUPWeYRHVA/P6+l9DrP+9LmYx4GjbDj+f6aUcY4jKxC8Wh4Zj7TQHnOgznxR9tpxIV5DKhj5rs
Um+7gaaTufO0BVYJNbkxu72lSBlqdcjnhEPfuDLQrkOm6EccIkiBJusukZpXNMoe0xzmbE6livLa
tCZ6/YRiHG3ItREUHaR4NWmqlxbt0zIv9CrpKni/f8sL/5g/tlbrXAz88y0vtgtAY9Y8yWr0pK6l
6+4UHqZbhCWPSB0+zu/KiybKLzAOl/y7v4zrxb5R0AMaBnWJnrQ7+JRKKWCS+7kfCnw0Itd+Brv2
+3c8H0N/M0//5x0v9oQAod2hqZXoqfbzt3oT+LPt9v60yq5kyjau7PjDCfctD/wfXQFXQxMoJNdy
h3RDAxi9znETrbNtu8nW/Hd6LXnqPvB//5DntXK5gYAts2E9s3ODN/t1217sQY6Kjmdsrpa9c8y9
5CsGyXkLurwDrFfOBIiWSE+c19lP83nuyvqMJYufsA5xzTXB/iG9LW+bD3TyF1G7kk+vTNQP9suy
j7z5untS0KD149duP/eHzl6Z2/mk3sls55WLgLAX+FQeglCAjFkpd9Op3siWCL4nrvMyCuOjIfdV
/BvZq0/9R3oCICrG/SwqkasiPL2N4iuc+Q9thN+94cVczqJaAWEiRU/oXfnRlsbJtSSWFYoYGcIm
sj/eyjSLd9GdvdVFPa/ouQnVy1f6uykwX3mVRcDv9V3k98Lxevf3X/isCPbbD3DxiZFgWpBSD6Kn
eZ1czQTAbvuYbvr1sEFP2EpBia2nnbKTr5DZPTlXSGH//gF+UCd+Nz4X66AYSHIGVDyfUlFd6bvo
JfOWDWov+/GUuvfWJvGmPeVV96nZUUZ0z5MCszW327WHaNXsp5vi/fT2bbpBaHeVuYn73Lv0I1/s
nNGKJpEcyif1tt2TSVWHcd9/sYzV8wT9y+OrSGMQCRLXXEJmIjWNKR9G8VPndV6xbVTPXDvfjJXi
FatkRVmFJr1v3i1+fx1/wMJ8CL3P34/g3+5d8AvAaPEMqCFcjKAahdJsmwkSpo/qo/pdutU/yLe7
XZH7KVoESHXT9M6/ePFLWsGPHfPnu14EF0sbpqCX8vgpWVXXQHjFqb3q1tFu3H+1hL681fnI/2mT
aCqrcgKJW6WgfUR+YEcIVtAI/ODIxvkVnPCSU/uXN7uIIGoNA2GrLOInfR3s8Iv1gmPgdt50NXls
SMfpXfLnF3nbeoSPYty2d6lnefHTF1/1bxfmT1/1IsIAyZAtFlijJxblelxXm2WdvUfX0btzDHeG
r/nVYaA+fgiO1NPm9e/vfmH8+scJDBWVDqFFbocF169DXmTFpOQBY9D7i4dw7XXmxXuE/z3JpV75
Ob7UXu8Fotqp+9BrOu+AqfpXcFLM2P5ucZlY2gCCcCAmXeDj5t4JUX9nDJ637yjYiee7w/vj6iwL
VXjMuNYd9qV43x7eLbGnAiQUL3d9Vfi7dSUicdrSqHevqXC7+S4Xz+b6tRXJKl/fs4dEq1s/dTdX
kbdKkZgqvO3Jx9XSG8T7Y7i6y8V1sOUUdld7t3Abj+q2OCCGJVrxenOwVkgMvd6k4hpPSGGIlSUM
T1/L4gbk0NW0OlwP3ui3buC5mXDXs3f6vjq93H7z52sbmWB/WcXicC27SCC7pdgPnrm7Puj+6z3i
YuITxr84PL6iBXX/iF6g+AbWwb0+LAJEitiU4j4T3F8oK008r4Kt5Oc/BkBZmW7kcdWWqy7i+/Wr
xcPdlF4u7o6z+Di8LryCt5c8//ZaNOIqc3nsrbe62T2WYhQH3uejEfHqYfMRrmweLnMrsXnAS8X9
eA78x9dgG4vSPRkcX5l7l/Ln0r1mLM+zY9q/8z0QvRU571y6ktga4uZw5w3eYduJ+/UkXuf16979
mDyNv3qdeCnZXdg1OcsdnrxdX7+SqRFzOe4qd9fgB1fpoRO36PW688nkKrmre6y7FdfvhK+LTqTn
P3zzDd9f28Kddprr3vm7oynS9fa0msTL5oFH1dz14G5bcQJHxby9ejre7TP3KE5XlDvdq83OcSW3
9vzd1c6/vbLFzvGea7Hf9OKu8beGf8VNXCIt4QZMr88322tdItKF8Vm/YCHOjDuFPp6qgu390Itj
IfyNQSxR8il693inio0fiY9lZTCg2u5b5K3HlbTTdkJdvYnjw+yl96F4xXR4bTJw/i2/VWIHck7c
JeLREZZHbdWN+Mur75br76p1sPd3int+su+lu/KAcnmDa14fr7gRz+lW7uE69vxP39utv58DHf/4
cejdXe874oENjS7CyS/89ffFTTa1f+h3N7N7GDy04DwFJbJNKjYHjedXd4+sbnoQTNn7wVvN7uw3
3sPj4doQzxuLFTF49lpe+5vOs8TjYX/Dk6ceEZlfudQhxb73rx9TT5Tepybunj+YyedlZInP3PM3
D4+uf9qBKhTH9QvDl4vPx83zKBjd2UuOb1eNsMXxJXRf5tXk7/zuZvao2/qDL61Lj1bfHqYz48Kn
oGIqwtWGwa52kQg9rnq+Xu/Ch/ak8wM9+A88XefvAvfu5vl9FHvMYBgQZMhdbUWteHv/KPPFzDUc
IPfG8rIHWWSb6tjsCnfXfpFFXor7/XHS/LS/XbBwVMk2Y71mf7PYXp6l/fPivR9aZs0jX4oFu43c
g+6qDH3pvt+vOz/ffqNsUG+fbHF1jl0Hv15p7t3/XVSImg+JNHwMGiO/bv9VEqCoJTVgsnbFFmNq
qrprENFo091BpqEANV6bG4xQC19zCybc708f5Xz5vwRVP93+4gR2IicydfraxITqzSv2N1sAVGIN
9u8YbMxrc1Xt0uv6i69xvujlTSHwwfKFyW4gxvLrO+NOHg+2NsZPbRNXqIAHJ9B/JBtK/VZYKL6g
bkZ9fGqsr6p857P0Lzc+ExjO+TysgnOI+VN4k+d2OSoSNx79ZSt/2p/6y/is4uJNxGqdpPs/hRD+
UUX6f/WAid6y+K34L0AG39/6/yo//+uue4NNg0Zn+/+B36hOQPSfC87uW/69KcviZ1TU+Sf+XVn+
FxbCWIFaUGKsP8SQ/6gs2/86c0WhkqhnqgUapHysf3vlaf+CxqupZ78viAPYJP53YVn51zn+RyBX
QQtBRnXmH3nlneP1/5kPsDrhPRnamQaNzhj81Yt4vkxblJRwWRrkvthAClr2tTYOfiIt8+qnMTn9
cc2fy6W/Zt//vhM3YjRUCvkXU77DiMVG2N7LCluN3KjGUQoJYKwfckt+Nx1ZTb9Y2b+usT9uaOoI
OFgypR1Wza9TfcFriB5X4kUstnXTTUpHT2eaPxGSiHEqjxv0pQZVj7wJsfvH37/s3w0rSRI8C4So
Gd6LYcWLAbyoGXvI3csUUyodbJIOB6TwcEULsy+G9u/uhlIDEwhljLNE1a9vOmHeUOhVCSTJLtQn
rDQxrQ7B3+NfVvX18AWv7O/GFSInr6aeuxLyRbiO0F40llnpNVaSg4BBs7lLrWck8o0tfhS5C2VX
O6Uqv/x+TH/dqH98T9CDiAJS4qUpo10E6INppBV8fcgU+JsvyHwaaWe6+LZ+QxIMQIe0fJkU/HVx
6BbMVZU92kAD/WJc1cJuG+TFvFAuRpPqhK17Tm4OewPu150iL4unhmP/Fe1ZP7/IL2sSFSD0sKiD
8SvExIvJQ5JU6lOq0mSUUBifp2bBfUJXR3ri7CQfo6UGhwg6sbOxAtUA5Y15xTYKevlemui2u6PV
wjitDXO+nSUVqEmBt/t3fBiGByPRsK6rEE5bXEBdsgqcpC+vtJYM202VvngfG8uEDVGq+gmjtWZa
0/1U8gc9SzVcGoqxBf7UTvDqDLuGlGFOwWB56PXO18gJDLdRB0jXs+2kuOmZETIHQmYEfhZW1U5S
y1hDgCALFCHHFu40mb4Ysz81baB6S2r1qivFJWC6oVbKcm+HcbokK+g9Xb5SOwO1Tc8Cmz2DEJ6T
ZFjPlW4WQNhz6PzTlAzYAvWFCSBmGPOPLmum5wRskrmOQc3fGovemjcDBmurUW/qwqsiE3RKNC6q
m9WFU3uahvyu3weWivPNHA/NBquTjkVsF9mjLdVpspIya3kdSuw4XaiyCrWOpNJeyqFNylUECs6g
+1DStIaiHItGZ255Tl0oD2Ol6MUaxy5gACk2vdkK4fX67NgwGExmTHWOxjzhYZi1NkyGxey+Y+bV
zX5nO8mHViqYHtcByByfprO5M41kCDa0qQf9UYvCgv7SFKbFNnda4GmLNLbzS1LGM6nWPBjKs6NF
rQrHqmyt/IiWGMSaZpQURNyTCcA/Vfi2JKXmqAgCj/5+WN0seSpL+7lOMmOCWtQmlOjTQU/rZ0Aj
o7XqIiOKgMioUoBjUQGLYzwWCNDX16k6RI3IdXgXq+isdOhhObfIFLpRlGEbLHrZ8Wa5s9Nb2Yjj
aJcDO9MPEfCNRbToUoMij41UsihRgp4Nr5S8MqTnKGc8AHFOUlcXIspNeBoeKqXG/KIC+p+vbKtR
s6ux1lr8e5JhqD9qhD7G2I2m9GwfRV8CQAofiO9yVPQgDr/JPYRmivCou6zsLIYFIaoaUJln5NE0
Pi/Ye5EbOXJTe6rR6MEL66tpRNrLaujN+JaRzqOT9dlnOqY0Cc0Nx52VZWQ5ItMQAnez0gEi3Tjc
51bdLYBhNNCgWhx2lNFNHUeBwRnv52kyEret8mB0rQorICgJhXQX2uP4XGlxfdvrHNKusrQguRpn
qADeZGlwQObefNHCNljni2KkrtyXeN3OUqKHaDo6+lFG7YacopyiBPgxNi0iN0szuoKHBr0yg7J0
F5nKAjcpm79JyqS8ORh3vWjsIt9q1Zl6UfNMnV8mcnYKi0h+b1rb+YBpUL2NamDg4pE1PSJ8GEDS
LO7nQMbBy5RuQPcFdE7oZn8LMV1V8REvdHCYUVXDcXEYz7y06vtY6XogIPWiIe7YpumnpkZG5SLD
Y7xZXbaEbmhI4Gj0QZ7z1zrWjFlzMeoz5WI76EXyovTjwhUhWn/MkxZWosawJ/LTMog9XFowkkyL
3HhZnLqM3LpPASrRrAokF9xv9VghhEQnoOM3qA9IIngjzKLHFPeFVmCvipoRop6ozkWFWdgiDBcg
z5IegJSUNKAhmCSkfDgnV5XWnwOt3I1O0fFxFCW+h7K2AG7GvKGnDz0Yz5WdKrJwIis0vSaAO4bh
p2PddjHkTxcPWsgUta7nr+2QtI4vp6harfSkDHthWpHUAZuEgyfytsjLfZDMdX6wnQWazihFiE80
KK4eArCXmBqqVnjbgtmiYMRrbW2rqqLrmPxv9IHhRGXq8XPI6sZqMc+nqsGhdavhPtHsJrxmMJvQ
J2vc6WWOa2arjg5Gyqy2AGpO5WAEJ4GDEGqdxQetS4Pg3hkdaVmhjpLl7O6FNtzlsQ4pBCZic3bZ
mbFzyDH3CT09AanlSrWJoEccGTo96Uyy2060MuTI704FTv4hrCws3COMJtFxjUDZrwEMGP2+S4BZ
gVOasuhD0duhuWpqGzEqK7b1GX+iunK8SZvH+pRWXaXv2XPRYomcEnyfGvZOvklTqa2+OXOVXkns
a5IfEAqOjXAkWS72M+Ag/cB7Lctz29sAw7swoFUHKsqIu1uEc3oVTISBVJ4dt7gXEqQ0w95sVXne
RfKSZKtacuKeytSo1eG7WaiQatkI9BYf5n42xu0ANbWEkNjmsVfFY3xX2hCrNmfkGgaSg/oAuLcF
VRpFt+MYx3tE7+NR9KUkfbQ1ykiKnUNwgYAdJetkinQLrDviOZyjcZuJoQE97EK6n41VahgSEk7I
RO9BtcKEUdCs1kW7pMYInArA9Boobtl4CoS4b4MNBdWdQhBhStxJ0DVzo3tpxwy+HEivyJXGxv7W
zgVk1AY8+/sYcZT7qYPittBDRMI2IV5UCLxPRfBoZjMENlGCPOtXI9DpZ6SOsYxSTCnda0lvn7/3
uGTbSo6q9hqK3LLj9I8hDgYmrmiemTT9ldOX7UL5vVCUO22K7EecsZ1I2JVln4VALLxsiwVwqq+D
r0Yt1YjH8g6wmm5vF2A+loeLUwqyO1WsfDdY+pAfykJp6YzVRpc/xU24mM9s3rD3UqnsaaZXgd0g
cepYH6FiG8/10jlvRmdKR6BdBV+yM5WjVujZMzp05rwx5JgkHWR9YZLBm6W26sJy7MRkTvArFjrb
jVegBg5al4NpcTUJVUCRgjlHy5pdPgORmAYjsMD5PKySDfStNWsVhflyCF8hTc+HmESMDzsQ/Ais
IKRXtTLVQwvBtiPAi3Rks8q0BLAYmMsHBJP2qkyjXD3URR+PLjAYS1qZRjfBJshDu3kaJQhcK+xq
NPN9wli3WFvSHGQbRJVNad1hZYa3q9nWdLzsdEp3k2SzcRJg1Nh4pzj5raROj9BgCeba2NdNa5b3
sYFf91WTTkO0l2N0pyh8mkGl+XkfoiibRIQSbqiHLIyulMiKICei2ucpdaw/05YPAwjOXYK3TYpK
FZGBVbT+2GZBRKDWhjvYQRaMOSeq3i1lgRkbWupMQOrMh2Ue7MYHegLhYJyxW1spgFhh0XQp23Ay
QejHM6sH/udVXdCbH6MZKzUMNBxVVRdt1zD4TLRyaNYq9ghnA9IoTp5yRzuTNByGz/7mYJue+VB0
u0fox+W75BhozkGSwIMDjlUJ65Ik/g15jXnZAZKwYg8tGPVzmLL42I3K9NLWRX4L0dfRxts4j7EA
VCWgwejWxaROYDeN1QToe72g/iBtrKSN8K5Jk1eALsUTfArc82Jd602vj8+iCPYQxq/zMKmhG+hZ
BANP1qrjZNv2p7mU2Y0jKVW6QkOleanVOdHR6EeoAZJgp+dXi5rM11EzEACy/4Z4V89pCCKjmlju
rY6ysqoM9ezH/Zx26wFnslYQGusSQUSrvi3wG58yqkqFK81W/GHXyaD7SlGrfEPZGA8RZDyLO9b2
Wx859Z2j1xJckL6VN52C5qvfQQU4xah8mhz4jbxZ5JI6QOyEuO21gSK9R6NRbwcsMzHpGWVTc+Gk
y6C05zR769veOemjamAMoOXzgP0TZ3m01drUbj1VIUUh5KoT0Odxkz8sRTzWvkPEaPkmyQXWs2bd
hi6IvvwUyPjAiiRoteeyy8enCqOeJz0L0iMRmVKsCETDA5Jezcts9U6yQvYvvYK5kN2bTr3k8NVH
A5Do1GQ0WSrgaCIepfCV7UqrfBxYo+cRL8xOqA5FvFiKVfImNTCflKRvb9pxWe678MyctCwo9K4T
TsOIZees7o28MKJV1ShdKqIk0u6rwInoV+ukW2jdQ3/34FqkttvGTu+IGhEPeocc5DdZFaC8ruuc
jLmKgo7ba2oHMjvMmhgw9Kzdd2NPGuAQUB9lBy7cSgE5XriYtKG5ZNqgZ9sgmf7U0vxHNcD/iDf9
xYXt/zsapUaV6z8XBvf9+BZ3P5cFQYT+uy4IU1Kn/IYmlo152tkv6E/AKURJA3tTiJA2pBdL1qjU
/1kWxFhN4UeohmkyOloIk/53WRAoqkH2DzYWQRywsvo/wpv+eK5fihAoL505mZTNzturfakMOZON
63mjVp4ytlMBjAvDP3eQKQgBFCkJ4A5QGnv7KSBGn1AY28GrrMCTGMUE7rI3x0lIlVxjqgNrW3GH
KYTSVoRpeQZ/l8S6ZozFtlrOfewWBCQgvmExs43EUTW5Rh/hJtwkShgc4B6k5F9t0RabWCunb02I
2YErBTK8owb3Us3LumHalZDnQf8NtnJD8Tu8tWO7Gr0lU9uUJV8Ni7B7yNeoUyBwKqpKUYVENY4N
3BoqtgyrLradGU8SkUAjH2BcmvYmmKP4qlPPArNwuXBJrqC9yptRXawIWhikdm8sSps2URF0fprN
8TU2pMesUxmROI4/tKAEc4NWajee8AyPX0KI1AhgN1htIMWkQS0w9PgUTU7wqEHfKiDN8MeiC3RI
LnWuz7dLMJmnGd1k7Y74KOw/IOoTo2UhJKtdhISxsbOVcgxXmdmYJCKo8HoIesDqS62AVNCOoGge
AW6UBkEmkoJuJJeqcuyHaLEhmeelS03N2RBOKcs67SMtuikipwe+H2rdBpZpF5y6ptZ6f9TybqeF
ll1sODer/VQjUPRuhnOM46vSqZ9FaNPLtZzklGmqCUWLAfZiMzbvAkWBv9AkA1CjaZn526HBEray
NYy4l6n6FqXnBLlQLf3ZCNURFfWmNjEzro6Ghl2eWVjekjc6tbAOhTND3wUIwzxZaRYMbmaUtBYR
NuA07JFF7DGBEAFZSAezTIl9qO7XXeaY6HIgPjJ4gVwXHATWCH1qStlJ10k5NV8B/S4rlpT2qRtS
XEMQkkL9JYBSLyOHKbL0XhXG8So8l6JU6Bw17B4ZEktqm2z6+NfCpdf0QcHxVWa7LjBoMEat2heo
s95UFmH7YlfRISiU4mE+j5w6R5P308b0N9V5/bKG/ONZLUrVlDltWVEvqqt6R+6enn2/Qrk+m5Im
WgBkLW5tmy+NGoNIHHPEr3wi46cu1r5OEAanvVapqeNrdTvgY4h3gHBaCg2QMaPx0+zM8NOZDM2t
JKfYSARUdypyATm6Kw1+ylaSlPtILbD1iYpPM7EP2miVx5I1uELZoKJ61SLrFaq28x3H2ATC89K9
5gN27gj5FKR+OBFqlktVJHjM6SF+n8OgvKl1OzvmplOCxau1ChfjlkvgKx+FPFgQhOs+TwdZRFLW
5e7vh/ECBo3zB58cxWj+8MMzE9T/L/01PNApPkYqkO80Nm7LvBme+9p8SKNY3cxh1m0NmUpr0USz
T3b8v7n7kuXIcWzLX+kPaKRxBMktZ7rTZ8k1bGgKRYjzPPPr+1CVlaFgu4tWtXvPyqwWYSkHSQAX
F/eeAQXFuJHeEqatjxLpYWnYhc2jxwYErLlu3MrA8pkoHMUmCrndypQv6/h4VDgYoQuIEA/E5SeY
8EsrUOlgLgNqY6tDYLh9CjAbBqqZk5mjumUpGS1NtKBA5MFWWhMUXDRdPz8TJD0B9sTRR4EjW3wm
RakCOR1rrLZBpE4WA6vORpWiN9NYPMikw0Ur5RqzC+vUBPC3Mdo8h2KIAsx8Pk0ojii/vNQnrjBy
qQGqP7cZYiFeqcRzC7UATKaMoxYfB7K90ERjFnsCRewBtjFBqycyzDAndBn0FtW2S9HCCUGbxhpF
O3kYUXEdW05PqNcaXsdPWinFz4pf93YXUuGZExB24pIje1R9Zr2lLrVpKI/2ICWt5Wcce2IDL/i7
efEfZV3/0/IpTkRYup9PPf2qm/+jvmXx15Tq82/+1WrlISQB+x1ZgmsSLAxRWfl3TsULcKRlZnAX
JA8l4AyQOP07p+KgPgG5STQJkXWBXfQ7p+LZv9BXYQEHQ0T8l/ntf+DpSOU/m+9oQkLfYlaxmJFu
EDOfvSi/Nt9p3PFFEMqdxiox5HSFK9QE22MBSSsdsgDQwYauutr1EquKeTJt5Wk4ckmVm1nKSBp0
UyXAUzrUA0FGclumAgiMyEAwQVDumFNhsAdIqYHzgD4CrL8BfWqYcYvGLmOGKUXNJSlBw2gG6KHU
JSRYYziQtpmXaOCaApwl8NsKlTqwu8tcNPmgIft+kq4ENEywAUNiNh20MTzUKg5cw2ZPMRnZY97y
5MRNtDq2fchsJNqnLqRsY4TmbOx4TekqsDJQhXyVCj3o9uAPRJVVQ/XSG+B0RJtNpHS/Sh5/ELTS
2WcI0aEC8ZPnWlxZU1jJ8rjXq0L1yoXPXBteIO4Ce9bK4ZLUEsfaEQInfvNYbieS4Sjm2ZtHy1eI
Zv2oqmyTcy1E7ZRt7xVuLg1mCL4iqq9H1s+OaUYgUMNPNq5pD8MIPSZaWBRavdIRDvCXoIJsALTR
VS6T9uAjApbCAjHNGtB52MbJcOzl5yiUoJzkaVWVWBCzcWk9uB3kg0DaL1Sak9eyoS1ufempqf2L
MqJzIInRazOU57kCReXJDWJpO3beS5xPTyh5OB7bWJBie0Qt0PBbkC6L7DTC6k2iKMJlvi9BheCl
Tg1oQ2GREO/QdfmoprMMFPPCJ65f/hrgCZaXkRuX+ZnDlVstUn8r5Yo5pLhoyj5umKw4E0nkXQBr
4xK1OXQCIB6m7Iuqgu2tfOBKjIhO6ySNke1Dp3SKwC/uwH6ODrB0gcb5ofVFo6y8tzTOfmYSTDOb
E+Gg+RVA+2faxj1KJNAS5I64GeikMqfppcscORiuATuJasNXejeSS8pwb0XO2TF/AJcSIDehshQU
fGvCzKTX5pkkxKxQXAZP/lH0HuDSKwjJuWLhWdUOVstFFoFBUBAeQ4i5E0WwKi4ylJ7bI0fcNyCt
o4cLn5zrVD95WesIVfU6SZ5epCJKcDFEUelu7KaNlAqvKAgeAw+2VkxyGAkuB0KOkXBI62WDki6f
OCRGbR5cpqKzxSLWJGbUhhGrkwUCuoMdJMftFEH29/LAbtIieBW5N6yg7VTVJtsxLzH3EslnNsA8
lfC38koV7ukfIUlOTNxfso7XexnOkTH6GQMPF4LnjJTQL6PiVpCJIReNy/fKJpKKx7AVdWhoaYO0
q8FDhTSUWbFn2BSjuiCZQr+T+V0rbtHWLtReGi1lHNw2iLcVRRszgop1YvJxbQjQepIy3uLCxkAD
+FVJkkkVM+80Jv1FmjdfICsPbGeX7Vkof6UjhMIiE/Z/OgRQzQGyECJIrr3s0Ko0ZaZ2YVln0kLZ
5bjKqbGN6pEGYQ81R7e0xB0SCjSo/8Qq5dODSKrnRIIyCefBEogYdVG4UGyaNBaO0l0hbgl6tX6J
z8BZObwCOJgG9ZOVpZUxZp1di7UhBq+jIEJMrK51HxKl/QClGFhNwyf0SWaEd1aOfLS6AXSC5o8K
WYah3KFMi5ILpK8bSJepEgqx/iaITaEj17qBZx6ox6ofDTJ6t8ojADNHXqm0hLSQ7KhDYHNDlBUp
m5gD+2OUR2ugkw4VWnOqrBLLt2KogYbflWOgK1BV3kfgwZiagaonqrRbJYqdlo8ktfC9bZFlPwvc
8hHQPUAmWtEG0GdTTZ1Jg/5CE7lH0sF2BsOCYB8XifIkQ7EEkb94VeBoBy3JqNhVTVJqtcRswUA9
8GSCJMSsM9STaDuSTj60HnYrctXAEsLoZwAbaw93MAqZO1WuW4AZ0+Ak0lCEZAaLxSHZKf5ULajU
qA3LvcTZdGlElN3ybl8nSQCt8IoYTZMxthizndsU0GGgo5DuBZw8ZzGtuWM/8uyeY549SADDTViH
F4/eRwzU+h4DH4CYovaBh2lK1pJDyayVXa+Eb0lSwdW7SKcNBz861a9tTxpPTVoXVjTmjwTK33FS
WEmcNtvMIrEsHqIMcuJDDKEF30c5Gs7fOuf1WyWBb4YyMKh/ljm47+Ap9EWipeOF8yC5REMrYfIt
F8nPZdA9QhyNqEElPVZh6ek9JiuW4lFvy9ZNM1QpRSjuhh5qjSKL0nw6bDou/9l33fvU8g+oouKG
1pea58c2xHEOAgE2gmWZ54JCFqSopFYLcJNqQuyOYZN1Ora5WvtBBjYON6GnDi5bogBX30BlE2oX
1VPV8qUGHaMBzUdqMEz0xKCX4EAf0HdkdthF05vEobA44r/i1KGKLOD54KoO5kUWkZ+zNw1uRyAD
Tsjfy16PfX40R7htqKwI8dJiROIBB3OaoLLQTc9My38QaAHAXF6p1QY3FhyIqMbToWoBKBBc1KJc
XK8f2Ml7jXvvpBTo+GfKM1wB3nqFO6KAZPJC8zMYnJI7o/nB6IFC3AaH0kNfAvAQMQzRebGDwnwA
mjyXM6HV5xTt+4Km6MERVo3iFlI5Q88jfCcXPvEhjNOXsAVL6j1QKqUl1IC4ePMXSxhJ0Tgl8Ux4
0rc7mG5iT4/NNSsFXu9Qu3VT1EvRrpN8N4SgV0hxfncyVCxFL8EBL5TdL4E0kgmUFGAObUX1pBAB
yFDCZiM1wc+M9h7SqckFPcDT6BSie8GmnZN5YuwGNXxF0V5lrBCVDlOu0Dhi6kZWx6hAhbuyubQq
oBKJryyj69JMCqTo5EETFAHqdjSzEp7waNE/F8MLOh+uLxZESxXvyEt9qvE+s0F6ISJOyQ+kUQ51
UjkDwgjP9HaFDmk+zHJbArP34x9KrlC1hjKqwYnjXu7LSznKMRrBoHkxMTnFmecbfJE+MHG2GaFi
KwdehWJSh7oyn13KIXCnLGIR2JoEigRVAUBJK2+zJqoACyI85FLlegDjbUiOcjVHTzS8eKDnFMEE
FCU7peGEr8Zv0EA/yf4oO31QPDeE+CiTw9wrIudJ5pVHBY2aSeWVIoK00NDjtgezUkjBYsb7skmt
MoX8bVDyT1khSUZXk4//CxlMniUdP2ghL11I1zgjkw6qTBpRLUnrlIRiWQsJtCjHHei3P3BD1LmO
+9ki0RQKT+PCzPq8Y/xHF6n/neVrbmZK379uPbyF/dsfqNbPP/gb1spxfwGbCj8HaL3DlEvA5flv
wQRW/AvQQPwjEGyA6c1Iz7/vWhz9C3qiCrxEGEBacS3Hvf9vvQSO+UuEPiBlZunv+Rb2H8FaFzQu
wgFfCuMAKBD+ecXq0LklzMCwbuGyh8GVj6nNAYyo0m3zSFZgl3+W936PsSgLCH7FDEHssy49tfvg
qvYmefnynW9U49g/IYD//mk4//75+JIChh9wjKzLu9LZc7un3M1N5of/Iaxa+f55Gf09xKL00vei
1ExczbhV0MXHRho9UNdhhRW1VWU0kggqZqpUwybpCbKzunbaEQ6Xfc2ALsy1AQeZNMFKWyhxkh4x
BAczoGliLUH1Og5RpudlgCSRX+NgoZoIRqoud0ViNpEsQ4+Pg/IhFxVG26MA6CsRYylMAJExXG4N
HJsy8II16F5BEFhsReUnmU1EYP9k/x3M1vyjV2IKiJQo2FnZptBbHnw0JVJo+44UeqBRhvuvnBSV
RaV0h6oiUGf+uUHjoAFqCggaBYDRpA3sTI4R9ztSOmBMgAY0pMmRSZj3Rhah8RUFbXSBDo9oyrj9
XvyKhxpeK7RqU/bNTyZvIQIeCamVRsgwGYXLn2GOym/rqiosLm8yQ4zleA9xb6IDEJtbdcy9xUOP
Bnsjh5AoqtldF9DsYaxGwSB+2G9hZVe4cYfklHg+r/kjEEBe1KC9jxP+XZrPSFFIwC3rSuA7g9m5
Cm1yC4CocssFgI0h+YHwDI9uTBr5rJrzECgCzpJ3Ir58Sdmw20VggBgZm5b/Co93HdoW8gS/F9Ki
mhGRtvOqoWRdiYUJyy6EM/hkowGMMrasE2lL6akPHVlxAGr5j6Ddv4dEfedrAUWB8wKArwnvpnzf
a37QcTOKFQLZyKVUypWc5bUDyDoB8Fjf78g/i6W/R5xjwJciaSsAIAKlTtbFC9pUZ3oV9yUd0vLf
//xnef035vf376M9+PX3pVHyy3He8FWr4SpJdxF4+ccUr0NaCL/p0TnItgIIKVBZghSVrwPQEMDq
BrTu7rzyDPciwvzvX94R1a9SVIgyuXIZGqhbPvRSakw1KM1ltBOE0MhSZZ/luKwwEbACkvQCT5XI
gNhzjhuLoE2pFYoSctYnFOLVsvKRWESBNqFU0ZNii4iy8rXmKHjrY3F/PqjUNDQBVWeCJHGtp90J
mB9w7CQIg4X1VvzZcvbKF/mzAPx7VhanCPxReRpwPiRMOquqHtCl8WbzjVZ9lpDCUyS9yH9kIw+2
0gbuN1Df4JAjPUrk2LR2lV6K+Pj9k9xbfoujBnfbHEwMMrqClct6CzEe3qXFD4WFD8easdh8Yt/6
rPLi0GFZ6C7BjXR0ebXR4+0BLuYuoA26uI93nSOakBnVUgfK3FpvgJ8FCiJjDtq+1BVLOZUzfzVz
RuNSafJ+kxgwXtqunbQLhZd/JkJeHFYyWCltVOPRWLD+GEMB7Zbu0hZ1hVrPP4BIn6iW9ZsIQkVz
fe7H91/9ThaB/sifC20Y86ybxGhyQUZrYXdZq/WgGDk01cR6nz8ClD9tqRytOJDdi6RLk5e6JWlT
w4nClS3fDjQ0AsE1VRBn+A0AVytZy71Qs6w+d76YoJ6DUajlWe0V+gEu6H9aYXsX5TGzu41sQunU
QKPRIM4qr34OZDf27FyS/yO4iDz65bSZXLRY1El8C1Ek5I1KNnvkBMG+7yMAeh8CoL9g0DULZLbA
0EMWnnO+n0tlPo5uPcAiusGPL4eefj65GTr2TQskP0P3YNKYshihnhJpkeR0yrbKX2tfQeUU0rGQ
vkxEySoDSvXIB1QV8wL0JhM1b0kF37JGlIw03sbZC2wNdVkZTTixusX4CoV1DamvDvihifqAyaPq
VNYOTEVJ5Nb5Wc4eOAmYxGQLyLPW5htSXGvmDG1DNeNPofgUjVDTnK49U6HKeuLwhDnbG3HIGNAt
PrPjgYceAaGxPobvUIoFZMrxpudWRm2E27JJfgReeDM20TYgntlLDTqzVgMYsszDbTs4+kLjDHWv
h5kE01zHr3cNms2DiCZ4f0a60w+7nrZa4TGOmIeYKOjgifRCB/apUdrXocNJDuySMVdX+T54D3AN
L4tppTG56Lv9s9ulxbZTYHELCCLCrmyFWxGq/7tky9rxdoaIHFm7MaY3+Z1xh0f61Oz6C+eukWTv
xRlpcQwD7ta1aYCRfXJEpaHp1UwAgcPxEoNec0DtoIcDr935S43ljuFfB+70/fr8tMa8sT5nHNDX
DcJKjSI3aTW5uBfvJh6qI4xgKAkOtTborUqGMg+YVUqfw8rumgHRArA1gL2cJsqW0D74NQQllfM0
bLOqfgVGU43CyRikB1GEMlTkoYkLYdfYVydmVOvWKhkjgZtEUWFBAicyCJ1VlLHWAqndgPgn+4GZ
99EOMXcTlTPYG7wDuFlK8X4CE8PbzPwHL36pBpehBzQ8C/4SoJ6YQhVUKA00S92WQ8IKPmm8Ruib
+ZC3trC4mB2w9IAtTX3OFUu9QEn7eSROhcaw1X5whcazBtavMaBAcEFvTXl5wyPKh+oRUJ9IA7O1
u0bqtC9QG6lQD1YHF7hp2Pv48cP3U/jpTnVjCucm5tcpTKcWlgMsYd2htQJzHFstRTUDcrq6KG0h
WSJoJbpZl0l+jC0qQDn6CSG+0PpfPjwL7N7JebesTzk9ELDB99la6Lu3qpdkX0Ymg9w1iL3QWtdK
trMGVoe2PBpUjFqnOzZ9aVClR7RV6EZG8UqCRBp8yaE47X7/Ze7F3kUe5fWAu9YJYmMNgdp00LPe
RXVnJRtcGHf+Ey6WOoIx8paiVkrORYWVeR0ANEbLIYQ2QpeBrw6ejCnBsxQVKwal+WjgNlLAw6Wa
jRW8bQ8xcGGKNTC8gKmd4tBkPVTAa6+F4KuAqn8Bap9aFiTVaqDzzUmhgD81bH3meHnA1uuS5j0G
1qNfeZ07B6W0yMKmlFC45OFbIdEbO1tGshFMkhoP79/Pxadb441VutSQHOSkhSY0As246feKCQiV
AW8WrUJcZY0P8jM0AwgPrAw2H++3Blsc+2NYACBbg5UVAG7Deq9whDaY9IQ7KyqRTX/OlLnUqaNa
LYChEB2qNfW6e59xcdyHQc8WyYiMscysrFDRu1FzcoBh08o08dydN5v//ettqYfnrZ/Jo5sa5Stj
yC/vtdPrDqvSq5lu5v2eqAXikWxn6hH0F43T31mtsSS9/RH/QLbz8/tPvLBX/Wf5S4vNRbsCtgdo
lLgxuxP69zEHmtcu0dh9Ta/1qQtNaklbwBsgaVFZUFfuTFjH7AhjATiQMjopVPYjfel8u+bUYNOu
gN9AQ78984srS+dXPumEaHQB3oSa8mssXxsI4UxQ4/2IYxAs/EFTynd+X/aWWGyAjgsDixtHFabf
BDo4gy7WG3C4RmkHUCHMM77/XPdKa7PJyNd5g7kAqCcR5m0yEQ/IW2t2BkrHTxTZ7vdD3Hv1JfgL
yl3TlHYUi96tjcbtz/WutJCwAbetZ7ayo8/lMbIzSJW0KmelV1HnoSHCrtwVuTlNurHn6CJ9QuGV
yZIREWRMnpTAagAtzeMKyA6YpqE6Yk0ZwVmu8wFVJVkPivfEjrzrNOgQfRYcGeCQ8iSEL9Cg1Sv0
F37IJbp7brtyqV6IEf6zXuniFBfpFKSDLI4u7KMNkeyaQyM2+2ncQo2/6x4T+AHzBg+2QwD71W7j
W7QyRDhTFBYT7nlA9wJTjkGVuM5a1vympjqZFdEzxkm6XS1uetBMwuZYZ/uggk4OmBnfT+u9Hb/U
PMskqOMDzDO6lQlqsxFBrajTRcjkwM8ZkkKdjp4wNIg8fRYN8h3ICkDd1YqdT9GeDe5UaqMl1vcP
c3eSF4G1A4NphN0Z0sUwQM92sCT5JZ0g7n4KGXvsISjD76scMFIYpwHmoI4VcgvgORtkQwE6gQNk
PKNXNDBBcc5sMYPfAwi8IsVNrNMn/tQTSWM6Uq2EywXi7/esL+IxaLxw5avmbYfcQ8NViUV5wden
H+U+0mEGxYARDr2TPSM9+hBfVHR2WNE8maWbb+6HRaROi6Rk2glpWZ7qrc3BB15DhznVwZdSAl12
chRQVUXzrjXE3gQ7snAateCvos51QP9stOH+Ez2zWx9txsto0Et6Sj+8PSXHInriazjYr6ywe4ka
XYTylO/gwijjSWWL1wEpsCWIdgGYvsEzH2I92wSGqK8soPnD34oSi/gsoKIdwRAFIuT7xhE2YGc/
FK68AUMM/0sfYLJhCaq08Y+x4z8UGtkqUJz7fuw51N4YekbafQ3BHcwDpqzD0HQjQuST6oMR2dNO
Wsk275VtPq9YX45mNPED0L7x+wq47g/DRbK7J/KLomi0iwmqU9+/xb3ZEhdxNkQfSwp5DIPqEAUj
V9L76lqrZDfYLQj6Dizhmi1yUaT61FgZ886p+qls+eXV2D6HgzmHMYPOAn1eGE4cdu9FBOK9BVpP
OITwRt1KjFHDLWpN5niBav5n84qLzZu24Fjwgse6/QZKAGrOmfVEdd9/7luDZ/EP/HvbHeHM4uR0
m7QycOzH1inASU7NNdncTxXnW6tmsY0DPs7IQPHq+QCEpJWVm9wDkMFE66gArU/Ncds1RvLBHRkT
JHjS6aGvAyQJex7WqHZRZyrdBwNoSqxTwQiVkzyA1r4pCpMHTJGd5W2bwPbB5k7V6WVlvubddOuh
Fzu6IV7SA8OIRt7Beyz09o21x5cccK59tLIk7m2mxT7meqZFjxUjyCdWfxigcu2pyWpIulctnPWM
vu5VqSKDX817NXLmbrubbxNrMDsHpou7UFBRvIP1pYY4AU1cWAcPWvrj+0+3ELP9Z9GByPTHyF4l
9ZwSY2R4Efn78Mqb5bnQ601mjXahV85kpm/Jkd1StbmSHT3mVvg4aN1Vgcp4sMfq13vT36F85+SX
1Qh9Z//NPe2vn6PJlBE+Qngo5UJygDChK081FGkRoJ/h1OEgXB7WMqV7qaqwyJTAJcmZfI5jNe7i
lU415Vxc+VRnjWgXrsTie0WLT0LIl4giswKh6YBBwNww0o1icgYMH83CzKCwN+lUp2pwHp1mK+il
22jBrrGYrXiErmJiFI/fz/XdN50/95eH4PyKggWEh+DN2GaMX5LVGYpFnLXT7l768amK92WAnmPa
pJ5LMzDQUef3qi3o7z9AV1SF6ZwWIIsj5s9Vs+07KYewiFV+MoCaMM9c4P0oZHOqdyhFhBrIqY2G
nJUP9GQDY2WIaWMLhWqwm6FaKzN674L/2d/58q4BibO+mPMd/5q/9efJ6T8GV7LphXnPH4hVm9O1
vSS/vp+6e9UXYRF/YP02ypWA0ThNtujm4TxBgHFQzwL+b4Kq4yGGQqSvAfWlp9A9vEIuW5NXYt+8
625EV34RnCKFkyelwthw3jXAHITK4trpPhMzb/72Ivw0YHXIdF6SjQngk2BNkCfldEYtjcpJjfQM
+KLmm7UBcIPNmyDuGxG2zBGstjcOng4QiDyIu2GLFhmuXzqzMrmfr3brlRcBSODDqYn+tV0ZIzMB
6L12ardhVTQenNAGp8oQLOBUY6O+sioKoh+56x1aM3UHo7Fs3KQdTpcszhxxSkDO3fFNyVlZCvPq
vvVsi3g1JXEVC/Mmq0zf7tzWaK3JLozYYtAv9HRlV+3Do/AMJO0usGa5yzUrjs8K8K2RxT/jR5GE
gRxVqAwzyh54vDbSPFmHYzbAEOBxQs2pSHfgkTWtCZMuelCqHcmPPQWSX/WuXH/xFQMNdQlSste2
MLnTwIJprhalIZVmDy5CDeeIWYXlBaIBfq0zIB+KRwDYZcUeanvooTcDxiH64r9aD4ICMXAtV5HX
0/boNwCFHPxzXhoyr1VrHiozYeXmt15ETB5CyWIn4lu3mmgmh9JiTTSIjPbRN55QbbIGSzAZk93U
27Wdfu/++1mW/xJXZjSFBDEo1oV7h5OrgXVlMc+t0elgkuIQDEzABdRfLLrBtQ5fLLWwSqPRHwej
sFitdgL18v1Cu5ePfj7hlycpyjDKxznzZg+T2xvUErTiUGqsDn8uaPX6Wu9Ip/JY7KIVKti9mMov
8riYDCT15hELKEgx0iEim0k98p4V1IDgAHf+xmLlpRpM2AxZAEpnZb8v7Cn+yYKWanfQdPC6YZ5n
sCCNdB9vcs0RTwZoZsZlbePeK8ks7XCDNpzguIxB4H2BBtJuqlXxPYHUTmBMmGEWG+lI9p0DmwNl
gmGqOtndudOEVAsZlbuyziwWlevoRzIQVFBrE4ajPQgQ/bFFXt6o/920f6YwX6Zd6nxYtQ8y607v
5Hl6QGML1YzqJzorb91s71LAx3xSR4e/9I7wo3z6L4ddhFyYpxdNNc99pafn8WPSCwS1YA71rDZL
ksOiAoU8SJKvLbY5at2IZp9H7Zf3jNIGlSsJcKoJp/Yvj7+05QlCJIjqJ7HVsbdQNlebSodmpfKw
8pL3xlxEUA44a/iJ49uOJ+WA/lpam8HPrtEGkCFQLFL51woRMZbOI92F4Uox9t6giyDWwz/YG2oR
qKrhlRWvSgiH3mhcWy7z3rz1GRe31oZEMYSZ8Bkh6wUvUm7nnwuoewsX5rlCsLh+/+XupHrcItUb
hr7KYUeMDTomEi7kJFbLAOD/hqk16C5ZeeHhJBmileHu5VufTfMvi8OTRFSmIoxXXiXwsPft3ruW
u+gAvhCQQQ+VXbvTJnQgqv5R25wNtXwTrRe9eQyQt3//yvei4edl8csz8JB/mUiLxdJ/iLq3w8WQ
f46OUaZOFhzoiw8gws/VPjjR83834Ocp+GVAkMcTGioY0N8r7woMoHvQHkAgUntFFX9xT9wlbPUg
0uhP34NUxcv3w3J3amSf58+XYYNMSqYQmr7uobvk52b+xvVjcuj11Jk+lI1/ySzIGHDbHKYXKsXN
tDwUj2u+T3c2x+dV5svgjccKrZcIwFXCIKWHpGZ5bWtxZXPcu9d/Tu2XXy97pWyGHMsIWgSbxgmN
XAO6aS6NongdvL29QZPHmIw5RyxWzrLPK8GNDflZSPsyZpJBIKIb8Eb4lm4QuQJwolD6wN3e33JH
CPvBlMbB4X1gnrwnCYa1WlZcQ0eECJrdQdwKEuxoyoZ4yHA3fPDXpIYZhPyjEPX+iUJiZxuc0pUl
fu/jLyJTHk3+MEp4VABQjPhhzWnjTtbGLkISgZmp0tb4WSo+e4WZSHDRPPsvjKfLMTTcrJV1e2+Y
RUzypSwl/Wfkew/P3J51eJODNYATAT9qZA88p9IHcScfIBr1CPKLiiMFZZw9gKW4JOxyk6BPGK2U
3+9dvT+rtF9mfVJIIJQ1VhrkpOx5fQXwYEhM0QLDSP/Fa/UhgI3OmrL6PfDQZ4nhy3BkhFbFUGA4
yLcbIS4ekxmYFOB8qh8Lldcgag2XHrqB+IeRwZvi+09+L4Vi5qn4Mmwy1gKMdTGz7Wa+aHAQBbMh
+Rbvg04Nt8q527YWu+VeuAeyC49EF07Ve70NXosTLmSoAMBtWjSZ52aT7qrDYHhbqIF8/2hzmnJj
1y31r6GQSMEsa3AMNs+JjDsyYD9QXtNAykKHZ01H/7O7eGuYRZbUKpXoR1CKcBMKiFwAvdNJJrua
hEYsvUOWTpUg7MEMjgjkekNKIwKSGVLK5pS/VN2l4YjBAWIJtjGNW5sJsVgBIG7iH1IKXxUYucvQ
cGGbfQjPo+ixQBcHZucnAjATDw2sKfghMGYKDd0M1z+YKrdQvoEhktjbkWwqwksXG30mOx6Ixgma
iUkHEoAd+VdFgiIank0E9/u1ih4q8Hopc8161gpiqk5tV6gKt4lZz4qSpxiqtsHMxcL9HoRgInQo
M8OG+/uJ+owCtz7h4v5c0ICBkGmNa827IECZSIdbbapWl2bDtVb6znja1Bv508po99bFIuNL24Rl
BDIhrSU/hgquzIMBuAZkYys1qQ34UtPBrncJVQlq1qXTkkQFoCoBXiDizO+fYX6xWy+8iLJMU0li
7uERWsjwDeDWwb2Kk2wI+64McO+azCwC7tDn4JaN+KQVLEZGI7aj2d/F7uCnJDjv0Xm+lSYWtyXQ
RFvZb/f6Qswi+gppH1SZ3yKrtUaj3g9bdhtdwC/W2Q01GwtckRH01e+/4L1wxywupkmQ9FMhgX3R
c+ODOHoO7w8P4xSa/SjqSjQXIKJ9GQgWKxeQKuGNwYPEJf9zlMHIa6A52rdw3walv3oVAA4NKcrl
oK+sPN2dY3SpnJJmQim0oAK7MZKLHf8i2fylO0TAwel8+kpzd6b7aV7gQtDQg1zTBZBc1kyhy/vo
AW4ORFqvpisLfl5U/99ik5Qlp6oErTFuPUyLPL5V8kOrrO3bm6ctfnhRKQzlPI8Gr0BGPmoeu6mA
3mOzayc6tfIohrkBrvr3n/PmVQMDzTv5yxmTRiiwNQPeAKYFahDATYcnRiRtmzGxkmBXDx/fj3M7
EGGgeb9+GWhqCI28HIsKXY5D/lZu+kf/JBnJm/w8wTg2XpmRzzvSrSlZhCAgsOsyFfHlBAssXzdx
Ai3RZR1keRzTFHgKXCnAnlWZbfGY2KguwGxx5RVvrky84iL0dGglprCDR2A48oLWAWSMaqr/Kp0z
e9hw7/wb1Gk9YR3/fm/uFoGIrcIhEudX7TVywBURFmeDHZgwsVJHs7BC/QWCptpgrPV17o23CEJK
G469N2I8HsU6RX2ATqy7xla63a7Bx1sEHehQtGLC4McboBRGeKSCPWwPoHys9TDmFX1rYSyaCkHe
QYbaxwJMkle+/ymeSmcmlXcrdYfbURMCi4tsLRTypvfnEN2Z+Wawq0O6KTeRDh2ufbfttlA6h9sQ
FM+MYCOgi72NypXD4bNud+PNlkwWsav7JuIRETErz4kJ/TEA3CfPikWQ8+2psAkLmVf4PxGiiij0
JJDEUP0Xvwe33Bi3sAooIUSCFuiY6FADggnggT+u7ImbxzG+yiK+SH1UFl6Pr14C7G1SDfnST3Df
yRm0r61y4vRu11mpDuu9lQHvTPOS8FJWRSWXIO+6UGZx41deb+DIYkq7yYK4VqIqDnpjdN9Y4Uu6
lhDMK+jW91+EnBGJegxxBryj4Z1ie57tEAAbEB7+y6C2ZLqUMTfEHocREgcVu/7UOOnm/3F2JsuR
Kku3fiLM6JspbUL2qVQ7waQqFRBA0AVN8PT/StkdVHGU4to228PaiYAIJ9x9+fqUZ2hC3HyHydpN
vQHD0dGi4p0iuRYD47pWx723L81FkDEyYxyb23lKUzyrulYBPDGoZsOfkUTpNl3J6O58SP9HTg7b
f8FqUBXJJ9nhteIU4+bnBfF9hQArcBFYyCzIjGTIoirwH18TGHFcFMlpj7HyWvIAdhTkZpvuwaFD
gzdJ+5CoF0s644hvPA7jVd7EW1oc+iPGE3v4FJzhojSrXvKn+wQyBAigLPaht48Iah0bDbaW7cPP
f/fdB7+IV7AzSEC1RUBsPJSI7CQgvhxC8BmYl/92haUsvCRKXTcWvVWDfsWlqyrAB49gUoKDw21M
jUGF8bQ+03tnYy414kUzFkDsjHgPGAD1hhfjiBzowkIKYv18Tp/iB3aAmrB+r1b25Z3P1XLkh8NV
iusiuRUJmkiitubBdGX6XC0gflsLhpPt4kSjCsMMzMlwm9XHknpO0Z+t96KLoGb/XnlD957ZIrIQ
2IxSVUBkH26maruWeB2skwo9oEg4a5TYrJ38YMKycozwdfbVU8tz9Bc37cq2vHf9xYlGHHJVbKQE
TRyYoP8pHgYYozrDWk/izrfBWIQWCb7mgHYI4m4+Tsf4fQhhBlmc9MfxkkTjaEvBBG5eZZPZ0T9+
fqB3jtXG4gQT68kkmjmuOACmiJIKjoJRFcK7rDqtidTvHAKX0nkCV4FUqPHIkO9+FFuYqP/8p997
WItwYHKtLeMWvxvD2ZYNoFUKhxR2r/nah/POBZYi9lq0aqueTJg3ZKif0qt5Bicx3sEyy4l3UiQE
1CuPwjVekzreCflLRXvXJ3LGc0vcwWDX7aZzo8DeTveYfoBl0c1SCX1wCcOSh+qaalfan39+jneW
9Fet6a88RJLnIdNuzxGyoEdsmH2zmjh/LxI14IH6b44jmJpcTjEeYXLgT+RUPSno6yncmd/z41r+
+33tExdZxAT4WUkE2mrogELVw2D41niZwjyS4QvYoO4KE2O4aR3x/TQTG5Wmn5/anViqLwIBXDzm
XhTx1FiIhkX1KAXFpv8w1n7+3ktZRAIwPcgkjjjfGBZqU6LmYGBD/eiNlb/+XvKpL/Z9JwzdpAPu
hU4kb20JbuOjM8MQY2vZ83yJ/abwe8nt2Uql//sOO97R4sxRaWDI5bAw2RnCXvrQ9iMm14mdhOkZ
UJ3OR/lwB03fytXuRBx9ERk4o8Ygwj1wd0v/oMVaOTjdeSdLRbUpTl0rwQl9N+tw8OJPQk1s7UnT
HMtaEVV/KR2+OTgvRdVVObTWmBv4vEQ1hB4ahpyyiF3pydhCfBJpZ5DUjh1EWHCadESMO+h+5qZQ
ZkHa/WRuO6+3jXBN+PV9F/RG1Px396I9Y44WuZXbIcCivhjJQY6KXnyttz34xCl4wanPovSgb8ZN
v4GbqAu1NCRH2uvPm+xOBF7OomaxZjJpRAbZ8pOOaYsMLTruCdgTP//+nU28nCWtR9JlDahkO8tW
dsIBBiq2cIovP//4904DeHyLEAEnP4YPCH59Lt6yXcq2UxwYb0PzBABfivI4NC59ukp4/74iisst
Q4agC2BrTkiJMOgxe+aZwCutlcI5ddC8y3C8zE1XxBCNUzylay3Oe4FEWwQSgeli3t3ajc348a60
/giUog6QManhFGarGzjtxW9I739+pt/r03GTiziig0xY1BSXIyAPWaEm/wEeJaOeCn9RzREBtSuQ
i41VAhNomLiokTxvxDwEqA/Fz7aIBEgHAc5qdxnUxFquoO4eVSMY0bMdE8PJZRfGZ6AWYWXD8Dp7
JexVVd5LlJghyW/ql59v4/vhNdzGIkIxwQDAzMC7IrsZ2sfJsquL4cOGyG23I+jm9RVNURTo9NP0
J3md3rMj7K8x93D6+frfV+wNayk4n5LJIAlsoYC0F5/6p/6QRMoBrUpX86odiVA4/qVDUEYvolv8
x8PtUmqudyiBGrdy0E3Qpm2ryPDzc73N0KJkjvAqbtmZBbH38x1+ryrAHS5il2w0llkP+AZI/tPg
IyXZs2sTkEu21z6mXRxWu3RThZAbovcTJA45/H9MGN3e4jdRfCkpt7pRmdUMBxJMGm2kAespnGlo
FPZcOfCiL2Es1PD/lpAsleVSTGVLKnBoTBUHbtPDQ1y8TtaT/Pzzc7zzzVMXMaxuQOjsOiyUeHTR
JuMWXD0umB2Dm+3PF7j3kVmKxuG+BIe0VsOLctXHOZQfRXAeAzg1Pt8O2SiEQaHOoR7HzBj2RURu
Lyt4Awz1o1/5E+6cu5c6ckHTm4GwSt3JKhngQZ3sq25Y+aLfK7YsdeJlrBGwX3B7YHvZpA7pVZR9
pHZqqMCB3/IH8zFuTnrzNFJ3xlRY7TUXkzu0ea6aJxPsI1q+wBR6MqI+btCa1Bw0bOgcgSmbIynU
doNmZ2o4BaNlJ8JGRg/RKLd166cYvGuGlVV250P5dXd/5QhwEc2QxuG4OB9Z8qiwC4c3SeYr8Ech
K2/hXq6w1JnrtTAqUpZJO/EpvSobhlrehOzeLvY43jg/r7Z7ucLX+OLfN9LpvdH1DLlCb5x7BcbF
6aOMdr22ASQMvGrVApp3TD30ZV67rLz0GsynhFMnYzxXq461tXY6+DpEfRMkvr5wf/0lPTW1lN0q
mGK+1ThGqUQfTq5wf274UY+By0knx3hWjzImvDICE7Kg5eBFHOCcrkDAkMIGa+5cWtyMahh2JiSk
4oYcS/WzBhwRVn2E4DchmJ58mMqXFRgcEK0Jz8BYERWUXkgdGXi5jl6AF+fp8qeIWUwpA7u02BMD
5b8xgwVqRLN920xAMbiYdvBkDGuabCeqbz+/jzvlh6+5gL8eQtHNllbX6ByLTvugR59DRKMhIMHP
v35nYyuLxJCrHGZbcYs4rP0S2WucrGzqO8fSL3nKX381nASTpkzw6ubyiH5ClW4sGMMnqxZVd74f
Sw34rBNZoyqy5pGEWuyWj0OkRJKHxAOcp7UjwO1Y+N36k/893PdTQQRjQK1z8OHdYQN6FkqbMiR+
DGShbZ2KlS13Jxlbirr1Su2lVs3xsBQMqRSvRgsD9z78+Q3fa24uldtWlXQiVhEWELLYowTXSLjU
4RhVbtoQqqQtugAeVny7oU/QLUfsqQ3y66rq6k5YXEq6ZbNlKcBDqODaRengFKc+0a25yzCPfuuv
WE4WzB4IueAbvhorOdH3ulAD0zf/vrgqJyliB1Z1EQ5+HHTBsCPXbFt6pqsFpg9LGfMX3xn/cZ3I
i4MU5yKKQxRbdIymoxnlQCPZ6km4FBBmi8/WiV9+fpV3NuvX+eCvTZW21UBKcEV2apHYQPrZRLv+
/Mv3gv6S8T6xjgEwiKAv9f0+VzoUhFPoX+KjActuUZs85cZRjB8nWMo3MzrhseJqAiZLyg6ZNtvV
quKpw5+Vv+bOxvvKCf660Rieq9pMkBaCo+p1l35f7j/Ba8Xck7kZ9unKcfve0rxd/a+r5GlTAyKJ
19YCpSjKsFQHA2Ro5m055W6rliHtppVNeC/RXaqzR1WUbyqD20S9GmFIJYLux94JQYURLW3lIl8v
65t49dVl/uuGZEDULOOmsKOh7HXB7SKJl+/lV9WF4jDAtFC7xTh4kDwUAXk0TgJoxDaM7QNr5S+4
139aCrKhAIJe43abkJ5gLq1xMugmMI3qrMVk6/uQ/JWt/XWL3CSD2EookuWt35T4dG+63AXPAmM+
LOrTla/ivVrcUnDdznDMNSY8SWHT2fHXK8NMTYRxNmd2uJsf13RT9+5nETpm4HQtRUZwZiAx7dQa
xmBZmJ3a85ra6PZD36yJpb5ai8Glyg1cQI86G6fj87RfE4bf++nF2YENea+RCj+tGI+K+jTEoHhg
ovxYpytl9zsb9Ovt/PWyATjsDWHCBbgU9JcY3iBw/LcbTLA5erzy7b2X539Vbf66yATneQH5FR5+
6cFYr6/e08IxUeqNFGrn/CAhwehgmwMQB4V/QvNHtly4IWdg+641He/VOr6ixl9/g6wpyo11iFWN
hrLqsPJogIsxbQz43cFHX3wy3Up4qrLRJaDMsBfAunQ4CoC4DiSZoyD3qffCDiZKv1cC8O2E892q
WdSQeJwlZT3iD5ofBlfYVgfZy86BFGiajXmKlQLE3Ud/O9z9ddttqguZOCJlYvxZq8KWb8UKFtPw
E5z1t8bkttpvsrRCfucStGFTOarMDRe2xnQV3ylQhQBY/HzD348hGNZSNi1Qw0hkCzUCbQQkCISj
7DWjHERGfTNofqaMe6LsM+XMQSbCoYI8waWulEKRIZXYAzVsm9uYpitr8s7GWiql+/oGamzwxwic
Oj3DuJMMm3MDc52w4kxXtEd3TujiIvIgWy0HI0WIq43NPKNrp12aFLWelU/BnTOteLvsX++2nwHq
kGrcA+0xjSQ1tgB33FRbawTeOSGIi9hDmwFQituHBoPPQb2b7WGrHAYHU84e1Doof/y8Lu6EZ/F2
EvvrLgQL1dTSxGUGv3+Hs7R9G08Qd2t9uXtn86UsGPXUQZVuyZ0MY6lT8sCd4phHumu8lO/Ds/xi
wDkSNkXJHnAMy5FaG/hJOKys9bjurYFFgpNJdUH74XZ7ULfkUwhbdist3ZqsdJnuBPD/EQUTRRjT
7HZ7mMhvDjgOOCY66Cvb5N6hdanq7eZE0JmAYz5gIwABjE/UNx9giu6Zow2MZMQc48pRwtTOxebn
9fD9xK8B0sS/C6Kf07mqbvmyPLomAsNG2lSAkWP6lNgTWk3ypiWunqBgmp9AGm8PfOXKd6SCgAn+
e2WZMjGrZFx5+oV5uwK8emjS0PT2kkA9Fj6wY09wxcCdWvv8CnQO/hu8tWPK9+Z+uO9FtLCyxALx
/PYmo+StwtucfdWJESAfkk3s8tc84Pt+D42si+EdehHOc2vDBXtPtrpfbXoHwsX0c+Ud3D5C//tx
Alv63yeRpJaaygoi1+hQl/rDdj53PqCuQRetmb7cfc+L+NJKam6mGiSI5cF6oQOepjPssBWfgDJ2
YJe8i33NU30MGYP9261sl+9jprnUAst0BqtmmpWdmcl/BAbtoQmKF63pr5+f3Pfb/X8Z2qj4A5WN
B2cdUwxjApC2kgHfOcCAdvnvK8lH+JkSFQkb3cnvKIJjZzyzX4qPelm9G07NPnvEEvWyoDpVO7nd
FJlTRNqrvOMrj+5OgmUupcBGA5fgL11zC4+Dd7gFA1uB6YNOsEGVcaZP006TtYL8nfqCaS0OLryb
gR7T0DkZoAW2yeDUGB74LZ6Mzp6jGXWuX3DK7p7HaIz01brs99m/udQKT4Ygxvy2JNlL+dRgjAPH
0V+6q7hxyDxxm/urY7W32/hmgy21wUOtSHMzQbjRXwSYpNhGMOHLSvcNwtxK7n3vZhbxpDf5IM0Z
Q0vZLPuNKY+z0+VNu/LZvpOHgmj/73o0G6B0iYT1mLzDI0rwBgd2zInzKK2JT+6FY3MRIEB74Wnf
N+LOeEgu6CKT6/hHfYIiCZiCLMPoNWYJpROP6B7kvMLmLt2vMnO+P52bS2VvrpL/J+uakQREoFka
xzKwPAojgtw3iAdE5Mq2uhMxlkLeTppIMas99FYohs9iZ3P9YPaSLdA1M4XvT1hAMP37pgxitAmX
bwqAGCzlTSu4PIVPawlFkgDAIewNyUo2eXdRLJMawIRmZiD8GePDlLlx+94bqmPAAL9PXoUXYXrJ
1jw6vz/4oCT3712psaUVagIdLs1cBZOmdcjK3z2Yp4Y/dYX7n8L5UoqrlpKpiUCK7wDolt51UpdO
MRF4AbVj2gOzag32zxe6F++WMtwhleNEqnvwYR0yQlYMzmHWvRSx20MSWbqwsHYVGFKCvlnRUJ3d
YXgFUtxV1nbbvc/xUpZrmGZXGGSYd0McjdW256JN4etCPRGDgjCvjQENhJd8lE1hGYf8F8J+n3yW
xa4uxZXl89WO/CYqLqW7MTNKC778sF1tr5gTtKWauOP8KhpequzI5M0xHNjM+dDXh5y9ccCN80x1
pOqlzPy4qUAQbB7HiTqqiMnNhjo1Ny6k2ChwGLamxGv7xivBWyzjDSodMCEtkJIFOkxzpXIr17VX
kvcRnSjwuVER8OTs2hm/ee//x1e8iGeZqGTNlOMJC9s4kv/QK9QVkeFwvzi0G+lcXWluP5DHlavd
2fXGIq/KrJFKdAD7o3eSjQhTz9FD39dPbuZZcK9L31HrhVU13Jntlc3yvWsQmNy3TPKvVK6SYlMC
gAp2v5j+lq8d4JgNpUcZgMmieOx0jJokJ1WDsdZ8pUQLUh3T6TT3ioyCvzgfm+YKWxKACrAFYKyr
616iQK2Q2iWZHHjl99ytVXBdJQoiwmQbqaf2B870lT34JaH7bvktAqVp5Gw2lBEMoJjBbgLtlFn1
Z22TEwOViKuJCZ6uw75EiaaXeSCnv3PhUFftb5hc20nxa84BTpUCnnyaxTOVUNAKR1UAWHbDyLNA
jj1cruF9bD2AOZyjqp/ByUIj47bELtfhUd1BAAaAaiM962jkiBo9qlVQ14ItiGcl/YTLiVOnMJZL
BbukL1Nb7AchKCyvAyiD4+fgiGMpdI9hC8doPR0jvGO10iK9o7CCEca/71bIjCZnGkx9RdQCJFe4
SBvqomD71IQpdHfCSlPzTlQ3FlGd6FzvG03lOxOCehWGynYCDEZSYTSbX63h9efNcUfAZS5F1RkW
VDFq8Hce3HEPborl53/aABpUbSMH+PZ2NvqDs2Q6fUB2xssgeSBaaYYtO9VY2/IuR/HSvwg39FG3
GVKn71DMhI/GcGBwDDFXFuS9j8JSi91LkgrGATYUAnJOP2ApvlWPsyferIjyF8NhDIPwmJVxAPxc
SzTujK2ZSyW2FutMTCYioiRcQ+/fndUZzQWMLOrH7Lk23aQ+ztJ1rH/1nS+em9jhpj2ZL6o02R2r
nmWMWGKC7Vcfz8DR72ox84dxz7mTFm6Jop+2J6m+krHfS0mWym4iYx5aUHBElLqoSWbfIngmcCeE
zQK47cmrhal9CL7bV7FZK4ncWaFLnfdcs3rKRVwSfnyXwk9CfdOd1tLTe1neUtBNOO1yehtTGDBg
ESD7lg9ajSccDh/qFWVymLnDQXLLt9rVOtM/w6UtnPkkwUI7qLZrXa47VWNTXwRyritWVXS3zX7W
I/IK1lBA9lIouXk0bItjuUflQ4D3W/lbxZ/y857U5C9l2jfx93/k4KYKWQeTYaZfkqsqWmeRv9RC
/kGH/lwpOjOgCkklW8qhKprhUSD1L4p0ybQkarPObTu6r5rElREF6ZnHJzPzq/Y8VA9EAyqQ5k6D
tgPQibYC6lMyTae4hk9+yX+ncR+xhB9ardyYFbrzpAb9h8B4WYaRdN7hANQi2bRip2yAocza7Rwz
VGFGLynAKIfDZ5F6SoxRX5FdBMnidmsBnjtUviVLbjOpLnzwbVMOabkr+gYA7IcGw56KGELT5jFq
phjdO0qxxybTEeR3fPJcFo9+b1bvfRaK2gBGemFr5ishKiQ5YCeIdtx/lBVoJkXxyq3aocafpLM2
5tQ5+Sw3Lj43OfPr6VksfYGhpl6ZLXEKgKtJPmS2zE+pWpS2ItWHpExhpslH6JyAzvZnlnusnyIc
lsw2BC4rUjX9LU6KLbidzwMpXCunj1o6BbWqvqZW4Uxd+ZFO45FNaShZQV/D9/SGDGfMsjHwIHdk
V2ctjJRU7EIuEwoHJTWjvd1VGgKXont0BpcAFlcgkOdBKUck+V11vavCAUg0VTslJqIvtY0Bo7rq
gImUvhbZuRn1t85UDlZrkQDwbb30jFInv4ZSbj76qilhy9KAdECtCU8QblqAOgkTdRMAJEMhAZmi
bDrDxlPk9tAa+JeDrHtcHQDFRvDCoL9HLVhcA1yf6m3yolX0mZRvrGDDTsu1QJo0txpyc1Oo/E3q
eLGpFK17SVN4Ulsq/TNXTTCPHfwlPcIe4vQ49o+tfkzTzhGAhKgB6oad5LCBJz5O9AZNT2nr5LHl
KUmQSw6JI05LoA5KIBZNq0eHJmxTAFvPecMxavY7VgErPykYJ0634IWXZMPqaGqPHY7CaR47Sl+7
MeyeJhueeeloi8yFNy2Wboo4rLulEEzwqWbZTu13Ind69Qxj8ULdIBGFAZwpXIYJDGxIWvRAA0xa
kQwPJF/FifMncd6DFVEC3V62ottKdizwbSE2+ximISX6KLBCO5lzerEAbOQYSKnqw5g/1Fi3xgsX
gRhrwLd80Mx+V7WfZfM5Yc+pLeAY8ns9YZEow6VjaWDm6jPadZgQM5CSCJObqQRyPzGFzWfvIEt3
Uuxxqb5S9TTH12qUq9AAmR1mI8eilfat3HoNKF8hZ8lzL5l+oqOeOF9y6QDK9ziNb3NebXEbfERv
UoBxT/cUN7MzWGzLxQT6aysaldgKGZUfFK5ewLRVrmY8dpsSKFwhdQVlKrYaQVECm7cuKcBDFEZW
WBoqGlgtvJ6IXVeioxbPSpO6EydXmJSOHO88BZq2MfyqOQzz3IAhLoaGAp576U05gCGtX07z89Bg
QB2ot8EScBa1p+TQvxZcx0Mtj8MIhq4AP6l0QKk8g7wciBMhQSOLeQKWilZkPtIzDI0CCDNeJ4n4
rTG7laY4ldHhJYlNKDUulT3xNusF15dqRwWawL90LxjugKqKCMtoD/Qj9/Y7KqiQ045qcLuXrYBk
muU3YldtlBSKdkuvX5taPdUyB5Y9eRjHY998MtLaIA8zHuTN1cRb1zNUi5iLuQPsjlKvHKMXnU7Z
6sImM2ns0v4ww8LVzJqdkBZhiWJ/Iual02bWNQZc2B3wNVQE/UFmHdBfQh7hAY9BU+xRebISr2d2
uzMQ2Y4iStfGaWDwMMXkUlqcxcEWijco803rAeQQcfjQrVizBcg13gorEPkGBA2N2UR3WOFIH/g/
mzkkzKkB1jBtaXQkSBnREFDsAY78enYYweGpduJsJ+Wlkk4ZPK+ox5DAJI1vSlsWn4X5T1piRI/+
kkrYd4B9YcCsNu+Tx6FNNwIpQj0tHhlpYEibV3LQlVGKRkfTlYE5pIavYApPs0AAnvSgw/eqV2SY
3edO17eTk8OBFxalGj5pGqLgzcpxmyhXRPKMAwvEYVn0pqGVkGhbC/mVSkdYUBi1o2mbVJyZQ6sa
V0gY2zfUyD6khzbzJ82LC8z66TeuOnegtywDxTACDIPBQHsyHEnPbCweL+lUR6igQMkwh5ScRk12
Z4PZggmUorG/MdrNBEF0Dss/xQxvF4x9XGowGXKA0EKm5w6rwKgjdHxVu/44MVDeQFZA6YN7tNgB
JZfLsCsDyW7weimqFU9IvUZBzxiuNgzXNS0nHTOGEQs8tfcsP3Swo82RFo2YwdzTOVRy5JLqpyLC
aUB1eXUg4mM5C3aFSgCLDN2TOrRY2kdYRwVat0tUN0kxF9j0Z6061IPXwbJLRSEAYNQSeCf2MJ8H
CHwIu2AUk8YtyHnUA1zENLw+A11AfeQc8YhOvo7R807uHcYnAKvdXnwzyW8DhAqGNMbPPnsTQQKT
tBXiFAQvEM0CbCeFlaU4suxLkme11zZ51KpIuYUKWx/2Fd2iG5WUB517Lcy2UaFW7cpw6hpx7lWY
Hsr5WiFpUXt3iEMZM219QNnGAvkTNb6XOdmi/6hic8zpOyhSvilbO0tv9jjlgds7opJvSMzrmxJx
iPBLzbUwwRutE/GoIgst6oztCLA9tG3RjkJ7zlGb2bPmKSIwH/ESscMnhudH3UTdSEo9ouvv5lva
ehmdsWiJo+jyJumKLayoouH28FHRNcfc70EIbWZQ8Sp/QKCv8S5QuWHTFMG3w5Ga3qX8UKBLPzTG
qWWOxaIiZa48NQHvB+o0bbPTUAfQQdJWlebYsJ0sPMRKse3kd6CVKY8xnc+Gk5IJJ4ycOA0MQuEy
ee0N1JSESBeAP21gMTmNkq1ODjHJfpwaBeGJ6mB0Vu22l43KsWaOk5W0kZOX3kDJqFcNHKrEDoc9
HMpS2fB5OZUf84APPjEUl5Q+xMswQ7aqQE10n6s9XJg6t58Vu0f1H0VLcW/U2L95iI+AoWKIvJoj
lZu+TJFWynqQNuNxGl/QL7YbtXNEeAe25ejKYDDySnVSbWcVGnTZlG+tuQGeGJYi+LBl+kM9dj4G
K8GPBE0WtQBLKIFPFtMXGhuBEL+LKBmg2mbPVmQZZ1BOAyuRAT69LWYMAsVUtc1z2wZaGUe1Zf7h
SqK4AxFOJQ3jWnyXCDhMGV61NjSBXI94YqjMPzK0nebAfICQXNNM2zK2EHw3OIXM7RvnU2C1sHka
nkrrTRaf2PykchzrvLo4z0AnSsznAHfA3z0OU3hW4ijgyDq5jLLyOWC+yxEBQoHvWw9VWnlssnpf
DZZsK1QI9RorVmg3xuDLVSCW5JdqNF5qMVjo3tqK1Qx4POCsLdW9sdCJjen5CbykZNvQctyNegco
HmVpmPIpGmC4bWOY9zJU0l5nPN0o4vBa4Ru+weylFVTtuzQTjxLrc5rAWK2IM+hPRMfxHZJ91Nmz
E9DugHJK5UdOkJgMJeB3IxxfhsbtCsi3eB/hNBs2sbClEtmkdRwAM/oE+76tqgoBH3HEGWj2R7Fg
qZyANacBam+YbyI3cEjDstPBJ0e0hEqiogd8nLcK1MVdu5vJW2a9ihpCxcHIrdTOseHpAKgnEAW5
V6PI1GmdJzQIJcMEmx20u7fdPAHvjFEsO7P6dDcxc9PGyrE22p2GpltSl9t5sjDChmSgjf0iIW4l
UTy+WtyorEKjfOa7KSn9bM4cjT+Lqv5WT0jTJLotJWwoVFyJ9km61xQnJFbWIMZjEsBrNM2b++4o
Z8wRFT+VPzr0ek2FPgjSpYZ5Sjs+gom6K9XiNLEEkwYmfgnAn0OPK8gdh9t7wXFoU567tnrlirWp
uvyJpuOTjPrMJJ+afjfR9BPcC7AvQT4DI2vgMb6L6N+UAobp7Li+JiBjSliBDwwsEeyF3MvrAyJs
VXlyt83RhJZ8bgVl8WAhHcBZ47Z31TpilryRKNhl+Po3I1YJCOJXo2/CJkPYbTSXC1CGSu+jeNW5
2xNMDqnSp1z0L9r4G4vQRT6G+OHEZem1KXHjfHLj5pduADeufFaDNxvNjuMg143ZTlJEW2CfuinY
EqjU9FExz2XmlgYcyVHqrmBDMaGWqtBXRSMnK5bAJhLykGOcpNE5YhxaqGPlyvrLnBYRN6vHJoN6
oCs3suiUIgytMURTaK5hRQbOicovkriIrSx/Uw08JCfDGAbBk+s3deap2TXGdC19SRXXhIGHKOxM
cVN+oMHYak4Cy3D6OiovmhnilDBPQd6hkiFF2QgOapdGhuVrDb7USFO22tSf5tHcJzDMwLyR2FFX
QLuXMRxpYZg66M4ANyuWwzMVZyL2e5rBdgKlS3mJeUAAa2gxLp6ViSeTg9q86xhfMgcCMCJSu8EX
9X2Oyi1MMMEbY7nfGJFeHRA9W3xhBrJTMKspnmUYS07YPzVzTRHQVrAKVdO1zLcEljotyNhyqKEH
Gb/zxxTChObmP1zKvjE/TRjp6wqHoegEyogU1thQzSFWfC3emxYARQ4ynRonPia4vXFgSolYtC0Y
3G5n62DiFKzmjSfBDwoF4b7NXSnvQS5CyMYpuyuTMEHGpVi5lyBbkHNsaxE9tQunKPoyt+bJHkZ3
QceQUUwsEljqWxI8M7NbISEDJKrxEvYZgyqaFdxvhgoxrrKzNhiSoNUKOEE+tio8doJS8owixk20
W1IkbkUUnI0zVxen41gZoZag364qv8UEZlRlu8Gn/SSMqi8UfgyHxeklxvxGS4uQi56iR1X5x0Do
mSjSDk9CuTQmoQxlpW1ibBudnLBv3gw1HCCur/h7V59UTH1QG/0lBtIPIkBh4/SdD17BbfoJ0oPd
VPpT2YVyemDCC+jegTCCW2bCJABmcnj6JnPBcTWtvVTgZBRvLXxqhwpDaqSuUCertOz3zRoS2bJh
9Oe0GsdXrRGnVzVuOpQqzV6NBKHylXEKCGUe6hONk6a5r4MOHTNkvjJGvkn1x8ReS2gLQ/ZRjYp2
isYkC2QL6Ah9Ps2SjImp3Gd8CKnU/p51PdvjCHy1xIRuIDVx4Nh0ZUp9acrxT5IgcUMP047j1AhY
Si+1ifmp2LQuIrd0e9JTZC88BsVWOFcydzrgqHFfrsj7D7MY0iCJpT+CKXlVH//m4yVvDnPn1G9K
8ws9wh6jH8h5elcpnOKXDoMxMrQe728HOINtq2dBBgcHbnSwqDODW7PFREam7usMA36eIYCW5Uqj
zaknTT6r3qsMf72tSlf1/0g6r+1GsSwMPxFrEQ7pViBAkpUs27LrhuVIzpmnn089Vz2rp6qrLME5
e/+x2+S1E4uHPWHHGyuqbZLvLcXTu8gJW49yNCCGpXgnn5JBsETy6/byQQGxqxvK4Hf0Ddj2paiw
S/8ZX8pZvGkf0uJR7q34yuAqhlt3Xp7chvQ46J0Dc6xfei5rPXIBK3Cykosdx35WnVr+bc6PN4O2
bbr8OKS7kujN0SlTvyHx0j5rqW9Qno2ouDS3DZXMbMHRXmLQqV4NQqXC57FRt0OxGbPvxPBCVOfK
Thw1lIjVStril5lmmzyE8nxrcK11QaodiqLepYZPCTxW16n/igdXTXZh+ivFn+H6EvXfY7buasVr
SaOqXVa/EpgwagkJ3tBI2zVbuz5X5spxipwtAgPL9gxya115qfVpj+kp18kUNvhlvB46RQc1fbmi
dOaURyPbZTetjthAn5t0y12ypK5aEoGVxkfUxH7TxU/CejLOev2Ei9wiSAfZTO3a39LYsGVvI/Ot
AJkoz924U1Ya4TOoemLDGoM9/NCme8YECdu+TM8Bpkr7tbB3tf4eKxgQ8+nZEN8mAb0pABMl9ROH
WfkuWrodJWMrmqeidGP5p1OJ+y2/bPRzxV89XnTYfw1vebUl6FPRATiOavEBztTH57DeNfqtzI6t
/lThnkcCXuCeR9wkS1suvaXdKeqOgWCtfspwm9NbnheuCWjXb4lD3ahgVencP2yIJMLHo+HGf1xJ
IVWDs3gtO8Ex6w0SQAsdxMORcaTGZfbNjOc2daAQyXYvqo31xaXSvVW/euNFzUtu7ASefHruqdXp
cXYQadxr9ngOi+pKg+lGq/kwKaqXn+3Qp8Aytl75WczqWt5E/BbNZ7KGpfW11Zhs4sRJk/JU9+zx
LNVGXCBlGnxD5odbj+G9lFYs0zQm6TtBVlxWg9wccjv3zTLljSci0HaV+CLtBRnSJcnhT0VTvRnc
kjlDmBqzzOZvenWJlk1VXMOeR/5osM6Ugm8ASaAsiH+md3NxIuuyZDd7XRn7jjDrY3tGrrYxzael
upTaaxOedAbaChYs97TQHdWgyA8JPutBAzzMPHCrtNx1zxXnIOHMncojy15zq0vPNP4N676QwHj9
5l+XBRPGX/NToyJH5tLENjj/4+cyY3+SqWdXvksRAG5u8mqvJx4hLFSQ2KY3/PKWSfa2FwEM6MQE
sl4S87Uuf4f802i6K3g7KgSte6p7R2R8d+/8Xcv0Y9baTdNCGZrPiEVtvr7OloMYLKKurnPxsSSn
lYSQ6L0ro02hXdPQL9nHo41pv4rZBXazT2kLDqb5WrlDneWYnFQjixggUE7/iXlXmoOB7CiLDyOj
LOeI4bQdz/tTyr0/GKzzCmfKKrlAQ4wUbbljAmJZTngfKR/iWQhnHNUbktlBvWyMbLYXctdFn6L6
nvL3rnUEniJCaOxzWZUOEb0GWIly6CpwFOOMiGEsKTXyzfTC7lSqXJtGvjG1N4uxInSq1ZFRxHbX
hizJgsvjL9MvWnUpcseI/Ej70e3c1Y2XLHLydBe3/iACSA6u4dF0Juoc6ldyg9Oc2DLpuJS3ji7t
+jSkl7i76yUA7qGTpu2IZyDN/832TpP/mOgaKXIMphSVOSY+ZCsWtsyVZjQ4TtPQirEpeeaZXmTm
kU3cWrspFLe+iuBP+PkIaqGWVd90P1MV8KbUsZu2vpUGbcvw8tI10qaLfkPjYIT7FRFs7Jq5P/40
KaMaCU7Y9PVt/DbTwzu7anfGN8ws2LHgqS82iPuTRg2yxYoCuCTzLidcgb4BSiKluybK3bx9ywza
0AsIj0M6MDSaO6n7XC3TMZJ9Qd5hVzmyGZRInGnaULlOffOUzVuhvq2/WnJXqVSXWH7vITZ5zmWj
dOSCb5/+KDcqXZMTqzgiJZH0nw649WURFtj2pniU2XCO5hTj9p6EYZIWJxiB+WcW2/5AGvmiIAEC
XnzhBjJDEuzUQDW+s/m9vVRcLHGQkNvCmBb+Gvl9QgkMlJVz1ApH60MXjc5oMJ4DO4J/bKZut6CW
1M2PSDt2gsSczJtiPqT5VZ0OPAl5A0boaNjxGtfuTnKPtBOw11XFPQF8MC/j7JL+pLFHKm8SfLcA
SZYawx1nIDHEGObGbH6r8DQRK23vxIcBnhMzNgeLda7o1Ro2hkXuwNskVS66x826/DzwwA9kv6b8
JM/XGUkRq39d+Uu3rVNPnpxKcsNu2/U7Yqvl5J817rK0dOcJJkwertoYblbT8qOInPnuWs68Yayf
Os0GqPTOaf0cjdu2Dppp3742lICSMP/H7hkihRT3CLWitQ1vA4LyD/NvyNxYcSqZhPpAtTe4fKwp
GPc9/MGwVbmjf7V0r/wWguR+wgSjUGyH6J/Vv8/KVbxoxBCo47V71xa/4m+kbddlBap8LiMlYAah
scxhiw+Tf6smOxqSLcIT9NLccSWDy7At8Dn42QOy4+g9R/qnknBSbvviAFhvq79x5ObdV5L7IK00
ZFvzqyIdutbN5iCUfRY+409kptN+pOKnHj4BeamM3qT/VEbqW1ZaPGT1Q9OgVX4B8p6fwrnZtcYR
HnuTL0+CW1caQGG9WgMfnKmY/RxIALCu8l9VPbNK5EYgomrTzAe94pqe2Vt3ZvbdKD+a/vzA/wmC
4mRTi8t/wNLjkROb9CmJA6JjbEevAvgBVFwywFC8fhnpTqaJWX7N+confvOKQTq7gTdv4FrN8Cbf
4E06upmN2W/mVz2/pTxTcU2YOFG107PY9fWp1nxzccPZAy1BEEYZACHcBepGdhneLvKN/FbeNYrH
82bO/wauheip17dm6AyRH9alSyVsNd3WmMiDg93cgIqn7yFqnOpdiBtfu9y5OUnlhj+2HlD1hOXh
azUOaUitARXDhBU2DDVSw7e2vOnQM8lbJ/2uraPy4JgLvMfhUUQgHjo2x44KR6u3tlK5Q/FD2oMZ
bdPL2t41Ab6icBMSvf9OVpyUBUzR9bId0UtJXP9+K5AA0N3cflFfa+uHXPfTLMgVx2Z2pSLHIl2s
9y2LM9rLWX05hahNl4ogG3xeTaPwQLgl+vmAk3JPtt/iz6VnUy/gplRnjAPdPCnI/NRj3wS2+j3x
L9fdaO7qbFNK97B+rT9LNdyH6SvMyWPpsQdE+i0xX917dxRA+u2sOVp+bY2DMnKZK9iWX+3wPseI
QiqHL4FZTWHQXnU3hRLjJO6YnA0Y8nEjj48ApMTNKrTd/NNemajqFzEXh9lgaRPexLOVYUPdSC8G
ZofiV2jKR6Xgvc3B8maIDNxVrapxcxyW0u2N+mj+/3qnsaGiAWqZJiempamqPgX9BzhXjKvZqO8S
AMRG0ocHh10VTtfC2nMNWSDPepGBEtFWE3UvrdbsuyXeqWXlGEMdtHX4J6f1P3u0viQ18Ruo5U1m
JI7oAiPLvGISW9PaqsbIxbIpI0+wzV4QMiEg3ViKW8U/avylokZQD6Hls4JTNthqO6U+PGC42JWN
Pyj74ocW+iDRCN3Gs1edm9vQRNth+RtGzUWB0nFxgTkHgv+yrG2VVRv8uW9ih/g2b9S3reKtlldC
tehD8jcbexXqZLaGj1JsWcabzhHWdMwaMpj78bD0vMQFmJiKvQaQWk1O1bPdfUS67KUTsW5N5kVm
dgUC8LLhUd+lPo/jY7EHqJ2pyK3bx5wsE+/PFTS38zZqOF7r9QimFq7jh2LdEi29VuEu5VfruvQs
pBvZom3GNUHQ/SWOj9yb0+KtNjPWk/4XTb8TSusIBGDDgE8Ehekq4jAhXdRIy4pI1HI4ah9DL8xw
/0AfFoDv/jJFQTnuF5BYyCqoBC262iX8BTzPTlcOqwHkrm7rjFNw3VcLMNFuXWHjjtzCyeBYhifm
W0nedrsJjW2FQTOkxcQf5W5XLafqx0RzlZnjBXAZlGIcL9Kwl57X/ok6CzyUo/mhWxGfrpurfmEG
dh2hbfg1iEqpzupt1nZFRnbfjpK7TUZtI6feOHgs3KJ9EfYzahfipJETSOpN5dFnTuY7moQ7R4eU
KUNmQCCvxSJKDcIoIkiKDr6RXwh43X3l5scwBaa6W0gqoq5r/hnRBBYQeOeRs1wMTGvFNoMmDmfy
xrU46MZzkb7ZxnGZThksK0Cvvhc9ejvA3eZRAjg3Xj4koP3vROPAntwY8hhRFPIZX8fl3Ci3/s/+
yRNjMyRbI/yuZwCsJLnNxvChcDMs/OYhvlf1Z44SzJ4OI01+wpkSD1JU610Je1c/OtZTMyqMEh8Z
0yNjZO6B32nzxg5smqrCc575eXmzx6d23Er5WYZbHrIDDeyWZt2X9wbU81dm1wb39OufKvzVLSez
WfrRKmeyw+cu66d1dnU+79khOddwFsHg6pRvyURbklJs4+Sjbo7yl8WvGbLtXPyE1dtAoqvILqyA
kJCwR0Ic1yp1e8H9iWOwU/ZR1R1ECwdIIhEUYyHv1pFNAuQYqM/jXe6ZnY5G/pat0OnIWQbEAXnn
CT7e/E70zSyWQ8Mcpxqu3T+tyjlvnHki9NknaMMTh9B8VJyK7dJ8zDI8vyO03+Uhp0BRY2/ZPjRk
Kw3DxmO/yVQGC1QkuVOB+DEyoPSxMfqmH92LwmpSO70WzOtWe7YvY/vW3FPb4XkABAWsUCLILekv
L/+RSlYXnv1RMmgq7y0wS5QGcmm7S7mJUMgWrmZu6lh21UtSQoe7j9ntY1m8MAxwAsnWV0Pf6hn0
HIs1TNHZ5jqoFD70yRf9vh7YaGy6P9RDM3xhyX0yyfwWqydBY65f4YhaonyZPqRHEkz/JKHSaGta
bHsv4dCQdzOrUrUS9HeMNFSxj3sGVkGtt+FwXKNTtnw0yXsUb235nwxFl4i7kdm+/jTL29mAezzk
IPA29A/FHXJivNqK/DUU0iFquGlCgh7fLLB9qX43Uo5ZN6bRnRD08ZPI/Dhz2TVKVIbW06ITcWXw
5SDUF79zuC9SyZfhr+NwJ098QOltGBvPLjK/MeFwIO7Wc42WLoIARYg9PtUh50TkGrzadfWdxqcE
ZDqKnBYRSdQGVls4C+1sLAxx+6VLL1oxIQ6a0ORj9+QNiUyGd6SPZeyla8kMAa5tcEs1xtbMpu2i
o8fJI4AHLTv3+bSpFfM4wOiT7yw5mnodohsVk3DdkY1AasO8PZot6332HNckAoy53qKBAjFR6yAz
KLex2MKL3IvZFWGeQUz6u1V/WorPc8kyDqQoTce2+sxtnokEwIXp1Iqrk2KpTmldpc59fNTjVfTn
gj8wyj/5r5kpMkbrmoufsCYt+57KyPMVFnD1RaJmN9a9ee2JOWLZZU4OUYVzVBSB8qcC2tuxBzLS
LCtyyFAVbmncpZoP5VBzFK6flf3VRdHjtxx4/lNUMUbEmnAUJnN34qjieZpjlF/FB1e2pQAnmsZm
RKJdmNm/zgBCzWcybe7gINh0EJBBDLzL3VMZ/3Xw8Avb7vi3is79T6hyXvXTALUesaM1nImyZb1X
jERJ+z7m2V6z0GTF6V7lLx5Z5oFazEMxK7eBTIJpX4qXMLsItIxR+CZ3U+eutnIe+jHctupj2qw+
4jz1i4M0f9gK+DVCN2fgRxneEvtZVUdvzvfdCk8VXssIREm79tG+UmEOnxUp0K3taoeuMf621TaG
XTHMHeWuTLt6uUuk10QdmbS/jepLADEl/U4X0C2btKVxsgR5z0iELZ77qT+lhfqcC7Bq6sviYq8T
o1h8ixa5RL/IsM4FTOf6OXVcpLF9I8aad25uv4w5eZVsuPZ61b1SGeGfUD5qbbVrBt7wftA518zv
oQcp4QZWJskKhsz6DONlT0/fSzTsZ/XVRFZcYSFImrsuRdcOULtlwUhMaTwmsPvAaZbslAnEbsbQ
4umaHHu1qj+bRpTcNIFAqImY6cu12gk7ulUm5T0C4Wj1rUbZVtW1ndSgZizW+yo/ICCOnEi20f2f
8hgmFyGUCB/KQPZGYbf3wqZKT7LGvZhGvADkqm1EqQaDHYdOk5qZM8jN6Me9+IpaM/JgQlEtLPHR
ChGQCG2kO1Rhui/PoeT1eSAUG3+bi+9g0qY3ifs91C/L+ML62aYH28I70SRuiSKp/NIN4ZoUIawb
vWWdygjTt3DCOG30l0jPGiVFLKFYZWxtulLRBAmnIGzIFDxmc69RE9hUz7klHRpFmhxL0rY6uRwq
L6rtWv1t0BNXKYNF+9Qt+C/Vz3ueBvWznVnxC9QUdQlXAmdpPQg6UogrzTEJMlrr5tTG9d0wFCq3
R5godYuYXexTRT+PBG8CEyxMsRYQFqXHjMFBYsAVaB8iJqMyjsdd2xVP4zQIWK0QtouA4djym0bm
y8Qw55hWETqh1IlN2whlG0d83qYNTTKo6eJC8By7sr0Uqu1YnCLSXJ+07p+dWvuCoJFmHCoanHR3
ttGh6lr9o0tPZlXskmjAGzck4PuFL4dnffRSWlBsbFkaPfCLdNYsAm1JCihPqcbg7DBFmkpACYXG
bTFHR3xKCVPnUrwuxl5qPdXeV7ofzbfROgjaTLEH8Lb1dX/lsY68nsIO6CyxgtWnEnikhgZMQZql
bNNZA/dXzFcagrnmS0KakvVfN7d78BW20ap3ivalpjUjYrs5Q29L5kHEz4a+7Yia6Fw7AWeC6E24
WQY2i3wN2ABsDFJYWi1rO+Bo0LbIH7yKANthMV0t4setd1Fj7YYl9gYUCIPKYtm8xdO2GYagybVd
I3oB98bIlKI5RPTM+fvWPFfAqYP1bXJuM/z242fe2wTWaB91+wNwFrblqY+Sk1IFuTo9rfavsAC7
CzaUVt0veuctBp9DLe2s+EsTlLZILvYz0qL2udLVjl3Kn7LtU/notjXyF7sNP9uyoUAnDRGRoMab
FeFKlfGZmMrK5EMxYDfce0UO1DS+LWHmhI1F251w9DBBCVFJ6HDHbvG71iTuc64G+2dsa3k7yIvl
SkqUbBU9/FUq9Ki81NrQUShZ98iGU5m+hULXKv4P6IO45iZfCxlJZ0cjmBnZByTYmgsDyNvRDYWX
pWkwNPYhnmeYPMpvUDFNEPLVHIGN1frsxF3lAbVVlUByNgLfWGOZHtK5AZeKLw2mtgZ4ZMjKowQZ
p41KsKJEnIfqY1JsL7GyM/LcU5ak1/BhUNTAnQbG+xXfSoHqxjAMeSsP5eAZ9UMhdpr1gyxS63lF
2llNhu2VD9EuOndnionJD+OdMW5WqwhspP46A5VgO0nxJlWoFLRbzyvfQC+FRcvI1stbY/wc13+i
CVT2Tg05WYvSJmY8waMnuZHx3Kmn2bSZdWqXZutQ1Tdqz1/xr6uJ/guNpwwFQsugXJpM6cZnJjVs
MJLhzsW9rLNXxVqM8wLNDZaQs5o/1NtKprn5eDbrixG/SS0o9V4uq8cLVybkThbGV23woGnvaFq8
IcOOJqMgjrXmr0bKnzmj9Z5Eka8lkBUNKFwmC9tZemtHbRDNS38dmTDdzIxj35BwtON5LH+y8Cse
gTt5ha3lF5HBxIRdpPjxe1CKRVa2reGtg9fhjpAvo/DN8BoqJy3s40uGc1NDhXjT5/Unqcdpn3Zv
Vu73ufGrFwk1K6OvIxejy89DKV9pZ2OiN2DMIVbcvnay/iUxVMcgH9acnBw1bqb1Qf9Q3pF3jTZk
ttH8Wtukz4EYLlVzXGIET6hXLbWA5S9cI24DI0aJvSXezlxocuDp2kyESz2G2hJ+QobZkwI7lzBP
vnP5IjtBwtWiApHZuut/Ccl+hcLxKrZtOZ3WaZeEB9U6d3rqRBwx2fg2ts+QTlDLUwGR6tklyBui
UxtbriMpujfKXGswNPGY/Rul+JwxjYv2MEv/hsn2OLSviWg8aXoVmiB6dcKboLllJulXnVmvyJEz
jB0nbX6NDEsP+nYlA4Txf1uFA7ypcuW/P6qxg4iJAZmXtsr6p4RNrCjWY6SQ1A1OoQEC9WMKrbqc
rdx4qJgUv5CDvPpcFxI/ZuG0q+ooykcfVnt7zvk5cMFmn6aJdorf2D3gQHhI5a8YEMCq3cYEk+/x
alRanriA4etiYDkF6cjXvU1/tbq6RR1DkBDkXVjRhK6AtTeVfgvLQEGKuhGhfZL6ceTV5MNUANhZ
Eoz1YrHf7RprvMzygrtl7JKaUFUI7TKHuBY962dDIIrRLWAOmjeOf3FjWs8oA5rNGJfDZYhB9Dn2
Z3itKFYWV5bxedgAVemTPKSNM9bizUSGgsGjMvRLXWp+gs9l3+JKxrgilYFVUOcoMXgPi8ULuyKi
nNUwdh+JTu91Te7vst6zdZQQbwRKL5dcgKAjbdL7anScaXKqTWFtGjU9l9I2RyAyVATMaRrroinB
LMgWrse8DdRRQtI6gwEyiF0HKbpFY+4us2Y99fPyOUvghpout66loh6uTPu5UahOs+dnENesvbeP
TblTo7/KJmU+US4ag6iop8ypbPOidrDK+VkNX1Cp59ss/ddQODLfh5ZLs25uoXXVCLBGTzjINAlY
b3P2HbJ8tc09nj4UDrfYeumN+6yD6iqvMqBh+lAE3VMBWazx57g8Nid7wjsQxk3zZC6QTKGeK4GZ
xOpniFu1gDiNVji5Kgxdm+FKHj3tsdwNEOfh2tggqeZuajPx2a/NdlIbDM3hy5yMgRaabpHNyots
/YSD5HAt6E2SvCGRopfBQJDRarWJIniSvlo5woGSfnZd8RutMSjZvV67XZOGbxLwgjy8JDOQbGwg
uOn0PAtic1Z5fVD1VrJb8PhtOIcs3VQwAkRPwghy+XuJKRm0NHTF2neRWEfAi2G1ZOhkZhNsOUjf
OMf1igPT9MvyTysNCMaeSKJZGQ7yHCuEBX9X090Y8AmByQthc99lfrcUgQGKFw2fFSnpQ/yCEwu5
OyrEkY+b42F6HSakoUIu2VZSVwdRUVfYIVMkQc8YDYIONjU9fpq09crmCi2bs8nb1kdnys9Raf8r
6oIBGvzSWAoJbcEj3AHRo18U7VtvMN4BuKXGeCSQOJU8dONRP/smhigUzAJCxHLblm2nTR8ydSoy
NrEEvQGhXWioXnQD+Xed6uE7wC8HWPNrqPXXyDeLjkOJkY4StpddCDIGJpGepeFkUUvjdOwX7tLc
yXVEzaJFTjGBcpKWPGDrUgbOSZa5otKvBf9UsnXbj/1ukBGBrNaBltMNtuJZQdTSWk7eJ34SLvQY
A89I9yXiG2uUY20+AUEe2xHg2zIuSlQFyKeLaGrfZ3pky6HCP4RajYRns+d/l7AfLMvL6gsTFV/L
i6UTbVj/TSFAXjXb70PWQj3HbN0SDufCEOAyovYwJ8xknJ6QtTe7LretYLUb4NdYPJUpaB+zkOxG
ld0ctQGlmaW0iI3lfagyDKedm6Y6W13EU9jJI3MpTpROR5se27CFIrwakwGAZOonybRuZtY4Sniq
lvbJYKLXrNjrLMBiy+EYO2Q28woEWNTdmwxxyjQHldDOlAJC3b3CQy54LPxp+lUb81Ck9lZYfMPw
X/x5L6C7bTEF0djsEv5aSoeGf3ytlMnT038c/MFSFYfENoOw81mO4+Gov4Zoduqabm9UK12lOCHY
7mqODjLsfRx+hC2nIw8K4po4WZ/qSPd62G0xz0Cx1mtNRFw10UpjXAyk3titoZ5lp1l/BUqtPhx2
TfnPpouJ+IfH5DShjSt/7OEuidtg/qADi5PPSIZIQcc2uIn0OZHTLQybHxVEo6U6IlvcqR4xkaWo
x+HcgPgzcdHSj3C6MJ5WPRhWzVuM6EIyPbmXbmrVBnaseS3x8c7y4GK0OdqxpfuahQJ+qYJRuk9N
5hsk2drJQZ3fasxI6kivm5AdK+keNIeh5K2TjxJg5OOlnzjYUwJbhm9bn+JAqOEu081/Mf22Y5P7
symoFcfwVmK8KRDkqZmBygxhgqEcEuYggXkz7KJjN96mKfHrBeufUe81LASYArcEKj588IPgk5JG
yE5kV6bYsCOP2Ocr0DLWpEif9xlqDx2UrohvrfElJTfZcPEXIV/7WNQvtf424eWVhlTX4aMqVzyg
6fS9zBXe+rr8UKr0UieE2HZaf1Fm8zVeZfILitWp7eUg5YfaJmKuo93O2imgYilb5eNziGL+miYW
xJbvCUOLHMU/iJK4jw9gx7xbnJ6VmflRhfw8g8o8DvUlDm8sM3EFKXwooodt0muGdNvr6bcOcDrd
FumVeT9pwsuoQ13NBADI0YTYOuzZN4Dk2f/3fYYOXJ+mq4wkdUVpay9j0LOcWFaSb1SrPKnN4q56
sV9iXX2mLwtNrNbjmUz6eWsNKHAVJeLszhW/1pdv1TK/SvXTzC+rNTh5KyFwUTskWYUdnSx9/kTB
XmX2dgwRkYezDKpcPaajKixelRY0nxXYjdJ+4LkoH0z4I92ByWauF3ZdYje0EiprYSeuIzOQLU9p
KVlMUJeWJ/pyvF5tHZO3mWx8YWmHrIBc7q1wP2faTaSxl+maG9kzRgy/Tn1FQlmKtH0Qrtr6ZXqS
rPAZM0SffE+TeY2Wdz36weoLlc8WauiSq8bPin5NJe3SgbO3Zn2SZtkxhOVVhmw8m3OGEio2NY8l
jgCnYvKwIv5LJlxXEwlthZWKTzPMSJsdG8pA8+n/47qUIypVMtYTq5EgzhqswMPA96TP3hqjOcIw
OZd3y/pE+bdq3zVkgYbkYXRniRmGA6V+s4z1hZ1pZ3DrlArciB3JpxETlNR/zWt2MvPD0sB0RJWb
lDnWChPR0BJk8+LHVnSS0Bo0c3rU03qvRjoemVn3hlpVXfw/21xvQJ3kfROCGiR1/NZm8lagaMNh
S208iuGq8/piOkVd6ETQK9W6oMtfU1ezTDevJjR0XaN81qttxEArRLxK985sncHmRA1ocAC43qmI
2ybaAAzcam4eAdKetemDg3dQ7tayEyFfmoPNkmH/eY2Jb0G1/syAXUc3ng9hX9FzW93OZmUOrZe6
NGBjbqvhzdVTzyShNIAGovcnK7zxfpUycXrSb4VIXpszpxUDb0leI0y0a6RSaS25imb1ThJ1fMBK
WezzbiKLDpA3Td2WzT1K3Aa+ppmmvVkbz5Rv1W6nV9euuy2xr2muSLRDDUKsaK99UzFCRywC2yoP
tU3TYEmrPBnWVbNmJ3+kL7GtaOU5nQeM43csbTtbLv1IyVR/Vdbv2XiemM3q9WJLP8V8hw5nRX84
QinFIZhXt1YnrFIPujZfdHSb1r5B+WB1gRwrX2NXIzIu9jNAjFrurfEn0lbk58m3qeZg4RJ3n00u
2FtfJceZEHAK6ayveGVZC7X1IGDwV2aJYT7jdwFFWbYLF/lylnixR1nHiqBskmF+xzLU2z+J9qcY
wdp1l0I/w2RCEy/4jaXmFLelq+HIT/X2mK+XVuQ+na/bFu5IK65t+WGmb0vLPYjX3DrkE1r2Frm4
dmrJpspaC5DywVd4lYl1KnHzhwoRflZnaEWF1q3msZX+NCJzc3zDRosN5iFSGpIab761xUEUk0vX
9QE9Q06RxFso3oXGRBXHrYf4WTUsJxpHt1pPwij5xTByIYRIwt0qNUCLCFGxJJZ5sNRPhfqkMt/I
fr/uyYwF2N+s5CCZM4bW9e1BfEXbqt7h0E1AJfUdgJEQfj+em8EpgLmim4i2TcmQjTpb/P6PufNY
jhxJs/WrtPUe1dBibLoXoQWDZFAlyQ2MKqGlQz/9/cCpmWHiZjBu1+qa1aKSzAwEhDvc//+c7xRj
NhaFETu6l1B3oJNAqeRfICafRdqrzf6ZbgL6Kqmh8Vri0JUuax8pCvG3EWI8h025qnGP6A4EV3Q0
JYPXK8qKwk3mgUhXbd9e5ILmxiGo96J/6vVFaBpzNdpX4VF0BxPBqBpc5bLEo+lHT3miby3b5uq9
Ofl1KaU706LLWzqoMrFGSq8sO7Zsyyn3YdSmjrQUsb8YKnuXOQ6xgBi32OJmFX3tzniQ9Z9GkqLr
MneBN9yHxYuj1Am+FawORasscKcuerVC/hCtpRCBrL33xjOqX9mmc+fRS1GdxvpX6+4yrfJ7uakv
AtoxtQU4utxLjYdNTFr6pXfnheNTERwNJ9gVXGnVVVZ0XeZaWW8r7WDLvQERlSVs6AnS/qKNXIlL
zMYs7u5sL3vEqIEAgIbAihi2Zahu3QhQcmMgKumHdNE3r4ahUS6qKQ94+RouFvXUkp1/W0Mqt+aq
028Vue8XRauD5EwvsjCGzOKzCkubiuqK2XjdyrUrstYKtr1FV68HEsK0qMTdSeWp7sR9UGaMduHJ
JNwZMFb0SlWvPUkx70dun7ww2d8vvMaot45C4cBzqCXoDrpNu0MmigUKS4rU/yiGK6SdkfIYldl8
EJAK0MMX9J6fLF7tnXdb0AQyME445coNyxe9ui5NzBI9frC2Sz5Sgdm5Fy5r1Bplv1I8WEQOl0nN
8qut3nxNvSgLZWePLIg8uc5hF5mZHWyy5lhSOKanNijRzKMIZtM4thRei1hmOsNYFeY74UZwjsJu
67YfHhZlx2cD57tHp2GZlNp9fpWWiNTw1zfsPMmfNfD2tcqVO+4ec1ohmvwUK8Yj6CMpq7dJHD5p
Hn7cNOlvLLIEbqmablh6Vjo1r+a6jRE+KbgaloKxVtY3NrgeZPuB/9ZXWzWQlrK6tK16S3dlnQN6
yuPk1oeXxbppQKoGW5AlOskMqPt6/dmLrpJk4SHPRhUa9Kgb+usAqvmMdTb8AKS/vmRdJ8Mw11p3
HoqlL8SbWuVrxtKiEf6+ZuekRdLcoPtoxbSuC3etUhnyu1u9Z2Fm3tpUXRfC7Ye5lcQssaFjSUnz
MxkfuGBFbNlaMy8Q7BTubasTymgX63xcXlB1K/JnLL91u7ID3GzkU5nUyDlXrAeFukJEZGd0qeEZ
ZdaVjIYvZH+hRMCcTfzHbtl1LCWwvOFf9IN4MaQp7/FBXFqtNHoij1R3svCuKFYYb/HiXwc0Q3t2
b/foReEHyJx156n4xigyrLzkzq6Xbn+jwGSRtgxLLK25syql57ZCWBOuamPelc/ovj3yfeUb4e78
9q5Xto27iTxp0QXXbngRoz11Fp16Gxervn1Pk6WTvgR05c3nwKA59VDRRQ2efOaK9kGOlxYhVO1B
pcAppeBpUvazg2B/n1x3CRVzWxlFnsGFZ7GwuYqYNJzmaBqLtLtUm4dUv7Ub80ryjOecd2dsX7IG
XsjNJa1JIdf3hb+rnR8ai+WcOnjcuNlSOKZ7ZdftXBXctACPR61iAmOzQuSf3tbWlVMAOxSo7LPY
0vfaaKotChvkJ23xeQnjPFEEK1FxSWjjohtCpqghocaYaFdViRpLy/pNLdl0ojKxc62MaaHu1XWD
AGteYLtSkh+F/BaH/brAS9LnpPSWwwAApwn4S8a+19ytEpbbMi82sYRbKpbWCiYAGyJMcuGPeTDd
0h/efXtuu+GVnFUOJWZzlysyOw8F9TRVza1D019Q1svbJz8iyD5VWcCY9DaUteZYt03GKh458L40
WBD12PGK5Bnu3IUvs4nO8ASH/rGxUqbffm3DyOmSdWVeaeqVqm1tSkJ0IGXrImarLvqDbSgzoyjK
nW757iL0jUd6EwBHaHOXPggpGos+d7xR9DdPtTchHq9ooKMdocCny+E3GkNcm5kqniwAWXL4mtio
Xn1aM72qrynf5jqLWnvYlVp0SDRxG+hIfqX4XvKCvYs2w5C8S0ME2szOMaFV4cax/Y06YIiAsNZl
/QLURkMDMD3C/plp5UMe4mdol5l04dYgo/vEmOej/SiiS3yseVQbJldtdCqbERNdUZiou01N4zyr
G6rbtOazmctu0Vc7zAKBSGZ1IT9KhfskhbSF6UyZJrQD33g3eVmX8VJBmO+IbReszIDlit//9MJw
nzoo2DEqsIIyMop0/ajsTNe1Uy8tZGy+ki5d8+h7waFCm2PIVCnG9XmMAzc1nZ1SAnW6Uy0wchZa
oIjCLp21qliEeOLJMDdwFwrpwVPLhUNnoIp9BBtHj2+ErDs0isUw0NtN+/fCQQYi0ZIB+tL0GKLs
5MKialgiMK0DJEWoAmca/cAkTpdCL27cLL0yY/+a+Odtl9jXeX0IW6BKdf2BkCaUNrZ05UXGAuTG
o+L6ezcx5XnkY05glU8b0plRwzpELhqnsENQ/D2OShlZV7+DUU2Ad5GXDonltNhtZvL8dfiB4Xk2
IhOP7QzP4Blk4gkc9TQjOI/CxpBVAwWfvvKlu7y6qdyHMycwftHfnIAx4agXui/3saYqe1lu81Eg
qpaHXvVDpIgG3SGlz4unOmqxxhqlwYrep+f6UXs2bSV98FEfnPkeJwC30zThqFLTsnFQ5wzd5YjP
jfGz0wJcDQv0XfiU1GURz8lLp+fpSoeQeoN85tDWqUswQSCXlWYOpsWbodMB68LuMj1XxpDXLanl
oZa+jYjnpHeDvTap432jbVtla9YvXQXoQPCAScW6cvAq4gYJqsciVpeh5LzzFhP+hvFLYS7lapqz
gtqDLo6q0c/VnpWaw0kVN37/I2UaFi9aoWwC9B+yg8k89MwXv73nHYr5CUvm3MZh5uYd0RP1JjSk
XawL5PWQ34eaFS3GeR5sDS9+MjO9OxJJrBLCWcHIfpEbbJXppqjLjRJVu9SX0CLphLSyKnyP2R+o
xU7lZ12M806ji/v9LdXG6/e7R2u81V9An00exVmSygNBjP7F1SLZudfZOpi9Lh7EJqpm8hppiTz7
Ic2x1qGVne3a2W29sGcUp+fe+qc3f8ODdJDRQi+//0aqeeopm8BVfVtShWR52oWnNhsYVTIaD6l4
BDH/WFrqLHc0ypPektLd2ARD1YpqNAhbHEoa63LwjXQv4orV2a6mXdWw9NwUAO9fQ/EjYG2eQDQ1
rgv/2lHijYXSu/agrvd0mVoAprKhXiJzvW7f5Pw+NvbdT6MfD2AB7Bo2SXoTag8SlMR8iZrFu5J9
qFWjPOBSbW0MTj8a9HmpucPvqtdL5I5HEqeX1i1V6cG/742VDB4jAhd6kFjQ1AuLJSAdaB6pnfdU
KSjCkQNhTlwOOp7rVdpS8l4DKLwZ7ZTUaX+2FloXrIdzkl3kg/YGgi6/busXjXmZdxcPRxLtYxo+
Q35Fz7XL8flLOwSZpd3NWiBmzcyFBZVS/6Cq1D5YP2jfGtqFxmuM9WLdbGhdYHgT7daEG1RHlyOl
K9HuOmC6yMjUd5EzCNgDu8gJyB0b0Eu0r4aOHtmvV0EyXGJR5A3j++pMlk0edO86Lj08QfpDrOrX
QXjwMjQxzlWC/BAgQUiJSCyrfitUHR3nra1e1u4HYTZVd6V1xdIoXod0j6WITvVDiQfLJNgjZ4AC
UsIVo1DJUm8jhpRS3JZ6UEPetm/VvLku6/RVjayFw55H4ZWfpOzx4NTBhuj3keHM2UkE5bKDFMBm
kxXczA5fVZdE9C5f+fRYybrOvU3ivgj5MmUhzbY9123YtaCvVGgmyJo2Ucyso13yDhuozmtIb1O+
VdSuUZciyxtCOCY5i0SNkDTtR48ZAMdWKO7LflenexWFQYnWGQ1dEWL7DkLmT6P+aQNtc2Xsjno7
J5LaHKgGEJSHh8Hqrmv9kCRHKDCKt3VMEDnBkqViS6K7wIcW4YzznoQaPNq+/xClm1SeO/l9VB3z
VF0ojXcjse5LmgbLM1FgqT33a5wlQvPXXRbNED/nSCDrJLv9fjxbJ16MxgTFyyPS2E6fI+mExoJN
BXKj1LwEgnUuasUGIatJx89nwTbEylHSrxIF1zfkSPrgrV/OELl0Gs7DiJpH7B7awvop6eibk2o0
Y7zklLhktpWs4xtw6/4R4TGAhL2PoBlvRVQjYDTLOTrOwmI1w/CItooQtGsOrbSr4oNk75pk55gK
8oq7mI5bjDgmFse83/ShuG4oCMUOpfq8rtYxhduZ4ftHI3DeMteYZ/a7cPcuch8ZeX9S3VITXuZV
d4y69lVzm43e9XMN/3wXgwtWvUt9eO7SrVYdrGE4t7458W6UJ4zP1Gxdo9aV5NAfQ/pSIBk/knyl
sp4bBRZziuDUEL6/mydupjy5mZbr53Uqcags9JWtnZaY4+EJdWNT8a8dYbJY69Pczv0W/4YxhpMO
b4KOfnXmbXcCpC1PkMSpVLYh66HoEKoLFIoymkHMPmMheVHggDoHYNd/+061prE3epz3qW0N0SHD
USOpV1q8/f7a/P7NCPz515c1C3+9NIM6ogucUOUU2szSndXA9t5I1Yfvj3HiDhvjSX1ZENTQUmOS
ltQLN2JkBRJvXCZ5FDcZEL7vD2H//gLZxvSBlR1U2bHUXdB+wQUEYK8EvIbkFAys4YUzGyVo4sUr
VCSHFG1EHl1IwZsLdVxyB2Ra3SJpLgcUwNJHVFBfDqKtJ2jqlNLKTnd+xJSsUPXN0ZYLqnlJszAS
Z6Ehig1GFX+Rrl1ae+yv4OdFwr7x4zdFufXDZkE9bM4LuFQOAgyYJiiCRsFTnV5mSLPhZDgx7xfl
uST/su5WjvSQ+29KJB/LgZZemCwaH+2dAmXZCSnFSzUZdQ+FfmxI0q6SS4QUXU7AQfecByDJyTqo
aYv0zk7iLlK8JKQnfeuGe7WkHeMnl2WHOYUdHh3QkGZUEOfWmXGsnJgzjMkwkys22oYpaB1Ua18C
XIfX9lHSvXvdw6CycxM4spjcm7828ozpyEvTtkcyIe8rLzdvrTISV/SfsAkkWeZAV09T0CCxtUBU
FYFFsy3j+vtn7RR4W5/snWRpkLU87bW9JEp6d4ObrqLevJVq1jgpWrDUYg6gfm7IFZWvj6SQl40k
UHG2bJZrapsZJTNHDuwzD/+JfHpbnwzi1k9E4/mFtvdbIeG9jCtXgyGfSk9BJsNwCuj1vbcq+my9
sWjsmKqMusEAfKlXMUgPS+/eyige5TJxvjXhrEPFTEW6r1qMcEWklsfOYpWjZq64ax0zRPPaKnTN
x0GH+T9AghcPEF1qW7hnJm1tvI+/2Ubok+1ZrahhKMMbPZi1CYPPos6SrTJQipij5rVr0XSjNSPn
zxKKVsPODn0Auae/8rRg7MGg1RDBR1ont3ncr3VkyAmCN5+ESZucQA8taVnWm7akRYP7tC1zCvIA
G61gmXjmuUj6U+cw2Qp1uuPKauRkAJ9aWlPoaObyi/sCZTqk9A/6xNZw/NkbQ6NYtEAKmaPP/jBu
82PQvLT3EvsNeniv7SXDCkjPethLSJQ4ffTknBBRI8BxXs0S1MbGCl+oUQKVVWfOj+pnFF8gKuc5
/IgJZKeYwnvjR0l0h76U3lifSqgsYEd+ICOSxDLaCcABOJrJoFujHK9SwGiz4hkjcynPkmvYlLa+
jMQROMnge+gC95TQ0zP5AZ9k/d/d68n+TO2VIhuAOV0AaV9pm2hHW+ICJeXMJz1amt3ZRH/pc3NH
hurcXzmIIGcS2WP5yiSGyWTvGC3cGavXDXW18V8tkjmmxwV4lLlOZeZFW2JqW8dz3IVX2Bgu4zUL
6gtox4hj1zQDt/G63tR7f2mvsFL91Sd48t4zbc8tzYyzIkV5juV+ra7lI1ZUeM+kfbcLsElLc8tl
nnUzfQGrdP7xdO8tohXVzj0u7+IcCP/EjlyfvByDoY46Zn2VwDa6jgvcI/PxEpkzFnNzjP2zYOXf
n5kcx2Xb727l+PMvL/uS6SGKxmO5B+k23RJLcN2/Adiep8u/WBfTJy8ap0IIUqq9deE6iMSL6NJW
UeOlHcuu70/i94siW5+8Wiq5Kewuaq0LRRqtjzVJN0WYwUeXVk5cnI18OTE7aJP3SKo5Jbj1gUIJ
3c68rRd6f89eAtmBtWpNUgvE3h5eY+fcIunEWlWbvCbqrG0KN0b03tQg5CFTSsUuofAKVA54SrvI
VRJH0jMPwolF32d16MtzoNFZ1eOYjhkvjvUgv2j4vM1zl+7Eak+bzKuebuZ9pGuE5XjWsSmw5AFH
/P7enypfaZO5yLISOzP9mopkmUEsiko66pHvmNUc/wSY684cjKVsYZfNUddcKR2d3sAAMgW8318m
hs+akzxXINcazIC6qKiOZI436wa5Rh+sAgXpEUOSVQMaXZaCvSlUeRvbvryvIUYsugr7SoOTG9hU
aj/pKoxGknZdRGbB4FgXdqLA93RdEFix7LzXQGbncd4h3Y/1DG4BKLrvr8SJIrc1zZzUFIaZHQbR
ofVC+Gxm2vRXipTWNFR56ys+r5CBWMoNENtwSXujXTpDqm0kpXuNKlvaKF7Tnsl/ODEitclUSie2
HNA6kjkhwPHA+WY+m0M0mKnGmXfQibO1tekkWRomJh8O4WtRsC5R681SbuaysRC/GYolL9vOEge1
yd2rwC/rXZzgcgPyGmKvyodFyCR7Zt1wauxM5lC/T2h9W2bHM1RQMQh2NqKqPijOrNRPXczJ/CmZ
mhnKnddfSMWBRAW1W9kO9Jgzt+rUl59MnqJx9azTCAcI4pKqNTxYcWhUefn9Q3niu6uTOVOugiQu
0MVemDYUGV12ngWIVFW0r3ETnnvwT0zM6mSixG7qD+ogc5CeEkwdohpPsmYXJjqrS39vO8PVoPXW
DOr5QtURpHx/bidmNXWy4i2gyxSFq3a43+7r5CkLzyRNj1/7N6/kz23Dl6nYtui+lgWf6ym7KB0x
eqiyFVyW/tIcFn/tu09mTTOo6iLNxu8u0Zu2V0GUnnkZn7oqk6FfwqKwyoRPHjlpVXTbymfSpE49
SpMBX5MfmrhMVhdo+0EM98oCZTHUvO8vyIlhoE7GcClaz5NUPt2w/BlxF64KGH79/WefuqGTAYwo
p/PC8Zs7eDxlnEKjKz29sWFmyGe+/qmLMxnFfuJ6QxMjZdFVjN4abWMT1MIbNc/vT+HEWuQzXOjL
Mxmk7eCBvM0OJtJwTx7cmWJZ6lZvwOmRhWfzoDL3OjHd9EyF+/n9UU8shD/jDb8c1Y8RWg16mh3q
oH7NIs2gkq8l6ygGp5BFNR4HGLrfH+pU2qUyGc1mXWe8EofwgO8mupTvhwQr8lw6dvfarD/zIJy4
S58Vii/nkweBnZM6Gh4qLWPDkBYBzNjCfg0ttJ85bvlzibsnnjhlMrzjLnAUzRVgVxGx46uJgwer
20s9JjTx2Pj5mZrOibGuTMZ6kUixrqPvPDSyHdwX3Pi962Tu5vtbcmJIfr75v1wt3ws9x8vL8KB7
qya4C5sr+VyQ/KmPnox2OseV5OpxeJBgciZWBx93WZRn3qinxspkuLcWq0ul4aokD1DRUxxUkM0U
EILzATDruXn21FEmI97QwgY55njtacs16/Kdnk1IOoM764BqfHx/C06NCnny/u5tpWr6mKOEMK3K
RdgQgQAtYYbzrZZ2LlaB4swMduJ85PFR/nK3o6CKiCHmSAh5UcJTPMUta4sljPeSSIYzJ3TixsuT
Ue6QMutGGRzH3vnRxE9xLMBdvH1/sU599jjqv5xBlRiO2wVJAqrgusHdCgfbr4Izl+fEiJbHg375
cAxXQlORkR/0A1D2GkMZVe9ruVjq2ZkZ8MRglieDWa/qpmlSjlBXD3DH8OOd+eq//2Brmj/vGK5f
p2YeH0R3JekXpMic+eATJWzLmVwU4fexXcRJfMgx6ju07dBeY0+e1W/uo8ClSPTTOVHCqZOYXJ18
UGrfTor4ECLrLayHSpx5an7/ToAI8euNrZV0GHzTiQ72IK11IBwlZecAjLp1bh79/VvUctTJEWK9
lPKUI9QSTPYKusW1K/2sSniWWrj4/tk/dRaTOa/3AirMRsDlweBa67eRS1ubjnw2nAu+PnUDJvNd
ZGa9qXQ+3Vo1eYhFhUZTevr+y5+4QNOkeD/UJKccovgwvDV3ymv+033EcPj9Z5/42tNs+EqrmhgX
bXyoetOAsqX+KHXpzL7z1PeeTGYVEA7PCrjo9U99Sejeg7nyj99/7VMfPZnLOhmhVxF6jCxCA+hP
ISlTdVggQ2gSqgVf1o2dv3iFJoPYyhOz9iquEP4GIpFqLPnfn8Pvp0zrs/f4dcosSLuCM8YTUyH6
2Kcr+dpJ9/nLuV7yqc+fjFynFkZqe1x+UhOVO3K+xhjjEk/nDLXB96fwuZL6v/eClj0Zu02eBb78
eYuNWXIpXvJr6Ybegvaszb0nezN3l4gwvz/W71/Alj0ZwpX030+TzNMkXZogG/MDeLj19x9/aiBM
xq8OB8dTMLDR91HhM7zG4uH7Dz5RCbKmue6uIzIzFll8MNRZdokEGSU4mQQ1wt6f/Z2O9NhYuD+8
M7vzE5dpmu0uZeQMBj3nEVH2fyjvpBu8ojRr1tlfPMBkVHd22dLk5wCwSAbIPZfmk3oHIW94Mc7M
dyev2GR0R4Wk2FrIIbyX7i19i37qP8VRukHfXClr+606KOeOND6nv3l+PyVBX8YgQh5LpfkaH9qf
0TBHyoexGJrZjaoTFD4vd/5Hvfn+MTjxfFnjz78cKZRkU7ZdOTpIKco7a+lo0pmBcWoQWpOB7reu
2sejmsOXIOBkHkltwmAjClmOnqyQ8W4HZFOkCZXmFu/cQqqsfGmbor6sRKavs7jKdrzn3eX3p3pi
4rEmk4JuiqzSciU6FOTIIrp79O6NURE3w2fw/RFOrPutTxHul6sp5BbnOmGGh/QNrzcSytiexT/U
N+voPrKL+f4op27ZZEpwisySiVSID5ZPZZiyeVaWZ07gxEdPM8H9XG7RvPP9Zar6iUWkaeie+dbj
e+k3j/Q0x1tOtL7E/8O0P/CYpRLOfq3JO0iRbbH4/sKcOsRkCshkCzzE0ESHBpoXPnmQHiYthHNb
x1MfPxn+SZ325OmybE4S+nH7Pli3/pk60Yl1wzRQO5G1ikhJPro9guwmUKdcdC/J7feX5dR635yM
8a4IDMlukQSR2djdNddoc8Y06KvqWVw1z+L1zGHG5+93d3gy3uMiAH8RcRLku5Ed04/ZETMwZso6
oPtGaLN25ik9MZBN9dc5qwtcxw0Q4x5QocDgMipgg+vWnQVv+bn156mRbE5e62N4tQ7tjsWtT7wt
gSs4flipLK1yhfgDxr99rl95asxNhnNRJ4LYZS5bQRihK23q2jhznU48sFP3Qygr3eAW9CgaCZQb
scrSUwYo6/vbfeJrTy0NWivVg4MD+qKC/CazgHOVm89P/sdb9x/eR3b9X4+M+Nd/8ue3DKxa4PnV
5I//ussS/vvP8d/8z9/59V/86xC8lZnIflbTv/XLP+KD/zzw4qV6+eUPuGeDqj/WH2V/8yHquPo8
AF9x/Jv/r7/828fnp9z1+cc///6W1Sn2tJsPL8jSv//5q+37P/+uWLrJsPjH1yP8+evLl4R/eSWq
Mmv+tq/TF+EH5d/+8T//G/wNWMxL+v6bj/t4ERWfrZt/GI5sOyboBV03NB7Z9uO/fmP8ocGg0lTD
US1L07mHaVZW/j//rut/0NTTCK/l95b66SUQWf35K+0Pkw9RbEXTDBBE1Pb/+2v/cu/+917+DZ3R
dRaklfjn37VP+cX/Tgvsnx3NMWVH02WbGrciT0ZUkWHmlPDi3RtNeBNVkn4oFFNamkb4mlV1vvR1
oO9JXeSvVUg4a5RapAREunkw1Tx/iWgAL6siHeD8xcZlL3nDHNlUQTppZx50HTyEWZCmqcFvKiMY
f3VZ1RuJtJUF4Xf9uum0YDNoEFYM2dVRxbfZhdJ3AbBogMiDmpF8K/RjL+AntEr0ollpv01EwFEG
Pi2hVQ1Mj2wWiEzFwiK0eEPEd7QaRjotuqoG6hupYFJOanVO8PecAPt9VmFYVBwTp/0QE72QPhci
I/5zCIJLOzJK7Obxq9JrRztNLoIyfE+G4DWwcO+NP0BV9aD7YDQkAaAkG55EjFhYRMVt7cQXkmzj
ZwmHAO47orRGyp4hAnjLJqvwMBgkq7eOJWGHMDEy5pU6d+3opwobRE/hMxPHN2wCI3r1+xrgsZ/d
elZz6HJBFlIAdjZoHMxejLt5LcJXSy+RG3m88SAYN7O8lHHC5kq8DUAKXNnVUBF0BwJj7xpVvzb7
hsQjfcxTCuEEq6FOSgcxJYnDTSp1V7nocpOsCgLce7O7zotnueJorAqf4yYlAr0lxkFuuQrjj9ik
PLd9eZv26CuHCnM7UfYzwwAI3xYhrINGelMCkIy2IpN7plQHInghkCW+hcZNB/8AXwNs77tkshEX
ZfxcdG2O/ZiYUxHTrBrUDpt1XynRIqu7atmUElFzboFeKZDLg8ztUR0PSpTsm5x6g/0hCn+6lCOi
fvyOdfzsOBF4Dm/EAsrZdTFwP4IQU0ecivw5Dx1jkym44ItBUy60NMk2rW3ol/346HSaODiOAR4w
w9/fuXV9AZ4X3ao0pIo3EyCEb2Ivzl8VRS6OaJwe89ZYq0FtLwZH22RF8JorBMsYXXbrm1V3mXfp
s3DLW1cPgV2DsRJ827AQj6mcXCsCPukA53klSinC6Z+8WnX03oc1BEsdmkGgs/63NNHt0izWV3qa
azPHJyUj8aWdX+a3Ts+joGKcXVRp9K6SLahYytFwCWQ0kixCuog/IYocLmEfkZ4gY7fIVMgMZhIZ
D3UQEkHgWnVH3KOUYWGJr9USfmEnke/kpbfQL8n5cHzMQ8qxiUfrTR3z2JGUZ2BFm8U+62pdTXgI
TWAhgaRDWk8k9F0hICInaQ/gWJ8HE+6Z5KVQVjGT4TmyCPL0dQVmWwVx1JV67wJ9SwV00zCXlTcc
WoNnpjO4n3IAzia2XI9rUSkXeRd0V4Eq0jU7FLFw8FjOc4L+lplTqvPQg1LeKjaw8YgPMLSiBecb
DkjLe4SDfvFYdWOMfQ+6IJchZRUZsKMqc960QC92rhT8dG19beR+RmcQgIEOKhsqg3FtMS1qqqxh
Sk90XBVDunY8LkBtw7tQPY5YOKm+QKX7wJUE7uXIhziU9U1mYwRudHwwEIyAbwv/vQnaQ5dEP+0u
bh7iMCf1SAckoRfQm4OAryYcwOhtWGGV9dRua8XoNrFK4hzzXktVfrFl8IOSVgTr1Ew7zON1tFIY
3AQCCCY+HbK23ePVsY2GmTalU5sFoDhDG/EPKdqwTeSw3kRaml+BNhg2ducWj3Xmx0ubzt5F0qTl
aw4Zi3SqQpu5TX34fG7w2+bjYANIZTOkKDbC9I/KfiMrPGRIO4KNZPcyKU0ExBj6n9a+f2v9cXJx
8cuC5OTf+v9wCTLK/E6vP+YvyWv2Hrx8XWWM/+LPJYZs/WGqlmlgyOV9bo5l2T+XGLL6h8Yag2Wx
ZtmOPK7J/1xiKPofpm3yO93ASGjbJpueP5cYivwH2hWZDoShmMAbLOvfWWKovy5FQbMoum7bQFY0
2ZI1bbqLUnluh7Brqk1Uht4WaRFNRBAUoCQGY1/Amr0mgtojtamNN5XBz8hasI+kp9q3nQtja6jb
+JowN6BosiHepCKWNoXVJ7MIvmyLI0iEy8IpjWOjkszhdc3dYOk6Kw39nE/lUwTzZbE0noqlmbLm
2CosEseYbGXrhlijoPDFpnCa4F0rBeHpSpZttRboWRu3JD8GPVmR6A/3LALCx8wgpEWOTesIGTxY
d72sXPYaeQNASwmuKotNror8yQ/xSgZgfdalFgQbCmYjCDsrn1pqF292Z6CLDs1s60DjOcp1FpxR
oUxqZ5/3yDJUhdvEI8SClOfka72pLrNCDpG6bMrR9QGbLXkhEasj9w0mdt/12dZV5RLqeEKocStI
c2jMaJd7CrJoE9ZdHXpkqX95xP9cq35dm/666x6/kwEdTTN5ARi6rBmTjT0Y0FCFyikwtXKE0nEI
rnNzcWidVl0NJj6aKEj99b99UAMaKYtii6dfmbaIKxXgmSWR8Z1wo5+CKifTLRgUQF1KVZjXEajz
jdQatnVmv/abkzVMjTHsqJpi69MSjxt2BrZ+jlvQz4VpOWSg17P7sCt5OuRMPAdSfPz+VBUc9b/U
BGy2Iyz42WLoGgJLW5lKHmhj6qkzxARR8P7IeG1g+fY8mXgiv3qvq1B7s0pXeWrdLFtVqeyu/UbN
7yCN+hey0+nmIqnIk9SUVmenXwvzXrJ1qgxBje1wCAOnXOc5t3gxSENg3zc+sl/DC7rbwJZR/9J1
pCrX7VPf1BZYI3HEDmQeFp3lxishZPGjJoOrQji87Up8FCze0jtXt0mHCav2Oe6tbB2ZnvUSw04s
c9AqUaJ7LL+F6j1UVsqqWU8a40LFg3cnj13gqMqJdHQyi0W6NOT5UkiGtvOTYfyz5mXgHzK7D2D/
EbWUNka3zpjP9rZhxC+MOn2p5cRbF2UJ57Qy/V7axH3TPktqJAxyH1GPwBixihsaz+kLGtWOzLjS
BdgcpCa2gSztgiunqcgFZkl75dApupNyDSoID/Ke6IliJcJcmfUeREM3Yc8UJpiXevCrexkIWs9e
RzNoqGKiec8s8gbcFC6x8NsmXObQUFx3hHnK5aNemOS4eflIZneDPDkWdu8TBRnVd7Eq7H1Watkm
pZJCCKVg5Gp+aeKgUQGi1Ph4cMf18DZkroJQlH4OSZOlWo8xQ6hxfmD7E6/71oKlDpAewKBQCQdJ
qysRpO6Y2KxDfUHjDZ12MLL/Q915LEludGn2VfgCoAEOhzuwDS1SROrK2sAyS0BrwCGevk8U7e8m
2T1D+603MysaWcWqyIBw93u/e064njLHO0VxGn5v6hSJiFV456DwgNJM07zRcWuteEdmN6mW0cjG
D3XaEDvZcxWlBAOCTpm1wD8dr3TpfnX6hFkCKTaZTsCxeuiql9a6GGUDHKf6cZtM0b40TFyVHpMj
pTTzScgGMgasGmuKP+dM3Sx58z1QFuMcUX7P8XPZL6gwrpNSDjNspnoERVTsIq//1lWL5KfWSEbE
+OR6cQMDm0ymZgmgTD1n5bPPQeQp5Zcujts1h6n1DWN+Nd37GrDyOoBFtuEygyUpZNWv5jgk19Jk
WA3bLJwfZCrkXZgO06VyGWHmGvXPCmSTv9VcjGEVFBXD6FHNMwhSpOJqBJBxo0H1KJ+g4TVdDe2O
DRlmOAFJAoS79aQZE/tEzGwdLJ07l6izxvtWusFtUE+M6dcuiPConrFFp5Xa0xFNL2VY652AKAvb
vWX3G5ffQyDoG5HF4TbjDXFPdNz6Wgpj7TBJ48QqTYJwzkZGOM3zD93N6OaH7GsCQArHyAXGJ6Pw
VJSFlm+N3dx3jfUqJh/eF/6uTTir+LnI2wY4S9M/BS3wRP7SbxArgoPN4Bqu1Vz7Eez/IP4B6Lm5
Hxi5axjvj8VtOQWtWju6rQ/utcsaIsBjj++DAgDrVOJsH+psl9flBcYk/jr0IdmKcf7pSdW+2E5N
x9PTYWW2ZmwvQqT5l8YEybxWPJtXwEaRM0U+OSVDSIVvY+KJemtj3BHXRismRryua9OWt161LuYy
PpTYJx/jsCRrMsAx4wECAmoPMAhkGYK18uELtDI4tUOo3BvHlYBbnFStO5l8mqm1Sdn4hTqYziXs
zfDoqR/jsxAu/A6n8alyJhFgnCUP7oyT9g9dkpcbekTRfTn01HSj6TSV3kuJdO3iLhZj9K3cddKa
70cbzrHU5Wdvvkgr9OFYynM2J0i0fVklP6PMeu4K192zN1B4Cj3oENLz1gWL7SZq6numQ8bV0nCo
dOuJHu3AwL0olztfV1wBH96OIM26d1i1vsHvLe6VO+DZpmOB/DfMKAmAMAHE6dhemWLJUXoXsvnD
HsVw7Jbxq/4u8xn5D9qotfa1hvCZUMiCGM8uDA5C1UAbAEcCvoPxv8eJH/HFrsPqxlZVdpBWGaBx
7uDExvrMew2r0YD8o4px3WNCYMYka5kXa90iRpvoV29NaKsHGq14yLxi2S6l0EyYkZp4lK2tN14G
zC42PPQI5/10qk9jNXc3jpEliMVC3i1ViJlDOKeqX96KeUDoa1ycvyUg24VVCFQWp+WpSKpN6ixH
N8IaC4eI0asOSpgqx57LYbXbrq/giraUgUkXgyMzrJ29U840/ZIMWpS41EF9S/DxNRnihwL2MUOs
VFAoUpUR0gThHcgirYc0cB7Tzr5yIft8NzesW+uc1bPEPYT3BO8I5NqRLYuHU2QbWaHzLc/yYZ24
Sffo21aBNnt+aXvcRBazHvtoibwHsQDhd3TX4xlv/W3pc4a2W1MfK/gPN6lpin1c0ErTtCm36MOZ
NOGHo6aZgLkVr1FRHkfgAun8HqQjWl1UkzV6i4QaCw7HMGKGQ3rQ7/tzNE8/hzB5yArrdmgw7Eid
y5WPBQZDlDV8FiO3AiKKfk+AL7ss19fRPHyOdWgdVQClAsq4pIKwBo72KSrmiVzTjEfXShjQU413
5nU7nusBskYzHBrvJ5gmdalUY54LVtMNZU3IDE4U3kQ+QkcQc5DCBCIKv3Mf7NFSX9KJ8oSVKs4n
sWevo7pP73LklJgAfUp8/KdswhTqzuCd5zmy9qUPOz+JgR3HVnCpfetL1UZ7FS8fPpMCZ2YI1omB
OfprgjXwtf+QMMCzi6YAilgq+o0KsHKtUx2PX/thFFsoPMy7uPolydrnvuo3om4/tDDsSJblez1S
iFv86OE67h1o4d02TdVtjUd5sXJgjvoIN4q2hdpZIORpnJw/IFsaHAhOgK0FDeQSYrow2PkizykO
cd3rY5HK+MPO4eaFNnHMMPBzSJLq1XWyd75cgH2pes1t5mCue6TWR/tGm0msATqmvFrH/laGkL/Z
Xa27okYbl9iPmfJecDPZ29DJu3tYxtVutqe3XmVXu2d83zljvh5b1e4TVf80kbML6hbfRR+frLCG
F4XKY6D0qthk5T6rqDh2qMg72zulfvLFtsuHVk7jtl6QPmnNlEY0R8XOHYP3nmEox4p9voPII7wK
gLieP2dEr7HS0w430I7P/OYbkJvCP0me9P1Qxgz65ZE6iEL1mySYL7rvs5sgc02GPDz4mnbBUxd0
zRdARpu60u+k097SrtSHuEW0IgIwiwrJY+45r87VE+xa3ro1iXyp7EmAbOupSgUYjKBwcObD87Jp
uqKlODebYzCA1c5DpbaVH02vYZOfsyslzvHS58XBMm1ahxtb61Xu9Gg8aiayYiLzo90yaAEqPLDs
s+UG2V3ol2If6Olo+5TV0tbJN5BeMFOX1hSd2tw3BzVnCLFrczbzJB+8Hrxl26P8mJOngB09vh4t
H2su/nFIgE+JfjmqYrwk4afOkpFastllVRZuIifWuOep1Pk+xwDPL7nFlmR+sK7leA4ZOGRhe1Mo
wu3OiTmwrVM5uIAvbRzyU3mbTwyVWY7LrHXi7536m8yF+xyFbIjGtEgvmZFmXXfVJZ7IxeRsirsy
+Wj4YjaR5Cls5uBp4MCxLU0LABSq5VeF2dZKifzWLXjxddk6IUiWn0hpzm382nNmiLx4D8Gh79ad
30AGVwAZ4sGnadCyLawhF9U/GOp3xoWhAQV0zvLa03CFv1RxjwhnmhT0hxuQM2o/WmzAhGUgvnXO
cJe1AQ6QCeukpGzbW1Yc7+3COGsvdqJdFeTjh0w7lClAwdbc2dZdrBj1s8BOqgk6PvsV5Jdl8MSO
YgSWrzaD0yaPZdDCXBrrrHovRQdJvMAZKeYC7uhSVcsxFapb5ZHzlGEfiQfSkQBenVeqD+tJ2+BU
UPR6nf1tGN2TnpL8i9NezQGjQuvL496xhyntfPjeBsNRz3tdIjqKD1H46Q3zRjaLvWblpdTpzHd1
hBCZDb3C8dEyDDLLYwPNtoCRV9F9idP64gIyMwE0/HY5K9O9TG21H9V1DNS8zEF4dhZxMp5ijdTx
s5ViRaqLYe81FMAdz9+HtoxX07jAgHFjS0DqE5As8tGCVFb6+CYJSGwjl7R1mrYV54SmuDeFZOg6
Nndd+hjCnm+iEZ4FQGKwQCI4zAG2D3vcjIYZy9B9GoPmdcH4DTg4zcuUucPkPu4fRVpvhgk4Iz+I
K8S0FlMEINl56vKJ3dp8rh2QHVU8AzcFC86e04vsV96dLRXoU5YqLgeV9KA4cpjdePKl0cVVbRKx
9fUvYfJiMriIi5HQ3dpHt+bNU7RHKzB7J33mIRPwPt6WVldHQAcfkYzvlDxVjaBIW39Vk+0cfDRm
qeetTIvuQGLiuWIjvfZ7N3TdmylKdRdGyElSGKtQMvDHp/WTNeZPvP7I25TxAl85jLAu28EVuZoA
sGaFG67t+6sp0RcZL4aAmtViwvsBGsnPpCCVnII2RGrHwafFe6f19JJ3xWaRTJHaOt3Y0xhco90E
1ywBdVKImPP3bIGLC0L9YPFqWxlbxWitmorzi1PVN+NMGd6XZb5JZ8c6xmEf3cyAqsJFFafCVDhB
OyWh84F03egeR1su2PtOBZ7tCufLKtX2g23L8b6Utn8fNRT/k7j77o0W1ouIS+Eu5bhPtRtu+uGl
Wzp1CAvBYYW2C/wU/MTYcdCnmtnHmzY65kueu8yShni2iulLA57m3a7i8blR7BTCAQl6Jtv+oSYz
w7447nd2itPa6vp8laWTjZGBSWG8zp59HksaWOkQ3rvxyCbRcYR+bOPCOxZVdyM4Gj7w6LcbF2TD
StgYIWYvBopRWdFts9RQPnX8lc7Q8lQEY3oEZ7o8FD4ndhoKnvig1QM0ajEN6GIJnGTrtZb4llCA
8FRPzQz7ijU31iaMg4jRRW8M8FbX5XgETFE+2fagwPHN1TZCCsKSgaq306iqeXyitQ6722ICHti6
TnvRi5oh9Lrd2hEubwzfTu+iRAZnEYrs4KjpOIaNcyM9XR8GvUCTsPiQ0jJjsuptxQyBTibz0dsO
jsxScrpRqccBuSmzY8P5e5d1zVdnyuSqMnFzDl26Qq4XKRAW9fBj9rvgm6ivjuTZ5Oz5eklQ/koS
umn8KEPlbpBh0SscL3bkpC+TFAncN2dmKyAqB61a5cC/56ySXVIXtBlHl/pNVIv9PBcksnHVxPmd
i8zrkghVfAQl9GGbvivCAwvaW2bnGJXZ7HmF1uFdVrqWuwuWImE1xglwqBLrqS6z8aw7uKrArqfg
EM61sSG7eyG9TN7Nm6RCYCiGQhyHMMTEXSSfuu016guWndQVb2BR9UfBOR9GRyZ/2HYBhJEAm7mj
bBpCGrZMeWTX4ZhrDXRk3UOEy/ydLD5yCkv0x8edNgjeazejC2TzdXwVhYVwsnJpXyZAY+eiHp/a
avziYQxyeo9OnFtqlFoDpgNY2Q1x93p6S/wyunX91N1Zg3iO4xmpRNzmb6Hbn3Lqklu+/tfIjVo8
xIqUP8xTBlOHc8Hw7SGvOb2zX/cwNjL8fyxMD95eQtP38KQdlFge1NTZTDkUzsOCcW7A2XXHjnZ+
aJ0gZWLdyh4N57+d0VyVJXWDPaByfZtHEO9KJmmMHMvj9Ti+8Zitu+cmnbcx7NkJ5vUSXQB5B3cO
67M963ldx9L75CpWSISzr5zAMaQ2bQ7TG5NlBm5JuHunjdI73bBDpdIJicYZMYtuothdN2YmM9n3
3cFNhvLSmhxREiNjb6wDzdNYinDNkkGReu5c1H1mFFfCup1ihausNP4+B3bnr5xOgr+nM33P2R3t
o+8jZh7t8Um2bneKpNOvZGDpddaE1VomjX+wrNa+sa9OkHEMoUJkmbuzPc/joByS0uEt268jqn07
jFK3UL6RM9gT+zWQXRQlWW3yZt91UAlTuUzfF+n1W84NGVuedCy+JiE7fVMynGstcfaamah/+VXR
N7PpX5pltI5jjEW2j+J61cmOwgbSmDtvssE4EKqvNtQEvLMlbaxU82zewylLzlKi+OG8dAtit34f
lt65U7UpUNIbL1znS+G9+QwobuRoWZdwwghuR6Z+Vzr0bzlQ1+nGafFqO1Y+t1sudAUms+iXb63M
qMeHYrg6FiYfurkP+nKaCW8MSbltnJraTx86t4TeynPsO4p6Uyq/dsGc35o4Lbd254LJJvMxfiuy
NNw5Re+8qHys37M58h9COpeHzKmBwUwlVsYw7M1dsCBIWy1tQWl2EVd7Ur9U/UvQZ8U+95IOx15q
j/uilAU7+iEOflgWRwg2Xzk7z7i+mweJoCcKq9Wo5hLC5KAff+U2BkvVl9nXct+U1ueUtICbrcr1
ztRf3btmRkIVuRUjUmJp0+3ixfqnk+XTNnXqsdw0KbGGoiA6W2P/YXEX2ecEMQLNQuE/1J0jjmOn
xKfT2NHRYqIFjbRYdpNXOgDWWITnYKrfrYJ/tdNJ0t3phzskk2Ruirp/6YckvIEveZ/qPn9x86K/
Kex+Bthp21W+GrwcJXYskmPYDMQMdMmXRCGvOmYqKLYyLItdUo8xrOa5phDMUf9lSL3rXH6zhHRV
Bhndji7MxLZAFVV0LLf7fkDTE5Uomdh35MveS9zhAOiJ2ad01N/6mfcCbsO+fq/nEEZ7QijJwy1b
oIUyJXleHfQOZf6yfo/mGqVq6/ofOnCYpCdFU+3DuAxIZRQG2jvdkbuSxNgLrE9UK1Hn4KgiXHCE
w1CtLSEx6klnxv1GdYR1ne28G2C3UlFq/zFy+m/1tP83mbq/tL33P6praq37/yB4J660sP9z2/vp
g9Tab69J+Y0Y32+k7H7r4x+/7dsf5cf3hF7Dn9vhv/6oP/rhlnJ+dxzPI2+tfNcL3GtQ/4+G+PWX
pLKFYHBPubbvBf8VunPc35GD+XjB6YDSE+dX/tUQF7979MgVPWz2jcQ7nP9FQ9yjxSeF0o7ypHtt
wf2Cv/wpjh4GVutbS5dBLy05o41s0RnzQDZRoejqiMGnXSZeZOa6r+kcXAvKY+dfTJ93L3SxyGCJ
AopCJcKd9NoGshMStC8puTcAAkiG6mTuY1SpAiSzKujRje7wNPdXt+egr2j6TvxD+1j8NVv86yf6
lWK0vYCWqfP3acuEFUvLtMw2I29DHPSoDSSzVquU09ram3lDhl2nn7ug58A4M9xC61w+DH6d7Zcc
rGHHYBm+U+eS5nI85Sl7FhpALzT3vG24dPOhL2HT/ulW+sf28q/PLKVyuBG0RzX57/BMv6Ucbc0Z
lWW3KHb9uEzbaCxex6UEAlA0HASpYa3/73+n8z98UZL2MvnNQLrK+cWI/tOl5yIFdBhFuglMKl6y
dH6tOYevHDY+1NPkvVAQdFOXqUypdLIDThr8wxz338CBf/zc7BKFc70JCTJc4xp/+gi6qUEXGj5C
XUKpVG58lYg45ZfJcRmAZom5ZZ+C2QHUEGqy1NpmM6feYO4Jhao5PscJ70m3zr7VxUiYyLXsf/iS
fhFO/itl8esTKp9nU5FkIZyq/5ayWHRpkernDBm4r4m5HUy1btnRGd7s1819A/01T+9Vl6zBpJyo
zN3k7ndXaYS1xToLUVaKvRWxNvOvC4k8QqMbN3ifKQla8q2e9KrprF0SPLWD/Ic2/jWT8N8+ukBX
IrTQNqnev365DVuMshAq3XQW7qplaotNVep4HWSULgwt5+M/3FDXq/XXv5COr0u+5hrf8MTfpz2J
dslgCJx0Izm+7VCMnu0Zp1xlRnRpRRbeisH9pJOv6bBWI2InSE64U9JrZcqi96vUvg/NPwVl/vvX
wKe65oc8csqSf/71axgCvyW+wacK2smw9NMFreq+PfCOrTazNXSbX1/Dv7V+3lOAe+rbHz/624/6
72vfXxbIe/ODlHH74zd+Y/fbbii/f/Qkwv/+//w/mBLjCv/p/rgG4f8SU7+t8u+V+UtK7Nf/8cey
6Nq/O0RM6JFJ+5oUI/H+x6Io1O+8ioh8ubajPXIg/CX/CqL7v8sAoyuADU/La0DoPxdF6bGSamET
HROuLa+ps38jiE7F4683jbapglwj73wQSh+agaa/3jSNbiR9O5ls0qC9sXwTmq3s5v4hZcKPmrZx
Gmvv1tGFnRlB5FSTmMrQiuhR9feZtAtEoYmCR98OiV+twev3gr2bdjm7VMGWP5DAljes+j5tduQv
0e/qyGfbd7WCOVO7rtr63Moq/JISANtTlEwfF0OFU5fy1lNWsM+zqDvxcqS+UFg/RT1OSFHnJ9XV
30MhjbtLbPpsq5Je1MhBbzAMajUN8pE4AQIcSzG8LFUBM9sLu42O3NG+eEmVlYDPTZJtUjsU/o4+
m9V/q0xix89Dz+q/G8lGHRK64nzCvHg2lfM1rgIyuJabwgWIo9EtNrTcZ71zTGAfnKGi7FPymNGz
9uD8JguGcWCQMyis5rWfC6vdCyTTjzVzJ8vWTB7oCwIH0CqTKTk6Fm6zFSDWDgtpE92nXU/PJhZv
fjTIm0l1LXjLwOEX6a2sIrcMcn7ahkaki5q3JOXHxSKTc60utpVNf64pET8bWv0rPZGHy7IpvO/i
ov706cyuCo5N7M6VJP1nhfdR6cbm1EaB9+IVyhcEGECzbGMdTs/kFLyHTuaU13rePd+uDeWNmrk4
FJgaVES9dKmjZygcwdMZqpQDLgFKNflNTNTnZGQEfcprGDDMA0ls0K/Nt9hrsyNR62CVtG35lQUk
WFFKctCjt1oRubG8s+kz7xynrXXfZ7UajmMQmrMeC6/dMNjxEl4//IBggFZCiwV1zppty1jH4xxc
mLCM5lVdmmCT4UX9KtouXmMUxJCXidvMTFQZNEGdmy4NksNEFXedZmpcU8/IcP5MyUaWKM0jny6U
8cngCzvHVddlA5uqJNj1LXEFOVTzriuG81T5b5HqK/iqMN5nzEkrrxx31pgMO6/lZNfMt5T4kCME
yMho4W3GmuR6YCH8zsJSU/7W65ImbKvSHXHleO13gjKbRcc8FJRrIn3D7bWhO42dItPpNltwW1dk
QVYWJCUYjst7NFG2TuDZIYie530tYR010hDaC2CROtQqTLhQK16udqnaTtASpDdjH56C7GFkCvU4
h5SfYDrTWuw8TFhh35/8Bk0hyQIg9zRngRIGT148t3tJlmzVD7nY5MHUk37JX8G8rPHUEbPGiYH7
UMrtaLUx8Q/8kqbv6mgzKepg9VUsofkhuMhUPf3qvpuT+3kKb0LUndQf+xE1Jg1f0669Sq4CbEzI
MJOXscqT4whXPzPOi74GikyDp7H0wZtFLR24XFOVid3kJ5OPHHD98XOpNSUa0wLDdgQwJk7fOv4S
BSa/rZqeO6RY0KK11EtWwzQ9oHuLL2Uzz8eooGafz/YuUUqR4UiXPXBHWtaMuCer2iIyaPn2q0b0
jf2QCEjrOwTxI9jaIsU22PG4/fTCEu1IoSgvFYOZxKGI7GrcqCwt1yPFuB2H42IzhsndsvCor3l4
EWLFVAXA0lJofZmXmo6LGLraW/km6+9RrVO0z27yyoSg6sbQrLrC21KJ3E9ukaFrFA8LO54HmmE+
nPLox4Dr55TH3gikMVH73FaIb2eh6gMW3fnOSWiEuSHUpabCClbnMbkhjvCDqIbqNhkX7NVke4JX
Jg4WOgRWnj31lJKZyYB7jVYqcxH9FbqhAyidrfCy9IEbRdBc6cW7tGf/WHFzb6exkdgmuoSr3tNu
6fO2fiXmGfKijHnV7jzeov62qAHlUoNocBj6MU0GYlQEc9p22o8LxpGaZ2NXVVgDciQdFF8mJhHj
WXTrKq+QCfWd+oiiONxRu5dbEZfeQdNFWYX+AoFeV8y/SgvU4rbznMFmkhHSQh8Gxd42dbvNzRSy
8KFmNpkWd3UT1DdWQVsuJmLyGBnIM0PghjRPeckRoY5uKkDZuJsl0ZNKWu5jEusrNGZMpLfpjaYH
Oi/6HsVjQPWwyODuZOEa4vZq4DG87bL2yzgfTc4n98hguji54kolt/U1KgEadNva/N4wN8s5s0R+
7zPWzx0Ytu3arZjxyLMlXDdKFht/UIJRiFT1u5J7tcch2ja9hUk2YlbFpm9LU9LbOfSPLkvH+yxx
yy1Hpo0YekmUoLpJGuZgi6K8L8yUb1tZ1PdD3ewygjKuIYWS5yx3lrWh7xFt6VC427nJEFWJJt2V
w4CnJe2AnTn9SXV59Bgq1h3tPZEL/KS5xdS+Mdah06RTvanTK2fxDHi0OQ3ybR2LC/NQ6Ggo2ylf
X1w7wOCdS7z2E1WqNG9+dpnz0zgOB23LVN/mZShR0jUFORyq81PMMEmmDh533mNj8UOTulmeSkNM
Ypn6+AY0vLXTnRAHskz4x9zKvpSqSE++Nw3HPOeL53jf3KdlAR4jt/nswCY+HXBS5EdDs7MxpDdB
Km8THTwHDD+/CwfJueok9+MgXlsLEwdactavJJ0FRVuPRyIOD0NGbW2Y6uYBK1P0lC9p9DpP3U/U
Z5jRacUjkRvDu6TOsCkGIifKSu6rV+rRXCn/kvf5gUNPsld94UIk8ApUyV65qWJExPVktaemHxHD
y667BV564xb4KqGTIgyJ4w9kLvWznrzugZGc+qwcTHAzKbKjXbNbKp10vEUDVWyJqvQnEK/tgasU
EpydHd7Zk/ARkTHSWnPiY6I8vaHNZ7GIqeCossIcK0b5vnWjoGuUMXsSOuMLaYzXNCp3eeuOJ+O0
Do9aUF60Cadt0utq28elfhmJk9+X7Irv47ykxY1wXLsEGORCJJh1/dGaUShSnq4OlR1UyASz9Mkn
jnFealyaSRVRehV+wwzgSJ34vXGl5Wx6Hg/aW3NSn60g5NxC23/rzQhy14WrBE3jpKiuoc3xzJOU
1xiXqvwj8wAIbKo2+FjaoPrijHZy64vFH49I7czWcvPlY8QwQ6Nz7oavRRd5j4wZ8vT1U/VaFJ68
zJy96BR53Yn62AuHdu9AWyc/Oz4vxnaK7YegcSAr1F3M/nKOo/dRxeZnNkUlEK6ZwSBmesD3BVZ2
twxFc1j8afxZO6WhEVPqM36KZE87lDYLv/y90ENzol4W/1wi9SMthnBdjmo4tEOhdtGc9TfY3tVj
79J10Lz6Ubi6wtk4VuvR93VDZFuVJQ6zNINLn9y3bvtYVQTick8/p/n1gqcjb0HbzfEkyhLXXhcE
u7ITrrftqX7xQrXS9Bh6/nSeesLcuovvaH+0BzyNiu+Jpdslp7erTebeLW0jvmWq9vhEjDiX/dL9
5CEhzCkXO94ljWaqqadoeFLt9DaBxkihZP/oPV7OVe6q174x7Zn7r76Mfg/p0ETHKWK/kGpmMi3B
6baxaFawWxxe6qDKd9JP3rXyp61wgmHn43SOYv8lMvOukvbRE/bJUwbLZaUJ1zMKsr+iuMsrwXkQ
BMJmu3suB+y4fUXcKL5lwePwIeSDxvpdh/mN0eYhyhi69L5PCy5GdiH5oohXhd+WMFZ7uhiX0rfJ
venlo/KtO8ZlUC6SGNnVUEZ2kn0ljUPyrQAPt5bs2GMLve1kDwGk3bMNSY5lZ27b1K33kJCjrc9i
slYcquuu++LmzTFMGFTg9BFtrczSr1bP84cNBfnqLJAhOBhbx4U0kYnC7TTY+QZfVfpWQflczUkA
W3ghIZQok26SlmJU706fLpO8K28sSZGyjwUYkfNRFufbROl0PTtwfHjxbJOBTKAv9dol8dXYHkZc
Nh2lnQ1bW8fZKevCnw4i+SaOgiOhP39tUet7ipcmPAL4wnrGAOmmYEKY4GaXMWkQBqehHqNdliYW
7zWGCpeF0ddJhOE212Ny8ByLDDl3uZuF9cF4S3kT0aGnoe7RirXbTwfx08pJGYXN3G5LMwZI7zJm
N83gGkhrHFwQSZI3qmdfEagfP2zHga1oWe49L+S3sm+I8qUeAl48y9lqzvKTniUBqorgiuWyrl/N
l4Zd8g3jzIw9BH1xiqJk5dv0jtqrTovkzqEa5TO9GbCDS3BoA72pKO4xjn1t98ebsE0ncubBa89b
JXAtcO8tLuFCGgXekS+8RRm7rb3YPbZkgXbjYvEarYZ049FWPdRB+Wk1xM9tbSUbPZX+jSMkyll/
fvdVXBxsXtI6HDdx625Z+Qk83XozBdyEOu+OQxPBrwn3aSgVOTw33uJ4XHattMnOs/MnXh20B5pG
L0DWUZQ31kgLqIcTHccvuZUx2BvdJn5PurdWo8/fZMy5zOZx00MzX4dp3K/zIHxkqTe7WTY3zsgf
3BE+m0V4oPVnKLyTRmIMuxkqLmn54jUpK12UuGxVmkNF/nRrj8NuagNY+Pw+Qbw5d7N512Yuo5rg
HPt0RNLTjMPZGvqRgychIpUJ1kY2GrpN1pnTnSad7jC2xVu9pOUuisHHFUH+jAB4a9ns9sMiPLQG
cIUMe0qGZdlvnag+JWMKdYda3sYWDMU0s8h3ljXEzCgMy2qSfHje/EcSNWu37MtTeoWxGTvxDst1
5mVKAYoIp7zMlNYP2TKQRSx6xrjSLkQViLYgpKe8RS3JtlOzZcZDHTFWz6iuWidp0q+Jhn+fYvfS
yV3RqfQSeWTxx6aID1nXf2lrYi9u4X4lg6U3uUMgbeTtcBMU94P5MXJkpTLhjXzbzjFI7U3jhKzB
9ZdMkdpQxdcsrasDo/0HBuYo5ph6bZfqO4L2r8iZCD2mHIhFMbxkpJyI9WTrrJOb2bsdh+Au8dWb
O/mfYRTgheu6fJN76txnabYyKQa0GcdPEDuEJRBXW2xPOHi3RLBrnkqrTlvGjZdgE8f2dE6diUnj
vGG2WPjX6WaotdYw9KslkoYHmkELFo+aCrL4D/bOZDluJN3S79LrRhnmYRtAzJxJiZI2MImS4Jjh
gDsAx9PfL7LK+maWVZXZ7VUvepEbpSiSEQj3fzjnO25Ge9tehW2TnRioZxWinq7YDDub+hq5pkwT
uWBW7Pw9V9hMcwnxMEFH1Nn4TmrM12kwx8+8O9OBV6EAQUc0oqiLfRNv5y0M9rWf+KfIUYoxAqDe
SQqfokI4J4GeHt+LUTSzIfp9j1TtAkXBSp6gG+HDdpONwpLk74FylamNkvscr29atdO1UZ/jhA3H
PE/Lk8v4ihNvY+vu9KhKUetJgVzBlmY7mx4uj3Tb/uq0a5JZAhe4O430K4NVI9HyrODZcEJ39nRx
pIz3pqqB4VjyaRbTI1KSx6LRNH/cnjH8sD5ulzTPo+VS5rLIomX9Y2J3nXH2tIlGy1Nw/LKHeys9
9x6dl78LA6EzREL4PY00pNQ78V7YW3mScIWzEQ/iixPkj83IVWySk5ji4cfgVgh4pOnuNSMflBLV
b9UTlVnhHblIhCdZEmwMJyx+m4E+i8iV5HdXb4yAmu5jFgstRnVb9yjfujgwty6tNxGFPcEusMnL
Rsy27aJezLsO/d+u7N322DvEF5fB5qHhw/9RkalFCDHZjvlmJxnWRFANUVDfU77fOlHvle/5HMf6
YOr8j5Q8UsQH0qlyC9lgu+Kr9xz3LRpIAmy4t/vgI5fTMaisl5ZO/CRV+RIsEyNHu0Eupryr25iz
adF69x3RXG2L4AGVQFB8dkP7p90qVPsNEZ4keI3ILeYFjf3Y7T2/X2jfGPdPhYGK/x6WhmBft3pd
Q2weCOyesIj9aOLhVyD6Ls0VUcZkXpKOPcg4dRyu0gCjvOuRS7499O0N6B6dwIVdpL98jzH7Z5tZ
5qPBgLsXawUZXOg2q/2tOxAGtSJhiHoYG85XjxiHI+uKp0nEmPhciye9YiLDvnAYnmI/WHcVp1S6
dZJxkja/Z8loo/CxDNTt8t00+RXBNil34y0LG+ZQpiVlkbvm2/HmW8u82DOnktXSQc/F98ZrDovA
jIUJ7DKO3pFY7DpFQ+y+rDmp3ZpLHEBEgaOm5laMra9zjG4jTPAcz342Rk2ZzQWsEcfKTFwoMAtt
ikL12VKks9cYqaB6jLu1K9udHxZ8WMMcrZkx3EIbbgoso49qJlc+escc83vMJUdMBHODlMWnJOzI
ncUi/YSv2zp4DmId4TNL2dwiYwasUS5NRG2X7SGciuQQGgjPHj2lGFFpWuPVLtW9bir0hLX8tbrq
czFOh7Vyv5sWiQ+uOXoh32UIWEankVkLqXEMx7mkZTY1KPNROj425fqNNfoPbeg2V7QpZA8bNFJD
xAO6DdlSzGpnJdSNDUlnaS4NRA9XHUzP1YVf6KwKa0UzNr7EE1k4wpZwGDwe76ZSrw2DlDTp3H5v
DCgBS1WAKmxJeIXD2Df3Kicdc6vfhY38ZC32txpAxg7ysPfWeMNnerIkG3AMkVpePcjeesWO902p
7gM/GlLzRKYhcQ87x5QQDxi3pENEXvvsRT8jO1p2sboFqYrqMC7YkoxqsrUIy4yBdJmWTvds8YUM
bV20+4h5cp7mLpgZgIZmSGe+Xdp1ldktPvm8qJucvTcS24nrCEraBhtjM3G5I/WM50ZaP/0cuqhb
BuQ/xaRzRB7MQyTOUzp3DEuEq95rSIFO4dF20/m4g/ztW4vPWdcTIAWOF8sV9XthQ5tiUEqzyHGX
uJlfsPncsO8iD0i8Az5KEKAVIWLGJJL5rfU7quazJetf8S2rOXSQVNXnMdLfi9gsqbuxRo1c5GSe
eDRVhzpSnPCfXpuJj9zmyDW11SJTdEb2Y91DPA9imz/rKhvADp/hqBXmIEAc7RMGVAQR9wFL/W5J
o7V+YSSx04rzxh/OlRnDz0KPV1qsH/TOy7G07+Z1PqIgewJD9mmtjX+dZ9S7ZZ9foIvAkvllnPID
7fRFBPMXXfB2ye+lm7zHrf42+3n4uYXNlEXRFl0cQmyK3s/PeHkrUq1tRItG18eanedOIrfIpqg7
OfF2XFX4OXD9H0o5n+uKSGzWRxmvVnzaLK75/ldM/TSIhvVFQ6D8aL4pzPy7tnK/0Ci27ClczFBy
Q3lf0V+rosPMRy22hN4FQT67b/w4iVuvl5il1bHGi3X25eLuaCGCU+gsuO7m4Xt1m+nKdnw22mL8
3rzFC1ShwfqCKIRcJ1gre9dW7CEGypwg2H4KBB73uC55H/S3uO8xWc7a3qEV7NNI5PVelIG4yVvD
w7rFEteaP16Znl/XJrn6XnLX+THBY9H2td8sZPG9QLAXcQe2UUsoRmvJX9G24PvIR3EYw+DRjyBY
Tnn9vGrF6sV30CIUb33uP7UaLXlVPFHgrft5stMgXrZT1waPqifpsQtKie9m8LlkbhlByBhOMaXE
zsLlRvFDDRYswGJ0ufHNAZcsosp0OWVBTjlkd2hbq4EQZDFF3m4Nsf1ATkpeBNMIxthL/9jbkk0n
4qH/0Zb43zJB/roh/k+75P8H98Kuj9Dg3+uoPm0/ftXlpL7/hXr2xxf9fTUceX9DDxKF+DpDO/hj
l/uP3XAQ/C1J8Lfb2CxYe/6ZIMICOOAPUM9RWdKm3sid/xBMedHfWPwHSYzIykNaA1f2f7Ab/isb
IcT/xpMLkOSmdOAnvC2u/6xYUZNARclQluhqnrnKUvJI5bkc2RrUe0ZB7ttSePrpT6/Qv5AH/ZWI
e/umIb90BBouQMIQeDclz59kMgiSkqjyo/IUMsraMrzBjsw2FW4GBWzNDd+wW7qvPbcId1YjODxm
0azO34UNPGz/ms/Gev1P8o6//xQuQiGIbz7vV/TPPwV4XoAQdF9StOeSkSkYjmFXbKzkFK1U625v
SeJ+/OdfHcjL7SX9b1nJ7ftCso0QCNkxOnzH/icBRzkay1gBgkkrUMsnHUx3hnbavMxktxIbn3vr
c6g0WAKG68HPsh9o0STlTRo5DBVv3gfzgaF08b/RQrnvRRUNy6msNi/8tArmG7fxMdgBNHIMekVQ
uc1rUIfavXPWuTkquaHYGdruYU7Y5tN6J0VPcxY+RR651xObHia8N/8cDKt+ueZlrZjtaO8d3wcZ
uAxXADc1yZjx3snq3N0YZykuTpxCukCJmnV9RYvW26ogfL5x609hIrpfNUUAyxnLT4sppC/jkug0
mysAeizEW68B/VEHGfFoydHd6qch0U/JIt5rg64tapT1bFYvR2CTq9dxXeXZOO7waG81hIews38j
SCIed+5eoSKHr6zKrFM+EL/n2o7O5pxvUkUVbJOtq4+RNBgS1+0Rft4SZMLSXx05/pB5/sVqGH4u
bYijb/AgakUFXZCpozRW1u9mqRkyFbE1dbvZxagzhWQIB17D7tDEl6Klm5KCXzHcnO7XEIfBRzwP
Q+ardbZf5sJ/b6Nq3CeWd10xXFSHxcLwti/lii+lK8PypBtgafdadz23RyFT087y6EjL/NrkoCZ2
46GP/h75A9q6ZCiaJ1YnUw2LS7mPlSZMomfNxAyxkXV15S9zWXoqwKEjjOJNMaH/ZRUmpsOKdRVd
kkgv0aMI2jFJFctMXA19Z/lfxxUtPDszptQvLo6H8TXgjVpPDSL2HzqxmFpKCZSABXjiXsLap9Tz
k25We8UHLU7XzhBQsIGd06cAD/i9tfY3hgL0TH0tdKLeiH/RL6KukFs61hYw4c21OLO5UMVeuHZC
teyWtOcirtzuGImSmFrSmKMXkAmhx74P/cZ5nSuiG+tROh/JGulPzdaxzC1ai/DTuGdZmw7LjIXY
mXWzUDhX0umInHXCR3+JTcVKzC8TVpGt2AJocLWZf2hiIsiY93Tb7AH2AQfopA4O+G/USLJysDSs
xfrhpWb5FmTI0bpvyILwztJuNhat51A5R7iO5kWHZMec8dA5w9sMy6W5YgoFt9E29RjtIFLevNDU
axiZRqS26TxZBNtXwPu6w6qqvtg7Opz6C7NK8bYkWPFZxWOkSNuWkyVraIjIVapKZ9n1+FDlK0qY
why8YcRHUoWyZ6GJ5HMHaDXWF1UUrX22iWYa+PgW1mPUFzP9+Dyx0N5aL8aPb2OPxpsRwxYZ49A3
XystwukOZkfyaQ1rr3ldtyRpsrJy4zfZ5ctn1YfeaxLYq3yoOr02mRdKRi89pZSbLd1Y1l/5VFOF
FbUbFO+zx4z/UBpLUBiNgmFqCyLtHsB4vKZFBTybk76awlePnXf5U3khX2q3ZqU+5VAdccRg7bkC
3ZnOMyMaLMhRt7SZNpvbENOeOPNbPrrmA47SgP909GHnUfzjC0AcihlN0tCjHxIJFopmWa7e1ImX
YG2X4GCFMXWnz/pFHALa+o+tqR3DVCb3GG2pUjM+H43+xHgczz7VrH5NlEQI0jvVhlGGipWkJnJ2
uiufXC+/W8qRojKo1u3FXxVFmCUDm0U0dI3+wV1bQ/Ji4i4X6QjC9HzXjL8S+6Z6kaNgpC8Zex8t
zEdbxvx//LBnn3J8xrv9ZkbfaX8ObhA+BPUs2Qs2lNisE70lgi8Rzd9xZozxZaw6yJhhXPSSYtwe
rnXUVngwUEVvmYPLHniBidoPOubkuQdIMGGqScSaDp20mcFE6/eG6SJYlakRbCBKFNIzTFWmMLH1
Fjib+2R19opOyhfiWsdtKzBBVZu98wLDTkyC2sv6FeuWzWppIKfHFeElgEM5HvECrfq5QXza3ztD
jfd3zPN+ZKJSiPI0SewNqYsO9TEyLPGOloyYuSC8Kut0Cj1mkkZVvo8BeGCsGFSdeaqDZni00GJL
3FWD15whXyXcDnZYU62vPDiZWCZearZITMh1qclPUcEqlz3Xb/4oKnu8G2doAk/KlPm2730fNhY/
yDcOz+KRvbjf7Uq5iVPQ2ngvRjV9YYp1lpgkN2jvXGK40lT3ZYjrmzmQxwM/7oh0KZjL/g1y4oC3
hohGdsmT+7WLEvld6oatjWoc6ey3aNrGY6Gd+EXpAWzxyvneePad6zrjQ2uPw/yewO3qUncc4Ouo
uGeSy8T7acAy5LFZUOGTXvKaRkOI2D4ufiuwsoST7R+txVRoByxjmtQzGpVFGRgsKatH9VMjhNB3
Nm5rm27bWGh6CtqIo1+v45QRjLmxCzTNz6DhusgaTEaYUjhh6OF9gi3Oo+3YzEtibD2XdQgM/xOZ
0BLXkITsxoof2IuuL4nU5XiN47FGeDcTeHLwa7/ZgGOp/tizTRBp1TjjiBSz37Z07OAeXBNKwek8
sSaiOPD9/qde7fkuriyznvS44Pulyw7uubaXZC8nHX0faiCKOMW2yeIhdzb7YVZl/kvHs91eddmv
cYa7L5gO4ahtpA9VAumOSnz5xUYTsVRjF03Bhjy2NLoJqlioQiTWcPsULEpxshYpGrJfHZiO3YwS
8UNFwaNgcH/tdczs3xvibwnLEsKv35XPNj+w1MUe4EWXLsiaKRkVk+qhSYnMuiw5g0hHTQ4OcoQW
uzBqVjudvJB70bYYmMD/HCqYSlP8PdY3Dnfi6d+uSPJLvYjujBPAR7q2qUunsHb1csETbOEJ87pa
/QojcAeGcOBPVtLUX0HKMSDnEvSuA3mUEQydub4Dfu/8VEytLpYXrpchkVzXJYIfN8HeHw2B/akK
hpdlRJi9a+vVOrQ5hQKWopctmR6oSruDHJq73PO+9T5eqqa9feKsYTwjZpoyrRP3VJkC9qk/qVSW
qjg2rrnIabZPuiiizIQ2Nf+szIkevbxGyqn2VojCPEqsag9Xs3lo4hbJCpZ1NVXjASfJy6hqygCc
TcewgMPpJvcSCEMG8/fC2ulYi2I4GCNhhzXdSbfRafaDq6/R0+AY+4JFJX/o6ax3XZ8D4FUc734L
7RDfanLfLkYj+IxmJG/yt076Gg/W+I0pIeOKKj/ZUfLZlm3CKqTar2y8Husc5A0e1wt/J7+YaRw+
Crf+0heczvCjXUaV5IsG7mkU02FK2meq5D7tLPs5J/YdW2JwKtrbhC/0uaaEU10QlpJ1oGywITf8
WmDIx+WHSHHjhZe81yNOiuppcOj/hepvy/32phJyqhexecwjpBuw8bUW4rrRDp46bxlTPkor4h0I
jmAaDuXCTJjqfQUohqYdz7HSFIBW8F05Yrm6sgvfPHcJGbV04mGu5bdgm4MnTzTqTsd2vkcF0lws
33pyPb1mU5C/OYHFSTGjCqLFS3GGfomEfT8ivTvRCqnvg+N356AN4dugWEXLFVw8KwLCuxCIDfjq
KJkbYUP96urQYfWVZ+GI4QB/RN/kwxesKnyKkii518PGPp+VYeq66n5bq7Mj1vK9m8ULNCpc5sN6
zmtiAD2fPKvE/hm7TBMd0hFaJnSDo9+GMeSi49+6TFhh08hvH8JwBgMVO+9ULgauCFr+fYf39osa
kbsssbNfG5uRdD4cw65Y95rRI9cQgipU99qoK4AkkQoXxZzXtN6L37L0wRX1jDzsxROBPrabGz6E
Sxf/CBZWX1gWo0McyyvPqH4Lx/oOyufd0OXdnSit1CzVfYeLb5/UAyx7u/V2RR2Y86Tq8Awtzdt7
c/HSWPNBq9mwlkBSmTgt93EtMXY0xXLxUWLhxnuxXHOsy7k7Tb4urrYnow9jWvElXubirfBwxnhD
0nwxHYo4AZx/2ONk8R+EYB9fDiOKbgSOz40FyI2RrJPq3NtuC02ghg6kYGsz3s8cvubntqSWwugf
3+luzjMrgRieb8tnNMrbHubScAm2BpkRs1KKJP08jDq6LGJ7sxMrPtm9jL7ilrklIzEHGKKe4Iw5
ApPTmosvCYLPG6u8dLXrnVBxFvvInsCELHkBAdCI9vs22K9GsqHXHtfdgrB3l3P6ZxVI7DFyihe8
jjmnWHNbA0RNlttqTTsPnBQ7pM+VO14lKUo4uKsoQBO2MBEM/Zucyqjwa+GG+f3GAX71YqyhuHya
nVcm5X2rxxITt3dceGtSewF22AtYY1GoM5ZaMquFNXIpAwfevM55xNfBUd9jnnZ7Kz+WWFhowX2G
dzlOISbuW3dxTO4xW+ysGZNlgVS/GLzHsATax33JWtuziqtv0NurFeqRYEcUmNV6y1mHY6bUXfAD
bsRzUqrkux/wWtFh6iKuHhYxxMgxKXxnljv67IT2pefDQ0HeqPOa2HZqjzJ4RxPu3LPIrzBPqe5e
WINm+H6jO64e2B8HDfxRxhAZUBSqt65q7pYOrtJaN106OrWfbTPVwLbl9cuow+5ys8uFvYzfx4HZ
xY7hdwgdcA5PrY2E3gS0BK2V4ywW5buSq/o9sXjM3FrbyKHyjd2HWu683sP5L8vpvi3DD9SQ+W7u
7XOk/FNne0dkY4e1oTNEtwkZJk82Nv5B716ajsd1WlGyZTb8kpWJgqfEbplbpM4Mx5EwIJOPvfUJ
N1vsTWc024IF6Gp7U/hSqvm2Ex/WTfjmSH82mgljwQjL3x4nl7n65EY4KSgOA9aJSE0DifKnNWgP
QReUlM8QbF3hwL0wg/zBYk0jBzFWEwDWWZEuQrO2QHjHB0SywBYv3dQvwjtUCimx+XAgaCVP/iQ/
oX2b5n3JImQtd9XG34rvURhpN97bwTzq52QgAWPXNAmRh/RJZT9HXwp2Vu34vdZVF3Qn0OBTqM5J
o3FKZk6J0rk9DDdD5XpErurM+XEOvRaWJ7oaM2+HuljKzTtHK6T/bc7abbYxOtElrp51EHkyxmT5
LTI89CxHvxXTkGPN8N2DJ6DpIjIa48PWV04ml5wMJL+Y0iEfj0nrfnDpqjRpqvEVq+XMajvxnL1f
YraKAE2xUIfmEiT9736AEoTXvkinSH5yumG/xYhpYdw8jmjWWUlb+8rKN/jePg3sBn4/AdPDAVNx
YPAefl1jZ9zLlUdTlmS12AG0spGsk5b40BnSg/aWWzdmf2mDqb3wUWTtK+roufQApy0kHjC6bzDB
LLgH2wL4vOptRN8IMmSWqPBKiH2pTpu0+TwZVOlgx236MfVc6snj15nW4T3eqn5j+TsWIPQBvO7z
QdI7rRgBH9Ga1l8dKwfymIf1QfpRj8sBZ4B3Y/KX0Ahdh+e1mEQFlpyx5QaV0GciYaSg/92C6LYF
9iJqCScZ8KaLRGDwdos5Gww2HYyFOYjfoBZ4+qDEVQpFE/q5hAZ6aT7ZPSa2UozrnZyWMGs287BO
fn1GMPFLYpBA64rMYpwPfot4zW6QD6xGnr1uwvaGKCjNt3579rclP/XTCDYRvNUnS9ipNYLU75pN
PNQOXceOcvW3A4seetPiTnejmp07yyJQrPS8o+UkQTZxDB2WRtwv7L0Po8P2y2F12IimOSYzpS3Z
T02UlWhFUKH0S/RiB0uws6VF0J09mVdJOsZ3yyrkzoSNd57mECbLUjiA3C19mUr3ffCS4ezom9Fh
NJ/Cdrs3wRSi391cMMyVfPaWiWteb96dvc2/FUb2VGF0OkPpkuQix9MZCMOp6pz1uV+KmwK/NY+i
lOEZ54R7HMLBwA/t+3A94cqCvDfpXGcLg4ynfIkwEHc8Fe+MaPK956DMAhPQop6Bj2hVUZx6fpS/
UStW5zAseehdi4QFVuq4u+Y9K6P2uSf0hIInXy8NQefstvsyyIKwHYgACEEDeCVkGQviUFw1aNgs
ay4Kxpz4T8GkDSW19pZf3MGPj42P7R6UfhgRJ6TLu6KeLEIkquB1gBGgU3uq+P1mzDsUyotCdjZ/
tcHPfN5qviSoElwZESpv/ExLfd9boGExQfC5TGb56juM8RZjJWlSivrAWANdGeeBk7U2RkpfoEWv
Fsc5tK7cD6E8oLhTP7TtsxZmYnvCOERzYLVbFqz5kjq0iD8rWoxrpYsu0zZcMWXTgviObbMohWxs
JRuHf230Ox17gJhXAKQL4f0w2xWZ03WTfaprJxy/lIiw+MTkwz6PhukBQdV4l/DzvzHbWPcBHf43
FTKZBKq8fg5ITCl2wGPpkWRTABNcuQuFkHtLifXkMI6eF2e85AFJI2kClO6zsbuNVxcp9IReM422
zT9Oq5QXJ2/hSfi+/qRgL1y8unR+gqD4XUwUyYyM0eH2eTu/DgiQjV2M2B9qkxkT6fu85xxelMXR
H1JKdEvOWM8UByIsmn1V+V/YOvQ74IMhknuKfIexAHUcN3Bc5hHi+dm9aye1nfI1jjO3U7Chtq4/
YyhdD20U6Me18MKdFzfOkUFd8pm01vIhGoNfGgHWEwEOzTEKHcoQau2PYVbzAYTT+DA3K6hHewJu
2rElD5RdnFxWIs9Lrr4wiTq6jZXphKouiIuLL6Bg2Rq3Qd6NZ56t7iUg9uSsNVrFvRNQwOxG8k8O
tD05jQ8eKtw/Sr4oa7Vv7p5uvwKKP011q/hl1dfWHddz0sbijhkpyJ8BbaUJ6uHJ1mBgNolQaSdk
VB+wPu8SEy3sg4nq2y11NNQ3KI/3I3QD69iODhKTvveAmBVJP/1kFLV91HUQXpB6cXm3XAtIlAbS
Yya9hx1oPVa9hTwA5eSDzfiq5YJX4o0xALg91g3pJobgPI76rnXa9sqcEfNK659K1cUPpVjux9BJ
0ngRp0hY5qzktD5VeQnwFgLHe0y9Ue3HPsYzQawwIss1DKNnZJwdBWnDcdqbuTyC24X+49zJ1X1d
lgh9UTV+0oWMDqLj1VncFUgKKuVayyPwexYRfvC82gtPtAg26cH5s6d74eTDD+mCLNvVoSNImUHH
XB/CKKkOfLn9jQnCNH+DTL01R4qQ4cSgPzpLO0c2bCUtKj+qdedqMxG+oMzoinMQFY77pU6ga0YB
1A85FD8pLMx3HSTcWfZt1ZQEbrtHELVv9Po+Vy2d+HrHEARIHh6/AonAcAe0BSJb4E+7dkIhWBlE
5zuzNo39KHrK4EOUiEwS+kSL40onRTRC/qxr/3CLsjvkiYp+oU2euIsR+jLU7B6AtrhvuUaLHmls
H7ryEBQuEiFePsVbWnfY7iSTtt06zz0lHLVA2rTzeK5jPphkl7Bz9yrz2g3uwGOzOc99QI7OFFlc
wMgvvGM7ew0/pK+qF99akZsW5ULXClLlVM/b4uyShb0WbCS5a27BQavV9O8O9xvkMD6Nu1YiVQRN
6+3baS72yvGBpitPvDF/IWWHGi5dLC+/YoMYQYCK/j23Od7ZKiUX07jui+ns4OU2MXpmvhNc3GqS
FxNAet01HSaCqMSH28ARfp651RAlTGw6oBzWJ8rVIUuGaKD/rdYXUjG+TWFXf8UuOkAGm1Bw7Zz4
9rK0o3EInnF8ZsVlx7XCT0SzogIUH/O4vTt1HO6ceXAmisax/TBhyQIOnyXPB+1pvCHcQEDiIXxY
0VsUQOAv2iusO2doAFc7/nxXV17+nq9IQumb7MzGHkDjVNXzm9IQ6pNqggvICPPEs5ikRbtAgq/J
3mQ8HGGPnPZA3U3xHSvwfd+jUbfMuO67kiCZq6hDZkzYyqyEX733YOgw7+z1diwtXS/vtrJXbGxM
A/N0pFX+jayH5ialmmb2BmNBXYHQ4bxsATYYko6I+rq2OXbqSkubuK0RS+NtqRZ2Vx7EFg+IMw6v
BgrPqUk06mQR+Idi9BAyhwxSHswiu2/e4IasGBm41fRZ0n2Utf2D/Vs0Z2Hcg0NbR/eBYS3lvx1R
HHKsjd5XKRvxebFGFgPsXvAlWZUzZo0dzZeCmkblvWXv1bCqX3GXCFCxTBwz5pfb21i7lLHVbbbu
hkm2+PYx6eUrimcelNDeT0Y8VIQaDnPyMmh2l3mFxnfr3sox+paM37fEG+5ROJ1iyOsB2D7E1mr1
r5yNKZPt+qJEvgsAFQzdxgSYZe8xZh7KZK+6LFGO97bJ70zFChoeCT2vvvILIyFFIhT64nl0pTlU
YE0O4YaJSuMEwYZxE47iGK26p8Dq2GHkeB2VeCiG/qDXjWNSr95p1ogQV/ZfcgwhfOstFRMg/nCq
vrZJ0mV1yFVRBtDmNlaQzCpOMTP/oiUsYB70YUka/j//JQNjbvbJZ5eoJPxHx1LA91ssSXNe5sve
q0X0iums2FdifbQtEq/jpEvhWMzZXM+ZvwwPiA0f5jy60amm32DvnjY6CUTAonoGZwWzVp/doLqH
4BVnppRMzkUqh7U+jcaOnoolvjqNnrPcHb46dvODyJnHwLhMKOFPNsgN4yL67VWoF7Qf+y91iYS1
Nfb90K4fTTEu6JcZjyy82oMXHdtBb7izkyQjY0pcGq6m/caUDMw7Ha8ilfNaBr6T0rkX1O4QZ9kL
i/siEXKlpWKFAbA18yDmHlrGfsWm75hWl6gmCu9jCxi919Z93VXPiCkpREYq2PzmfSwp6FMSMNrU
BQeACXF65/U5mVlcndF79xIxCHwUEtA4R8iRii/nTmH7VK0rXq1lXN75ICS7xOkwkk0zT+jmQ6eT
KgSCnaBRS8HGo7+CVV3wUTbeI/0rIZAVxLSKs3aGGji4kYdounbsB5/Chpkv0Kuh7SskFR1kRkfn
362hdfe3+QQxdPM37Wvv9+38SrXd1h85G5jxUg/WLTKFkHNQuZUYFcIyjiYGi0u4nEd/obFbpBv6
j6Su9ZRvYyleIRAn6INzHZL0QjphNV2mri+LO3ZEZQsderZ/a87T3f9WLZi5mOzYkxgopL66bjcf
8kCq4ct/lqO4fwVDIEaJSdphqMDkkyQjO/knqAr8hwSOgChOnkrEc4P9/2VxJM2TTTuxZmvc2RE8
zZlXvNSaGbREBqBw9yb510737iOCBd+Cjt400XHFqrO8dGzGpxQVhq1uvg8bmyky0mo/twvxutgE
sfTmYpV3XtjxjxifuRIOHiQiRY6RcODdd/+Ojvn/6rT/5RI78+/FabtfTVHq9i8sL77g78K08G8k
/wDeCiHboD37PxwvgFy+j26JSII/BEo3htY/kCWB8zeEW9SkyM/+yLX6b1man0Az8Yi68SCA+TxJ
/v+9LA24WBKFSQDdxgVVhFjqn3gltl+tDYOHgLQeA9AcIF/b63fd+Nd8Zn3mbtPxT6/Lv5Ck3V63
P6my/vEdQ+BCMA182w/+6TviNe2XCoH8Tkv3k08cJhIO9HDV25TrVzfRSEvB7eaL957o4MP2xpf/
ou7MtiNF0qz7RPQyZrh1xycNrlmhiBuWFFIwg4EBBjz9v8mqvzpCmZ3RXWv1RdddVZYSucANs/Od
s0+eybe5ahWWUXvfDe5H6rpX4PG2XqteGnsud2gPyc5RwW8qk7k9n35ZE4ILcwMbD9cf9U2fvrUD
vEPepDGsg0QvW7uiakZhvDinWZiiMzP/2vP2zI990NMI7xTLXZEVhy7tAPQuy9Pc1B4ExXo1c8cY
d0bMAzb5v41nWepc2ulXl/0c/ClKPRU5i2/BEMJ+t3F3LA3acmpdLCCAyYntWoiZSmPEgLFqs2gm
41Ndazty/Wpd6rIjVp6cREYyv+GgP0+j42840CMaUM8bEYUnoQDUJFEGW80OxyunsfbAXDHfdNCg
r7TM/UgMXrft/OYbZUKYuZbSBIiQwlkH8RZEWNzMu7YfjbsEDvE+tOpsH9LieBzA9rMv87HRIiKH
Rs+s0gsYJbRI33jP7Q96BIsP1Tj5fsBmH4G14PQ6oOoGHNkDP3tQwJb2aVV/SXsnpLvUf8Hh9uBi
128SE6f4xA6ncLL8kA9i9ZUtyxVe7vDEkOHZnCBgiAmlv2UfshFrINIJLOPAsEASNW/pixiNC4SS
pwS0OEAcqXeoq/XONEbeoCjGb6Ez5Id4tpndUNzSNs1wkwjm5LSGutdZ5ZyqNH/XGURdUnnZlVtD
horq0E4PWZYjBVRpcchldhhnTc9HT5Dz5IYxxnqS085lQFk9HW9L+sDBjwbDmI4q3N+7PjcchtVx
uu3HgMmjcOhGqA75XISncLFewaNXkdmYy3ammXS7WDWzz9K+dZes2w1IClGtQLUgKDZn15AraAE5
E1MGqiVuoCgtB3lNuxOTlyD+kVPf9J5M7itAonI7jmWVbzMv7Y/0xDR3S1zlUZVQEoZXbi1YpPe0
9TvEPhNGSDemyZ7GsO+1v2SvVmA867TkvU/e5GpJTXWwJGY7WPCv/tLQQoMV4oEO04nsvG9yyl9p
QdJOnOtuoCfX8sOFovA81Qw6ZH3RxfIcilh+a6fYP+brqLUOkipSlV+cjEzWERHcYud0bH466eEg
Me3HPgP8YjYk+Kuu9reybfIzqFO5L8qQmQx84J3RztRnDhOD7Cm9bdySALdbs9ywMT2y9iVPrZju
GzC/fEGTct8xGS/JDqAYsFnxOrpe1w183MlyBwfj2HXVtAvQ1+9LxyrOuD/pS62d5myIcPk6W76G
Exs7dyXQUzAbKdsPdl3kYGFzshG5U7UaLjtv7jaVO+trJ+SdTISG/a9FdLofBDyatS2knNwbz+zq
rSy7nSBagWV2Bh/iPzmM/xzyXVdhrf2DaoIBhJEg5m/lfX83Ymrd2obc210ACtXTwQahgrpZ4llq
pzK4VMUwte/jhFQIZ8P7GsfquZr7DEh2TWVYJsONciW06YS+tGenHl4Xq5JnTphE+zrvS25b+VOb
eOpO2QODfWUm1yxBFGmMytwVSVDvGP5aN3UfArxrZus2gHH7bTbq/JDxrN7JVkrojjVhIU6XW4Jp
VL547ryzsoJEU1ab1GQROtAVkaG86X/EKQeADGfWjevItZDTH7ba6puXVqbfMD/ytxz6e/La5iFV
rnNZkX3ZDIa46RP9CGbry+SKZ7dgl7nVsUyuixJJC+C5BVE7H817qoomrFLkPN2AyGrJAvlhTlAC
sIbH7DNj+BG+NHES1rJC88QJaZ4gtPAkkgvAQ5HG1H+ZXXm00TdXjWB0mIC39lHY9XxocwNUThsX
GWPOeS0iwpyGqjG1EhOJHL76fWdm+zIeHOYojIGLLaQg8djMzcRftqt/OMwDj+Bf7J0wY6ARiD2H
3o+jIM7Kd6ufyaHQjXLpIPkfp9Ah+BH6sf/mmkmzp+IkjsYw5Kg6lWa2q3q7u0jcztzWKBRRTFzm
OrBziTmiLG6cspyPyeQYpyS2BTPwwfpOn3SLTBsM8aPyB2IZQ0oKpZmlPsctNgzoA/Vdkg/mjsf6
ZAZhvmZdJYFUt5v3hmiWaEgna58QcWp2xKbdqAoXA26FC1aKINn6FytpodBRLUN3U6VYB+ywCfYj
wb7rQobxj7Zxxtsu9nS4N2u8zXxr9oJ2DEJYOdwNy5lJhTbFAN3ZolvqaojTH9pQ4XPTKaBpvONf
+9HHIYAhhYyNsQyXgPwLeZaDJw+6pC0SRa0qo6UaqxuZx86bMTOZiG3CIpMzPuDQiC9SlOHLBI7h
TmICZ8Q+fCB6l2c1Vc3O87W5V6WG+qEoP7aL/lZZTrhXbvWl69A5J6/BlGaETXqcsxocUwkwo54C
DqMMuKK5Hj2WCSx4nMlDcQdQot8hQdG4UQRBj5G8Xe+hMX11GQSUrlhQE8M9ed+bVC3ZuQB9ggso
vgp4A12zM8g3IK0rQAojL8khz+FrdKV+kH4l90afaXhM46LOcVjcI5ROW74Q8ZXRh5wP2Xcgg9b1
jQuu6jgP7rGi3wHPWK/nlCy8SJnP+cFVW9rmqXBIVQ4+U0S6MJtLQ6Xd0XTIbDdW/iNTgX3KXK+5
pK4nfM4UDylLtjHpNFLg1LsLkctxus9EV7rbIGEgi18oOM79NHCYxQCzpefawUxO7mZR3nTttESf
LO+HVWLN3KTNEu7LarplrkRfOwVafoQmfs0AhOqD0gojYPQjcjT5N6eAFZlLDq+p8Nyz7tw2KgdD
vizZFB9bkPZYNnR8mU5xd5VwjvqSGNmyV+sQv+D1d9mNE5OwNhwm+HZdflEzp31zyiyG4O2pD2OK
YxAWVUIcqmo01Ruzd6BPj0IuT9/1ekWN18mDVmaNpTbQBHMF5neb6C5jCNKQ2hWRXVj9MWD52VGr
SBd83uSXjQlXIdCgFoLedq4IvqgLkkf9gWEkzTXo2iX0ltwJig+X3mVaXQqBzF0fi8DO9sPAFCPp
yxCkHNUIlTk3EUNYCvjGtj6OuJrP5lR+KUY3uyK0eb8AVH0Eb4BDgnK2CxKm78yjmgvl9MSbK/tZ
jmN/l4xoa2t1TSO6d+yQVAJ0JJNHRn2FKNi+I7j4Bs1OmRwHGLmM4aitCIIzb9L8GcWoOAOYb1gd
2/ay9/MN7PHkqg5z7yO2lbxWqG/PWZaEX4I+RtfKcS4syDNTJPPauyXSq281rXIZ01n6DhbUc6RF
PRByznJ56XLkp8Ezf6G4ks2jpfFLr5Fuyy67szkna4FYmbN2N7exWT06ylBbYANiM7W5e7AHZFyD
yqBCetdtie/FtTr89kZ5ZdvzC0k8j5FzWJ5ycxj3Tec1WxBWeJn9B1a6bFv5Wbhzfd5keKx/yG5Y
Ik5578XgvVZx/zg38g5iBAUARfBdevbrDL3mEaxWvDETYHpB9SjZZF9UWfpSYmimng5FNgvxwQgd
ENNfJQAsHPJNKwXmox31KSeivnVNKbdl6Q5HgPjuvsJ3FDVrTthvJ3mz0LpB7jxg3o4dBn+at6Vc
gr+Xc8udhNc8d9co4vJerkwG+Irixhlg1zhN/G54GbZMghxbrA+bOei47JwyihRJvm15gW3yfkZ6
t2N03lrJR9gB6VXhxQYG1WKPHXLjJu14EkpV16VbVickREUpcltvbFU5bEYD61ZkVKblTursdT+W
RD77I/Fsvc+lDvZlUrn3epLvNl5uPLK94tjkb3uRI0OuSes11TiWvThDLYbFVC32zk98bJWGOk4d
TetOlV3kuuz3SR4sl4Th6W+qIepdzSV0Pu1w4FIQfQpGaMns48FqWCMbj1CMA6kMs391m2YYGcwe
JTdn3nuhiEIEe2AezZdegRCus+WqmKbgPeybL0tZvwGJ15HdcsDZ2H61gg7E+EbBB3tfrOAPVp9g
3CgDiweVgvhjLbtgOM1D42yb2hqiucRttsHaShGCmwzHoQ2P4WAc51rilPLFAEi4yrXk0eOIucQ9
NYjC3ZmhxXKcQT7bLr3LO3E08Kwp8bVVPzQT1dNYBcwWZDZ91XoMb6bUCr8bxbLAcmr0tmGHRF8p
BjzTTKb9VDTVAZ3yXlVev3WkfdcV4VvdiYeyTxkyNnwbsoVjZD/7Dxkl0EeLINjLBA/80HIknyrv
qQ8DZDo3+4a3ZD6LdaXzQ5zRpICnQ0g2ZldVTsBMKuQ0u2Gr3wDiME/BjHk3tyAfh1bzroaleigw
e6KLuuLgJMVNyZcP6zH0iAak1UmDbtp0Gb9Zy3SG3+mrNz/D3pn3tdnccFi37jsf9J235hQog7l3
G7/aB7mvvjZWwSkZF9uBUSbVVv0MdiZfj5qTy0cLAS12RA7o+56hl+n1z4QQT9a/yyMr65nKlXyA
HWb7C2Kw1Z4HaOeleXEIJ7bAYrrSVpnvFedwmmjuw7kornUd88oKoSZSfPHEYIIu7Z6bHnvLVbZw
coXFQGSGdREEofNgN6nxzJ57uBptbz7hZIi/+xPndS8ohwtbuNEiC/WlK4YLRhUT+aJ0Rv2HosCo
hWoaV8uL3MulRYRaiieVjfIQl8K4XtA3TvhD1N7vyP6UnGU/FnuW3xd6Vfdd3s7/hkj4CJmqqT7T
in/Jr/73Uq7/h4oCwG38pJX9CXx8GObX+vVnCfGPH/iHhmi4qIiBuQZUncD9Q0b+/+RjgzoAmP/4
40349d5aFvAvHTFAYnTpmyH6KRggQpL7V7zV/A9+wEKPM5H+XP5P/6N4q7tClH/S9VzPFEDP/IB6
MjMk6+qsut9PWVMXHc0rsAVv02msOLGhYdZwO5sVnTh5Ma7IJF++jYvpPC0STYkTPrb3LYPxtN/o
qR8fdEbccP3229+gamS3wupixZmoNh7nYrHf9SJD6pYTaB1oBfe6TEin4FXQNPIZ7XRpQ3gT5G+w
6pL9xnVvwCC7g4bjXplO7GMgo1jkmWqXji8udgy2rCWeBxzJM2AUQki06qklEQ9kMgjRWHGevCgx
9BgIsE1FSscm3Vh9wify40K9mGLlQzm1XbU7axL+K+DK5K6VoJxIDtrFBy4y8hxdkxA111PRDbtc
r00fnVKvneClu527Cu3KRV0jOFJz6GyJXyRRZRl9Ekn8/T11u1xsZ1oNbh4Pf+LXXiXD9UjBNIOk
AAWBLVA139EelTkHL9XqgtQaiYqqIoHfLVhJ9spfvdMWw1j4EhziWPyG0EWaw5Ier/eFAi+5COuY
JJ4vzzoBMIRkM/lfTbcH8kBCUtK6pYowpYKldqvN4I9giXr+C6zYbMzwG7adwiWEoI2c5Bfuydbu
QwFX9d7InYRmdfQCaAFlb94bVZrQwonId+3w+yWRJtgxbBPbX56SLgbh7Ik0OAmPIS9hUgqRKUKK
Z05PMNjzLX9DybmG7OEbgDu6GfBU9m/mhDEAwAbuDaTQyn1we0b2GyIN46MuSn+kqlXNe5kM9DpP
KWYri21eBkhnp3VGx2Mz0FPL6ARUb9lrnuPJ8M0feNwNUB4zZgYEa5Pg1sggtaC/gsTEZinhsWz7
HEkn8sfRBls6s2/KB2d+t1XTfIyLJ35MzSJuvG5e2kNck1rZ9CIeKxKTJb6mArUKR6FjsPRX7Zy9
pZ7uNZrsAoagDJiLQVGV3/y6SZMtZzEmRkxy2H17XuVAG9TX9AcYwB1V3RnMM/MAuMvSdd+w0QdM
YTU728Yas73pkKRkHOkTDOs5D0T+vA5KsVzA86jgO2AFtxrZvc24Os7xgm91t6S+oikzYf8SIBc6
u9m1XPfgWyO+SOEN1hJZyr00c7uKd4mU8tHBOx+wEUoxUVLeCFB7wgwvtjgRq+XQdPl414WYvk8+
mTF6qmvOkNvAWII35tbQijonQy4J6cvyzpNhDYib+aJvTLPFiiKSoXzvzUB1l+Dg0iuJ73DaOGKa
xMHEC5jtensRDodX7gXKWyN/iKpOPwqrjF8yStBfjYZbj8/P877WaNXcO+HIryWeawOhOQfOKvQs
aHLPXRzF7RIyLpyZoT0G1ujmW11Y43nElcKRajGHb+6U26+aUK4RMZzMIaPpuripl8V49QfXtZmF
BuG7rxLDp88yVo/ZUvn9yWb5S3ep6tsHPNLmHc+YTSLQkhTMLn1T5Dv6kkeE8Tk0APfZXvZMYVqG
ORIVOsCZJaxkT/dglezqxpLDJYPA0LwYoJBOZ9QnyiF6DugZjo1xACDbhPw5HIwuZDRdEmvbwTJK
+D/l0nmPDW17NsgrycCRbC5cOEIAA3XtEcOr4VLTk4TSKVXm74jUCDhCfeHP1zkOEOfGBMH8hpfS
Qiwp0xibI+BG3FiZoDfB9fppumndoCH6z56juGpcTiCkkKR7O5QGWPxmUSgZDt2n8Vql7vj3DvW2
1kWXAnbDAsjRnK5xSjlppss8EyyuM7azN238qs6MTYh0hq6JbeoJIohHBGuZjTUr5zP1T/mr40ej
EW44W0Eyd8++K/ryoyiLibY2ztF6j9cGdFvQQv07FMmA88ucaUML0iq4VTyLahNa/HxUTZb5Bofe
eKv43jMyiblXm8LOtIjMoOofEXvVQlS4rcN93iq6eA0n88jqzGl6dkWhmUDHy0uWV2DqvSXMrxdT
hOYhDjA+cfZa5yBaN4SZ+mT57oIypse2yL/hXPZx6nvml5gvNIgZEhxb3YcTKUQyLV2kiwVMkNbD
E/2CDSfYbKx6PGUx+YVh5BwObTYPgHKrmESBVTjBF4bEMGC9zsDb1C9VP+04wqkd/Nel4i2xjuL1
gmkz9khV8QeA10aX5dJwng0FZ0Df8fKrzM8Y13k1/lytpPvcaEh44AmG+QljFc/eWJRkRVS7guhs
rWkAynrbsvZF1eEzbUTAH7DtlgSjZpZMxYY+beKK5kgYfVOkk6+JvrTDs/AmcPiG74Dzd80B+1gJ
RQgDhrbzp8zXKtjO5Duhp4PfwMLg51w1D2PGEiHwMbz/wtsZbkLO0YF99g0NEANVw4Iy8vonngI7
MHS/YYqpfvhEymrQ157s1pBJ/rVuGjypVu5iqKZv/Y22zp6klg2VHc2Ms2BpqZC3+NSr735jhKex
D9V7kM3FLRlMimE1+kkddS5BNLDMbnk3o08004G3bViLS/hq8fOQA6PaKvSetZ/YCH9w4IIXJsC8
IaQJVifq2jN7wXFaFZ26cWmWOcLNbK4VnaEvlJqXKQO+vnnMlNsWyKO5aDGo0JyWZab0j9D8SL3X
cdBdlb0NZrPLaptJiFjPmOZS9kcod/awI2Zc2VtMowbhaVI179g9lhnSW+oAXnT9mBNSnpQnMY1r
jVgOsySwB+eRhB1UL2tGrKK1OY9xoyeSPdeUB4+9ijEOkbvB08OkB4adrSvxAixxfIFC39u7hDQW
Da6K0vUNBR7LGd0dkoQaBnWC1BAwIEMzOg9OQnNkxXHXjFxgBk+8UQSVB2FhPvt+C0vEnlS8h2Gi
wJMaAtPfnAaYhWx/oO+RMC/QgLruOIxicFNMPmfnpaORcYpsOy0eF1w9t7mnMXSPwhCEb5KivGJR
T1/70Bnfq6FI3tnNgpcb8uZbsBSMMP1+vXV2tlj8lj63mnnaRP4UIUbxNYdLcJv5cfrE+DKIKf1m
O7bR/kzyJzaK4lHTpFpEBG+9r/OQo0kkmdvuXVuH4YX0MQhhz43pclNZLBveSYn53NIge5uEoA6P
jSynd9MyU8W42JKX66QijTqnJmbRJQNDozRufaIF+QjM18zNC70spBpslXsXVNkDThtIA6wTXuUn
W55hEB+zNSL8D4nEPmaPrI0LJoTdQlcjZmx8bZC9msl8YY8AMmJgfDBFVE0rxraeMW4Z4Y/FRiZd
AbKDuuCJ1BYczmNIyQMtyQ5R2AiUZYhpcoHQ6gS+fnTyNv3SkBSQW+z5MQPf2kq/0DOrPwI/L5OI
Mg62QrXpDuG2aIzssiBtfTcAOMTKyHjrETgbnHDe8ck56wIqEkx43SuvbZossDYTPx3INDwvvpnZ
u5yvWW0PxotdG759zA17MbfNoOsLuChMfEd3dk8k9p2nfMwhX+lu5l/QuCq+GW2L34FzO277cUas
22ibcS9J0ZSMyh9nv/8NJ834f7YJyMRv8V+bak7fP0r68n45Ea8/8c8TsWljhHFNwcnW5AFH4fjX
idhy/sO1LeGENKMJ3zfXhr5/Oms8qE5Ya2wyHPyUb/5UBuQBkMKkgyEMtILluZ717ztrXIw9jsV/
RLi6fkJO4b+eh+dudkU8NOOOEedN10AZIUM4keSbVBQCese1KdU/Hpr/krT0q8lsveZ6/LfoAwrp
OxLmZ7sK/FHiFxJms6+y11FP9Z5I210dBOPtqIX7m8utAKX/BCz943KOHaBVWp5ncRt+/Yi9wO9a
2NgrICwQuljR9pxbIP7m0vsNQ+ovLxUKE7GCq+F4//VS8VBKHBcFwj2IUxbeMMVSOMzICqJxit1P
j9lfeJR+xWb983MBb6KRzPFXzeXXi6mqYxpo0gvcgEo8p3Y3HLKihBWcF9UDh14v6kpLMnj0hu7a
gbT+m+v/1W3ERe9R/ejZGL0+PTqjELE3leCNCcBVl3KtE6VkqLuiS4aqGwJYv7mPf3k9D3uiY612
sM+fN4w1mn8F9QUpsL0Plra99iZ7vGTcEFyGpfFvXS7Ero5o5dr2qiT9pBTRyBBqN3G6nfQNP2Kc
0Ua9pC1R8agddRiUx7+/nX/18fBvCWr4IKHZ3vrPf7qemrEbZORcdnMwefs+gS0pdAl8wKKiQq8H
8r+/3udnlfyYgNJEQycrEHrYp9tXMixfVqDHDuyic1tgPt4riz1aKevs699fyly/Yj9/BT9f6xNW
LrQ0YCS7xQ1E5OoEfQzILHB8OFVZvTEgoJ+TxLplhzHeOU0oLsNGO8fCp8Dg3/jQPLAYHTGpcKr9
tBZokB7wj/hFYFBzxPMNEjhhml2OQ6vf/v5Df1IaHT6z5SCusVYjhHrOp88cMOdK3AXtxE0BMGYZ
b2N3MaeHnlLOcKt6DRHCdqtdmjAN/ftLf14ZECVcXjmBE9g2Nt4//II/PUrSLMJ2bpNqVz1nO+Ps
UPH5gs9sjpaHv7/Qnz4jKx0vNz4LYi8ryCeXpN0ZXZfAZ9j5jqTrOsvcG5AOFDv4vkFUJUz8U1AQ
WrG0yPRvbuVfXBtjKt16qMm+5Vqflj/IRzZtCB2OynLMLu3UE8fFHaarIE0IoSfmO33I/SlZav83
696f/rproyhKsstzRCGfv36xfvrr4jqtzVal5W4sV6KeQ+yW8s/8ApY2A9AAeXYkBUZirvYiO4nb
36wTf/4yQfgXZmhygGPdZe/w6/XbsKCEMlbUGS3usrdW2Rb3vbO1Ze+ZO6v0kKrsGYe91/fBMcbN
dQVuZYUANclv3nd/vgeQLG2TA4+DaxyS4a+/CjE9uvP6Vu4IzINSD/L3DDoC2JG0PpiwkyLE3HCv
oQH95gn/6wsH4C4dMxB4g3+9cKwHlcecX/i4CiqLroIddeX1YcHNdMbn4zzRVH5PSGTa/v0T/6dV
E3YnF7ShcNqe4C3/64XFHJtmBvNw5+cBzQHTjHUzqFAosk78pur3Lz4jOEy+v77LrIKBxa+X0h7k
63F1Q9Tt6nxNQ3evPKj9+Lv87aQs814HKnioQzf7zRP+5yuz94ToxnvWChi7fHrC0EH8SQlqTW0M
gBGu2OZrIopnOTv20aaD48LpecrTuA7v/v6v+/kd6DDsoSme1csWvmd9/k5rqyX3xvtg57YdhTAr
YkUsro0z1b6DeWCc/v5y5l9cz/ljHsTbwPHcz3GHDP9S2OaAoWBjL68jQkTkW2kPVhLJ7BisHpsY
5iOugjGnTwqh9dqnGuStX8lOoAOoQmAqA3VJqkfD6cYjNGX9m5vBivqrv3td5Zh7QXhd9z7s9sJP
98MPAJknpelFMQJ/tRUucbpvJvCL8gdyedWeGaDW01U1ZYa4TPos5/wY54t3GOkVKZFxtJUfJj1N
5YPK8MC4a/GCoB96iK3sG8NaIc70cTvmQwxIPtw6nSLbZ7cNJT/FVKfqGCMZut9Giizqo1itAQC1
5o70fd6IROxofYyXiyDFen4cyLBTPmRJekSMHKbCmdNn8KqQ7bwvMYTZ5Fo6oEqx9dlgIgsGM9g6
DJLeYvLWGps0GZ+XWVliK40ORYFBgp1thdXSxmZPOA9TiCNUqFhF4ewmCsMwWqgmvm0xYiXbqmGT
tq9DcxaPQ6AdSKPNdIR0Mb/Ay4ctHcxd7W6HMUyeOKjQxuNXfRA1I/YN8OhwFW9RFfVwMtI2pKOJ
6dbISiuNq5YvZIIrrVKvSC223KcuBvoq5PV+asGu4gaGcTIcFj+dX4bKEXeEk7HzdIsbE5TVLek7
+HZQwqbOP08BTG6YiH6I+hfErjwUYcxB3phSspYpPJcmcuKaOFIBr68i42xh2acAw94CLVCvdUc+
eef4Rv9MZBm+WJdXFK4Z8CSmU67y6ZWwzngeGt/Te23QPHwzjlNbYI2U6bDPMiD79PtIfKPs3wFT
9hli2AIxHxQoYVMLw8G5XtLmh40eXR+sjujQafaYAIF+0BmaCyJvcsQ9bp0Q3ajn8U2R0tqRCtle
pKDVQTUWoXHoXLdP9uZigFGv0U2drdsjokcd9vyzX4b8D17Xt5QseRT07MJg7EbQfBgqcJ8jjtEL
M/nFRYYR2qQ7dVZ7XsAU8uVsrpIDjeITbj0gnAXTpVlfTszxoBO2edKfPFVhXBvMFq8rxOBmOIWM
bDJUQBl/hKGhzzjABS0WKH+gKwgPI974y/gINXOOkfSoRqTU3UrbTdEjJkWxNzZfysKxMmzePX1L
KQtLvXeUXTzaCGPchm6dRc4q7vf2kvXNvTXQnxitdpz8TmiaiqhLnKpLMS9ZdagwRAdQvpdgPNmc
5c5ax3aCD9F1aIuwyf+mTQj0SMwiDh4kwKsruUyQnsIU5CkGaj0HEZx/LK9mNVPbUKeZDU1xNvVB
1EiAh8F14lun7FR15B1OCKCUsFW2omUUunErKTCj8QoCODHhjorwWuRPpgrjZ94tjGMXYPQxTtc4
vF1D/x2bCvi6m6osbXvrSWsQGyijzZuXKN4X7BSJCvg6nLN9DTpjvCVHnos7KyWWuENsKO8cKM6U
CzdC7i0hSAqUWdf0/DnEEN7OUB/CWw4glA0wyyFLqqEWPTTSMouLsBLDVdaZKVC9uai/MyIvSBlO
zA8ipjfxiUpdMggTuydktczEfOwWFi6osWTOQ3SoHUimwVNuiERUw7yrgONCKW71aGwwtibveW8J
Mp9LYF0bJQeRKFvC9DjOKCebfgkwa3fki4Gu36ZpR1I+i12kTPDsNWAJx++3gkbVcDtUudmtvkyC
pr1UZPXGQjJpDFps2DcDhXTZzuyIN15QsiH7U9No/MJpQ5pqj8OWUGtiQSPdu7M0Absi/J8H5Nf5
qRgLZ2Q7kHBfc8i63r3jtkzInRKy/Xae3eCjEmPMNNLjqLrLIIoAvOzAJEy5Ypbb23J56AsjYI4B
rWS/QPeoKa70B2vfdloEuHh9s8a5FC6YD/xUCnoH8/ymnmFbEX8NE/sGHsfw7IvOF8dEDPouDJP0
MQ5m7wWzDyedkeodTFk8NsfChM+68cYYClw6YZLeKLZmWaR9G3KKhx2XYPZUL140VgaRDiCvkvxS
q6HPefiPn4gA4rnPSKLeel0O8ZYxIJwDRlk+5/I2qB4o4Z1ZQGfPfPAxrn5XIYTlLVs09CuG2fKj
mNnRnRrIufMJtuOaYUWYLg4LjDTALWER7HWT+hS0KpiudFlnyUeVFBi+m0BkyaHtTf8pnBgVR5bG
9MHCOOP19Kt4XJhTLsx+ZUk8VdEO5Q0xli3RxP2DBHCMvz419OWiHJpR5zwuoUT1U7Ic5thisFk3
vvHSqWX5UVc2gUiTSbRJSikOtkoNlkshY0pYpiKfsmIAdAVTLPNYlhJrYTAXdppJmY6ND/AM/V0l
q1me5hGCyYp255VqSkFNCpNSJHZDWBfOYjtjlFHVhrpux0G7j9lDMwxRtjsxLrN5E0GapnFEAyJI
IyK2LhYRjykdudjRGPBQsOng+zFbb+RqFIRQFb65KdXV+3SCtYG1tmz3s+wm8rVN5chNEWbLWwLI
AM8Bo1XiwZ5emojyOu+mtdYOg7DxRpcpDyXi/MNZ9iCPNAWnVaouaGR6Txy2FYxHGv9Mo7l67Keq
eB2SMr1QborjdNGNk2zZndRv7lhK5sWjk1zzFlQjlcGz/9Y4rWJW35oSDvVgMTnpwxLnyAwvBKLD
EhTiKushde3wlqprx8yWx8Sf2q/l3IuBWmVCXw+zT9vEQeJVgN2SmMm7ATzNOxhDYKZPEB+Km4ZA
kd6S0yPlAmoH/99Ibe73mVnMqfMSiphiL7arw9gk4ePMY+1EZc7AYsNAg/VjKXD2dd5IojjOIYlK
c4BdoDAr6YtmnNYtp83Wh6EmszPNFu4Sn/9QnhjwKQBJS1hciN7EKiln6whwNsDs6lDtsi254RXU
J7pQd6MZJE/J5I97y2Fx2ek0Nj+IceCzbowe0zsiV3gLYMpNj4s/mohBpQgIE8JuIrpU+7hn2TEF
F0DBe7FdOqp8JMjWmKOfSYoK8k9nXnumR/kWma6Aj9XBk99ZbCboxKNwNcEBAXcoYlpq09eJlylj
kR2t18bFz7mtponVq/S62jm2FnDIXcgXWmAVGcEwWwx84IQmePSZQW8Irr2xm3TsaxseK/UqNKlu
7N6w+TeKdOtO8stoTtlz7WQEDBMMTkTepI8HdOyd6ckAR7Zzxix4rJe87f6oddcXKfvvd/3/uDuX
3saRdE3/FaE35xxghBYvIing9AFSF1/Sl8y0nVlduRFoi0VSEu+kLhwMMJv5EWc9q17Mbpazq38y
v2SekMwshay0XVZ05XSjgepypisYDEZ88V3e9/1wREnMWIF+h96efwffoUjO2pRSf6rTZJlORDeD
055Z1igwFIj/XMVja4pYdW+J9ihwG1RFIa1k5WUBJeCyKiErfVh0c1QsqKSnJym6OFixdmosz2k5
ithWL1rDnmlHiD0kM3I3ECIMgELr7gKpPPpLJcEAzBNBfnuZFQjOrsJ5jtha2Y6u80VnEZwgQi9K
7laxqM7SJUjqPl1gZ7A4/OmSph+ZaUbncxqOwiuPlnNtQCJs+fMcwpsNzCjOnQtcXvhV07xXg/Tq
dp2amppTuqBgbNE0bxFHyGPN5xfAZqlLzvw8wrNxxv5ZUpU0ca0Lms8Gy1VgINxvJFzrS9E2faZp
xX3bqLSHtPQX+EUwVcFddHNjuKziugf23IwQgqcEcteZhiEo0xoBsAGgXY5o3Qk1Cp3UVFcDQMzR
id3NltftrKdr/VXusGGpqcOB69L5KqLrT9BjQGhmWJ8ZXu5ALxFoGdHoEJooDU6nn6ZZiU3UkX0/
0wsuxrN0FYCmIAoUeIy17kzK0LQpJpvr1UM7MCshc5Zh+WxzWYbDgIIdWixTgLVDDYGv8AwZMETp
skUbxVqTtpXlcBnpNBfI7anx1aCK7i5m5GVOi3UhFDSqXnwVzinMjZDdCw3anhvzn6bkOOJhOcs5
obD87RlZo6V+nqcG+toQVwx0DwrNBONgW5WJ6niE6InpZFnvpF3Q0haC2CwAJN5bZTGOcJxPz51a
s087RW/a6xsmFMsPa6d2aOOTlmF6ZkIkwAsBVA1XNrT8IeWFdE3PqDbIGrqfzn5CzSVcoe2F1nFl
QglCI5b+7f0VSMiqX8zwM9+jfApvQsfVW4JSdBYwE2fZxyCq7Dt/Rec6u1zlyLksISViMlbLk8Ts
IjoCcxcfUke3soNz1qb83e5CIzF6ENPidkE794rGgF9m5CdskohppQ+madtanCaa2RVdyqcIN9b2
OiHFSL8sa5T6+mIyhfKavDfbyHldTMOsMCaQkdZn5oKmAqPpPIzvQR9k5kk1XkUP0DlBhyzNCp2B
dmwb6XC2pASHlgc33TBLNPQyC5O+lABnyvrURoNMH1msU/s0DnwNMb94RfNrtJvbw3RZJud0CJrX
Zws7aj+wposa1LxQzoBDAvQihtn0HpLc+oYotuICp4Lf10yLU6a1kWX/0K57i/NcF5w9hBbqC4BI
AAKrzKAVZ3sBXmg0n66Sm9kiLYldl10YJFCSgZZEYbHMaRhl1h+SfGYWWN/O8jN6ptA5q2zdmzKl
RfVRw/H40qbJbw59gYwmoBJ9/KkyO2N6b2XcmKMQ0ad6GIM9GfnQiqJLoB5TYwBS1v48izoh28QH
WiFyrWiRlnqoU8WeE52tOLb5WQ/pTEgSyxKXLkiBmXIEIR31ETzREVRfQbEuSq6cnJCuQmhTn4eD
vIv+RTfKcBmcMOx8Rs6ZHmyZn9CDfl0s6lNzXJj8a9ZGEyPswqAGrQKWwIk6GcIYq3B1UqZBDk17
BSQOBQodPoEBTY3mawbpXypiUMts9O+zgRnM6rNpZBUZ58pEwSXoxdq9Va2C5QlsNfsW9GJ8GZrl
OvrUiQIQEEEwBXBqJ2sBedTgzA8NO+TWM0iL+B+oC1l3ZkUHPuQMfePKLCoo5WtfL3sgEpzIHlng
9PKLdoTUR99EMbcDqbodLEcJ3QYWpJLK9DqATbA+T1OdDrgi6ZONwsKK2fIxGDCklgO7OsXo13R/
i1eJeRrBiu7B0ac9CCs6Ht863elMBKhJN6QbemQWsCvogPWhstpF6M3DKXJ3bBRs9RCdkoB6Cwix
aFTRZoCNRgve3nk2tUH1I7VJD4BuXdJIFQn9TjaCZNqtT0k6CAE6VFDvrBxs/l22GGsQaJ1q/cUB
KaafdLXx8nycoHvXb4NCRXgHaPTXGor12Qr4XoSEz5Q7qROmlWfSEP3SR3VH6Ex2wyXUAStAmguK
FCDZGQTdYYjbsbpM6P+KulNsVyVE0oICdOJghsFTJ+P2eQoJpUJiZ5F9GndWgFcSbo/iQ9zmBu93
jcoIr0v0o3uwJZBboqG1bvtn6NxSmsxm7V52Msc3Rjop6dn0UEQgCYgLunG4ZqZvnCyqNWy7trGK
fqFfjH0FjrtGt9QXn6STmz43/iJDtZYQC/QGQGBa0/nkC5FdMIqfbdJhzsgB2rtGTncJ/dTolUv9
/XpcZwBxbDy0lRm06cpTR0gjdSNde7+qavQip9SKP9lrww9uV4GZrwdgSEJ7qJka7WViJyH727NW
+kMS5cDLMMU0VyVZEFWIhc59sFBmjlRn2Q2n2mCVcJmjJtbu6SfcVjD2FuUYGHFRpv7nDh5Ye2DG
ixyWX1mkHJeZU1IMq1EYOkXiJSj6YeQI+AydgPNBHXXaOZ33xoE9mqELDpXKyHX/bDmbObQjwfU8
nxn8p8PpdFldkUuwUVVCqCcc0pIdzI0G4Yd+344e6YMO3cmEDFc7dFd6UV0HOLUc1MSwEEcineb3
yW6AmwuiHNQuqqn+Fy0KidXH2mp1ico+HXNTNM0ua0DIs8HUSse/hFje+6i0nM95GwlVWnvQ8Kwf
mguKH7WT5rc8srt+X/ey5AvEFOgmhhWMJ8E6T0Rr5TXt0AMiSW4UxMrngzjN7A94iPX6zFqE8DUL
gH902MXZTGk2gFTdYEYKBNtTO7mNXS6L62nhIw8QVUl+D26HVocRnpnXRknhvlNmtO2pgYhdhggs
4s3HVhnhUpN1uUhI3AQjRMC7l0ABiftKS6f/d5alnS9C9vInE5B3gI7Vcva5sMPOJLO1lX5NyxtS
ZIsAkOKwY/Ifntd0sjlNUsjuJ8E8m56ZXWSpT0DSa+DMa/OB0h0KpLjYg4VvWP5gOs3CU4iOxLDw
jgnMV3SE/mgtp+b5GkWHiZEFcDXjrK3dYz6q7AYfOrDOCsDlTt+ycSBoEOzM2O+EY8FIQ/1z1Sc1
tCazSClognQHjYGJmmfoPpdaZ9QtDDI2hV3zoc3aan8tCA0JmHsO/7SRKEsuEEGgwQhyppUx7EER
HtIYMC2GXOT0foU+2Ibf2wk6o7QKaWpAg/oV6UQD4nY3RCSfBGu8KEaoNNmErmgSIycW2uVfI2MG
2KsNwWN6stAWnXsE/rghSGFSmKJneHY7hQDoXIzzFQoEulmmQOJoA8OO7RFIXlhdh+ZBWRVTFCj9
MYG9b5eLYW6IM7tG2u89F1M0O2EvOGeJwLkhmWVA9zLqFX5MAk2N3FihI6zgtGPRTBJWHFGZRRS1
IF38FVM3o2P7vOtfzxAU9ey2jyZ0jcZqijxJjF7kIrOr5Slo2l6nH/kchwH8+3WAduK6nVBHjzgw
CzwMZD2nFIpmfEZAYu0oO9Myg3iKxl7j+SgD76n1IXYgkeJbGZDSiO6iiKAukp/b4dSsTyw4sTex
HS3WgGRq5PoL3xEcsAAanlZGMFH8zIqis1lBHo8nFNihWTxLv/gd6lDnvQVG/5aEDSLbUW3S9wYt
UsM8WdQVDF2ItwGZaromJCczmraHELoKIncshZbjnya08qTTkF8OrHGVEbjEKZLI0zbSH6dsuvID
2ijwGSGcExqGWnbSQz3VISZJFwVQ6kCIDjt10qOXto8EKAne6DpIK/R6FghafiGXQyHL6SQQ+eox
eY2OPV3+tTAzMg26FfxU9eiTRadNCzJFSRwieuO00Rxdz4s1X5usMZ1XF2uA7imS65MpBoukEmyc
U7TVjaRvwz8/Xc7y7DOro9FjmBZ1FylVo17fXtTlhZ3gAvULPe6eYhCIZBbLmpalKW2YEpibdZsu
Mdk6DUbztMdxbCPoMabeotswvSt8gwGMjEo7WWkpmfcY95mIBv4EmiW0V9MHWh1ptFZwaB96Wc7C
9Qe0FMa9k/Vco6UJhn6RXHYSjPqpU6PxdLai6wlejV86s+GqGwrxJC3NfiafOyMCoj+2PvQXcXYG
aJuc8hKUx+K0nenzu3KKnv4ZAEtanAPD0fo24d/PyAVaJjDRTvHJMvJucjFFIPGKtS9RgHXG7Q/j
bmKU/d5GvS2dBaCc6ZhBI95OMTYvQ2RN9b7VDYm+oKiEsxFZLhRH0Q7iMzjUv3t9OmWPzZN5J4FC
E/r+7KaHJh9RyNxZunQBi7r9MB7bojuDsfiCSlq7HtZ1UXPLUg0apqWT/7XtJ4Tba/IO0D8oQcZD
B32Vgn6YXSIszZqhsErWdfYVwUSNcGhBe/irclqzCxP0bR4A3wcJFa3YebBmmX5HX3MLbg25XmRR
9BUkrCl8zxN/HRiejV71Ah2cKvvJyg3n1Mpg4Q96tIGnvgEtc8oFaY3DkzAwaAhANdlYgSha/hWc
weJ+tQRrC6N9nAzbxTKbn0YZKhKk2cdY5zEpEPq0sS39QQUt1RolsG1mKB1Q4TpN2vCG0WCmZ27P
rzPnLCrW3ZsekdEUO1pZxceASFkjHVT4n0hw1zddRJWCUWoGSXi6RvFZv8L7E2BxEnJjGpwKUlRI
fQKxkTjoLH/J6E5Ok47eyi7sz5RbEOeerylFnqIP4hsXNOCZBp90mp8a19VqtVh/cKbTtHeT6MBs
L82ZFZZfu7OeAfWeBlnjPlXK4qPWnUVwPkwttV6CNz0p7QKkB5WA/LDtmKa9D2w0o3RtETSCmx6H
y/NVaVgf6GLYG2HkwFnXbMrna8kHnqeZegeoj8aTgXXK1XraMNLBjHoCjdUJqc0eMieWiUZ8EUDp
m3N/bNEBfw/k7d+pw+rjVAVDdBSXYbn+VHn5+sYrqnlZND1IB5DNJ5u/Dr3i9/zC9wdoeZunnU/+
8ieDtba+wV83z7ojp799+vbXxM//8ZBUcSnm5odJvKHz7vzlvwNc3flR+t3iyS8/vvXus3b/aCTm
1rzqwXdo/vAs9HI3fwi4UsXiPb7VtRt5f/nTu9wXM9rj2QIA+W2ef/mTNNGdzfrcwP1kDs/RbQYS
a6izk48eFmXXcN6Ms/kyevOT+ABvm6xYY68ZRgxqKpgqxJgkupeXoKtgZUcPlTtJ8t3pCgjnsSt7
knvxQ9Ci/dwe69pWMbgLdQjseuu8EP9XNNMVay1gZcdOHkjh3qy3XPHNhn/7vrhFES/mnDQTFNMF
NtT8+PaBP7q561fuuhlpO3C3+fGIgb28akbZDgpS7tjV/ZxX+5PVVZyQL17s1RWkhmaKYsaoQDU/
fm8ZDpnBby3Dv3cPNNbw9//94/ptJmfQOPqf8BoYcHom0mcwXvwKWxbGc3fAae558T5lRbSlPnZD
Xnm0eUiacTb7XIUJvHXDuGx95LrMvZawVldhxvZM5A7rHQX28HMclt6kdVu6pScZQ10gm49dngED
5O689S7y8vBB+qwIXAj8/XefwGS+EZCe+7QDNw/v7z25+TzcIwNhZ0FJ+p7h3Y7/4w6wbf5GYtr1
rJ7xzJ44Zs/87o/y4uY+X1r60Aq20bvYT2TbrMAm9JOyWO7f1SrG9eJQPqdgjb+7DV+5y/tVXsWT
sBlIGBrBzjl22EHgTppRxJhCG+bYMW+8FB3U8KGV/NIqA6+FIpYvWUhBCzn2IUMvSh5yt+QxLz9P
wQ4c4HtBBZS+68vuwcsX0yCJkjyRDG/3Oav1yu3yze7+Isxu/G2NmoUX37qrwMkbuKnX+uLlE8kx
7Srw9IbT8B4YhbTjrefui1euzMgHT7W7DJaCyY6yyi0T7N5cRC2xJ9k/oex07HYf5WGZy8PaCo4q
Wq5hksrmWtA7jp3uHcf+1N0POR0F7sqpey8fQkfB5zsN9q4BR8Ene7oRcEqOX9rBr/+79FqTfzlf
JGEunTooWscPf+HFa2n3Qs04ftTL8H7fKyBxqGBclOnR2G4G2rjfKsJB5ru3CoKnfuypuCKw8d3i
wZUyJtCdVAy9TspS3g5dBQf5yp27y7CZ32Z9uwpOMcPuDargFF9xkT7sxWKCxnX8Z6uwvmElXdKa
peAsX7liZDeWDbCm4pq7QjIL+0vQ2CzA5uNZCrbxNWhweQeruDI2o+4thKCZHvv1tmaYvsMo91XN
cJu1IIt+9Og3v/6tismvNyNtB1awyDdEJnIaBMp685TvZaNedjdvvfVD4M3ne6F+R8GMb/HWgta7
jcPZTFQsBzobzY/HzDv2fFfKtusbwZHvRfev9AZvRYbFbV16SSwdFHRLFEw6ibBz0m2qCzrmsVv6
tprI2Q5dxc1/R3ufZm6b7ybELY6e6q//M2khJ/vr3zZZrI/5r/8rfghTea0NBWt9xzFEOKWZ8fYF
FByYOzeu9w20riIj+dl/csBNBVcKeQKoE27rxC3kr2kqsKUU6sK9MpIuukQdu0tG5GGo/Ekuga7i
gv36JAZBPuD4+X4No3v3finvYkvBQmxt6NPzraLwBVWhdYczJxnRrqHAHr27X3vSt0OjydEMpJUc
lEDQOeu8HE/9wDysDtm/66CogSqTbSDTfHxZZfdtxKVHcX73j0bi1vqtYP7dv9riCpSUi1CfckCv
IwnJ99AcS2hySQM/TvOZjPKT7PPuvF9+y61zItW8mgk8l95HRTz3ZcMuhMGONTk3VbF/XXQUWIa7
X/8P9nctWwbjRdO7u5LN5nhmy6jcF/QwBIzsmF0T0BDmAD2I5rP8E1UltuWnuHXrRonkJKhwIvte
HuGSNZty6/Q2Px3h8wrURhIfAioYCjyFQfKQFK1/vfBgRsT+vx16jIqkx3WSUwTI49YVdTrSbIee
I4Bqxx5oYPOzg2MrMBYn4VS+31SM6U3AQv1WehXVkk1fhdjbM0zPVjFfGec8QmqEwt7T8RWs/uP4
G/9FfGxRsn4Xl2C9RIXmkh+L5hOL4+G8aBFfDmVPK1fq6iqEbI7dRGeemzfIoG3Z/WGYxO68+TPp
JYD5H//Ei5DqNc5vM5JYHU1FQDQI8rAoI7d4PBTyAxTM/Npbtgbu3Jsk+/krIQF57Je4DvcyVyrK
HV9cuiKWVTO7zVrbCtz2a/J48qgqzqxY4K8eCdg9oVVHgZ/yMSwf3JCDegAFh3fYrNDbL6+Pblq5
LfEKB+ogNEY+eoN8ZGHkNReCaMduOy6pInDn84PrIjSojn3AFthz5s292P0vrXfFgxcjP7U1mHfi
xFKsnbitQRUHskMhJPGOffhdMgPiJq0a4rwqxo19ebaGitlWC3e+N1kFO/MnPm9YbKz7SVVWMt6Y
KPD45XjiZOoqyhDQFNLUy8tvHmEzUWHG0KRFTZleddCvtI5ldoUs4bHbRYKG4Zyg09z6UJVzSE3+
oQPCQ3lyh87hDoJtBBQvV75/YODDVOl8hIqjbiHwY8PZOzrw2X2blwPi3d8e7WYEFIZ3ggzyR6cz
3hjo990gB/XYbNvt5dz89PaLaID0jly6U3EYT93aBTOZh2kzw818Owpc6fNcTu5rKkoG50XuelLm
b6OdfayFYK6ZtABCaPzYQd8n+V59Q1PB17iolm5YNtPbfC4Vyc9L796N9wqAKuoDH6K9baAiv/wJ
3lIuLYGKqOnWrSZh613u7tcGVARIt2vSBrtTRrm/+fHtVuHxahNzbo2iUATiUmyn6wpc1J+8omz1
3XjWzFdsOrLNzY9vn/7PXuRJlhKVtONHvU5abLp/KVr7IUdXhV07BcFLAq66n+DlgkqUjiIsQhVm
mSrg/SHPBJcIeyeUz481Tu/uq9ZVVUg78nF0Bdvyv96Mbkc3X0bD/9YSm0dkUp7sf3S/8bAM6ioO
XGB4ni/jhw55Gn9MehlaKNmA1ySUcYBiPs6TIoNckEgeAPq/8DsSR/BHweCfwCAE3H9v9z2+8itT
eN/SafLeg8B+5Lh76Ub9AOLv9810VOWJXOInVfYUWf77Bt3kkQ/ySDZEqOOWtsIiPYFqwE85cmkf
ITFPuS9bDu9Rc/4gToJ8M1oHajlHPeMj7oK/n96zDgROe0+pfiMec6u+isXDnnH3NuKhkuXxD+q7
qDo/HOA7IeaPCjvtMQwCQ6h/CLLvH6w3vNcVCNU0KQFOSMcWI/6k6Hz8u125fpB79820hbshFGnE
/2ge2kNLV9NFp+PvXoKv/VrfOFdk+ER1RzgMkv/koJyKVgVNVug8TPsh2hy/+Ngfd0vx3XuvuqR2
NsA/wiXUFGCkrdd9mTX4A7/E5qJ4jb/wD/Yp5kSJsglQkGh8F8O+z6Wvq6Ay+U7chvJcNQXRUN+b
+2EllexUZAv6CXq57iade+bltecniz0NCf05O/7K64nJu3tpJBW8iH4190VZvLGNwmK/jBZ5uTY6
9OLIzaW4U0WAeJ4/afunAlA+Kkhqy4ugooQ4qL2HYG9YBVvhJHxCJFeRbD9x88Q7FLuqEHk4Iaf4
4O3uMkfBiT4N7/Ga9zJKopHLd/2LV562U0R14sJbNyOJY9F7Ej7t3ACvHRegjhvLw6pYB8QF5NXt
KTDDgzwBFyCZBoCUzZK8PXd0VlGsy6VFoJ/18eN+tycocV65fvt8z0t3Ls9WU7AK7718b4PRW+z4
RXhPiuvKXcvJOU3FDXTplnsiRnRpPH7CyPwH1b5rgsrq8SPfzpOFO9vbwCqo35chdr2kbl56e+Ui
FRj3y2rlRTCPc79ZAmF96JfR/Pj2nXyVzCesSTPQZlwV0LcrIEr7vDcFRwSSXilPVgV2/jsBIz1V
m3V5+wKTI1ruKRmpuJpBze1jcFSkkj+CjKz2SE2aCk2aG3hHe/4UbYWOX15xor39gTUF9/Ltxmoi
cCVTVlREHbfpXk2ZfISClQCZcg9UsBlJHGUaSjc/vn0H3y6BhcqVHRVB0u0yLOttmqaZ43bKCq68
zzNRtpecS0gGzWPevhSPJboLwCaTRA4bn6bSf78v+EVoh7DvBjgnzWQ3a/JspuqVjiYWmQvKo7+K
NLSKqObWy/fLrCqgkeAAvQ0Eea/q3FVSe98m76/chwNoURhCCi6ri6RIFtJqA4QyracZ/N+/U379
H8L8HwrN6A+lOXQbhuzkUCM1zJcf9+NSa5u6zj9hZu0XH/WODXBy96wpMGzvsJj3Lu1qJHusIIPw
Lqd6LzvGCu4kgAb+3J14RbC7DiqCmisULUknScOqmHBQgXbdHdVQEIz30cmS2YiGgrki/3SfTORv
piL8us1DwY6YSX62iusN7paMbFURG52h5NW6EP+4fXez++E0FdoE52Szn5BTNBW4Z0aWPx161c30
3+6gvHdTeftqKpBJF+vcX9cCB97McBMnqoBpb2/hi2RPSEpTAdbelroPjK3gSF8AtpwFT5dEwbm+
dGXtNS7yZtnfvjHwc9zkyRFRIbiMX4kQ4t5eVsHAJ9afhAsZA6dZCu46Bnbp8ybZN02F5Nq1l8p6
IJqt4NMJNeQH7zD9QwXt+CMZsScbWUXK/CO64fADCMSKZgNvoplny/2vjGZuCcHcFLMhjawp2B13
gRvu51Z0XcG5vnOn4dOVRpageYW3n+47N0Sbpxlns8gqPIw7hDuEW7i/O3QVFulzfe8dWA4VSc0v
oVciTC6thwpT94EidLJonZdQ69LWn1sj9BWTsnoMw3Yfp3X1joIt8/jACxhBRYBWxp9bzb+Ghx5K
11kFPsRtCvR4vj4UXIJGUuH7XIWTCaH9yC3K3UXbEkO+X6nDirwKt/W4ardBOAPlFLNq3/51Sy3c
fSgwGxQ2FNSaNreKywfKw/n//e//WczctduiwzsCe8zgDI3IyG2+mmQPwfRZhgqFwLsQ3db2pQDp
7r6hrfd6hgohiVuPoGDWbPfiz8PQTdbES2HrEzrArpzpsLu2bivYjcNkNklYwDt3RhgZRtKtTadV
gHEKPt6FW0F6lsAJtEjoWLYaWmh7HrYfqPu3aRi++2ken6GgzEC62j8wsgIbdOmmJfTTA4O/eHH9
wMTSBij7T5hZOoQKVlHuIA77JZk3ahW7H9si3Ypsfc+ySF46sDlfVrf9sd/9eAn73fkLp+x5qaS3
cgvROKklQ62C3zNIcNZaN3t9DVSEY6M5SjXzxX5zHVtBrQ3ZjNKLiMp2991TDsHvT5OTHJoIEPfu
uFj15se3O9zXLPCmR00z1CYh8mzviFc6Lx/Ro5EvOe1lmNHuhh0JbAtCXn8MmeYQlvtYs7v7Ni8f
v93fbt59p8GZNJnf9fePjujmyzatO6TRHucms4Ekps8TQPbuZF9+tTdalnd5dS8dJa3ZpW/f8DB9
QrocbTCtfTe/39eWUvEEvwrnsg1QEc+L2WK0ZBvwouvyMp5V6MnDD+ewSkOryLcO3DVoiUMBmIro
eLC3O1TISwyTCK1MuZmOili0GfdwtwgVyUC6MO03d1IBpOFKm9AbqZI5Zyrknc9gjIfNcdsaJwVh
1nv28d7301T4I4jXCBXVfc1vFf1EBKChEFLJUhJBe5Yi9dpLGLBvmQg3SgpqdRWc463azkVYllvB
l2tvEcoWREXmaPuUy+pBTnPrKnANaALF4cSdbC6Du+QePt7uftRVQEtF6nG7PgP2JaKAB0ShdBV0
h+1CfQnBotPdTIAqII+RtxFW4UnmWoX4YF8I9xdB60uIhuhBIw+ZulnPt1/Yn2+ffYICr70PxHOv
3YeuIhoY4LFTrGqWYJPNVpFJunVlr0hXIbNGHaJsjYjKgW5V8jFW0SlguztxYcrg17/NvUiChXVV
CIVuXuDK5Qkyxg+pZBUlse0LbG+B1r9uOR//tvtpDbiYLwZku25z48P/QfHNAQbuHxsEHHp31fHN
IWrs/2dv+cIybFtN+15CtRRD3mySnYV6+TeaNz4whBQLbnQDvlUiNo+S20bLYgONDX+qLbDzoGYA
Ye22AhWi1vH40ju/1yh0y3pcb/mFnVdCcUwwup57pS1OY69l5j/Amwnc0nPvdRjR27xY9ZtowM4w
O6u9+9keBSX+wM8muqG+4uVupT6qb3q333bIH7QlRUXuuVcbkCb7Td76H+WdhPDMs6/V3IzbF0rB
IXhEN3/clhIUzOeWXSZtvmnZ//BjIkp4z73T0KvK4iHYxXz83V/spVP0mL19mCP+/B//DwAA//8=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2.pn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85725</xdr:rowOff>
    </xdr:from>
    <xdr:to>
      <xdr:col>5</xdr:col>
      <xdr:colOff>38402</xdr:colOff>
      <xdr:row>56</xdr:row>
      <xdr:rowOff>59851</xdr:rowOff>
    </xdr:to>
    <xdr:graphicFrame macro="">
      <xdr:nvGraphicFramePr>
        <xdr:cNvPr id="10"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45</xdr:row>
      <xdr:rowOff>66675</xdr:rowOff>
    </xdr:from>
    <xdr:to>
      <xdr:col>8</xdr:col>
      <xdr:colOff>668618</xdr:colOff>
      <xdr:row>56</xdr:row>
      <xdr:rowOff>109042</xdr:rowOff>
    </xdr:to>
    <xdr:graphicFrame macro="">
      <xdr:nvGraphicFramePr>
        <xdr:cNvPr id="11" name="Chart 10">
          <a:extLst>
            <a:ext uri="{FF2B5EF4-FFF2-40B4-BE49-F238E27FC236}">
              <a16:creationId xmlns:a16="http://schemas.microsoft.com/office/drawing/2014/main" id="{5FD0E85C-31FF-44A0-AE27-6F64F0D40182}"/>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88142</xdr:colOff>
      <xdr:row>2</xdr:row>
      <xdr:rowOff>135341</xdr:rowOff>
    </xdr:from>
    <xdr:to>
      <xdr:col>21</xdr:col>
      <xdr:colOff>938893</xdr:colOff>
      <xdr:row>30</xdr:row>
      <xdr:rowOff>54429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658092" y="567141"/>
              <a:ext cx="7562701" cy="5049888"/>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23073" y="1158230"/>
              <a:ext cx="7032425" cy="4281709"/>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9">
  <a r="1">
    <v t="i">0</v>
  </a>
  <a r="1">
    <v>120.63</v>
  </a>
  <a r="1">
    <v>132.91999999999999</v>
  </a>
  <a r="1">
    <v>163.71</v>
  </a>
  <a r="1">
    <v>8.6357999999999997</v>
  </a>
  <a r="1">
    <v>34.972000000000001</v>
  </a>
  <a r="1">
    <v>9.5969999999999995</v>
  </a>
  <a r="1">
    <v>27.734200000000001</v>
  </a>
  <a r="1">
    <v>13.8538</v>
  </a>
  <a r="1">
    <v>13.690200000000001</v>
  </a>
  <a r="1">
    <v>34.965000000000003</v>
  </a>
  <a r="1">
    <v>16.7422</v>
  </a>
  <a r="1">
    <v>60.3</v>
  </a>
  <a r="1">
    <v>27.844200000000001</v>
  </a>
  <a r="1">
    <v>9.7988</v>
  </a>
  <a r="1">
    <v>28.099</v>
  </a>
  <a r="1">
    <v>5.7805999999999997</v>
  </a>
  <a r="1">
    <v>45.739199999999997</v>
  </a>
  <a r="1">
    <v>7.5321999999999996</v>
  </a>
</arrayData>
</file>

<file path=xl/richData/rdrichvalue.xml><?xml version="1.0" encoding="utf-8"?>
<rvData xmlns="http://schemas.microsoft.com/office/spreadsheetml/2017/richdata" count="22">
  <rv s="0">
    <v>12</v>
    <v>Name</v>
    <v>0</v>
  </rv>
  <rv s="1">
    <v>https://www.bing.com/financeapi/forcetrigger?t=a1ndww&amp;q=XNAS%3aAMD&amp;form=skydnc</v>
    <v>Learn more on Bing</v>
  </rv>
  <rv s="2">
    <v>en-US</v>
    <v>a1ndww</v>
    <v>268435456</v>
    <v>1</v>
    <v>Powered by Refinitiv</v>
    <v>0</v>
    <v>ADVANCED MICRO DEVICES, INC. (XNAS:AMD)</v>
    <v>2</v>
    <v>3</v>
    <v>Finance</v>
    <v>4</v>
    <v>186.65</v>
    <v>76.48</v>
    <v>1.8979999999999999</v>
    <v>-1.2685999999999999</v>
    <v>-8.0330000000000002E-3</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28000</v>
    <v>Nasdaq Stock Market</v>
    <v>XNAS</v>
    <v>XNAS</v>
    <v>2485 Augustine Drive, SANTA CLARA, CA, 95054 US</v>
    <v>159.84</v>
    <v>Semiconductors &amp; Semiconductor Equipment</v>
    <v>Stock</v>
    <v>45919.752158714844</v>
    <v>1</v>
    <v>155.9</v>
    <v>254220784581</v>
    <v>ADVANCED MICRO DEVICES, INC.</v>
    <v>ADVANCED MICRO DEVICES, INC.</v>
    <v>157.54</v>
    <v>93.607100000000003</v>
    <v>157.91999999999999</v>
    <v>156.6514</v>
    <v>1622844000</v>
    <v>AMD</v>
    <v>ADVANCED MICRO DEVICES, INC. (XNAS:AMD)</v>
    <v>32307139</v>
    <v>46341088</v>
    <v>1969</v>
  </rv>
  <rv s="3">
    <v>2</v>
  </rv>
  <rv s="4">
    <v>5</v>
    <v>AMD</v>
    <v>Daily</v>
    <v>45659</v>
    <v>45659</v>
    <v>0</v>
    <v>1</v>
    <v>638713728000000000,638781223148965228,0</v>
    <v>0</v>
    <v>a1ndww</v>
    <v>XNAS:AMD</v>
    <v>1</v>
  </rv>
  <rv s="4">
    <v>6</v>
    <v>AMD</v>
    <v>Daily</v>
    <v>45918</v>
    <v>45918</v>
    <v>0</v>
    <v>1</v>
    <v>638937504000000000,638939013961831469,0</v>
    <v>0</v>
    <v>af4bdm</v>
    <v>XFRA:AMD</v>
    <v>2</v>
  </rv>
  <rv s="4">
    <v>5</v>
    <v>AMD</v>
    <v>Daily</v>
    <v>45890</v>
    <v>45890</v>
    <v>0</v>
    <v>1</v>
    <v>638913312000000000,638939013954061481,0</v>
    <v>0</v>
    <v>a1ndww</v>
    <v>XNAS:AMD</v>
    <v>3</v>
  </rv>
  <rv s="4">
    <v>5</v>
    <v>CMG</v>
    <v>Daily</v>
    <v>43465</v>
    <v>43465</v>
    <v>0</v>
    <v>1</v>
    <v>636818112000000000,638778576283228362,0</v>
    <v>0</v>
    <v>a1pxbh</v>
    <v>XNYS:CMG</v>
    <v>4</v>
  </rv>
  <rv s="4">
    <v>5</v>
    <v>CMG</v>
    <v>Daily</v>
    <v>44559</v>
    <v>44559</v>
    <v>0</v>
    <v>1</v>
    <v>637763328000000000,638780830443760373,0</v>
    <v>0</v>
    <v>a1pxbh</v>
    <v>XNYS:CMG</v>
    <v>5</v>
  </rv>
  <rv s="4">
    <v>5</v>
    <v>CMG</v>
    <v>Daily</v>
    <v>42369</v>
    <v>42369</v>
    <v>0</v>
    <v>1</v>
    <v>635871168000000000,638780830444378323,0</v>
    <v>0</v>
    <v>a1pxbh</v>
    <v>XNYS:CMG</v>
    <v>6</v>
  </rv>
  <rv s="4">
    <v>5</v>
    <v>CMG</v>
    <v>Daily</v>
    <v>44196</v>
    <v>44196</v>
    <v>0</v>
    <v>1</v>
    <v>637449696000000000,638780830446962068,0</v>
    <v>0</v>
    <v>a1pxbh</v>
    <v>XNYS:CMG</v>
    <v>7</v>
  </rv>
  <rv s="4">
    <v>5</v>
    <v>CMG</v>
    <v>Daily</v>
    <v>42002</v>
    <v>42002</v>
    <v>0</v>
    <v>1</v>
    <v>635554080000000000,638781112046504754,0</v>
    <v>0</v>
    <v>a1pxbh</v>
    <v>XNYS:CMG</v>
    <v>8</v>
  </rv>
  <rv s="4">
    <v>5</v>
    <v>CMG</v>
    <v>Daily</v>
    <v>42004</v>
    <v>42004</v>
    <v>0</v>
    <v>1</v>
    <v>635555808000000000,638799683814090299,0</v>
    <v>0</v>
    <v>a1pxbh</v>
    <v>XNYS:CMG</v>
    <v>9</v>
  </rv>
  <rv s="4">
    <v>5</v>
    <v>CMG</v>
    <v>Daily</v>
    <v>44561</v>
    <v>44561</v>
    <v>0</v>
    <v>1</v>
    <v>637765056000000000,638799683814150037,0</v>
    <v>0</v>
    <v>a1pxbh</v>
    <v>XNYS:CMG</v>
    <v>10</v>
  </rv>
  <rv s="4">
    <v>5</v>
    <v>CMG</v>
    <v>Daily</v>
    <v>43830</v>
    <v>43830</v>
    <v>0</v>
    <v>1</v>
    <v>637133472000000000,638799683814214981,0</v>
    <v>0</v>
    <v>a1pxbh</v>
    <v>XNYS:CMG</v>
    <v>11</v>
  </rv>
  <rv s="4">
    <v>5</v>
    <v>CMG</v>
    <v>Daily</v>
    <v>45657</v>
    <v>45657</v>
    <v>0</v>
    <v>1</v>
    <v>638712000000000000,638799683816366929,0</v>
    <v>0</v>
    <v>a1pxbh</v>
    <v>XNYS:CMG</v>
    <v>12</v>
  </rv>
  <rv s="4">
    <v>5</v>
    <v>CMG</v>
    <v>Daily</v>
    <v>44194</v>
    <v>44194</v>
    <v>0</v>
    <v>1</v>
    <v>637447968000000000,638799683825798459,0</v>
    <v>0</v>
    <v>a1pxbh</v>
    <v>XNYS:CMG</v>
    <v>13</v>
  </rv>
  <rv s="4">
    <v>5</v>
    <v>CMG</v>
    <v>Daily</v>
    <v>42367</v>
    <v>42367</v>
    <v>0</v>
    <v>1</v>
    <v>635869440000000000,638799683825951940,0</v>
    <v>0</v>
    <v>a1pxbh</v>
    <v>XNYS:CMG</v>
    <v>14</v>
  </rv>
  <rv s="4">
    <v>5</v>
    <v>CMG</v>
    <v>Daily</v>
    <v>44924</v>
    <v>44924</v>
    <v>0</v>
    <v>1</v>
    <v>638078688000000000,638799683832284145,0</v>
    <v>0</v>
    <v>a1pxbh</v>
    <v>XNYS:CMG</v>
    <v>15</v>
  </rv>
  <rv s="4">
    <v>5</v>
    <v>CMG</v>
    <v>Daily</v>
    <v>43098</v>
    <v>43098</v>
    <v>0</v>
    <v>1</v>
    <v>636501024000000000,638799683833886194,0</v>
    <v>0</v>
    <v>a1pxbh</v>
    <v>XNYS:CMG</v>
    <v>16</v>
  </rv>
  <rv s="4">
    <v>5</v>
    <v>CMG</v>
    <v>Daily</v>
    <v>45289</v>
    <v>45289</v>
    <v>0</v>
    <v>1</v>
    <v>638394048000000000,638799683833916073,0</v>
    <v>0</v>
    <v>a1pxbh</v>
    <v>XNYS:CMG</v>
    <v>17</v>
  </rv>
  <rv s="4">
    <v>5</v>
    <v>CMG</v>
    <v>Daily</v>
    <v>42733</v>
    <v>42733</v>
    <v>0</v>
    <v>1</v>
    <v>636185664000000000,638799683833973148,0</v>
    <v>0</v>
    <v>a1pxbh</v>
    <v>XNYS:CMG</v>
    <v>18</v>
  </rv>
</rvData>
</file>

<file path=xl/richData/rdrichvaluestructure.xml><?xml version="1.0" encoding="utf-8"?>
<rvStructures xmlns="http://schemas.microsoft.com/office/spreadsheetml/2017/richdata" count="5">
  <s t="_error">
    <k n="errorType" t="i"/>
    <k n="field" t="s"/>
    <k n="subType"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7">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v>1</v>
    </spb>
    <spb s="5">
      <v>10</v>
      <v>11</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dd/mm/yyyy"/>
    </x:dxf>
    <x:dxf>
      <x:numFmt numFmtId="2" formatCode="0.00"/>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1"/>
    <rSty dxfid="0">
      <rpv i="0">_([$€-x-euro2] * #,##0.00_);_([$€-x-euro2] * (#,##0.00);_([$€-x-euro2] * "-"??_);_(@_)</rpv>
    </rSty>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3"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36" dT="2025-02-26T18:54:39.98" personId="{8FC7388A-B149-40B4-B48E-70DCA56CA41C}" id="{CE396053-595E-4126-9C71-0875E5897884}">
    <text xml:space="preserve">Forecasted based on net number of stores opening </text>
  </threadedComment>
  <threadedComment ref="B153" dT="2025-02-26T17:14:37.81" personId="{8FC7388A-B149-40B4-B48E-70DCA56CA41C}" id="{E2CDF95A-7B2F-4661-BCB3-C007122C6CFD}">
    <text>Payment for Right of Use Assets are recognized as occupancy costs under SG&amp;A expenses.</text>
  </threadedComment>
  <threadedComment ref="B156" dT="2025-02-26T17:14:37.81" personId="{8FC7388A-B149-40B4-B48E-70DCA56CA41C}" id="{CD092673-94DE-4108-B6AF-FC73424C056A}">
    <text>Payment for Right of Use Assets are recognized as occupancy costs under SG&amp;A expenses.</text>
  </threadedComment>
  <threadedComment ref="B158" dT="2025-02-26T17:14:37.81" personId="{8FC7388A-B149-40B4-B48E-70DCA56CA41C}" id="{62E50C66-BA1C-4031-B660-F25771E0B7AB}">
    <text>Payment for Right of Use Assets are recognized as occupancy costs under SG&amp;A expenses.</text>
  </threadedComment>
  <threadedComment ref="B165"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opLeftCell="R1" zoomScale="49" zoomScaleNormal="85" workbookViewId="0">
      <selection activeCell="W9" sqref="W9"/>
    </sheetView>
  </sheetViews>
  <sheetFormatPr defaultColWidth="15.58203125" defaultRowHeight="14" x14ac:dyDescent="0.3"/>
  <cols>
    <col min="1" max="1" width="11.58203125" style="595" customWidth="1"/>
    <col min="2" max="2" width="0.58203125" style="593" customWidth="1"/>
    <col min="3" max="3" width="2.5" style="591" customWidth="1"/>
    <col min="4" max="4" width="11.83203125" style="591" customWidth="1"/>
    <col min="5" max="5" width="13.33203125" style="591" customWidth="1"/>
    <col min="6" max="9" width="12.58203125" style="591" customWidth="1"/>
    <col min="10" max="10" width="4" style="591" customWidth="1"/>
    <col min="11" max="12" width="12.58203125" style="591" customWidth="1"/>
    <col min="13" max="13" width="3.58203125" style="591" customWidth="1"/>
    <col min="14" max="18" width="12.58203125" style="591" customWidth="1"/>
    <col min="19" max="19" width="3.83203125" style="650" customWidth="1"/>
    <col min="20" max="20" width="4" style="591" customWidth="1"/>
    <col min="21" max="21" width="27.08203125" style="591" customWidth="1"/>
    <col min="22" max="22" width="9.83203125" style="591" customWidth="1"/>
    <col min="23" max="16384" width="15.58203125" style="591"/>
  </cols>
  <sheetData>
    <row r="1" spans="1:22" ht="24.75" customHeight="1" x14ac:dyDescent="0.3">
      <c r="A1" s="732"/>
      <c r="B1" s="733"/>
      <c r="C1" s="469"/>
      <c r="D1" s="469"/>
      <c r="E1" s="469"/>
      <c r="F1" s="469"/>
      <c r="G1" s="469"/>
      <c r="H1" s="469"/>
      <c r="I1" s="469"/>
      <c r="J1" s="469"/>
      <c r="K1" s="469"/>
      <c r="L1" s="469"/>
      <c r="M1" s="469"/>
      <c r="N1" s="469"/>
      <c r="O1" s="469"/>
      <c r="P1" s="469"/>
      <c r="Q1" s="469"/>
      <c r="R1" s="469"/>
      <c r="S1" s="469"/>
      <c r="T1" s="469"/>
      <c r="U1" s="469"/>
      <c r="V1" s="469"/>
    </row>
    <row r="2" spans="1:22" ht="24" customHeight="1" x14ac:dyDescent="0.4">
      <c r="A2" s="732"/>
      <c r="B2" s="733"/>
      <c r="C2" s="469"/>
      <c r="D2" s="469"/>
      <c r="E2" s="766" t="s">
        <v>0</v>
      </c>
      <c r="F2" s="469"/>
      <c r="G2" s="469"/>
      <c r="H2" s="469"/>
      <c r="I2" s="469"/>
      <c r="J2" s="469"/>
      <c r="K2" s="469"/>
      <c r="L2" s="469"/>
      <c r="M2" s="469"/>
      <c r="N2" s="469"/>
      <c r="O2" s="469"/>
      <c r="P2" s="469"/>
      <c r="Q2" s="469"/>
      <c r="R2" s="469"/>
      <c r="S2" s="469"/>
      <c r="T2" s="469"/>
      <c r="U2" s="670" t="s">
        <v>1</v>
      </c>
      <c r="V2" s="469"/>
    </row>
    <row r="3" spans="1:22" x14ac:dyDescent="0.3">
      <c r="A3" s="732"/>
      <c r="B3" s="733"/>
      <c r="C3" s="469"/>
      <c r="D3" s="469"/>
      <c r="E3" s="469"/>
      <c r="F3" s="469"/>
      <c r="G3" s="469"/>
      <c r="H3" s="469"/>
      <c r="I3" s="469"/>
      <c r="J3" s="469"/>
      <c r="K3" s="469"/>
      <c r="L3" s="469"/>
      <c r="M3" s="469"/>
      <c r="N3" s="469"/>
      <c r="O3" s="469"/>
      <c r="P3" s="469"/>
      <c r="Q3" s="469"/>
      <c r="R3" s="469"/>
      <c r="S3" s="469"/>
      <c r="T3" s="469"/>
      <c r="U3" s="656" t="s">
        <v>2</v>
      </c>
      <c r="V3" s="469"/>
    </row>
    <row r="4" spans="1:22" x14ac:dyDescent="0.3">
      <c r="A4" s="732"/>
      <c r="B4" s="733"/>
      <c r="C4" s="469"/>
      <c r="D4" s="469"/>
      <c r="E4" s="469"/>
      <c r="F4" s="469"/>
      <c r="G4" s="469"/>
      <c r="H4" s="469"/>
      <c r="I4" s="469"/>
      <c r="J4" s="469"/>
      <c r="K4" s="469"/>
      <c r="L4" s="469"/>
      <c r="M4" s="469"/>
      <c r="N4" s="469"/>
      <c r="O4" s="469"/>
      <c r="P4" s="469"/>
      <c r="Q4" s="469"/>
      <c r="R4" s="469"/>
      <c r="S4" s="469"/>
      <c r="T4" s="469"/>
      <c r="U4" s="656"/>
      <c r="V4" s="469"/>
    </row>
    <row r="5" spans="1:22" x14ac:dyDescent="0.3">
      <c r="A5" s="732"/>
      <c r="B5" s="733"/>
      <c r="C5" s="469"/>
      <c r="D5" s="469"/>
      <c r="E5" s="469"/>
      <c r="F5" s="469"/>
      <c r="G5" s="469"/>
      <c r="H5" s="469"/>
      <c r="I5"/>
      <c r="J5" s="469"/>
      <c r="K5" s="469"/>
      <c r="L5" s="469"/>
      <c r="M5" s="469"/>
      <c r="N5" s="469"/>
      <c r="O5" s="469"/>
      <c r="P5" s="469"/>
      <c r="Q5" s="469"/>
      <c r="R5" s="469"/>
      <c r="S5" s="469"/>
      <c r="T5" s="469"/>
      <c r="U5" s="469"/>
      <c r="V5" s="469"/>
    </row>
    <row r="6" spans="1:22" s="592" customFormat="1" ht="16" customHeight="1" x14ac:dyDescent="0.4">
      <c r="A6" s="596"/>
      <c r="B6" s="597"/>
      <c r="D6" s="599" t="str" cm="1">
        <f t="array" aca="1" ref="D6" ca="1">+_FV(DCF!R4,"Name")</f>
        <v>ADVANCED MICRO DEVICES, INC.</v>
      </c>
      <c r="S6" s="734"/>
      <c r="U6" s="655" t="s">
        <v>3</v>
      </c>
    </row>
    <row r="7" spans="1:22" ht="3.75" customHeight="1" x14ac:dyDescent="0.35">
      <c r="A7" s="732"/>
      <c r="B7" s="733"/>
      <c r="C7" s="469"/>
      <c r="D7" s="469"/>
      <c r="E7" s="469"/>
      <c r="F7" s="469"/>
      <c r="G7" s="469"/>
      <c r="H7" s="469"/>
      <c r="I7" s="469"/>
      <c r="J7" s="469"/>
      <c r="K7" s="469"/>
      <c r="L7" s="469"/>
      <c r="M7" s="469"/>
      <c r="N7" s="469"/>
      <c r="O7" s="469"/>
      <c r="P7" s="469"/>
      <c r="Q7" s="469"/>
      <c r="R7" s="469"/>
      <c r="S7" s="734"/>
      <c r="T7" s="469"/>
      <c r="U7" s="592"/>
      <c r="V7" s="469"/>
    </row>
    <row r="8" spans="1:22" ht="14.25" customHeight="1" x14ac:dyDescent="0.3">
      <c r="A8" s="732"/>
      <c r="B8" s="733"/>
      <c r="C8" s="469"/>
      <c r="D8" s="800"/>
      <c r="E8" s="800"/>
      <c r="F8" s="800"/>
      <c r="G8" s="800"/>
      <c r="H8" s="800"/>
      <c r="I8" s="800"/>
      <c r="J8" s="800"/>
      <c r="K8" s="800"/>
      <c r="L8" s="800"/>
      <c r="M8" s="800"/>
      <c r="N8" s="800"/>
      <c r="O8" s="800"/>
      <c r="P8" s="800"/>
      <c r="Q8" s="800"/>
      <c r="R8" s="800"/>
      <c r="S8" s="735"/>
      <c r="T8" s="469"/>
      <c r="U8" s="736" t="s">
        <v>4</v>
      </c>
      <c r="V8" s="469"/>
    </row>
    <row r="9" spans="1:22" ht="14.25" customHeight="1" x14ac:dyDescent="0.3">
      <c r="A9" s="732"/>
      <c r="B9" s="733"/>
      <c r="C9" s="469"/>
      <c r="D9" s="800"/>
      <c r="E9" s="800"/>
      <c r="F9" s="800"/>
      <c r="G9" s="800"/>
      <c r="H9" s="800"/>
      <c r="I9" s="800"/>
      <c r="J9" s="800"/>
      <c r="K9" s="800"/>
      <c r="L9" s="800"/>
      <c r="M9" s="800"/>
      <c r="N9" s="800"/>
      <c r="O9" s="800"/>
      <c r="P9" s="800"/>
      <c r="Q9" s="800"/>
      <c r="R9" s="800"/>
      <c r="S9" s="735"/>
      <c r="T9" s="469"/>
      <c r="U9" s="598" t="str" cm="1">
        <f t="array" aca="1" ref="U9" ca="1">+"Price (7 Mar 25): $"&amp;_FV(DCF!$R$4,"Price")</f>
        <v>Price (7 Mar 25): $156,6514</v>
      </c>
      <c r="V9" s="469"/>
    </row>
    <row r="10" spans="1:22" ht="20.149999999999999" customHeight="1" x14ac:dyDescent="0.4">
      <c r="A10" s="732"/>
      <c r="B10" s="733"/>
      <c r="C10" s="469"/>
      <c r="D10" s="599" t="s">
        <v>5</v>
      </c>
      <c r="E10" s="737"/>
      <c r="F10" s="737"/>
      <c r="G10" s="737"/>
      <c r="H10" s="737"/>
      <c r="I10" s="737"/>
      <c r="J10" s="737"/>
      <c r="K10" s="737"/>
      <c r="L10" s="737"/>
      <c r="M10" s="737"/>
      <c r="N10" s="737"/>
      <c r="O10" s="737"/>
      <c r="P10" s="737"/>
      <c r="Q10" s="737"/>
      <c r="R10" s="737"/>
      <c r="S10" s="738"/>
      <c r="T10" s="469"/>
      <c r="U10" s="1" t="str">
        <f ca="1">"Price Target: $" &amp; ROUND(IF(Summary!G25="FCFF",DCF!Q208,IF(Summary!G25="FCFE",DCF!Q251,IF(Summary!G25="Tax Shield",DCF!Q224,DCF!Q267))),2) &amp;" "&amp;IF(Summary!G25="FCFF","(FCFF)",IF(Summary!G25="FCFE","(FCFE)",IF(Summary!G25="Tax Shield","(APV)","(DDM)")))</f>
        <v>Price Target: $0 (FCFF)</v>
      </c>
      <c r="V10" s="469"/>
    </row>
    <row r="11" spans="1:22" ht="14.25" customHeight="1" x14ac:dyDescent="0.3">
      <c r="A11" s="732"/>
      <c r="B11" s="733"/>
      <c r="C11" s="469"/>
      <c r="D11" s="800"/>
      <c r="E11" s="800"/>
      <c r="F11" s="800"/>
      <c r="G11" s="800"/>
      <c r="H11" s="800"/>
      <c r="I11" s="800"/>
      <c r="J11" s="800"/>
      <c r="K11" s="800"/>
      <c r="L11" s="800"/>
      <c r="M11" s="800"/>
      <c r="N11" s="800"/>
      <c r="O11" s="800"/>
      <c r="P11" s="800"/>
      <c r="Q11" s="800"/>
      <c r="R11" s="800"/>
      <c r="S11" s="735"/>
      <c r="T11" s="469"/>
      <c r="U11" s="598" t="str">
        <f ca="1">+"Upside (Downside): "&amp;ROUND((DCF!$Q$211*100),2)&amp;"%"</f>
        <v>Upside (Downside): -100%</v>
      </c>
      <c r="V11" s="469"/>
    </row>
    <row r="12" spans="1:22" ht="3.75" customHeight="1" x14ac:dyDescent="0.3">
      <c r="A12" s="732"/>
      <c r="B12" s="733"/>
      <c r="C12" s="469"/>
      <c r="D12" s="800"/>
      <c r="E12" s="800"/>
      <c r="F12" s="800"/>
      <c r="G12" s="800"/>
      <c r="H12" s="800"/>
      <c r="I12" s="800"/>
      <c r="J12" s="800"/>
      <c r="K12" s="800"/>
      <c r="L12" s="800"/>
      <c r="M12" s="800"/>
      <c r="N12" s="800"/>
      <c r="O12" s="800"/>
      <c r="P12" s="800"/>
      <c r="Q12" s="800"/>
      <c r="R12" s="800"/>
      <c r="S12" s="735"/>
      <c r="T12" s="469"/>
      <c r="U12" s="469"/>
      <c r="V12" s="469"/>
    </row>
    <row r="13" spans="1:22" ht="17.25" customHeight="1" x14ac:dyDescent="0.3">
      <c r="A13" s="732"/>
      <c r="B13" s="733"/>
      <c r="C13" s="469"/>
      <c r="D13" s="800"/>
      <c r="E13" s="800"/>
      <c r="F13" s="800"/>
      <c r="G13" s="800"/>
      <c r="H13" s="800"/>
      <c r="I13" s="800"/>
      <c r="J13" s="800"/>
      <c r="K13" s="800"/>
      <c r="L13" s="800"/>
      <c r="M13" s="800"/>
      <c r="N13" s="800"/>
      <c r="O13" s="800"/>
      <c r="P13" s="800"/>
      <c r="Q13" s="800"/>
      <c r="R13" s="800"/>
      <c r="S13" s="735"/>
      <c r="T13" s="469"/>
      <c r="U13" s="469"/>
      <c r="V13" s="469"/>
    </row>
    <row r="14" spans="1:22" ht="15" customHeight="1" x14ac:dyDescent="0.3">
      <c r="A14" s="732"/>
      <c r="B14" s="733"/>
      <c r="C14" s="469"/>
      <c r="D14" s="800"/>
      <c r="E14" s="800"/>
      <c r="F14" s="800"/>
      <c r="G14" s="800"/>
      <c r="H14" s="800"/>
      <c r="I14" s="800"/>
      <c r="J14" s="800"/>
      <c r="K14" s="800"/>
      <c r="L14" s="800"/>
      <c r="M14" s="800"/>
      <c r="N14" s="800"/>
      <c r="O14" s="800"/>
      <c r="P14" s="800"/>
      <c r="Q14" s="800"/>
      <c r="R14" s="800"/>
      <c r="S14" s="735"/>
      <c r="T14" s="469"/>
      <c r="U14" s="739" t="str">
        <f>+Industry!E28&amp;", "&amp;ESG!C9</f>
        <v xml:space="preserve">, </v>
      </c>
      <c r="V14" s="733"/>
    </row>
    <row r="15" spans="1:22" ht="15" customHeight="1" x14ac:dyDescent="0.3">
      <c r="A15" s="732"/>
      <c r="B15" s="733"/>
      <c r="C15" s="469"/>
      <c r="D15" s="800"/>
      <c r="E15" s="800"/>
      <c r="F15" s="800"/>
      <c r="G15" s="800"/>
      <c r="H15" s="800"/>
      <c r="I15" s="800"/>
      <c r="J15" s="800"/>
      <c r="K15" s="800"/>
      <c r="L15" s="800"/>
      <c r="M15" s="800"/>
      <c r="N15" s="800"/>
      <c r="O15" s="800"/>
      <c r="P15" s="800"/>
      <c r="Q15" s="800"/>
      <c r="R15" s="800"/>
      <c r="S15" s="735"/>
      <c r="T15" s="469"/>
      <c r="U15" s="739">
        <f>+ESG!C10</f>
        <v>0</v>
      </c>
      <c r="V15" s="733"/>
    </row>
    <row r="16" spans="1:22" ht="3.75" customHeight="1" x14ac:dyDescent="0.3">
      <c r="A16" s="732"/>
      <c r="B16" s="733"/>
      <c r="C16" s="469"/>
      <c r="D16" s="469"/>
      <c r="E16" s="1"/>
      <c r="F16" s="469"/>
      <c r="G16" s="469"/>
      <c r="H16" s="469"/>
      <c r="I16" s="469"/>
      <c r="J16" s="469"/>
      <c r="K16" s="469"/>
      <c r="L16" s="469"/>
      <c r="M16" s="469"/>
      <c r="N16" s="469"/>
      <c r="O16" s="469"/>
      <c r="P16" s="469"/>
      <c r="Q16" s="469"/>
      <c r="R16" s="469"/>
      <c r="S16" s="734"/>
      <c r="T16" s="469"/>
      <c r="U16" s="740"/>
      <c r="V16" s="469"/>
    </row>
    <row r="17" spans="4:22" ht="14.25" customHeight="1" x14ac:dyDescent="0.35">
      <c r="D17" s="2" t="s">
        <v>6</v>
      </c>
      <c r="E17" s="3"/>
      <c r="F17" s="4">
        <v>2023</v>
      </c>
      <c r="G17" s="9">
        <f>+F17+1</f>
        <v>2024</v>
      </c>
      <c r="H17" s="5">
        <f>+G17+1</f>
        <v>2025</v>
      </c>
      <c r="I17" s="5">
        <f>+H17+1</f>
        <v>2026</v>
      </c>
      <c r="J17" s="469"/>
      <c r="K17" s="7" t="s">
        <v>7</v>
      </c>
      <c r="L17" s="4"/>
      <c r="M17" s="4"/>
      <c r="N17" s="4">
        <v>2022</v>
      </c>
      <c r="O17" s="4">
        <f>+N17+1</f>
        <v>2023</v>
      </c>
      <c r="P17" s="371">
        <f>+O17+1</f>
        <v>2024</v>
      </c>
      <c r="Q17" s="5">
        <f>+P17+1</f>
        <v>2025</v>
      </c>
      <c r="R17" s="5">
        <f>+Q17+1</f>
        <v>2026</v>
      </c>
      <c r="S17" s="651"/>
      <c r="T17" s="469"/>
      <c r="U17" s="741" t="s">
        <v>8</v>
      </c>
      <c r="V17" s="469"/>
    </row>
    <row r="18" spans="4:22" ht="15.5" x14ac:dyDescent="0.35">
      <c r="D18" s="10"/>
      <c r="E18" s="11"/>
      <c r="F18" s="12"/>
      <c r="G18" s="13"/>
      <c r="H18" s="14"/>
      <c r="I18" s="14"/>
      <c r="J18" s="469"/>
      <c r="K18" s="15" t="s">
        <v>9</v>
      </c>
      <c r="L18"/>
      <c r="M18"/>
      <c r="N18" s="396" t="str">
        <f ca="1">IFERROR(_xlfn.XLOOKUP($K18,Multiples!$B:$B,Multiples!N:N),"")</f>
        <v/>
      </c>
      <c r="O18" s="396" t="str">
        <f ca="1">IFERROR(_xlfn.XLOOKUP($K18,Multiples!$B:$B,Multiples!O:O),"")</f>
        <v/>
      </c>
      <c r="P18" s="372" t="str">
        <f ca="1">IFERROR(_xlfn.XLOOKUP($K18,Multiples!$B:$B,Multiples!P:P),"")</f>
        <v/>
      </c>
      <c r="Q18" s="379" t="str">
        <f ca="1">IFERROR(_xlfn.XLOOKUP($K18,Multiples!$B:$B,Multiples!Q:Q),"")</f>
        <v/>
      </c>
      <c r="R18" s="379" t="str">
        <f ca="1">IFERROR(_xlfn.XLOOKUP($K18,Multiples!$B:$B,Multiples!R:R),"")</f>
        <v/>
      </c>
      <c r="S18" s="652"/>
      <c r="T18" s="469"/>
      <c r="U18" s="790" t="s">
        <v>10</v>
      </c>
      <c r="V18" s="469"/>
    </row>
    <row r="19" spans="4:22" ht="15.5" x14ac:dyDescent="0.35">
      <c r="D19" s="10"/>
      <c r="E19" s="11"/>
      <c r="F19" s="12"/>
      <c r="G19" s="13"/>
      <c r="H19" s="14"/>
      <c r="I19" s="14"/>
      <c r="J19" s="469"/>
      <c r="K19" s="18" t="s">
        <v>11</v>
      </c>
      <c r="L19"/>
      <c r="M19"/>
      <c r="N19" s="396" t="str">
        <f ca="1">IFERROR(_xlfn.XLOOKUP($K19,Multiples!$B:$B,Multiples!N:N),"")</f>
        <v/>
      </c>
      <c r="O19" s="396" t="str">
        <f ca="1">IFERROR(_xlfn.XLOOKUP($K19,Multiples!$B:$B,Multiples!O:O),"")</f>
        <v/>
      </c>
      <c r="P19" s="372" t="str">
        <f ca="1">IFERROR(_xlfn.XLOOKUP($K19,Multiples!$B:$B,Multiples!P:P),"")</f>
        <v/>
      </c>
      <c r="Q19" s="379" t="str">
        <f ca="1">IFERROR(_xlfn.XLOOKUP($K19,Multiples!$B:$B,Multiples!Q:Q),"")</f>
        <v/>
      </c>
      <c r="R19" s="379" t="str">
        <f ca="1">IFERROR(_xlfn.XLOOKUP($K19,Multiples!$B:$B,Multiples!R:R),"")</f>
        <v/>
      </c>
      <c r="S19" s="652"/>
      <c r="T19" s="469"/>
      <c r="U19" s="638" t="s">
        <v>12</v>
      </c>
      <c r="V19" s="469"/>
    </row>
    <row r="20" spans="4:22" ht="14.25" customHeight="1" x14ac:dyDescent="0.35">
      <c r="D20" s="10"/>
      <c r="E20" s="11"/>
      <c r="F20" s="19"/>
      <c r="G20" s="20"/>
      <c r="H20" s="21"/>
      <c r="I20" s="21"/>
      <c r="J20" s="469"/>
      <c r="K20" s="22" t="s">
        <v>13</v>
      </c>
      <c r="L20"/>
      <c r="M20"/>
      <c r="N20" s="396" t="str">
        <f ca="1">IFERROR(_xlfn.XLOOKUP($K20,Multiples!$B:$B,Multiples!N:N),"")</f>
        <v/>
      </c>
      <c r="O20" s="396" t="str">
        <f ca="1">IFERROR(_xlfn.XLOOKUP($K20,Multiples!$B:$B,Multiples!O:O),"")</f>
        <v/>
      </c>
      <c r="P20" s="372" t="str">
        <f ca="1">IFERROR(_xlfn.XLOOKUP($K20,Multiples!$B:$B,Multiples!P:P),"")</f>
        <v/>
      </c>
      <c r="Q20" s="379" t="str">
        <f ca="1">IFERROR(_xlfn.XLOOKUP($K20,Multiples!$B:$B,Multiples!Q:Q),"")</f>
        <v/>
      </c>
      <c r="R20" s="379" t="str">
        <f ca="1">IFERROR(_xlfn.XLOOKUP($K20,Multiples!$B:$B,Multiples!R:R),"")</f>
        <v/>
      </c>
      <c r="S20" s="652"/>
      <c r="T20" s="469"/>
      <c r="U20" s="23" t="s">
        <v>14</v>
      </c>
      <c r="V20" s="469"/>
    </row>
    <row r="21" spans="4:22" ht="15.5" x14ac:dyDescent="0.35">
      <c r="D21" s="10"/>
      <c r="E21" s="11"/>
      <c r="F21" s="590"/>
      <c r="G21" s="589"/>
      <c r="H21" s="588"/>
      <c r="I21" s="588"/>
      <c r="J21" s="469"/>
      <c r="K21" s="22" t="s">
        <v>15</v>
      </c>
      <c r="L21"/>
      <c r="M21"/>
      <c r="N21" s="396" t="str">
        <f ca="1">IFERROR(_xlfn.XLOOKUP($K21,Multiples!$B:$B,Multiples!N:N),"")</f>
        <v/>
      </c>
      <c r="O21" s="396" t="str">
        <f ca="1">IFERROR(_xlfn.XLOOKUP($K21,Multiples!$B:$B,Multiples!O:O),"")</f>
        <v/>
      </c>
      <c r="P21" s="372" t="str">
        <f ca="1">IFERROR(_xlfn.XLOOKUP($K21,Multiples!$B:$B,Multiples!P:P),"")</f>
        <v/>
      </c>
      <c r="Q21" s="379" t="str">
        <f ca="1">IFERROR(_xlfn.XLOOKUP($K21,Multiples!$B:$B,Multiples!Q:Q),"")</f>
        <v/>
      </c>
      <c r="R21" s="379" t="str">
        <f ca="1">IFERROR(_xlfn.XLOOKUP($K21,Multiples!$B:$B,Multiples!R:R),"")</f>
        <v/>
      </c>
      <c r="S21" s="652"/>
      <c r="T21" s="469"/>
      <c r="U21" s="790" t="s">
        <v>10</v>
      </c>
      <c r="V21" s="469"/>
    </row>
    <row r="22" spans="4:22" ht="15.5" x14ac:dyDescent="0.35">
      <c r="D22" s="10"/>
      <c r="E22" s="11"/>
      <c r="F22" s="12"/>
      <c r="G22" s="13"/>
      <c r="H22" s="14"/>
      <c r="I22" s="14"/>
      <c r="J22" s="469"/>
      <c r="K22" s="18" t="s">
        <v>16</v>
      </c>
      <c r="L22"/>
      <c r="M22"/>
      <c r="N22" s="396" t="str">
        <f ca="1">IFERROR(_xlfn.XLOOKUP($K22,Multiples!$B:$B,Multiples!N:N),"")</f>
        <v/>
      </c>
      <c r="O22" s="396" t="str">
        <f ca="1">IFERROR(_xlfn.XLOOKUP($K22,Multiples!$B:$B,Multiples!O:O),"")</f>
        <v/>
      </c>
      <c r="P22" s="372" t="str">
        <f ca="1">IFERROR(_xlfn.XLOOKUP($K22,Multiples!$B:$B,Multiples!P:P),"")</f>
        <v/>
      </c>
      <c r="Q22" s="379" t="str">
        <f ca="1">IFERROR(_xlfn.XLOOKUP($K22,Multiples!$B:$B,Multiples!Q:Q),"")</f>
        <v/>
      </c>
      <c r="R22" s="379" t="str">
        <f ca="1">IFERROR(_xlfn.XLOOKUP($K22,Multiples!$B:$B,Multiples!R:R),"")</f>
        <v/>
      </c>
      <c r="S22" s="652"/>
      <c r="T22" s="469"/>
      <c r="U22" s="638" t="s">
        <v>12</v>
      </c>
      <c r="V22" s="469"/>
    </row>
    <row r="23" spans="4:22" ht="14.25" customHeight="1" x14ac:dyDescent="0.35">
      <c r="D23" s="10"/>
      <c r="E23" s="11"/>
      <c r="F23" s="12"/>
      <c r="G23" s="13"/>
      <c r="H23" s="14"/>
      <c r="I23" s="14"/>
      <c r="J23" s="469"/>
      <c r="K23" s="22" t="s">
        <v>17</v>
      </c>
      <c r="L23"/>
      <c r="M23"/>
      <c r="N23" s="396" t="str">
        <f ca="1">IFERROR(_xlfn.XLOOKUP($K23,Multiples!$B:$B,Multiples!N:N),"")</f>
        <v/>
      </c>
      <c r="O23" s="396" t="str">
        <f ca="1">IFERROR(_xlfn.XLOOKUP($K23,Multiples!$B:$B,Multiples!O:O),"")</f>
        <v/>
      </c>
      <c r="P23" s="372" t="str">
        <f ca="1">IFERROR(_xlfn.XLOOKUP($K23,Multiples!$B:$B,Multiples!P:P),"")</f>
        <v/>
      </c>
      <c r="Q23" s="379" t="str">
        <f ca="1">IFERROR(_xlfn.XLOOKUP($K23,Multiples!$B:$B,Multiples!Q:Q),"")</f>
        <v/>
      </c>
      <c r="R23" s="379" t="str">
        <f ca="1">IFERROR(_xlfn.XLOOKUP($K23,Multiples!$B:$B,Multiples!R:R),"")</f>
        <v/>
      </c>
      <c r="S23" s="652"/>
      <c r="T23" s="469"/>
      <c r="U23" s="23" t="s">
        <v>18</v>
      </c>
      <c r="V23" s="469"/>
    </row>
    <row r="24" spans="4:22" ht="15.5" x14ac:dyDescent="0.35">
      <c r="D24"/>
      <c r="E24"/>
      <c r="F24"/>
      <c r="G24"/>
      <c r="H24"/>
      <c r="I24"/>
      <c r="J24"/>
      <c r="K24" s="22"/>
      <c r="L24"/>
      <c r="M24"/>
      <c r="N24"/>
      <c r="O24"/>
      <c r="P24"/>
      <c r="Q24"/>
      <c r="R24"/>
      <c r="S24" s="653"/>
      <c r="T24" s="469"/>
      <c r="U24" s="790" t="s">
        <v>10</v>
      </c>
      <c r="V24" s="469"/>
    </row>
    <row r="25" spans="4:22" ht="14.25" customHeight="1" x14ac:dyDescent="0.35">
      <c r="D25" s="28" t="s">
        <v>19</v>
      </c>
      <c r="E25" s="600" t="s">
        <v>20</v>
      </c>
      <c r="F25" s="601" t="s">
        <v>21</v>
      </c>
      <c r="G25" s="601" t="s">
        <v>22</v>
      </c>
      <c r="H25" s="601" t="str">
        <f>+IF(Summary!$G$25="FCFF",DCF!AB6,IF(Summary!$G$25="FCFE",DCF!AC6,DCF!AD6))</f>
        <v>NOPAT</v>
      </c>
      <c r="I25" s="602" t="s">
        <v>23</v>
      </c>
      <c r="J25" s="469"/>
      <c r="K25" s="7" t="s">
        <v>24</v>
      </c>
      <c r="L25" s="4"/>
      <c r="M25" s="4"/>
      <c r="N25" s="4">
        <v>2022</v>
      </c>
      <c r="O25" s="4">
        <f>+N25+1</f>
        <v>2023</v>
      </c>
      <c r="P25" s="371">
        <f>+O25+1</f>
        <v>2024</v>
      </c>
      <c r="Q25" s="5">
        <f>+P25+1</f>
        <v>2025</v>
      </c>
      <c r="R25" s="5">
        <f>+Q25+1</f>
        <v>2026</v>
      </c>
      <c r="S25" s="651"/>
      <c r="T25" s="469"/>
      <c r="U25" s="638" t="s">
        <v>12</v>
      </c>
      <c r="V25" s="469"/>
    </row>
    <row r="26" spans="4:22" ht="15.5" x14ac:dyDescent="0.35">
      <c r="D26" s="29">
        <v>2022</v>
      </c>
      <c r="E26" s="603">
        <f>+DCF!E30</f>
        <v>0</v>
      </c>
      <c r="F26" s="604" t="str">
        <f>+DCF!E60</f>
        <v/>
      </c>
      <c r="G26" s="605" t="str">
        <f>+INDEX(DCF!X7:AA7,MATCH(Summary!$G$25,{"FCFF","FCFE","Tax Shield","Total Payout"},0))</f>
        <v/>
      </c>
      <c r="H26" s="605" t="str">
        <f>+IF(Summary!$G$25="FCFF",DCF!AB7,IF(Summary!$G$25="FCFE",DCF!AC7,DCF!AD7))</f>
        <v/>
      </c>
      <c r="I26" s="606">
        <f>+DCF!E134</f>
        <v>0</v>
      </c>
      <c r="J26" s="469"/>
      <c r="K26" s="22" t="s">
        <v>25</v>
      </c>
      <c r="L26"/>
      <c r="M26"/>
      <c r="N26" s="396" t="str">
        <f>IFERROR(_xlfn.XLOOKUP($K26,Multiples!$B:$B,Multiples!N:N),"")</f>
        <v/>
      </c>
      <c r="O26" s="396" t="str">
        <f>IFERROR(_xlfn.XLOOKUP($K26,Multiples!$B:$B,Multiples!O:O),"")</f>
        <v/>
      </c>
      <c r="P26" s="372" t="str">
        <f>IFERROR(_xlfn.XLOOKUP($K26,Multiples!$B:$B,Multiples!P:P),"")</f>
        <v/>
      </c>
      <c r="Q26" s="379" t="str">
        <f>IFERROR(_xlfn.XLOOKUP($K26,Multiples!$B:$B,Multiples!Q:Q),"")</f>
        <v/>
      </c>
      <c r="R26" s="379" t="str">
        <f>IFERROR(_xlfn.XLOOKUP($K26,Multiples!$B:$B,Multiples!R:R),"")</f>
        <v/>
      </c>
      <c r="S26" s="652"/>
      <c r="T26" s="469"/>
      <c r="U26" s="23" t="s">
        <v>26</v>
      </c>
      <c r="V26" s="469"/>
    </row>
    <row r="27" spans="4:22" ht="14.25" customHeight="1" x14ac:dyDescent="0.35">
      <c r="D27" s="29">
        <f t="shared" ref="D27:D33" si="0">+D26+1</f>
        <v>2023</v>
      </c>
      <c r="E27" s="607">
        <f>+DCF!F30</f>
        <v>0</v>
      </c>
      <c r="F27" s="608" t="str">
        <f>+DCF!F60</f>
        <v/>
      </c>
      <c r="G27" s="609" t="str">
        <f>+INDEX(DCF!X8:AA8,MATCH(Summary!$G$25,{"FCFF","FCFE","Tax Shield","Total Payout"},0))</f>
        <v/>
      </c>
      <c r="H27" s="610" t="str">
        <f>+IF(Summary!$G$25="FCFF",DCF!AB8,IF(Summary!$G$25="FCFE",DCF!AC8,DCF!AD8))</f>
        <v/>
      </c>
      <c r="I27" s="606">
        <f>+DCF!F134</f>
        <v>0</v>
      </c>
      <c r="J27" s="469"/>
      <c r="K27" s="22" t="s">
        <v>27</v>
      </c>
      <c r="L27"/>
      <c r="M27"/>
      <c r="N27" s="396" t="str">
        <f>IFERROR(_xlfn.XLOOKUP($K27,Multiples!$B:$B,Multiples!N:N),"")</f>
        <v/>
      </c>
      <c r="O27" s="396" t="str">
        <f>IFERROR(_xlfn.XLOOKUP($K27,Multiples!$B:$B,Multiples!O:O),"")</f>
        <v/>
      </c>
      <c r="P27" s="372" t="str">
        <f>IFERROR(_xlfn.XLOOKUP($K27,Multiples!$B:$B,Multiples!P:P),"")</f>
        <v/>
      </c>
      <c r="Q27" s="379" t="str">
        <f>IFERROR(_xlfn.XLOOKUP($K27,Multiples!$B:$B,Multiples!Q:Q),"")</f>
        <v/>
      </c>
      <c r="R27" s="379" t="str">
        <f>IFERROR(_xlfn.XLOOKUP($K27,Multiples!$B:$B,Multiples!R:R),"")</f>
        <v/>
      </c>
      <c r="S27" s="652"/>
      <c r="T27" s="469"/>
      <c r="U27" s="790" t="s">
        <v>10</v>
      </c>
      <c r="V27" s="469"/>
    </row>
    <row r="28" spans="4:22" ht="15.5" x14ac:dyDescent="0.35">
      <c r="D28" s="420">
        <f t="shared" si="0"/>
        <v>2024</v>
      </c>
      <c r="E28" s="611">
        <f>+DCF!G30</f>
        <v>0</v>
      </c>
      <c r="F28" s="612" t="str">
        <f>+DCF!G60</f>
        <v/>
      </c>
      <c r="G28" s="613" t="str">
        <f>+INDEX(DCF!X9:AA9,MATCH(Summary!$G$25,{"FCFF","FCFE","Tax Shield","Total Payout"},0))</f>
        <v/>
      </c>
      <c r="H28" s="614" t="str">
        <f>+IF(Summary!$G$25="FCFF",DCF!AB9,IF(Summary!$G$25="FCFE",DCF!AC9,DCF!AD9))</f>
        <v/>
      </c>
      <c r="I28" s="640">
        <f>+DCF!G134</f>
        <v>0</v>
      </c>
      <c r="J28" s="469"/>
      <c r="K28" s="132" t="s">
        <v>28</v>
      </c>
      <c r="L28"/>
      <c r="M28"/>
      <c r="N28" s="396" t="str">
        <f>IFERROR(_xlfn.XLOOKUP($K28,Multiples!$B:$B,Multiples!N:N),"")</f>
        <v/>
      </c>
      <c r="O28" s="396" t="str">
        <f>IFERROR(_xlfn.XLOOKUP($K28,Multiples!$B:$B,Multiples!O:O),"")</f>
        <v/>
      </c>
      <c r="P28" s="372" t="str">
        <f>IFERROR(_xlfn.XLOOKUP($K28,Multiples!$B:$B,Multiples!P:P),"")</f>
        <v/>
      </c>
      <c r="Q28" s="379" t="str">
        <f ca="1">IFERROR(_xlfn.XLOOKUP($K28,Multiples!$B:$B,Multiples!Q:Q),"")</f>
        <v/>
      </c>
      <c r="R28" s="379" t="str">
        <f ca="1">IFERROR(_xlfn.XLOOKUP($K28,Multiples!$B:$B,Multiples!R:R),"")</f>
        <v/>
      </c>
      <c r="S28" s="652"/>
      <c r="T28" s="469"/>
      <c r="U28" s="791" t="s">
        <v>12</v>
      </c>
      <c r="V28" s="742"/>
    </row>
    <row r="29" spans="4:22" ht="15.5" x14ac:dyDescent="0.35">
      <c r="D29" s="30">
        <f t="shared" si="0"/>
        <v>2025</v>
      </c>
      <c r="E29" s="615">
        <f>+DCF!H30</f>
        <v>0</v>
      </c>
      <c r="F29" s="616" t="str">
        <f>+DCF!H60</f>
        <v/>
      </c>
      <c r="G29" s="617" t="str">
        <f ca="1">+INDEX(DCF!X10:AA10,MATCH(Summary!$G$25,{"FCFF","FCFE","Tax Shield","Total Payout"},0))</f>
        <v/>
      </c>
      <c r="H29" s="615" t="str">
        <f ca="1">+IF(Summary!$G$25="FCFF",DCF!AB10,IF(Summary!$G$25="FCFE",DCF!AC10,DCF!AD10))</f>
        <v/>
      </c>
      <c r="I29" s="773" t="str">
        <f>+DCF!H134</f>
        <v/>
      </c>
      <c r="J29" s="469"/>
      <c r="K29" s="31" t="s">
        <v>29</v>
      </c>
      <c r="L29"/>
      <c r="M29"/>
      <c r="N29" s="396" t="str">
        <f>IFERROR(_xlfn.XLOOKUP($K29,Multiples!$B:$B,Multiples!N:N),"")</f>
        <v/>
      </c>
      <c r="O29" s="396" t="str">
        <f>IFERROR(_xlfn.XLOOKUP($K29,Multiples!$B:$B,Multiples!O:O),"")</f>
        <v/>
      </c>
      <c r="P29" s="372" t="str">
        <f>IFERROR(_xlfn.XLOOKUP($K29,Multiples!$B:$B,Multiples!P:P),"")</f>
        <v/>
      </c>
      <c r="Q29" s="379" t="str">
        <f>IFERROR(_xlfn.XLOOKUP($K29,Multiples!$B:$B,Multiples!Q:Q),"")</f>
        <v/>
      </c>
      <c r="R29" s="379" t="str">
        <f>IFERROR(_xlfn.XLOOKUP($K29,Multiples!$B:$B,Multiples!R:R),"")</f>
        <v/>
      </c>
      <c r="S29" s="652"/>
      <c r="T29" s="469"/>
      <c r="U29" s="469"/>
      <c r="V29" s="469"/>
    </row>
    <row r="30" spans="4:22" ht="15.5" x14ac:dyDescent="0.35">
      <c r="D30" s="30">
        <f t="shared" si="0"/>
        <v>2026</v>
      </c>
      <c r="E30" s="615">
        <f>+DCF!I30</f>
        <v>0</v>
      </c>
      <c r="F30" s="616" t="str">
        <f>+DCF!I60</f>
        <v/>
      </c>
      <c r="G30" s="617" t="str">
        <f ca="1">+INDEX(DCF!X11:AA11,MATCH(Summary!$G$25,{"FCFF","FCFE","Tax Shield","Total Payout"},0))</f>
        <v/>
      </c>
      <c r="H30" s="615" t="str">
        <f ca="1">+IF(Summary!$G$25="FCFF",DCF!AB11,IF(Summary!$G$25="FCFE",DCF!AC11,DCF!AD11))</f>
        <v/>
      </c>
      <c r="I30" s="773" t="str">
        <f>+DCF!I134</f>
        <v/>
      </c>
      <c r="J30" s="469"/>
      <c r="K30" s="18" t="s">
        <v>21</v>
      </c>
      <c r="L30"/>
      <c r="M30"/>
      <c r="N30" s="396" t="str">
        <f>IFERROR(_xlfn.XLOOKUP($K30,Multiples!$B:$B,Multiples!N:N),"")</f>
        <v/>
      </c>
      <c r="O30" s="396" t="str">
        <f>IFERROR(_xlfn.XLOOKUP($K30,Multiples!$B:$B,Multiples!O:O),"")</f>
        <v/>
      </c>
      <c r="P30" s="372" t="str">
        <f>IFERROR(_xlfn.XLOOKUP($K30,Multiples!$B:$B,Multiples!P:P),"")</f>
        <v/>
      </c>
      <c r="Q30" s="379" t="str">
        <f>IFERROR(_xlfn.XLOOKUP($K30,Multiples!$B:$B,Multiples!Q:Q),"")</f>
        <v/>
      </c>
      <c r="R30" s="379" t="str">
        <f>IFERROR(_xlfn.XLOOKUP($K30,Multiples!$B:$B,Multiples!R:R),"")</f>
        <v/>
      </c>
      <c r="S30" s="652"/>
      <c r="T30" s="469"/>
      <c r="U30" s="765" t="s">
        <v>30</v>
      </c>
      <c r="V30" s="733"/>
    </row>
    <row r="31" spans="4:22" ht="14.25" customHeight="1" x14ac:dyDescent="0.35">
      <c r="D31" s="30">
        <f t="shared" si="0"/>
        <v>2027</v>
      </c>
      <c r="E31" s="615">
        <f>+DCF!J30</f>
        <v>0</v>
      </c>
      <c r="F31" s="616" t="str">
        <f>+DCF!J60</f>
        <v/>
      </c>
      <c r="G31" s="617" t="str">
        <f ca="1">+INDEX(DCF!X12:AA12,MATCH(Summary!$G$25,{"FCFF","FCFE","Tax Shield","Total Payout"},0))</f>
        <v/>
      </c>
      <c r="H31" s="615" t="str">
        <f ca="1">+IF(Summary!$G$25="FCFF",DCF!AB12,IF(Summary!$G$25="FCFE",DCF!AC12,DCF!AD12))</f>
        <v/>
      </c>
      <c r="I31" s="773" t="str">
        <f>+DCF!J134</f>
        <v/>
      </c>
      <c r="J31" s="469"/>
      <c r="K31" s="18" t="s">
        <v>31</v>
      </c>
      <c r="L31"/>
      <c r="M31"/>
      <c r="N31" s="396" t="str">
        <f>IFERROR(_xlfn.XLOOKUP($K31,Multiples!$B:$B,Multiples!N:N),"")</f>
        <v/>
      </c>
      <c r="O31" s="396" t="str">
        <f>IFERROR(_xlfn.XLOOKUP($K31,Multiples!$B:$B,Multiples!O:O),"")</f>
        <v/>
      </c>
      <c r="P31" s="372" t="str">
        <f>IFERROR(_xlfn.XLOOKUP($K31,Multiples!$B:$B,Multiples!P:P),"")</f>
        <v/>
      </c>
      <c r="Q31" s="379" t="str">
        <f>IFERROR(_xlfn.XLOOKUP($K31,Multiples!$B:$B,Multiples!Q:Q),"")</f>
        <v/>
      </c>
      <c r="R31" s="379" t="str">
        <f>IFERROR(_xlfn.XLOOKUP($K31,Multiples!$B:$B,Multiples!R:R),"")</f>
        <v/>
      </c>
      <c r="S31" s="652"/>
      <c r="T31" s="469"/>
      <c r="U31" s="25" t="s">
        <v>32</v>
      </c>
      <c r="V31" s="34">
        <f ca="1">Peers!D74</f>
        <v>1.8979999999999999</v>
      </c>
    </row>
    <row r="32" spans="4:22" ht="14.25" customHeight="1" x14ac:dyDescent="0.35">
      <c r="D32" s="30">
        <f t="shared" si="0"/>
        <v>2028</v>
      </c>
      <c r="E32" s="615">
        <f>+DCF!K30</f>
        <v>0</v>
      </c>
      <c r="F32" s="616" t="str">
        <f>+DCF!K60</f>
        <v/>
      </c>
      <c r="G32" s="617" t="str">
        <f ca="1">+INDEX(DCF!X13:AA13,MATCH(Summary!$G$25,{"FCFF","FCFE","Tax Shield","Total Payout"},0))</f>
        <v/>
      </c>
      <c r="H32" s="615" t="str">
        <f ca="1">+IF(Summary!$G$25="FCFF",DCF!AB13,IF(Summary!$G$25="FCFE",DCF!AC13,DCF!AD13))</f>
        <v/>
      </c>
      <c r="I32" s="773" t="str">
        <f>+DCF!K134</f>
        <v/>
      </c>
      <c r="J32" s="469"/>
      <c r="K32" s="18" t="s">
        <v>33</v>
      </c>
      <c r="L32"/>
      <c r="M32"/>
      <c r="N32" s="396" t="str">
        <f>IFERROR(_xlfn.XLOOKUP($K32,Multiples!$B:$B,Multiples!N:N),"")</f>
        <v/>
      </c>
      <c r="O32" s="396" t="str">
        <f>IFERROR(_xlfn.XLOOKUP($K32,Multiples!$B:$B,Multiples!O:O),"")</f>
        <v/>
      </c>
      <c r="P32" s="372" t="str">
        <f>IFERROR(_xlfn.XLOOKUP($K32,Multiples!$B:$B,Multiples!P:P),"")</f>
        <v/>
      </c>
      <c r="Q32" s="379" t="str">
        <f>IFERROR(_xlfn.XLOOKUP($K32,Multiples!$B:$B,Multiples!Q:Q),"")</f>
        <v/>
      </c>
      <c r="R32" s="379" t="str">
        <f>IFERROR(_xlfn.XLOOKUP($K32,Multiples!$B:$B,Multiples!R:R),"")</f>
        <v/>
      </c>
      <c r="S32" s="652"/>
      <c r="T32" s="469"/>
      <c r="U32" s="35" t="s">
        <v>34</v>
      </c>
      <c r="V32" s="32">
        <f>+Peers!D73</f>
        <v>0</v>
      </c>
    </row>
    <row r="33" spans="4:30" ht="14.25" customHeight="1" x14ac:dyDescent="0.35">
      <c r="D33" s="30">
        <f t="shared" si="0"/>
        <v>2029</v>
      </c>
      <c r="E33" s="615">
        <f>+DCF!L30</f>
        <v>0</v>
      </c>
      <c r="F33" s="616" t="str">
        <f>+DCF!L60</f>
        <v/>
      </c>
      <c r="G33" s="617" t="str">
        <f ca="1">+INDEX(DCF!X14:AA14,MATCH(Summary!$G$25,{"FCFF","FCFE","Tax Shield","Total Payout"},0))</f>
        <v/>
      </c>
      <c r="H33" s="615" t="str">
        <f ca="1">+IF(Summary!$G$25="FCFF",DCF!AB14,IF(Summary!$G$25="FCFE",DCF!AC14,DCF!AD14))</f>
        <v/>
      </c>
      <c r="I33" s="773" t="str">
        <f>+DCF!L134</f>
        <v/>
      </c>
      <c r="J33" s="469"/>
      <c r="K33" s="18" t="s">
        <v>35</v>
      </c>
      <c r="L33"/>
      <c r="M33"/>
      <c r="N33" s="396" t="str">
        <f>IFERROR(_xlfn.XLOOKUP($K33,Multiples!$B:$B,Multiples!N:N),"")</f>
        <v/>
      </c>
      <c r="O33" s="396" t="str">
        <f>IFERROR(_xlfn.XLOOKUP($K33,Multiples!$B:$B,Multiples!O:O),"")</f>
        <v/>
      </c>
      <c r="P33" s="372" t="str">
        <f>IFERROR(_xlfn.XLOOKUP($K33,Multiples!$B:$B,Multiples!P:P),"")</f>
        <v/>
      </c>
      <c r="Q33" s="379" t="str">
        <f>IFERROR(_xlfn.XLOOKUP($K33,Multiples!$B:$B,Multiples!Q:Q),"")</f>
        <v/>
      </c>
      <c r="R33" s="379" t="str">
        <f>IFERROR(_xlfn.XLOOKUP($K33,Multiples!$B:$B,Multiples!R:R),"")</f>
        <v/>
      </c>
      <c r="S33" s="652"/>
      <c r="T33" s="469"/>
      <c r="U33" s="25" t="s">
        <v>36</v>
      </c>
      <c r="V33" s="32">
        <f>+Peers!D76</f>
        <v>0</v>
      </c>
      <c r="W33" s="469"/>
      <c r="X33" s="469"/>
      <c r="Y33" s="469"/>
      <c r="Z33" s="469"/>
      <c r="AA33" s="469"/>
      <c r="AB33" s="469"/>
      <c r="AC33" s="469"/>
      <c r="AD33" s="469"/>
    </row>
    <row r="34" spans="4:30" ht="14.25" customHeight="1" x14ac:dyDescent="0.3">
      <c r="D34" s="469"/>
      <c r="E34" s="469"/>
      <c r="F34" s="469"/>
      <c r="G34" s="469"/>
      <c r="H34" s="469"/>
      <c r="I34" s="469"/>
      <c r="J34" s="469"/>
      <c r="K34" s="469"/>
      <c r="L34" s="469"/>
      <c r="M34" s="469"/>
      <c r="N34" s="469"/>
      <c r="O34" s="469"/>
      <c r="P34" s="469"/>
      <c r="Q34" s="469"/>
      <c r="R34" s="469"/>
      <c r="S34" s="734"/>
      <c r="T34" s="469"/>
      <c r="U34" s="25" t="s">
        <v>37</v>
      </c>
      <c r="V34" s="32">
        <f>+Peers!D77</f>
        <v>0</v>
      </c>
      <c r="W34" s="469"/>
      <c r="X34" s="469"/>
      <c r="Y34" s="469"/>
      <c r="Z34" s="469"/>
      <c r="AA34" s="469"/>
      <c r="AB34" s="469"/>
      <c r="AC34" s="469"/>
      <c r="AD34" s="469"/>
    </row>
    <row r="35" spans="4:30" ht="14.25" customHeight="1" x14ac:dyDescent="0.35">
      <c r="D35" s="7" t="s">
        <v>38</v>
      </c>
      <c r="E35" s="4"/>
      <c r="F35" s="4"/>
      <c r="G35" s="4"/>
      <c r="H35" s="4"/>
      <c r="I35" s="4"/>
      <c r="J35" s="469"/>
      <c r="K35" s="7" t="s">
        <v>39</v>
      </c>
      <c r="L35" s="4"/>
      <c r="M35" s="4"/>
      <c r="N35" s="4">
        <v>2022</v>
      </c>
      <c r="O35" s="4">
        <f>+N35+1</f>
        <v>2023</v>
      </c>
      <c r="P35" s="371">
        <f>+O35+1</f>
        <v>2024</v>
      </c>
      <c r="Q35" s="5">
        <f>+P35+1</f>
        <v>2025</v>
      </c>
      <c r="R35" s="5">
        <f>+Q35+1</f>
        <v>2026</v>
      </c>
      <c r="S35" s="651"/>
      <c r="T35" s="469"/>
      <c r="U35" s="36" t="s">
        <v>40</v>
      </c>
      <c r="V35" s="623">
        <f>+Peers!D78</f>
        <v>0</v>
      </c>
      <c r="W35" s="469"/>
      <c r="X35" s="469"/>
      <c r="Y35" s="469"/>
      <c r="Z35" s="469"/>
      <c r="AA35" s="469"/>
      <c r="AB35" s="469"/>
      <c r="AC35" s="469"/>
      <c r="AD35" s="469"/>
    </row>
    <row r="36" spans="4:30" ht="14.25" customHeight="1" x14ac:dyDescent="0.35">
      <c r="D36" s="619" t="s">
        <v>41</v>
      </c>
      <c r="E36" s="619"/>
      <c r="F36" s="620"/>
      <c r="G36" s="619" t="s">
        <v>42</v>
      </c>
      <c r="H36" s="619"/>
      <c r="I36" s="619"/>
      <c r="J36" s="469"/>
      <c r="K36" s="33" t="s">
        <v>43</v>
      </c>
      <c r="L36"/>
      <c r="M36"/>
      <c r="N36" s="396" t="str">
        <f>IFERROR(_xlfn.XLOOKUP($K36,Multiples!$B:$B,Multiples!N:N),"")</f>
        <v/>
      </c>
      <c r="O36" s="396" t="str">
        <f>IFERROR(_xlfn.XLOOKUP($K36,Multiples!$B:$B,Multiples!O:O),"")</f>
        <v/>
      </c>
      <c r="P36" s="372" t="str">
        <f>IFERROR(_xlfn.XLOOKUP($K36,Multiples!$B:$B,Multiples!P:P),"")</f>
        <v/>
      </c>
      <c r="Q36" s="379" t="str">
        <f>IFERROR(_xlfn.XLOOKUP($K36,Multiples!$B:$B,Multiples!Q:Q),"")</f>
        <v/>
      </c>
      <c r="R36" s="379" t="str">
        <f>IFERROR(_xlfn.XLOOKUP($K36,Multiples!$B:$B,Multiples!R:R),"")</f>
        <v/>
      </c>
      <c r="S36" s="652"/>
      <c r="T36" s="469"/>
      <c r="U36" s="469"/>
      <c r="V36" s="469"/>
      <c r="W36" s="624">
        <v>120.87</v>
      </c>
      <c r="X36" s="469"/>
      <c r="Y36" s="469"/>
      <c r="Z36" s="469"/>
      <c r="AA36" s="469"/>
      <c r="AB36" s="469"/>
      <c r="AC36" s="469"/>
      <c r="AD36" s="469"/>
    </row>
    <row r="37" spans="4:30" ht="15.75" customHeight="1" x14ac:dyDescent="0.35">
      <c r="D37" s="794"/>
      <c r="E37" s="794"/>
      <c r="F37" s="795"/>
      <c r="G37" s="798"/>
      <c r="H37" s="794"/>
      <c r="I37" s="794"/>
      <c r="J37" s="469"/>
      <c r="K37" s="18" t="s">
        <v>44</v>
      </c>
      <c r="L37"/>
      <c r="M37"/>
      <c r="N37" s="396" t="str">
        <f>IFERROR(_xlfn.XLOOKUP($K37,Multiples!$B:$B,Multiples!N:N),"")</f>
        <v/>
      </c>
      <c r="O37" s="396" t="str">
        <f>IFERROR(_xlfn.XLOOKUP($K37,Multiples!$B:$B,Multiples!O:O),"")</f>
        <v/>
      </c>
      <c r="P37" s="372" t="str">
        <f>IFERROR(_xlfn.XLOOKUP($K37,Multiples!$B:$B,Multiples!P:P),"")</f>
        <v/>
      </c>
      <c r="Q37" s="379" t="str">
        <f>IFERROR(_xlfn.XLOOKUP($K37,Multiples!$B:$B,Multiples!Q:Q),"")</f>
        <v/>
      </c>
      <c r="R37" s="379" t="str">
        <f>IFERROR(_xlfn.XLOOKUP($K37,Multiples!$B:$B,Multiples!R:R),"")</f>
        <v/>
      </c>
      <c r="S37" s="652"/>
      <c r="T37" s="469"/>
      <c r="U37" s="765" t="s">
        <v>45</v>
      </c>
      <c r="V37" s="733"/>
      <c r="W37" s="624">
        <v>113.63</v>
      </c>
      <c r="X37" s="469"/>
      <c r="Y37" s="469"/>
      <c r="Z37" s="469"/>
      <c r="AA37" s="469"/>
      <c r="AB37" s="469"/>
      <c r="AC37" s="469"/>
      <c r="AD37" s="469"/>
    </row>
    <row r="38" spans="4:30" ht="15.75" customHeight="1" x14ac:dyDescent="0.35">
      <c r="D38" s="796"/>
      <c r="E38" s="796"/>
      <c r="F38" s="797"/>
      <c r="G38" s="799"/>
      <c r="H38" s="796"/>
      <c r="I38" s="796"/>
      <c r="J38" s="469"/>
      <c r="K38" s="18" t="s">
        <v>46</v>
      </c>
      <c r="L38"/>
      <c r="M38"/>
      <c r="N38" s="396" t="str">
        <f>IFERROR(_xlfn.XLOOKUP($K38,Multiples!$B:$B,Multiples!N:N),"")</f>
        <v/>
      </c>
      <c r="O38" s="396" t="str">
        <f>IFERROR(_xlfn.XLOOKUP($K38,Multiples!$B:$B,Multiples!O:O),"")</f>
        <v/>
      </c>
      <c r="P38" s="372" t="str">
        <f>IFERROR(_xlfn.XLOOKUP($K38,Multiples!$B:$B,Multiples!P:P),"")</f>
        <v/>
      </c>
      <c r="Q38" s="379" t="str">
        <f>IFERROR(_xlfn.XLOOKUP($K38,Multiples!$B:$B,Multiples!Q:Q),"")</f>
        <v/>
      </c>
      <c r="R38" s="379" t="str">
        <f>IFERROR(_xlfn.XLOOKUP($K38,Multiples!$B:$B,Multiples!R:R),"")</f>
        <v/>
      </c>
      <c r="S38" s="652"/>
      <c r="T38" s="469"/>
      <c r="U38" s="25"/>
      <c r="V38" s="17"/>
      <c r="W38" s="624"/>
      <c r="X38" s="469"/>
      <c r="Y38" s="469"/>
      <c r="Z38" s="469"/>
      <c r="AA38" s="469"/>
      <c r="AB38" s="469"/>
      <c r="AC38" s="469"/>
      <c r="AD38" s="469"/>
    </row>
    <row r="39" spans="4:30" ht="15.75" customHeight="1" x14ac:dyDescent="0.3">
      <c r="D39" s="796"/>
      <c r="E39" s="796"/>
      <c r="F39" s="797"/>
      <c r="G39" s="799"/>
      <c r="H39" s="796"/>
      <c r="I39" s="796"/>
      <c r="J39" s="469"/>
      <c r="K39"/>
      <c r="L39"/>
      <c r="M39"/>
      <c r="N39"/>
      <c r="O39"/>
      <c r="P39"/>
      <c r="Q39"/>
      <c r="R39"/>
      <c r="S39" s="653"/>
      <c r="T39" s="469"/>
      <c r="U39" s="25"/>
      <c r="V39" s="17"/>
      <c r="W39" s="624"/>
      <c r="X39" s="469"/>
      <c r="Y39" s="469"/>
      <c r="Z39" s="469"/>
      <c r="AA39" s="469"/>
      <c r="AB39" s="469"/>
      <c r="AC39" s="469"/>
      <c r="AD39" s="469"/>
    </row>
    <row r="40" spans="4:30" ht="14.25" customHeight="1" x14ac:dyDescent="0.35">
      <c r="D40" s="619" t="s">
        <v>47</v>
      </c>
      <c r="E40" s="619"/>
      <c r="F40" s="620"/>
      <c r="G40" s="619" t="s">
        <v>48</v>
      </c>
      <c r="H40" s="619"/>
      <c r="I40" s="619"/>
      <c r="J40" s="469"/>
      <c r="K40" s="7" t="s">
        <v>49</v>
      </c>
      <c r="L40" s="4"/>
      <c r="M40" s="4"/>
      <c r="N40" s="4">
        <v>2022</v>
      </c>
      <c r="O40" s="4">
        <f>+N40+1</f>
        <v>2023</v>
      </c>
      <c r="P40" s="371">
        <f>+O40+1</f>
        <v>2024</v>
      </c>
      <c r="Q40" s="5">
        <f>+P40+1</f>
        <v>2025</v>
      </c>
      <c r="R40" s="5">
        <f>+Q40+1</f>
        <v>2026</v>
      </c>
      <c r="S40" s="651"/>
      <c r="T40" s="469"/>
      <c r="U40" s="25"/>
      <c r="V40" s="17"/>
      <c r="W40" s="624"/>
      <c r="X40" s="469"/>
      <c r="Y40" s="469"/>
      <c r="Z40" s="469"/>
      <c r="AA40" s="469"/>
      <c r="AB40" s="469"/>
      <c r="AC40" s="469"/>
      <c r="AD40" s="469"/>
    </row>
    <row r="41" spans="4:30" ht="14.25" customHeight="1" x14ac:dyDescent="0.35">
      <c r="D41" s="794"/>
      <c r="E41" s="794"/>
      <c r="F41" s="795"/>
      <c r="G41" s="798"/>
      <c r="H41" s="794"/>
      <c r="I41" s="794"/>
      <c r="J41" s="469"/>
      <c r="K41" s="22" t="s">
        <v>50</v>
      </c>
      <c r="L41"/>
      <c r="M41"/>
      <c r="N41" s="396" t="str">
        <f>IFERROR(_xlfn.XLOOKUP($K41,Multiples!$B:$B,Multiples!N:N),"")</f>
        <v/>
      </c>
      <c r="O41" s="396" t="str">
        <f>IFERROR(_xlfn.XLOOKUP($K41,Multiples!$B:$B,Multiples!O:O),"")</f>
        <v/>
      </c>
      <c r="P41" s="372" t="str">
        <f>IFERROR(_xlfn.XLOOKUP($K41,Multiples!$B:$B,Multiples!P:P),"")</f>
        <v/>
      </c>
      <c r="Q41" s="379" t="str">
        <f>IFERROR(_xlfn.XLOOKUP($K41,Multiples!$B:$B,Multiples!Q:Q),"")</f>
        <v/>
      </c>
      <c r="R41" s="379" t="str">
        <f>IFERROR(_xlfn.XLOOKUP($K41,Multiples!$B:$B,Multiples!R:R),"")</f>
        <v/>
      </c>
      <c r="S41" s="652"/>
      <c r="T41" s="469"/>
      <c r="U41" s="25"/>
      <c r="V41" s="17"/>
      <c r="W41" s="624"/>
      <c r="X41" s="469"/>
      <c r="Y41" s="469"/>
      <c r="Z41" s="469"/>
      <c r="AA41" s="469"/>
      <c r="AB41" s="469"/>
      <c r="AC41" s="469"/>
      <c r="AD41" s="469"/>
    </row>
    <row r="42" spans="4:30" ht="15.75" customHeight="1" x14ac:dyDescent="0.35">
      <c r="D42" s="796"/>
      <c r="E42" s="796"/>
      <c r="F42" s="797"/>
      <c r="G42" s="799"/>
      <c r="H42" s="796"/>
      <c r="I42" s="796"/>
      <c r="J42" s="469"/>
      <c r="K42" s="18" t="s">
        <v>51</v>
      </c>
      <c r="L42"/>
      <c r="M42"/>
      <c r="N42" s="396" t="str">
        <f>IFERROR(_xlfn.XLOOKUP($K42,Multiples!$B:$B,Multiples!N:N),"")</f>
        <v/>
      </c>
      <c r="O42" s="396" t="str">
        <f>IFERROR(_xlfn.XLOOKUP($K42,Multiples!$B:$B,Multiples!O:O),"")</f>
        <v/>
      </c>
      <c r="P42" s="372" t="str">
        <f>IFERROR(_xlfn.XLOOKUP($K42,Multiples!$B:$B,Multiples!P:P),"")</f>
        <v/>
      </c>
      <c r="Q42" s="379" t="str">
        <f>IFERROR(_xlfn.XLOOKUP($K42,Multiples!$B:$B,Multiples!Q:Q),"")</f>
        <v/>
      </c>
      <c r="R42" s="379" t="str">
        <f>IFERROR(_xlfn.XLOOKUP($K42,Multiples!$B:$B,Multiples!R:R),"")</f>
        <v/>
      </c>
      <c r="S42" s="652"/>
      <c r="T42" s="469"/>
      <c r="U42" s="25"/>
      <c r="V42" s="17"/>
      <c r="W42" s="624"/>
      <c r="X42" s="743"/>
      <c r="Y42" s="469"/>
      <c r="Z42" s="469"/>
      <c r="AA42" s="469"/>
      <c r="AB42" s="469"/>
      <c r="AC42" s="469"/>
      <c r="AD42" s="469"/>
    </row>
    <row r="43" spans="4:30" ht="15.75" customHeight="1" x14ac:dyDescent="0.35">
      <c r="D43" s="796"/>
      <c r="E43" s="796"/>
      <c r="F43" s="797"/>
      <c r="G43" s="799"/>
      <c r="H43" s="796"/>
      <c r="I43" s="796"/>
      <c r="J43" s="469"/>
      <c r="K43" s="33" t="s">
        <v>52</v>
      </c>
      <c r="L43"/>
      <c r="M43"/>
      <c r="N43" s="396" t="str">
        <f>IFERROR(_xlfn.XLOOKUP($K43,Multiples!$B:$B,Multiples!N:N),"")</f>
        <v/>
      </c>
      <c r="O43" s="396" t="str">
        <f>IFERROR(_xlfn.XLOOKUP($K43,Multiples!$B:$B,Multiples!O:O),"")</f>
        <v/>
      </c>
      <c r="P43" s="372" t="str">
        <f>IFERROR(_xlfn.XLOOKUP($K43,Multiples!$B:$B,Multiples!P:P),"")</f>
        <v/>
      </c>
      <c r="Q43" s="379" t="str">
        <f>IFERROR(_xlfn.XLOOKUP($K43,Multiples!$B:$B,Multiples!Q:Q),"")</f>
        <v/>
      </c>
      <c r="R43" s="379" t="str">
        <f>IFERROR(_xlfn.XLOOKUP($K43,Multiples!$B:$B,Multiples!R:R),"")</f>
        <v/>
      </c>
      <c r="S43" s="652"/>
      <c r="T43" s="469"/>
      <c r="U43" s="25"/>
      <c r="V43" s="17"/>
      <c r="W43" s="624"/>
      <c r="X43" s="469"/>
      <c r="Y43" s="469"/>
      <c r="Z43" s="469"/>
      <c r="AA43" s="469"/>
      <c r="AB43" s="469"/>
      <c r="AC43" s="469"/>
      <c r="AD43" s="469"/>
    </row>
    <row r="44" spans="4:30" ht="15.75" customHeight="1" x14ac:dyDescent="0.3">
      <c r="D44" s="469"/>
      <c r="E44" s="744"/>
      <c r="F44" s="469"/>
      <c r="G44" s="745"/>
      <c r="H44" s="469"/>
      <c r="I44" s="469"/>
      <c r="J44" s="469"/>
      <c r="K44"/>
      <c r="L44"/>
      <c r="M44"/>
      <c r="N44"/>
      <c r="O44"/>
      <c r="P44"/>
      <c r="Q44"/>
      <c r="R44"/>
      <c r="S44" s="653"/>
      <c r="T44" s="469"/>
      <c r="U44" s="25"/>
      <c r="V44" s="17"/>
      <c r="W44" s="624"/>
      <c r="X44" s="469"/>
      <c r="Y44" s="469"/>
      <c r="Z44" s="469"/>
      <c r="AA44" s="469"/>
      <c r="AB44" s="469"/>
      <c r="AC44" s="469"/>
      <c r="AD44" s="469"/>
    </row>
    <row r="45" spans="4:30" ht="14.25" customHeight="1" x14ac:dyDescent="0.35">
      <c r="D45" s="621" t="s">
        <v>53</v>
      </c>
      <c r="E45" s="4"/>
      <c r="F45" s="4"/>
      <c r="G45" s="4" t="s">
        <v>54</v>
      </c>
      <c r="H45" s="4"/>
      <c r="I45" s="4"/>
      <c r="J45" s="469"/>
      <c r="K45" s="7" t="s">
        <v>55</v>
      </c>
      <c r="L45" s="4"/>
      <c r="M45" s="4"/>
      <c r="N45" s="4">
        <v>2022</v>
      </c>
      <c r="O45" s="4">
        <f>+N45+1</f>
        <v>2023</v>
      </c>
      <c r="P45" s="371">
        <f>+O45+1</f>
        <v>2024</v>
      </c>
      <c r="Q45" s="5">
        <f>+P45+1</f>
        <v>2025</v>
      </c>
      <c r="R45" s="5">
        <f>+Q45+1</f>
        <v>2026</v>
      </c>
      <c r="S45" s="651"/>
      <c r="T45" s="469"/>
      <c r="U45" s="25"/>
      <c r="V45" s="17"/>
      <c r="W45" s="624"/>
      <c r="X45" s="469"/>
      <c r="Y45" s="469"/>
      <c r="Z45" s="469"/>
      <c r="AA45" s="469"/>
      <c r="AB45" s="469"/>
      <c r="AC45" s="469"/>
      <c r="AD45" s="469"/>
    </row>
    <row r="46" spans="4:30" ht="14.25" customHeight="1" x14ac:dyDescent="0.35">
      <c r="D46" s="469"/>
      <c r="E46" s="746"/>
      <c r="F46" s="469"/>
      <c r="G46" s="745"/>
      <c r="H46" s="469"/>
      <c r="I46" s="469"/>
      <c r="J46" s="469"/>
      <c r="K46" s="18" t="s">
        <v>56</v>
      </c>
      <c r="L46"/>
      <c r="M46"/>
      <c r="N46" s="396" t="str">
        <f>IFERROR(_xlfn.XLOOKUP($K46,Multiples!$B:$B,Multiples!N:N),"")</f>
        <v/>
      </c>
      <c r="O46" s="396" t="str">
        <f>IFERROR(_xlfn.XLOOKUP($K46,Multiples!$B:$B,Multiples!O:O),"")</f>
        <v/>
      </c>
      <c r="P46" s="372" t="str">
        <f>IFERROR(_xlfn.XLOOKUP($K46,Multiples!$B:$B,Multiples!P:P),"")</f>
        <v/>
      </c>
      <c r="Q46" s="379" t="str">
        <f>IFERROR(_xlfn.XLOOKUP($K46,Multiples!$B:$B,Multiples!Q:Q),"")</f>
        <v/>
      </c>
      <c r="R46" s="379" t="str">
        <f>IFERROR(_xlfn.XLOOKUP($K46,Multiples!$B:$B,Multiples!R:R),"")</f>
        <v/>
      </c>
      <c r="S46" s="652"/>
      <c r="T46" s="469"/>
      <c r="U46" s="25"/>
      <c r="V46" s="17"/>
      <c r="W46" s="469"/>
      <c r="X46" s="469"/>
      <c r="Y46"/>
      <c r="Z46" s="469"/>
      <c r="AA46" s="469"/>
      <c r="AB46" s="469"/>
      <c r="AC46" s="469"/>
      <c r="AD46"/>
    </row>
    <row r="47" spans="4:30" ht="15" customHeight="1" x14ac:dyDescent="0.35">
      <c r="D47" s="469"/>
      <c r="E47" s="746"/>
      <c r="F47" s="469"/>
      <c r="G47" s="745"/>
      <c r="H47" s="469"/>
      <c r="I47" s="469"/>
      <c r="J47" s="469"/>
      <c r="K47" s="264" t="s">
        <v>57</v>
      </c>
      <c r="L47" s="469"/>
      <c r="M47" s="469"/>
      <c r="N47" s="396" t="str">
        <f>IFERROR(_xlfn.XLOOKUP($K47,Multiples!$B:$B,Multiples!N:N),"")</f>
        <v/>
      </c>
      <c r="O47" s="396" t="str">
        <f>IFERROR(_xlfn.XLOOKUP($K47,Multiples!$B:$B,Multiples!O:O),"")</f>
        <v/>
      </c>
      <c r="P47" s="372" t="str">
        <f>IFERROR(_xlfn.XLOOKUP($K47,Multiples!$B:$B,Multiples!P:P),"")</f>
        <v/>
      </c>
      <c r="Q47" s="379" t="str">
        <f>IFERROR(_xlfn.XLOOKUP($K47,Multiples!$B:$B,Multiples!Q:Q),"")</f>
        <v/>
      </c>
      <c r="R47" s="379" t="str">
        <f>IFERROR(_xlfn.XLOOKUP($K47,Multiples!$B:$B,Multiples!R:R),"")</f>
        <v/>
      </c>
      <c r="S47" s="652"/>
      <c r="T47" s="469"/>
      <c r="U47" s="36"/>
      <c r="V47" s="637"/>
      <c r="W47" s="622"/>
      <c r="X47" s="622"/>
      <c r="Y47" s="622"/>
      <c r="Z47" s="622"/>
      <c r="AA47" s="622"/>
      <c r="AB47" s="622"/>
      <c r="AC47" s="469"/>
      <c r="AD47"/>
    </row>
    <row r="48" spans="4:30" ht="14.25" customHeight="1" x14ac:dyDescent="0.35">
      <c r="D48" s="469"/>
      <c r="E48" s="746"/>
      <c r="F48" s="469"/>
      <c r="G48" s="745"/>
      <c r="H48" s="469"/>
      <c r="I48" s="469"/>
      <c r="J48" s="469"/>
      <c r="K48" s="22" t="s">
        <v>58</v>
      </c>
      <c r="L48"/>
      <c r="M48"/>
      <c r="N48" s="396" t="str">
        <f>IFERROR(_xlfn.XLOOKUP($K48,Multiples!$B:$B,Multiples!N:N),"")</f>
        <v/>
      </c>
      <c r="O48" s="396" t="str">
        <f>IFERROR(_xlfn.XLOOKUP($K48,Multiples!$B:$B,Multiples!O:O),"")</f>
        <v/>
      </c>
      <c r="P48" s="372" t="str">
        <f>IFERROR(_xlfn.XLOOKUP($K48,Multiples!$B:$B,Multiples!P:P),"")</f>
        <v/>
      </c>
      <c r="Q48" s="379" t="str">
        <f>IFERROR(_xlfn.XLOOKUP($K48,Multiples!$B:$B,Multiples!Q:Q),"")</f>
        <v/>
      </c>
      <c r="R48" s="379" t="str">
        <f>IFERROR(_xlfn.XLOOKUP($K48,Multiples!$B:$B,Multiples!R:R),"")</f>
        <v/>
      </c>
      <c r="S48" s="652"/>
      <c r="T48" s="469"/>
      <c r="U48" s="469"/>
      <c r="V48" s="469"/>
      <c r="W48" s="622"/>
      <c r="X48" s="622"/>
      <c r="Y48" s="622"/>
      <c r="Z48" s="622"/>
      <c r="AA48" s="622"/>
      <c r="AB48" s="622"/>
      <c r="AC48" s="469"/>
      <c r="AD48"/>
    </row>
    <row r="49" spans="4:35" ht="14.25" customHeight="1" x14ac:dyDescent="0.35">
      <c r="D49" s="469"/>
      <c r="E49" s="469"/>
      <c r="F49" s="469"/>
      <c r="G49" s="469"/>
      <c r="H49" s="469"/>
      <c r="I49" s="469"/>
      <c r="J49" s="469"/>
      <c r="K49" s="18" t="s">
        <v>59</v>
      </c>
      <c r="L49"/>
      <c r="M49"/>
      <c r="N49" s="396" t="str">
        <f>IFERROR(_xlfn.XLOOKUP($K49,Multiples!$B:$B,Multiples!N:N),"")</f>
        <v/>
      </c>
      <c r="O49" s="396" t="str">
        <f>IFERROR(_xlfn.XLOOKUP($K49,Multiples!$B:$B,Multiples!O:O),"")</f>
        <v/>
      </c>
      <c r="P49" s="372" t="str">
        <f>IFERROR(_xlfn.XLOOKUP($K49,Multiples!$B:$B,Multiples!P:P),"")</f>
        <v/>
      </c>
      <c r="Q49" s="379" t="str">
        <f>IFERROR(_xlfn.XLOOKUP($K49,Multiples!$B:$B,Multiples!Q:Q),"")</f>
        <v/>
      </c>
      <c r="R49" s="379" t="str">
        <f>IFERROR(_xlfn.XLOOKUP($K49,Multiples!$B:$B,Multiples!R:R),"")</f>
        <v/>
      </c>
      <c r="S49" s="652"/>
      <c r="T49" s="469"/>
      <c r="U49" s="765" t="s">
        <v>60</v>
      </c>
      <c r="V49" s="733"/>
      <c r="W49" s="622"/>
      <c r="X49" s="622"/>
      <c r="Y49" s="622"/>
      <c r="Z49" s="622"/>
      <c r="AA49" s="622"/>
      <c r="AB49" s="622"/>
      <c r="AC49" s="469"/>
      <c r="AD49"/>
      <c r="AE49" s="469"/>
      <c r="AF49" s="469"/>
      <c r="AG49" s="469"/>
      <c r="AH49" s="469"/>
      <c r="AI49" s="469"/>
    </row>
    <row r="50" spans="4:35" ht="14.25" customHeight="1" x14ac:dyDescent="0.35">
      <c r="D50" s="469"/>
      <c r="E50" s="469"/>
      <c r="F50" s="469"/>
      <c r="G50" s="469"/>
      <c r="H50" s="469"/>
      <c r="I50" s="469"/>
      <c r="J50" s="469"/>
      <c r="K50" s="18" t="s">
        <v>61</v>
      </c>
      <c r="L50" s="469"/>
      <c r="M50" s="469"/>
      <c r="N50" s="396" t="str">
        <f>IFERROR(_xlfn.XLOOKUP($K50,Multiples!$B:$B,Multiples!N:N),"")</f>
        <v/>
      </c>
      <c r="O50" s="396" t="str">
        <f>IFERROR(_xlfn.XLOOKUP($K50,Multiples!$B:$B,Multiples!O:O),"")</f>
        <v/>
      </c>
      <c r="P50" s="372" t="str">
        <f>IFERROR(_xlfn.XLOOKUP($K50,Multiples!$B:$B,Multiples!P:P),"")</f>
        <v/>
      </c>
      <c r="Q50" s="379" t="str">
        <f>IFERROR(_xlfn.XLOOKUP($K50,Multiples!$B:$B,Multiples!Q:Q),"")</f>
        <v/>
      </c>
      <c r="R50" s="379" t="str">
        <f>IFERROR(_xlfn.XLOOKUP($K50,Multiples!$B:$B,Multiples!R:R),"")</f>
        <v/>
      </c>
      <c r="S50" s="652"/>
      <c r="T50" s="469"/>
      <c r="U50" s="792"/>
      <c r="V50" s="792"/>
      <c r="W50" s="622"/>
      <c r="X50" s="622"/>
      <c r="Y50" s="622"/>
      <c r="Z50" s="622"/>
      <c r="AA50" s="622"/>
      <c r="AB50" s="622"/>
      <c r="AC50" s="469"/>
      <c r="AD50"/>
      <c r="AE50" s="469"/>
      <c r="AF50" s="469"/>
      <c r="AG50" s="469"/>
      <c r="AH50" s="469"/>
      <c r="AI50" s="469"/>
    </row>
    <row r="51" spans="4:35" ht="14.25" customHeight="1" x14ac:dyDescent="0.3">
      <c r="D51" s="469"/>
      <c r="E51" s="469"/>
      <c r="F51" s="469"/>
      <c r="G51" s="469"/>
      <c r="H51" s="469"/>
      <c r="I51" s="594"/>
      <c r="J51" s="469"/>
      <c r="K51" t="s">
        <v>62</v>
      </c>
      <c r="L51"/>
      <c r="M51"/>
      <c r="N51" s="396" t="str">
        <f>IFERROR(_xlfn.XLOOKUP($K50,Multiples!$B:$B,Multiples!N:N),"")</f>
        <v/>
      </c>
      <c r="O51" s="396" t="str">
        <f>IFERROR(_xlfn.XLOOKUP($K50,Multiples!$B:$B,Multiples!O:O),"")</f>
        <v/>
      </c>
      <c r="P51" s="372" t="str">
        <f>IFERROR(_xlfn.XLOOKUP($K50,Multiples!$B:$B,Multiples!P:P),"")</f>
        <v/>
      </c>
      <c r="Q51" s="379" t="str">
        <f>IFERROR(_xlfn.XLOOKUP($K50,Multiples!$B:$B,Multiples!Q:Q),"")</f>
        <v/>
      </c>
      <c r="R51" s="379" t="str">
        <f>IFERROR(_xlfn.XLOOKUP($K50,Multiples!$B:$B,Multiples!R:R),"")</f>
        <v/>
      </c>
      <c r="S51" s="652"/>
      <c r="T51" s="469"/>
      <c r="U51" s="792"/>
      <c r="V51" s="792"/>
      <c r="W51" s="622"/>
      <c r="X51" s="622"/>
      <c r="Y51" s="622"/>
      <c r="Z51" s="622"/>
      <c r="AA51" s="622"/>
      <c r="AB51" s="622"/>
      <c r="AC51" s="469"/>
      <c r="AD51"/>
      <c r="AE51" s="469"/>
      <c r="AF51" s="469"/>
      <c r="AG51" s="469"/>
      <c r="AH51" s="469"/>
      <c r="AI51" s="469"/>
    </row>
    <row r="52" spans="4:35" x14ac:dyDescent="0.3">
      <c r="D52" s="469"/>
      <c r="E52" s="469"/>
      <c r="F52" s="469"/>
      <c r="G52" s="469"/>
      <c r="H52" s="469"/>
      <c r="I52" s="1"/>
      <c r="J52" s="469"/>
      <c r="K52" s="469"/>
      <c r="L52" s="469"/>
      <c r="M52" s="469"/>
      <c r="N52" s="469"/>
      <c r="O52" s="469"/>
      <c r="P52" s="469"/>
      <c r="Q52" s="469"/>
      <c r="R52" s="469"/>
      <c r="S52" s="734"/>
      <c r="T52" s="469"/>
      <c r="U52" s="792"/>
      <c r="V52" s="792"/>
      <c r="W52" s="622"/>
      <c r="X52" s="622"/>
      <c r="Y52" s="622"/>
      <c r="Z52" s="622"/>
      <c r="AA52" s="622"/>
      <c r="AB52" s="622"/>
      <c r="AC52" s="469"/>
      <c r="AD52"/>
      <c r="AE52" s="469"/>
      <c r="AF52" s="469"/>
      <c r="AG52" s="469"/>
      <c r="AH52" s="469"/>
      <c r="AI52" s="469"/>
    </row>
    <row r="53" spans="4:35" ht="15.5" x14ac:dyDescent="0.35">
      <c r="D53" s="469"/>
      <c r="E53" s="469"/>
      <c r="F53" s="469"/>
      <c r="G53" s="469"/>
      <c r="H53" s="469"/>
      <c r="I53" s="746"/>
      <c r="J53" s="469"/>
      <c r="K53" s="7" t="s">
        <v>63</v>
      </c>
      <c r="L53" s="4"/>
      <c r="M53" s="4"/>
      <c r="N53" s="4">
        <v>2022</v>
      </c>
      <c r="O53" s="4">
        <f>+N53+1</f>
        <v>2023</v>
      </c>
      <c r="P53" s="371">
        <f>+O53+1</f>
        <v>2024</v>
      </c>
      <c r="Q53" s="5">
        <f>+P53+1</f>
        <v>2025</v>
      </c>
      <c r="R53" s="5">
        <f>+Q53+1</f>
        <v>2026</v>
      </c>
      <c r="S53" s="651"/>
      <c r="T53" s="747"/>
      <c r="U53" s="792"/>
      <c r="V53" s="792"/>
      <c r="W53" s="469"/>
      <c r="X53" s="469"/>
      <c r="Y53"/>
      <c r="Z53" s="469"/>
      <c r="AA53" s="469"/>
      <c r="AB53" s="469"/>
      <c r="AC53" s="469"/>
      <c r="AD53"/>
      <c r="AE53" s="469"/>
      <c r="AF53" s="469"/>
      <c r="AG53" s="469"/>
      <c r="AH53" s="469"/>
      <c r="AI53" s="469"/>
    </row>
    <row r="54" spans="4:35" ht="15.5" x14ac:dyDescent="0.35">
      <c r="D54" s="469"/>
      <c r="E54" s="469"/>
      <c r="F54" s="469"/>
      <c r="G54" s="469"/>
      <c r="H54" s="469"/>
      <c r="I54" s="748"/>
      <c r="J54" s="749"/>
      <c r="K54" s="22" t="s">
        <v>64</v>
      </c>
      <c r="L54"/>
      <c r="M54"/>
      <c r="N54" s="396" t="str">
        <f>IFERROR(_xlfn.XLOOKUP($K54,Multiples!$B:$B,Multiples!N:N),"")</f>
        <v>N/A</v>
      </c>
      <c r="O54" s="396" t="str">
        <f>IFERROR(_xlfn.XLOOKUP($K54,Multiples!$B:$B,Multiples!O:O),"")</f>
        <v>N/A</v>
      </c>
      <c r="P54" s="372" t="str">
        <f>IFERROR(_xlfn.XLOOKUP($K54,Multiples!$B:$B,Multiples!P:P),"")</f>
        <v>N/A</v>
      </c>
      <c r="Q54" s="379" t="str">
        <f>IFERROR(_xlfn.XLOOKUP($K54,Multiples!$B:$B,Multiples!Q:Q),"")</f>
        <v>N/A</v>
      </c>
      <c r="R54" s="379" t="str">
        <f>IFERROR(_xlfn.XLOOKUP($K54,Multiples!$B:$B,Multiples!R:R),"")</f>
        <v>N/A</v>
      </c>
      <c r="S54" s="652"/>
      <c r="T54" s="750"/>
      <c r="U54" s="792"/>
      <c r="V54" s="792"/>
      <c r="W54" s="469"/>
      <c r="X54" s="469"/>
      <c r="Y54"/>
      <c r="Z54" s="469"/>
      <c r="AA54" s="469"/>
      <c r="AB54" s="469"/>
      <c r="AC54" s="469"/>
      <c r="AD54"/>
      <c r="AE54" s="469"/>
      <c r="AF54" s="469"/>
      <c r="AG54" s="469"/>
      <c r="AH54" s="469"/>
      <c r="AI54" s="469"/>
    </row>
    <row r="55" spans="4:35" ht="15.5" x14ac:dyDescent="0.35">
      <c r="D55" s="469"/>
      <c r="E55" s="469"/>
      <c r="F55" s="469"/>
      <c r="G55" s="469"/>
      <c r="H55" s="469"/>
      <c r="I55" s="751"/>
      <c r="J55" s="469"/>
      <c r="K55" s="18" t="s">
        <v>65</v>
      </c>
      <c r="L55" s="469"/>
      <c r="M55" s="469"/>
      <c r="N55" s="396" t="str">
        <f>IFERROR(_xlfn.XLOOKUP($K55,Multiples!$B:$B,Multiples!N:N),"")</f>
        <v>N/A</v>
      </c>
      <c r="O55" s="396" t="str">
        <f>IFERROR(_xlfn.XLOOKUP($K55,Multiples!$B:$B,Multiples!O:O),"")</f>
        <v>N/A</v>
      </c>
      <c r="P55" s="372" t="str">
        <f>IFERROR(_xlfn.XLOOKUP($K55,Multiples!$B:$B,Multiples!P:P),"")</f>
        <v>N/A</v>
      </c>
      <c r="Q55" s="379" t="str">
        <f>IFERROR(_xlfn.XLOOKUP($K55,Multiples!$B:$B,Multiples!Q:Q),"")</f>
        <v>N/A</v>
      </c>
      <c r="R55" s="379" t="str">
        <f>IFERROR(_xlfn.XLOOKUP($K55,Multiples!$B:$B,Multiples!R:R),"")</f>
        <v>N/A</v>
      </c>
      <c r="S55" s="652"/>
      <c r="T55" s="469"/>
      <c r="U55" s="792"/>
      <c r="V55" s="792"/>
      <c r="W55" s="469"/>
      <c r="X55" s="469"/>
      <c r="Y55"/>
      <c r="Z55" s="469"/>
      <c r="AA55" s="469"/>
      <c r="AB55" s="469"/>
      <c r="AC55" s="469"/>
      <c r="AD55"/>
      <c r="AE55" s="469"/>
      <c r="AF55" s="469"/>
      <c r="AG55" s="469"/>
      <c r="AH55" s="469"/>
      <c r="AI55" s="158"/>
    </row>
    <row r="56" spans="4:35" ht="15" customHeight="1" x14ac:dyDescent="0.35">
      <c r="D56" s="469"/>
      <c r="E56" s="469"/>
      <c r="F56" s="469"/>
      <c r="G56" s="469"/>
      <c r="H56" s="469"/>
      <c r="I56" s="751"/>
      <c r="J56" s="469"/>
      <c r="K56" s="18" t="s">
        <v>66</v>
      </c>
      <c r="L56"/>
      <c r="M56"/>
      <c r="N56" s="396" t="str">
        <f>IFERROR(_xlfn.XLOOKUP($K56,Multiples!$B:$B,Multiples!N:N),"")</f>
        <v>N/A</v>
      </c>
      <c r="O56" s="396" t="str">
        <f>IFERROR(_xlfn.XLOOKUP($K56,Multiples!$B:$B,Multiples!O:O),"")</f>
        <v>N/A</v>
      </c>
      <c r="P56" s="372" t="str">
        <f>IFERROR(_xlfn.XLOOKUP($K56,Multiples!$B:$B,Multiples!P:P),"")</f>
        <v>N/A</v>
      </c>
      <c r="Q56" s="379" t="str">
        <f>IFERROR(_xlfn.XLOOKUP($K56,Multiples!$B:$B,Multiples!Q:Q),"")</f>
        <v>N/A</v>
      </c>
      <c r="R56" s="379" t="str">
        <f>IFERROR(_xlfn.XLOOKUP($K56,Multiples!$B:$B,Multiples!R:R),"")</f>
        <v>N/A</v>
      </c>
      <c r="S56" s="652"/>
      <c r="T56" s="469"/>
      <c r="U56" s="792"/>
      <c r="V56" s="792"/>
      <c r="W56" s="469"/>
      <c r="X56" s="469"/>
      <c r="Y56" s="469"/>
      <c r="Z56" s="469"/>
      <c r="AA56" s="469"/>
      <c r="AB56" s="469"/>
      <c r="AC56" s="469"/>
      <c r="AD56" s="469"/>
      <c r="AE56" s="469"/>
      <c r="AF56" s="469"/>
      <c r="AG56" s="469"/>
      <c r="AH56" s="469"/>
      <c r="AI56" s="752"/>
    </row>
    <row r="57" spans="4:35" ht="14.25" customHeight="1" x14ac:dyDescent="0.3">
      <c r="D57" s="469"/>
      <c r="E57" s="469"/>
      <c r="F57" s="469"/>
      <c r="G57" s="469"/>
      <c r="H57" s="469"/>
      <c r="I57" s="751"/>
      <c r="J57" s="469"/>
      <c r="K57" s="469"/>
      <c r="L57" s="469"/>
      <c r="M57" s="469"/>
      <c r="N57" s="469"/>
      <c r="O57" s="469"/>
      <c r="P57" s="469"/>
      <c r="Q57" s="469"/>
      <c r="R57" s="469"/>
      <c r="S57" s="734"/>
      <c r="T57" s="469"/>
      <c r="U57" s="792"/>
      <c r="V57" s="792"/>
      <c r="W57" s="469"/>
      <c r="X57" s="469"/>
      <c r="Y57" s="469"/>
      <c r="Z57" s="469"/>
      <c r="AA57" s="469"/>
      <c r="AB57" s="469"/>
      <c r="AC57" s="469"/>
      <c r="AD57" s="469"/>
      <c r="AE57" s="469"/>
      <c r="AF57" s="469"/>
      <c r="AG57" s="469"/>
      <c r="AH57" s="469"/>
      <c r="AI57" s="469"/>
    </row>
    <row r="58" spans="4:35" ht="14.25" customHeight="1" x14ac:dyDescent="0.3">
      <c r="D58" s="621" t="s">
        <v>67</v>
      </c>
      <c r="E58" s="4"/>
      <c r="F58" s="4"/>
      <c r="G58" s="4"/>
      <c r="H58" s="4"/>
      <c r="I58" s="4"/>
      <c r="J58" s="469"/>
      <c r="K58" s="621" t="s">
        <v>68</v>
      </c>
      <c r="L58" s="4"/>
      <c r="M58" s="4"/>
      <c r="N58" s="4"/>
      <c r="O58" s="4"/>
      <c r="P58" s="4"/>
      <c r="Q58" s="4"/>
      <c r="R58" s="4"/>
      <c r="S58" s="654"/>
      <c r="T58" s="469"/>
      <c r="U58" s="793"/>
      <c r="V58" s="793"/>
      <c r="W58" s="469"/>
      <c r="X58" s="469"/>
      <c r="Y58" s="469"/>
      <c r="Z58" s="469"/>
      <c r="AA58" s="469"/>
      <c r="AB58" s="469"/>
      <c r="AC58" s="469"/>
      <c r="AD58" s="469"/>
      <c r="AE58" s="469"/>
      <c r="AF58" s="469"/>
      <c r="AG58" s="469"/>
      <c r="AH58" s="469"/>
      <c r="AI58" s="469"/>
    </row>
    <row r="59" spans="4:35" ht="14.25" customHeight="1" x14ac:dyDescent="0.3">
      <c r="D59" s="469"/>
      <c r="E59" s="469"/>
      <c r="F59" s="469"/>
      <c r="G59" s="469"/>
      <c r="H59" s="469"/>
      <c r="I59" s="751"/>
      <c r="J59" s="469"/>
      <c r="K59" s="469"/>
      <c r="L59" s="469"/>
      <c r="M59" s="469"/>
      <c r="N59" s="469"/>
      <c r="O59" s="469"/>
      <c r="P59" s="469"/>
      <c r="Q59" s="469"/>
      <c r="R59" s="469"/>
      <c r="S59" s="734"/>
      <c r="T59" s="469"/>
      <c r="U59" s="469"/>
      <c r="V59" s="469"/>
      <c r="W59" s="469"/>
      <c r="X59" s="469"/>
      <c r="Y59" s="469"/>
      <c r="Z59" s="469"/>
      <c r="AA59" s="469"/>
      <c r="AB59" s="469"/>
      <c r="AC59" s="469"/>
      <c r="AD59" s="469"/>
      <c r="AE59" s="469"/>
      <c r="AF59" s="469"/>
      <c r="AG59" s="469"/>
      <c r="AH59" s="469"/>
      <c r="AI59" s="469"/>
    </row>
    <row r="60" spans="4:35" ht="14.25" customHeight="1" thickBot="1" x14ac:dyDescent="0.35">
      <c r="D60" s="469"/>
      <c r="E60" s="469"/>
      <c r="F60" s="469"/>
      <c r="G60" s="469"/>
      <c r="H60" s="469"/>
      <c r="I60" s="751"/>
      <c r="J60" s="469"/>
      <c r="K60" s="469"/>
      <c r="L60" s="469"/>
      <c r="M60" s="469"/>
      <c r="N60" s="469"/>
      <c r="O60" s="469"/>
      <c r="P60" s="469"/>
      <c r="Q60" s="469"/>
      <c r="R60" s="469"/>
      <c r="S60" s="734"/>
      <c r="T60" s="469"/>
      <c r="U60" s="739" t="s">
        <v>69</v>
      </c>
      <c r="V60" s="733"/>
      <c r="W60" s="469"/>
      <c r="X60" s="469"/>
      <c r="Y60" s="469"/>
      <c r="Z60" s="469"/>
      <c r="AA60" s="469"/>
      <c r="AB60" s="469"/>
      <c r="AC60" s="469"/>
      <c r="AD60" s="469"/>
      <c r="AE60" s="469"/>
      <c r="AF60" s="469"/>
      <c r="AG60" s="469"/>
      <c r="AH60" s="469"/>
      <c r="AI60" s="469"/>
    </row>
    <row r="61" spans="4:35" ht="14.25" customHeight="1" thickTop="1" x14ac:dyDescent="0.3">
      <c r="D61" s="469"/>
      <c r="E61" s="469"/>
      <c r="F61" s="469"/>
      <c r="G61" s="469"/>
      <c r="H61" s="469"/>
      <c r="I61" s="751"/>
      <c r="J61" s="469"/>
      <c r="K61" s="469"/>
      <c r="L61" s="469"/>
      <c r="M61" s="469"/>
      <c r="N61" s="469"/>
      <c r="O61" s="469"/>
      <c r="P61" s="469"/>
      <c r="Q61" s="469"/>
      <c r="R61" s="469"/>
      <c r="S61" s="734"/>
      <c r="T61" s="469"/>
      <c r="U61" s="47" t="s">
        <v>70</v>
      </c>
      <c r="V61" s="755">
        <f>ESG!C14</f>
        <v>0</v>
      </c>
      <c r="W61" s="469"/>
      <c r="X61" s="469"/>
      <c r="Y61" s="469"/>
      <c r="Z61" s="469"/>
      <c r="AA61" s="469"/>
      <c r="AB61" s="469"/>
      <c r="AC61" s="469"/>
      <c r="AD61" s="469"/>
      <c r="AE61" s="469"/>
      <c r="AF61" s="469"/>
      <c r="AG61" s="469"/>
      <c r="AH61" s="469"/>
      <c r="AI61" s="469"/>
    </row>
    <row r="62" spans="4:35" ht="14.25" customHeight="1" x14ac:dyDescent="0.3">
      <c r="D62" s="469"/>
      <c r="E62" s="469"/>
      <c r="F62" s="469"/>
      <c r="G62" s="469"/>
      <c r="H62" s="469"/>
      <c r="I62" s="751"/>
      <c r="J62" s="469"/>
      <c r="K62" s="469"/>
      <c r="L62" s="469"/>
      <c r="M62" s="469"/>
      <c r="N62" s="469"/>
      <c r="O62" s="469"/>
      <c r="P62" s="469"/>
      <c r="Q62" s="469"/>
      <c r="R62" s="469"/>
      <c r="S62" s="734"/>
      <c r="T62" s="469"/>
      <c r="U62" s="25" t="s">
        <v>71</v>
      </c>
      <c r="V62" s="754">
        <f>ESG!C15</f>
        <v>0</v>
      </c>
      <c r="W62" s="469"/>
      <c r="X62" s="469"/>
      <c r="Y62" s="469"/>
      <c r="Z62" s="469"/>
      <c r="AA62" s="469"/>
      <c r="AB62" s="469"/>
      <c r="AC62" s="469"/>
      <c r="AD62" s="469"/>
      <c r="AE62" s="469"/>
      <c r="AF62" s="469"/>
      <c r="AG62" s="469"/>
      <c r="AH62" s="469"/>
      <c r="AI62" s="469"/>
    </row>
    <row r="63" spans="4:35" x14ac:dyDescent="0.3">
      <c r="D63" s="469"/>
      <c r="E63" s="469"/>
      <c r="F63" s="469"/>
      <c r="G63" s="469"/>
      <c r="H63" s="469"/>
      <c r="I63" s="469"/>
      <c r="J63" s="469"/>
      <c r="K63" s="469"/>
      <c r="L63" s="469"/>
      <c r="M63" s="469"/>
      <c r="N63" s="469"/>
      <c r="O63" s="469"/>
      <c r="P63" s="469"/>
      <c r="Q63" s="469"/>
      <c r="R63" s="469"/>
      <c r="S63" s="734"/>
      <c r="T63" s="469"/>
      <c r="U63" s="25" t="s">
        <v>72</v>
      </c>
      <c r="V63" s="754">
        <f>ESG!C16</f>
        <v>0</v>
      </c>
      <c r="W63" s="469"/>
      <c r="X63" s="469"/>
      <c r="Y63" s="469"/>
      <c r="Z63" s="469"/>
      <c r="AA63" s="469"/>
      <c r="AB63" s="469"/>
      <c r="AC63" s="469"/>
      <c r="AD63" s="469"/>
      <c r="AE63" s="469"/>
      <c r="AF63" s="469"/>
      <c r="AG63" s="469"/>
      <c r="AH63" s="469"/>
      <c r="AI63" s="469"/>
    </row>
    <row r="64" spans="4:35" x14ac:dyDescent="0.3">
      <c r="D64" s="469"/>
      <c r="E64" s="469"/>
      <c r="F64" s="469"/>
      <c r="G64" s="469"/>
      <c r="H64" s="469"/>
      <c r="I64" s="469"/>
      <c r="J64" s="469"/>
      <c r="K64" s="469"/>
      <c r="L64" s="469"/>
      <c r="M64" s="469"/>
      <c r="N64" s="469"/>
      <c r="O64" s="469"/>
      <c r="P64" s="469"/>
      <c r="Q64" s="469"/>
      <c r="R64" s="469"/>
      <c r="S64" s="734"/>
      <c r="T64" s="469"/>
      <c r="U64" s="25" t="s">
        <v>73</v>
      </c>
      <c r="V64" s="754">
        <f>ESG!C17</f>
        <v>0</v>
      </c>
      <c r="W64" s="469"/>
      <c r="X64" s="469"/>
      <c r="Y64" s="469"/>
      <c r="Z64" s="469"/>
      <c r="AA64" s="469"/>
      <c r="AB64" s="469"/>
      <c r="AC64" s="469"/>
      <c r="AD64" s="469"/>
      <c r="AE64" s="469"/>
      <c r="AF64" s="469"/>
      <c r="AG64" s="469"/>
      <c r="AH64" s="469"/>
      <c r="AI64" s="469"/>
    </row>
    <row r="65" spans="4:22" x14ac:dyDescent="0.3">
      <c r="D65" s="469"/>
      <c r="E65" s="469"/>
      <c r="F65" s="469"/>
      <c r="G65" s="469"/>
      <c r="H65" s="469"/>
      <c r="I65" s="469"/>
      <c r="J65" s="469"/>
      <c r="K65" s="469"/>
      <c r="L65" s="469"/>
      <c r="M65" s="469"/>
      <c r="N65" s="469"/>
      <c r="O65" s="469"/>
      <c r="P65" s="469"/>
      <c r="Q65" s="469"/>
      <c r="R65" s="469"/>
      <c r="S65" s="734"/>
      <c r="T65" s="469"/>
      <c r="U65" s="23" t="s">
        <v>74</v>
      </c>
      <c r="V65" s="756">
        <f>ESG!C18</f>
        <v>0</v>
      </c>
    </row>
    <row r="66" spans="4:22" x14ac:dyDescent="0.3">
      <c r="D66" s="469"/>
      <c r="E66" s="469"/>
      <c r="F66" s="469"/>
      <c r="G66" s="469"/>
      <c r="H66" s="469"/>
      <c r="I66" s="469"/>
      <c r="J66" s="469"/>
      <c r="K66" s="469"/>
      <c r="L66" s="469"/>
      <c r="M66" s="469"/>
      <c r="N66" s="469"/>
      <c r="O66" s="469"/>
      <c r="P66" s="469"/>
      <c r="Q66" s="469"/>
      <c r="R66" s="469"/>
      <c r="S66" s="734"/>
      <c r="T66" s="469"/>
      <c r="U66" s="25" t="s">
        <v>75</v>
      </c>
      <c r="V66" s="44">
        <f>ESG!C19</f>
        <v>0</v>
      </c>
    </row>
    <row r="67" spans="4:22" x14ac:dyDescent="0.3">
      <c r="D67" s="469"/>
      <c r="E67" s="469"/>
      <c r="F67" s="469"/>
      <c r="G67" s="469"/>
      <c r="H67" s="469"/>
      <c r="I67" s="469"/>
      <c r="J67" s="469"/>
      <c r="K67" s="469"/>
      <c r="L67" s="469"/>
      <c r="M67" s="469"/>
      <c r="N67" s="469"/>
      <c r="O67" s="469"/>
      <c r="P67" s="469"/>
      <c r="Q67" s="469"/>
      <c r="R67" s="469"/>
      <c r="S67" s="734"/>
      <c r="T67" s="469"/>
      <c r="U67" s="25" t="s">
        <v>76</v>
      </c>
      <c r="V67" s="44">
        <f>ESG!C20</f>
        <v>0</v>
      </c>
    </row>
    <row r="68" spans="4:22" x14ac:dyDescent="0.3">
      <c r="D68" s="469"/>
      <c r="E68" s="469"/>
      <c r="F68" s="469"/>
      <c r="G68" s="469"/>
      <c r="H68" s="469"/>
      <c r="I68" s="469"/>
      <c r="J68" s="469"/>
      <c r="K68" s="469"/>
      <c r="L68" s="469"/>
      <c r="M68" s="469"/>
      <c r="N68" s="469"/>
      <c r="O68" s="469"/>
      <c r="P68" s="469"/>
      <c r="Q68" s="469"/>
      <c r="R68" s="469"/>
      <c r="S68" s="734"/>
      <c r="T68" s="469"/>
      <c r="U68" s="25" t="s">
        <v>77</v>
      </c>
      <c r="V68" s="44">
        <f>ESG!C21</f>
        <v>0</v>
      </c>
    </row>
    <row r="69" spans="4:22" x14ac:dyDescent="0.3">
      <c r="D69" s="469"/>
      <c r="E69" s="469"/>
      <c r="F69" s="469"/>
      <c r="G69" s="469"/>
      <c r="H69" s="469"/>
      <c r="I69" s="469"/>
      <c r="J69" s="469"/>
      <c r="K69" s="469"/>
      <c r="L69" s="469"/>
      <c r="M69" s="469"/>
      <c r="N69" s="469"/>
      <c r="O69" s="469"/>
      <c r="P69" s="469"/>
      <c r="Q69" s="469"/>
      <c r="R69" s="469"/>
      <c r="S69" s="734"/>
      <c r="T69" s="469"/>
      <c r="U69" s="23" t="s">
        <v>78</v>
      </c>
      <c r="V69" s="49">
        <f>ESG!C22</f>
        <v>0</v>
      </c>
    </row>
    <row r="70" spans="4:22" x14ac:dyDescent="0.3">
      <c r="D70" s="469"/>
      <c r="E70" s="469"/>
      <c r="F70" s="469"/>
      <c r="G70" s="469"/>
      <c r="H70" s="469"/>
      <c r="I70" s="469"/>
      <c r="J70" s="469"/>
      <c r="K70" s="469"/>
      <c r="L70" s="469"/>
      <c r="M70" s="469"/>
      <c r="N70" s="469"/>
      <c r="O70" s="469"/>
      <c r="P70" s="469"/>
      <c r="Q70" s="469"/>
      <c r="R70" s="469"/>
      <c r="S70" s="734"/>
      <c r="T70" s="469"/>
      <c r="U70" s="23" t="s">
        <v>79</v>
      </c>
      <c r="V70" s="50">
        <f>ESG!C23</f>
        <v>0</v>
      </c>
    </row>
    <row r="71" spans="4:22" x14ac:dyDescent="0.3">
      <c r="D71" s="469"/>
      <c r="E71" s="469"/>
      <c r="F71" s="469"/>
      <c r="G71" s="469"/>
      <c r="H71" s="469"/>
      <c r="I71" s="469"/>
      <c r="J71" s="469"/>
      <c r="K71" s="469"/>
      <c r="L71" s="469"/>
      <c r="M71" s="469"/>
      <c r="N71" s="469"/>
      <c r="O71" s="469"/>
      <c r="P71" s="469"/>
      <c r="Q71" s="469"/>
      <c r="R71" s="469"/>
      <c r="S71" s="734"/>
      <c r="T71" s="469"/>
      <c r="U71" s="25" t="s">
        <v>80</v>
      </c>
      <c r="V71" s="44">
        <f>ESG!C24</f>
        <v>0</v>
      </c>
    </row>
    <row r="72" spans="4:22" x14ac:dyDescent="0.3">
      <c r="D72" s="469"/>
      <c r="E72" s="469"/>
      <c r="F72" s="469"/>
      <c r="G72" s="469"/>
      <c r="H72" s="469"/>
      <c r="I72" s="469"/>
      <c r="J72" s="469"/>
      <c r="K72" s="469"/>
      <c r="L72" s="469"/>
      <c r="M72" s="469"/>
      <c r="N72" s="469"/>
      <c r="O72" s="469"/>
      <c r="P72" s="469"/>
      <c r="Q72" s="469"/>
      <c r="R72" s="469"/>
      <c r="S72" s="734"/>
      <c r="T72" s="469"/>
      <c r="U72" s="25" t="s">
        <v>81</v>
      </c>
      <c r="V72" s="43">
        <f>ESG!C25</f>
        <v>0</v>
      </c>
    </row>
    <row r="73" spans="4:22" x14ac:dyDescent="0.3">
      <c r="D73" s="469"/>
      <c r="E73" s="469"/>
      <c r="F73" s="469"/>
      <c r="G73" s="469"/>
      <c r="H73" s="469"/>
      <c r="I73" s="469"/>
      <c r="J73" s="469"/>
      <c r="K73" s="469"/>
      <c r="L73" s="469"/>
      <c r="M73" s="469"/>
      <c r="N73" s="469"/>
      <c r="O73" s="469"/>
      <c r="P73" s="469"/>
      <c r="Q73" s="469"/>
      <c r="R73" s="469"/>
      <c r="S73" s="734"/>
      <c r="T73" s="469"/>
      <c r="U73" s="23" t="s">
        <v>82</v>
      </c>
      <c r="V73" s="51">
        <f>ESG!C26</f>
        <v>0</v>
      </c>
    </row>
    <row r="75" spans="4:22" x14ac:dyDescent="0.3">
      <c r="D75" s="469"/>
      <c r="E75" s="469"/>
      <c r="F75" s="469"/>
      <c r="G75" s="469"/>
      <c r="H75" s="469"/>
      <c r="I75" s="469"/>
      <c r="J75" s="469"/>
      <c r="K75" s="469"/>
      <c r="L75" s="469"/>
      <c r="M75" s="469"/>
      <c r="N75" s="469"/>
      <c r="O75" s="469"/>
      <c r="P75" s="469"/>
      <c r="Q75" s="469"/>
      <c r="R75" s="469"/>
      <c r="S75" s="734"/>
      <c r="T75" s="469"/>
      <c r="U75" s="801" t="s">
        <v>83</v>
      </c>
      <c r="V75" s="801"/>
    </row>
    <row r="76" spans="4:22" x14ac:dyDescent="0.3">
      <c r="D76" s="469"/>
      <c r="E76" s="469"/>
      <c r="F76" s="469"/>
      <c r="G76" s="469"/>
      <c r="H76" s="469"/>
      <c r="I76" s="469"/>
      <c r="J76" s="469"/>
      <c r="K76" s="469"/>
      <c r="L76" s="469"/>
      <c r="M76" s="469"/>
      <c r="N76" s="469"/>
      <c r="O76" s="469"/>
      <c r="P76" s="469"/>
      <c r="Q76" s="469"/>
      <c r="R76" s="469"/>
      <c r="S76" s="734"/>
      <c r="T76" s="469"/>
      <c r="U76" s="801"/>
      <c r="V76" s="801"/>
    </row>
    <row r="77" spans="4:22" x14ac:dyDescent="0.3">
      <c r="D77" s="469"/>
      <c r="E77" s="469"/>
      <c r="F77" s="469"/>
      <c r="G77" s="469"/>
      <c r="H77" s="469"/>
      <c r="I77" s="469"/>
      <c r="J77" s="469"/>
      <c r="K77" s="469"/>
      <c r="L77" s="469"/>
      <c r="M77" s="469"/>
      <c r="N77" s="469"/>
      <c r="O77" s="469"/>
      <c r="P77" s="469"/>
      <c r="Q77" s="469"/>
      <c r="R77" s="469"/>
      <c r="S77" s="734"/>
      <c r="T77" s="469"/>
      <c r="U77" s="801"/>
      <c r="V77" s="801"/>
    </row>
    <row r="78" spans="4:22" x14ac:dyDescent="0.3">
      <c r="D78" s="469"/>
      <c r="E78" s="469"/>
      <c r="F78" s="469"/>
      <c r="G78" s="469"/>
      <c r="H78" s="469"/>
      <c r="I78" s="469"/>
      <c r="J78" s="469"/>
      <c r="K78" s="469"/>
      <c r="L78" s="469"/>
      <c r="M78" s="469"/>
      <c r="N78" s="469"/>
      <c r="O78" s="469"/>
      <c r="P78" s="469"/>
      <c r="Q78" s="469"/>
      <c r="R78" s="469"/>
      <c r="S78" s="734"/>
      <c r="T78" s="469"/>
      <c r="U78" s="801"/>
      <c r="V78" s="801"/>
    </row>
    <row r="79" spans="4:22" x14ac:dyDescent="0.3">
      <c r="D79" s="469"/>
      <c r="E79" s="469"/>
      <c r="F79" s="469"/>
      <c r="G79" s="469"/>
      <c r="H79" s="469"/>
      <c r="I79" s="469"/>
      <c r="J79" s="469"/>
      <c r="K79" s="469"/>
      <c r="L79" s="469"/>
      <c r="M79" s="469"/>
      <c r="N79" s="469"/>
      <c r="O79" s="469"/>
      <c r="P79" s="469"/>
      <c r="Q79" s="469"/>
      <c r="R79" s="469"/>
      <c r="S79" s="734"/>
      <c r="T79" s="469"/>
      <c r="U79" s="801"/>
      <c r="V79" s="801"/>
    </row>
    <row r="80" spans="4:22" ht="14.25" customHeight="1" x14ac:dyDescent="0.35">
      <c r="D80" s="768" t="s">
        <v>84</v>
      </c>
      <c r="E80" s="70"/>
      <c r="F80" s="69"/>
      <c r="G80" s="69"/>
      <c r="H80" s="69"/>
      <c r="I80" s="69"/>
      <c r="J80" s="69"/>
      <c r="K80" s="69"/>
      <c r="L80" s="69"/>
      <c r="M80" s="69"/>
      <c r="N80" s="69"/>
      <c r="O80" s="69"/>
      <c r="P80" s="69"/>
      <c r="Q80" s="69"/>
      <c r="R80" s="69"/>
      <c r="S80" s="734"/>
      <c r="T80" s="469"/>
      <c r="U80" s="801"/>
      <c r="V80" s="801"/>
    </row>
    <row r="81" spans="4:22" ht="4" customHeight="1" x14ac:dyDescent="0.35">
      <c r="D81" s="71"/>
      <c r="E81" s="71"/>
      <c r="F81" s="71"/>
      <c r="G81" s="71"/>
      <c r="H81" s="71"/>
      <c r="I81" s="71"/>
      <c r="J81" s="71"/>
      <c r="K81" s="71"/>
      <c r="L81" s="71"/>
      <c r="M81" s="71"/>
      <c r="N81" s="71"/>
      <c r="O81" s="71"/>
      <c r="P81" s="71"/>
      <c r="Q81" s="71"/>
      <c r="R81" s="71"/>
      <c r="S81" s="734"/>
      <c r="T81" s="469"/>
      <c r="U81" s="801"/>
      <c r="V81" s="801"/>
    </row>
    <row r="82" spans="4:22" x14ac:dyDescent="0.3">
      <c r="D82" s="802"/>
      <c r="E82" s="802"/>
      <c r="F82" s="802"/>
      <c r="G82" s="802"/>
      <c r="H82" s="802"/>
      <c r="I82" s="802"/>
      <c r="J82" s="802"/>
      <c r="K82" s="802"/>
      <c r="L82" s="802"/>
      <c r="M82" s="802"/>
      <c r="N82" s="802"/>
      <c r="O82" s="802"/>
      <c r="P82" s="802"/>
      <c r="Q82" s="802"/>
      <c r="R82" s="802"/>
      <c r="S82" s="734"/>
      <c r="T82" s="469"/>
      <c r="U82" s="801"/>
      <c r="V82" s="801"/>
    </row>
    <row r="83" spans="4:22" x14ac:dyDescent="0.3">
      <c r="D83" s="802"/>
      <c r="E83" s="802"/>
      <c r="F83" s="802"/>
      <c r="G83" s="802"/>
      <c r="H83" s="802"/>
      <c r="I83" s="802"/>
      <c r="J83" s="802"/>
      <c r="K83" s="802"/>
      <c r="L83" s="802"/>
      <c r="M83" s="802"/>
      <c r="N83" s="802"/>
      <c r="O83" s="802"/>
      <c r="P83" s="802"/>
      <c r="Q83" s="802"/>
      <c r="R83" s="802"/>
      <c r="S83" s="734"/>
      <c r="T83" s="469"/>
      <c r="U83" s="801"/>
      <c r="V83" s="801"/>
    </row>
    <row r="84" spans="4:22" x14ac:dyDescent="0.3">
      <c r="D84" s="802"/>
      <c r="E84" s="802"/>
      <c r="F84" s="802"/>
      <c r="G84" s="802"/>
      <c r="H84" s="802"/>
      <c r="I84" s="802"/>
      <c r="J84" s="802"/>
      <c r="K84" s="802"/>
      <c r="L84" s="802"/>
      <c r="M84" s="802"/>
      <c r="N84" s="802"/>
      <c r="O84" s="802"/>
      <c r="P84" s="802"/>
      <c r="Q84" s="802"/>
      <c r="R84" s="802"/>
      <c r="S84" s="734"/>
      <c r="T84" s="469"/>
      <c r="U84" s="801"/>
      <c r="V84" s="801"/>
    </row>
    <row r="85" spans="4:22" x14ac:dyDescent="0.3">
      <c r="D85" s="802"/>
      <c r="E85" s="802"/>
      <c r="F85" s="802"/>
      <c r="G85" s="802"/>
      <c r="H85" s="802"/>
      <c r="I85" s="802"/>
      <c r="J85" s="802"/>
      <c r="K85" s="802"/>
      <c r="L85" s="802"/>
      <c r="M85" s="802"/>
      <c r="N85" s="802"/>
      <c r="O85" s="802"/>
      <c r="P85" s="802"/>
      <c r="Q85" s="802"/>
      <c r="R85" s="802"/>
      <c r="S85" s="734"/>
      <c r="T85" s="469"/>
      <c r="U85" s="801"/>
      <c r="V85" s="801"/>
    </row>
    <row r="86" spans="4:22" x14ac:dyDescent="0.3">
      <c r="D86" s="802"/>
      <c r="E86" s="802"/>
      <c r="F86" s="802"/>
      <c r="G86" s="802"/>
      <c r="H86" s="802"/>
      <c r="I86" s="802"/>
      <c r="J86" s="802"/>
      <c r="K86" s="802"/>
      <c r="L86" s="802"/>
      <c r="M86" s="802"/>
      <c r="N86" s="802"/>
      <c r="O86" s="802"/>
      <c r="P86" s="802"/>
      <c r="Q86" s="802"/>
      <c r="R86" s="802"/>
      <c r="S86" s="734"/>
      <c r="T86" s="469"/>
      <c r="U86" s="801"/>
      <c r="V86" s="801"/>
    </row>
    <row r="87" spans="4:22" x14ac:dyDescent="0.3">
      <c r="D87" s="803"/>
      <c r="E87" s="803"/>
      <c r="F87" s="803"/>
      <c r="G87" s="803"/>
      <c r="H87" s="803"/>
      <c r="I87" s="803"/>
      <c r="J87" s="803"/>
      <c r="K87" s="803"/>
      <c r="L87" s="803"/>
      <c r="M87" s="803"/>
      <c r="N87" s="803"/>
      <c r="O87" s="803"/>
      <c r="P87" s="803"/>
      <c r="Q87" s="803"/>
      <c r="R87" s="803"/>
      <c r="S87" s="734"/>
      <c r="T87" s="469"/>
      <c r="U87" s="801"/>
      <c r="V87" s="801"/>
    </row>
    <row r="88" spans="4:22" x14ac:dyDescent="0.3">
      <c r="D88" s="803"/>
      <c r="E88" s="803"/>
      <c r="F88" s="803"/>
      <c r="G88" s="803"/>
      <c r="H88" s="803"/>
      <c r="I88" s="803"/>
      <c r="J88" s="803"/>
      <c r="K88" s="803"/>
      <c r="L88" s="803"/>
      <c r="M88" s="803"/>
      <c r="N88" s="803"/>
      <c r="O88" s="803"/>
      <c r="P88" s="803"/>
      <c r="Q88" s="803"/>
      <c r="R88" s="803"/>
      <c r="S88" s="734"/>
      <c r="T88" s="469"/>
      <c r="U88" s="801"/>
      <c r="V88" s="801"/>
    </row>
    <row r="89" spans="4:22" x14ac:dyDescent="0.3">
      <c r="D89" s="469"/>
      <c r="E89" s="469"/>
      <c r="F89" s="469"/>
      <c r="G89" s="469"/>
      <c r="H89" s="469"/>
      <c r="I89" s="469"/>
      <c r="J89" s="469"/>
      <c r="K89" s="469"/>
      <c r="L89" s="469"/>
      <c r="M89" s="469"/>
      <c r="N89" s="469"/>
      <c r="O89" s="469"/>
      <c r="P89" s="469"/>
      <c r="Q89" s="469"/>
      <c r="R89" s="469"/>
      <c r="S89" s="734"/>
      <c r="T89" s="469"/>
      <c r="U89" s="801"/>
      <c r="V89" s="801"/>
    </row>
    <row r="90" spans="4:22" x14ac:dyDescent="0.3">
      <c r="D90" s="469"/>
      <c r="E90" s="469"/>
      <c r="F90" s="469"/>
      <c r="G90" s="469"/>
      <c r="H90" s="469"/>
      <c r="I90" s="469"/>
      <c r="J90" s="469"/>
      <c r="K90" s="469"/>
      <c r="L90" s="469"/>
      <c r="M90" s="469"/>
      <c r="N90" s="469"/>
      <c r="O90" s="469"/>
      <c r="P90" s="469"/>
      <c r="Q90" s="469"/>
      <c r="R90" s="469"/>
      <c r="S90" s="734"/>
      <c r="T90" s="469"/>
      <c r="U90" s="801"/>
      <c r="V90" s="801"/>
    </row>
    <row r="91" spans="4:22" x14ac:dyDescent="0.3">
      <c r="D91" s="469"/>
      <c r="E91" s="469"/>
      <c r="F91" s="469"/>
      <c r="G91" s="469"/>
      <c r="H91" s="469"/>
      <c r="I91" s="469"/>
      <c r="J91" s="469"/>
      <c r="K91" s="469"/>
      <c r="L91" s="469"/>
      <c r="M91" s="469"/>
      <c r="N91" s="469"/>
      <c r="O91" s="469"/>
      <c r="P91" s="469"/>
      <c r="Q91" s="469"/>
      <c r="R91" s="469"/>
      <c r="S91" s="734"/>
      <c r="T91" s="469"/>
      <c r="U91" s="801"/>
      <c r="V91" s="801"/>
    </row>
    <row r="92" spans="4:22" x14ac:dyDescent="0.3">
      <c r="D92" s="469"/>
      <c r="E92" s="469"/>
      <c r="F92" s="469"/>
      <c r="G92" s="469"/>
      <c r="H92" s="469"/>
      <c r="I92" s="469"/>
      <c r="J92" s="469"/>
      <c r="K92" s="469"/>
      <c r="L92" s="469"/>
      <c r="M92" s="469"/>
      <c r="N92" s="469"/>
      <c r="O92" s="469"/>
      <c r="P92" s="469"/>
      <c r="Q92" s="469"/>
      <c r="R92" s="469"/>
      <c r="S92" s="734"/>
      <c r="T92" s="469"/>
      <c r="U92" s="801"/>
      <c r="V92" s="801"/>
    </row>
    <row r="93" spans="4:22" x14ac:dyDescent="0.3">
      <c r="D93" s="469"/>
      <c r="E93" s="469"/>
      <c r="F93" s="469"/>
      <c r="G93" s="469"/>
      <c r="H93" s="469"/>
      <c r="I93" s="469"/>
      <c r="J93" s="469"/>
      <c r="K93" s="469"/>
      <c r="L93" s="469"/>
      <c r="M93" s="469"/>
      <c r="N93" s="469"/>
      <c r="O93" s="469"/>
      <c r="P93" s="469"/>
      <c r="Q93" s="469"/>
      <c r="R93" s="469"/>
      <c r="S93" s="734"/>
      <c r="T93" s="469"/>
      <c r="U93" s="801"/>
      <c r="V93" s="801"/>
    </row>
    <row r="94" spans="4:22" x14ac:dyDescent="0.3">
      <c r="D94" s="469"/>
      <c r="E94" s="469"/>
      <c r="F94" s="469"/>
      <c r="G94" s="469"/>
      <c r="H94" s="469"/>
      <c r="I94" s="469"/>
      <c r="J94" s="469"/>
      <c r="K94" s="469"/>
      <c r="L94" s="469"/>
      <c r="M94" s="469"/>
      <c r="N94" s="469"/>
      <c r="O94" s="469"/>
      <c r="P94" s="469"/>
      <c r="Q94" s="469"/>
      <c r="R94" s="469"/>
      <c r="S94" s="734"/>
      <c r="T94" s="469"/>
      <c r="U94" s="801"/>
      <c r="V94" s="801"/>
    </row>
    <row r="95" spans="4:22" x14ac:dyDescent="0.3">
      <c r="D95" s="469"/>
      <c r="E95" s="469"/>
      <c r="F95" s="469"/>
      <c r="G95" s="469"/>
      <c r="H95" s="469"/>
      <c r="I95" s="469"/>
      <c r="J95" s="469"/>
      <c r="K95" s="469"/>
      <c r="L95" s="469"/>
      <c r="M95" s="469"/>
      <c r="N95" s="469"/>
      <c r="O95" s="469"/>
      <c r="P95" s="469"/>
      <c r="Q95" s="469"/>
      <c r="R95" s="469"/>
      <c r="S95" s="734"/>
      <c r="T95" s="469"/>
      <c r="U95" s="801"/>
      <c r="V95" s="801"/>
    </row>
    <row r="96" spans="4:22" x14ac:dyDescent="0.3">
      <c r="D96" s="469"/>
      <c r="E96" s="469"/>
      <c r="F96" s="469"/>
      <c r="G96" s="469"/>
      <c r="H96" s="469"/>
      <c r="I96" s="469"/>
      <c r="J96" s="469"/>
      <c r="K96" s="469"/>
      <c r="L96" s="469"/>
      <c r="M96" s="469"/>
      <c r="N96" s="469"/>
      <c r="O96" s="469"/>
      <c r="P96" s="469"/>
      <c r="Q96" s="469"/>
      <c r="R96" s="469"/>
      <c r="S96" s="734"/>
      <c r="T96" s="469"/>
      <c r="U96" s="801"/>
      <c r="V96" s="801"/>
    </row>
    <row r="97" spans="21:22" x14ac:dyDescent="0.3">
      <c r="U97" s="801"/>
      <c r="V97" s="801"/>
    </row>
    <row r="98" spans="21:22" x14ac:dyDescent="0.3">
      <c r="U98" s="801"/>
      <c r="V98" s="801"/>
    </row>
    <row r="1048576" spans="4:18" x14ac:dyDescent="0.3">
      <c r="D1048576" s="779"/>
      <c r="E1048576" s="779"/>
      <c r="F1048576" s="779"/>
      <c r="G1048576" s="779"/>
      <c r="H1048576" s="779"/>
      <c r="I1048576" s="779"/>
      <c r="J1048576" s="779"/>
      <c r="K1048576" s="779"/>
      <c r="L1048576" s="779"/>
      <c r="M1048576" s="779"/>
      <c r="N1048576" s="779"/>
      <c r="O1048576" s="779"/>
      <c r="P1048576" s="779"/>
      <c r="Q1048576" s="779"/>
      <c r="R1048576" s="779"/>
    </row>
  </sheetData>
  <dataConsolidate/>
  <mergeCells count="15">
    <mergeCell ref="U75:V98"/>
    <mergeCell ref="D86:R86"/>
    <mergeCell ref="D87:R87"/>
    <mergeCell ref="D88:R88"/>
    <mergeCell ref="D82:R82"/>
    <mergeCell ref="D83:R83"/>
    <mergeCell ref="D84:R84"/>
    <mergeCell ref="D85:R85"/>
    <mergeCell ref="U50:V58"/>
    <mergeCell ref="D41:F43"/>
    <mergeCell ref="G41:I43"/>
    <mergeCell ref="D8:R9"/>
    <mergeCell ref="D11:R15"/>
    <mergeCell ref="D37:F39"/>
    <mergeCell ref="G37:I39"/>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T52"/>
  <sheetViews>
    <sheetView showGridLines="0" zoomScale="70" zoomScaleNormal="70" workbookViewId="0">
      <selection activeCell="D27" sqref="D27:I27"/>
    </sheetView>
  </sheetViews>
  <sheetFormatPr defaultColWidth="8.83203125" defaultRowHeight="14" x14ac:dyDescent="0.3"/>
  <cols>
    <col min="1" max="1" width="2.33203125" customWidth="1"/>
    <col min="2" max="2" width="22" customWidth="1"/>
    <col min="4" max="4" width="13.08203125" customWidth="1"/>
    <col min="5" max="9" width="12.58203125" customWidth="1"/>
    <col min="10" max="10" width="18.58203125" style="6" customWidth="1"/>
    <col min="11" max="25" width="12.58203125" customWidth="1"/>
  </cols>
  <sheetData>
    <row r="2" spans="2:18" s="41" customFormat="1" ht="20.149999999999999" customHeight="1" x14ac:dyDescent="0.4">
      <c r="B2" s="40" t="s">
        <v>85</v>
      </c>
      <c r="J2" s="42"/>
    </row>
    <row r="4" spans="2:18" ht="15.5" x14ac:dyDescent="0.35">
      <c r="B4" s="52" t="s">
        <v>86</v>
      </c>
      <c r="C4" s="56"/>
      <c r="D4" s="52" t="s">
        <v>87</v>
      </c>
      <c r="E4" s="57">
        <v>2020</v>
      </c>
      <c r="F4" s="57">
        <f>+E4+1</f>
        <v>2021</v>
      </c>
      <c r="G4" s="57">
        <f>+F4+1</f>
        <v>2022</v>
      </c>
      <c r="H4" s="57">
        <f t="shared" ref="H4:I4" si="0">+G4+1</f>
        <v>2023</v>
      </c>
      <c r="I4" s="57">
        <f t="shared" si="0"/>
        <v>2024</v>
      </c>
      <c r="J4" s="58" t="str">
        <f>"CAGR "&amp;$G$4&amp;" - "&amp;$I$4</f>
        <v>CAGR 2022 - 2024</v>
      </c>
      <c r="K4" s="57">
        <v>2021</v>
      </c>
      <c r="L4" s="57">
        <f>+K4+1</f>
        <v>2022</v>
      </c>
      <c r="M4" s="57">
        <f>+L4+1</f>
        <v>2023</v>
      </c>
      <c r="N4" s="57">
        <f t="shared" ref="N4" si="1">+M4+1</f>
        <v>2024</v>
      </c>
    </row>
    <row r="5" spans="2:18" ht="4" customHeight="1" x14ac:dyDescent="0.35">
      <c r="B5" s="53"/>
      <c r="C5" s="53"/>
      <c r="D5" s="53"/>
      <c r="E5" s="53"/>
      <c r="F5" s="53"/>
      <c r="G5" s="53"/>
      <c r="H5" s="53"/>
      <c r="I5" s="53"/>
      <c r="J5" s="60"/>
      <c r="K5" s="60"/>
      <c r="L5" s="60"/>
      <c r="M5" s="60"/>
      <c r="N5" s="60"/>
    </row>
    <row r="6" spans="2:18" x14ac:dyDescent="0.3">
      <c r="D6" s="65" t="str">
        <f>IFERROR(I6/SUM($I$6:$I$12),"")</f>
        <v/>
      </c>
      <c r="E6" s="92"/>
      <c r="F6" s="92"/>
      <c r="G6" s="93"/>
      <c r="H6" s="93"/>
      <c r="I6" s="93"/>
      <c r="J6" s="64" t="str">
        <f>IFERROR((I6/G6)^(1/COUNT($G$4:$I$4))-1,"")</f>
        <v/>
      </c>
      <c r="K6" s="65" t="str">
        <f>IFERROR(F6-E6/E6,"")</f>
        <v/>
      </c>
      <c r="L6" s="65" t="str">
        <f>IFERROR(G6-F6/F6,"")</f>
        <v/>
      </c>
      <c r="M6" s="94" t="str">
        <f>IFERROR((H6-G6)/G6,"")</f>
        <v/>
      </c>
      <c r="N6" s="94" t="str">
        <f t="shared" ref="N6:N13" si="2">IFERROR((I6-H6)/H6,"")</f>
        <v/>
      </c>
    </row>
    <row r="7" spans="2:18" x14ac:dyDescent="0.3">
      <c r="D7" s="65" t="str">
        <f>IFERROR(I7/SUM($I$6:$I$12),"")</f>
        <v/>
      </c>
      <c r="E7" s="92"/>
      <c r="F7" s="92"/>
      <c r="G7" s="93"/>
      <c r="H7" s="93"/>
      <c r="I7" s="93"/>
      <c r="J7" s="64" t="str">
        <f>IFERROR((I7/G7)^(1/COUNT($G$4:$I$4))-1,"")</f>
        <v/>
      </c>
      <c r="K7" s="65" t="str">
        <f t="shared" ref="K7:M13" si="3">IFERROR(F7-E7/E7,"")</f>
        <v/>
      </c>
      <c r="L7" s="65" t="str">
        <f t="shared" si="3"/>
        <v/>
      </c>
      <c r="M7" s="94" t="str">
        <f>IFERROR((H7-G7)/G7,"")</f>
        <v/>
      </c>
      <c r="N7" s="94" t="str">
        <f t="shared" si="2"/>
        <v/>
      </c>
    </row>
    <row r="8" spans="2:18" x14ac:dyDescent="0.3">
      <c r="B8" s="87"/>
      <c r="D8" s="65" t="str">
        <f t="shared" ref="D8:D12" si="4">IFERROR(I8/SUM($I$6:$I$12),"")</f>
        <v/>
      </c>
      <c r="E8" s="95"/>
      <c r="F8" s="95"/>
      <c r="G8" s="95"/>
      <c r="H8" s="95"/>
      <c r="I8" s="95"/>
      <c r="J8" s="64" t="str">
        <f t="shared" ref="J8:J10" si="5">IFERROR((I8/E8)^(1/COUNT($E$4:$I$4))-1,"")</f>
        <v/>
      </c>
      <c r="K8" s="65" t="str">
        <f t="shared" si="3"/>
        <v/>
      </c>
      <c r="L8" s="65" t="str">
        <f t="shared" si="3"/>
        <v/>
      </c>
      <c r="M8" s="65" t="str">
        <f t="shared" si="3"/>
        <v/>
      </c>
      <c r="N8" s="94" t="str">
        <f t="shared" si="2"/>
        <v/>
      </c>
    </row>
    <row r="9" spans="2:18" x14ac:dyDescent="0.3">
      <c r="B9" s="87"/>
      <c r="D9" s="65" t="str">
        <f t="shared" si="4"/>
        <v/>
      </c>
      <c r="E9" s="95"/>
      <c r="F9" s="95"/>
      <c r="G9" s="95"/>
      <c r="H9" s="95"/>
      <c r="I9" s="95"/>
      <c r="J9" s="64" t="str">
        <f t="shared" si="5"/>
        <v/>
      </c>
      <c r="K9" s="65" t="str">
        <f t="shared" si="3"/>
        <v/>
      </c>
      <c r="L9" s="65" t="str">
        <f t="shared" si="3"/>
        <v/>
      </c>
      <c r="M9" s="65" t="str">
        <f t="shared" si="3"/>
        <v/>
      </c>
      <c r="N9" s="94" t="str">
        <f t="shared" si="2"/>
        <v/>
      </c>
    </row>
    <row r="10" spans="2:18" x14ac:dyDescent="0.3">
      <c r="B10" s="87"/>
      <c r="D10" s="65" t="str">
        <f t="shared" si="4"/>
        <v/>
      </c>
      <c r="E10" s="95"/>
      <c r="F10" s="95"/>
      <c r="G10" s="95"/>
      <c r="H10" s="95"/>
      <c r="I10" s="95"/>
      <c r="J10" s="64" t="str">
        <f t="shared" si="5"/>
        <v/>
      </c>
      <c r="K10" s="65" t="str">
        <f t="shared" si="3"/>
        <v/>
      </c>
      <c r="L10" s="65" t="str">
        <f t="shared" si="3"/>
        <v/>
      </c>
      <c r="M10" s="65" t="str">
        <f t="shared" si="3"/>
        <v/>
      </c>
      <c r="N10" s="94" t="str">
        <f t="shared" si="2"/>
        <v/>
      </c>
    </row>
    <row r="11" spans="2:18" x14ac:dyDescent="0.3">
      <c r="B11" s="87"/>
      <c r="D11" s="65" t="str">
        <f t="shared" si="4"/>
        <v/>
      </c>
      <c r="E11" s="95"/>
      <c r="F11" s="95"/>
      <c r="G11" s="95"/>
      <c r="H11" s="95"/>
      <c r="I11" s="95"/>
      <c r="J11" s="64"/>
      <c r="K11" s="65"/>
      <c r="L11" s="65"/>
      <c r="M11" s="65"/>
      <c r="N11" s="94"/>
    </row>
    <row r="12" spans="2:18" x14ac:dyDescent="0.3">
      <c r="B12" s="87"/>
      <c r="D12" s="65" t="str">
        <f t="shared" si="4"/>
        <v/>
      </c>
      <c r="E12" s="95"/>
      <c r="F12" s="95"/>
      <c r="G12" s="95"/>
      <c r="H12" s="95"/>
      <c r="I12" s="95"/>
      <c r="J12" s="64"/>
      <c r="K12" s="65"/>
      <c r="L12" s="65"/>
      <c r="M12" s="65"/>
      <c r="N12" s="94"/>
    </row>
    <row r="13" spans="2:18" x14ac:dyDescent="0.3">
      <c r="B13" s="1" t="s">
        <v>88</v>
      </c>
      <c r="D13" s="96">
        <f>SUM(D6:D12)</f>
        <v>0</v>
      </c>
      <c r="E13" s="97">
        <f>SUM(E6:E10)</f>
        <v>0</v>
      </c>
      <c r="F13" s="97">
        <f t="shared" ref="F13:I13" si="6">SUM(F6:F10)</f>
        <v>0</v>
      </c>
      <c r="G13" s="97">
        <f t="shared" si="6"/>
        <v>0</v>
      </c>
      <c r="H13" s="97">
        <f t="shared" si="6"/>
        <v>0</v>
      </c>
      <c r="I13" s="97">
        <f t="shared" si="6"/>
        <v>0</v>
      </c>
      <c r="J13" s="67" t="str">
        <f>IFERROR((I13/G13)^(1/COUNT($G$4:$I$4))-1,"")</f>
        <v/>
      </c>
      <c r="K13" s="68" t="str">
        <f t="shared" si="3"/>
        <v/>
      </c>
      <c r="L13" s="68" t="str">
        <f t="shared" si="3"/>
        <v/>
      </c>
      <c r="M13" s="94" t="str">
        <f>IFERROR((H13-G13)/G13,"")</f>
        <v/>
      </c>
      <c r="N13" s="94" t="str">
        <f t="shared" si="2"/>
        <v/>
      </c>
    </row>
    <row r="14" spans="2:18" ht="8.15" customHeight="1" x14ac:dyDescent="0.3">
      <c r="R14" s="98"/>
    </row>
    <row r="15" spans="2:18" ht="15.5" x14ac:dyDescent="0.35">
      <c r="B15" s="52" t="s">
        <v>85</v>
      </c>
      <c r="C15" s="56"/>
      <c r="D15" s="52" t="s">
        <v>87</v>
      </c>
      <c r="E15" s="57">
        <v>2020</v>
      </c>
      <c r="F15" s="57">
        <f>+E15+1</f>
        <v>2021</v>
      </c>
      <c r="G15" s="57">
        <f>+F15+1</f>
        <v>2022</v>
      </c>
      <c r="H15" s="57">
        <f t="shared" ref="H15:I15" si="7">+G15+1</f>
        <v>2023</v>
      </c>
      <c r="I15" s="57">
        <f t="shared" si="7"/>
        <v>2024</v>
      </c>
      <c r="J15" s="58" t="str">
        <f>"CAGR "&amp;$E$4&amp;" - "&amp;$I$4</f>
        <v>CAGR 2020 - 2024</v>
      </c>
      <c r="K15" s="57">
        <v>2021</v>
      </c>
      <c r="L15" s="57">
        <f>+K15+1</f>
        <v>2022</v>
      </c>
      <c r="M15" s="57">
        <f>+L15+1</f>
        <v>2023</v>
      </c>
      <c r="N15" s="57">
        <f t="shared" ref="N15" si="8">+M15+1</f>
        <v>2024</v>
      </c>
    </row>
    <row r="16" spans="2:18" s="94" customFormat="1" ht="4" customHeight="1" x14ac:dyDescent="0.35">
      <c r="B16" s="53"/>
      <c r="C16" s="53"/>
      <c r="D16" s="53"/>
      <c r="E16" s="53"/>
      <c r="F16" s="53"/>
      <c r="G16" s="53"/>
      <c r="H16" s="53"/>
      <c r="I16" s="53"/>
      <c r="J16" s="60"/>
      <c r="K16" s="60"/>
      <c r="L16" s="60"/>
      <c r="M16" s="60"/>
      <c r="N16" s="60"/>
      <c r="O16" s="99"/>
    </row>
    <row r="17" spans="2:20" x14ac:dyDescent="0.3">
      <c r="D17" s="65" t="str">
        <f>IFERROR(I17/SUM($I$17:$I$21),"")</f>
        <v/>
      </c>
      <c r="E17" s="95"/>
      <c r="F17" s="95"/>
      <c r="G17" s="95"/>
      <c r="H17" s="95"/>
      <c r="I17" s="95"/>
      <c r="J17" s="64" t="str">
        <f>IFERROR((I17/E17)^(1/COUNT($E$4:$I$4))-1,"")</f>
        <v/>
      </c>
      <c r="K17" s="98" t="str">
        <f t="shared" ref="K17:N22" si="9">IFERROR((F17-E17)/E17,"")</f>
        <v/>
      </c>
      <c r="L17" s="98" t="str">
        <f t="shared" si="9"/>
        <v/>
      </c>
      <c r="M17" s="98" t="str">
        <f t="shared" si="9"/>
        <v/>
      </c>
      <c r="N17" s="98" t="str">
        <f t="shared" si="9"/>
        <v/>
      </c>
    </row>
    <row r="18" spans="2:20" x14ac:dyDescent="0.3">
      <c r="D18" s="65" t="str">
        <f t="shared" ref="D18:D21" si="10">IFERROR(I18/SUM($I$17:$I$21),"")</f>
        <v/>
      </c>
      <c r="E18" s="95"/>
      <c r="F18" s="95"/>
      <c r="G18" s="95"/>
      <c r="H18" s="95"/>
      <c r="I18" s="95"/>
      <c r="J18" s="64" t="str">
        <f t="shared" ref="J18:J22" si="11">IFERROR((I18/E18)^(1/COUNT($E$4:$I$4))-1,"")</f>
        <v/>
      </c>
      <c r="K18" s="98" t="str">
        <f t="shared" si="9"/>
        <v/>
      </c>
      <c r="L18" s="98" t="str">
        <f t="shared" si="9"/>
        <v/>
      </c>
      <c r="M18" s="98" t="str">
        <f t="shared" si="9"/>
        <v/>
      </c>
      <c r="N18" s="98" t="str">
        <f t="shared" si="9"/>
        <v/>
      </c>
    </row>
    <row r="19" spans="2:20" x14ac:dyDescent="0.3">
      <c r="D19" s="65" t="str">
        <f t="shared" si="10"/>
        <v/>
      </c>
      <c r="E19" s="95"/>
      <c r="F19" s="95"/>
      <c r="G19" s="95"/>
      <c r="H19" s="95"/>
      <c r="I19" s="95"/>
      <c r="J19" s="64" t="str">
        <f t="shared" si="11"/>
        <v/>
      </c>
      <c r="K19" s="98" t="str">
        <f t="shared" si="9"/>
        <v/>
      </c>
      <c r="L19" s="98" t="str">
        <f t="shared" si="9"/>
        <v/>
      </c>
      <c r="M19" s="98" t="str">
        <f t="shared" si="9"/>
        <v/>
      </c>
      <c r="N19" s="98" t="str">
        <f t="shared" si="9"/>
        <v/>
      </c>
    </row>
    <row r="20" spans="2:20" x14ac:dyDescent="0.3">
      <c r="B20" s="87"/>
      <c r="D20" s="65" t="str">
        <f t="shared" si="10"/>
        <v/>
      </c>
      <c r="E20" s="95"/>
      <c r="F20" s="95"/>
      <c r="G20" s="95"/>
      <c r="H20" s="95"/>
      <c r="I20" s="95"/>
      <c r="J20" s="64" t="str">
        <f t="shared" si="11"/>
        <v/>
      </c>
      <c r="K20" s="98" t="str">
        <f t="shared" si="9"/>
        <v/>
      </c>
      <c r="L20" s="98" t="str">
        <f t="shared" si="9"/>
        <v/>
      </c>
      <c r="M20" s="98" t="str">
        <f t="shared" si="9"/>
        <v/>
      </c>
      <c r="N20" s="98" t="str">
        <f t="shared" si="9"/>
        <v/>
      </c>
    </row>
    <row r="21" spans="2:20" x14ac:dyDescent="0.3">
      <c r="B21" s="87"/>
      <c r="D21" s="65" t="str">
        <f t="shared" si="10"/>
        <v/>
      </c>
      <c r="E21" s="95"/>
      <c r="F21" s="95"/>
      <c r="G21" s="95"/>
      <c r="H21" s="95"/>
      <c r="I21" s="95"/>
      <c r="J21" s="64" t="str">
        <f t="shared" si="11"/>
        <v/>
      </c>
      <c r="K21" s="98" t="str">
        <f t="shared" si="9"/>
        <v/>
      </c>
      <c r="L21" s="98" t="str">
        <f t="shared" si="9"/>
        <v/>
      </c>
      <c r="M21" s="98" t="str">
        <f t="shared" si="9"/>
        <v/>
      </c>
      <c r="N21" s="98" t="str">
        <f t="shared" si="9"/>
        <v/>
      </c>
    </row>
    <row r="22" spans="2:20" x14ac:dyDescent="0.3">
      <c r="B22" s="1" t="s">
        <v>88</v>
      </c>
      <c r="D22" s="96">
        <f>SUM(D17:D21)</f>
        <v>0</v>
      </c>
      <c r="E22" s="97">
        <f>SUM(E17:E21)</f>
        <v>0</v>
      </c>
      <c r="F22" s="97">
        <f>SUM(F17:F21)</f>
        <v>0</v>
      </c>
      <c r="G22" s="97">
        <f t="shared" ref="G22:I22" si="12">SUM(G17:G21)</f>
        <v>0</v>
      </c>
      <c r="H22" s="97">
        <f t="shared" si="12"/>
        <v>0</v>
      </c>
      <c r="I22" s="97">
        <f t="shared" si="12"/>
        <v>0</v>
      </c>
      <c r="J22" s="67" t="str">
        <f t="shared" si="11"/>
        <v/>
      </c>
      <c r="K22" s="98" t="str">
        <f t="shared" si="9"/>
        <v/>
      </c>
      <c r="L22" s="98" t="str">
        <f t="shared" si="9"/>
        <v/>
      </c>
      <c r="M22" s="98" t="str">
        <f t="shared" si="9"/>
        <v/>
      </c>
      <c r="N22" s="98" t="str">
        <f t="shared" si="9"/>
        <v/>
      </c>
    </row>
    <row r="23" spans="2:20" ht="8.15" customHeight="1" x14ac:dyDescent="0.3">
      <c r="B23" s="1"/>
      <c r="D23" s="1"/>
      <c r="E23" s="97"/>
      <c r="F23" s="97"/>
      <c r="G23" s="97"/>
      <c r="H23" s="97"/>
      <c r="I23" s="97"/>
      <c r="J23" s="67"/>
      <c r="K23" s="1"/>
      <c r="L23" s="1"/>
      <c r="M23" s="1"/>
      <c r="N23" s="1"/>
    </row>
    <row r="24" spans="2:20" ht="15" customHeight="1" x14ac:dyDescent="0.35">
      <c r="B24" s="69" t="s">
        <v>89</v>
      </c>
      <c r="C24" s="70"/>
      <c r="D24" s="69" t="s">
        <v>90</v>
      </c>
      <c r="E24" s="70"/>
      <c r="F24" s="70"/>
      <c r="G24" s="70"/>
      <c r="H24" s="70"/>
      <c r="I24" s="70"/>
      <c r="J24" s="100" t="s">
        <v>91</v>
      </c>
      <c r="K24" s="101"/>
      <c r="L24" s="101"/>
      <c r="M24" s="101"/>
      <c r="N24" s="101"/>
    </row>
    <row r="25" spans="2:20" ht="4" customHeight="1" x14ac:dyDescent="0.35">
      <c r="B25" s="71"/>
      <c r="C25" s="71"/>
      <c r="D25" s="71"/>
      <c r="E25" s="71"/>
      <c r="F25" s="71"/>
      <c r="G25" s="71"/>
      <c r="H25" s="71"/>
      <c r="I25" s="71"/>
      <c r="J25" s="102"/>
      <c r="K25" s="102"/>
      <c r="L25" s="102"/>
      <c r="M25" s="102"/>
      <c r="N25" s="102"/>
    </row>
    <row r="26" spans="2:20" ht="40" customHeight="1" x14ac:dyDescent="0.3">
      <c r="B26" s="804"/>
      <c r="C26" s="804"/>
      <c r="D26" s="806"/>
      <c r="E26" s="806"/>
      <c r="F26" s="806"/>
      <c r="G26" s="806"/>
      <c r="H26" s="806"/>
      <c r="I26" s="806"/>
      <c r="J26" s="67"/>
      <c r="K26" s="1"/>
      <c r="L26" s="1"/>
      <c r="M26" s="1"/>
      <c r="N26" s="1"/>
    </row>
    <row r="27" spans="2:20" ht="40" customHeight="1" x14ac:dyDescent="0.3">
      <c r="B27" s="804"/>
      <c r="C27" s="804"/>
      <c r="D27" s="806"/>
      <c r="E27" s="806"/>
      <c r="F27" s="806"/>
      <c r="G27" s="806"/>
      <c r="H27" s="806"/>
      <c r="I27" s="806"/>
      <c r="J27" s="67"/>
      <c r="K27" s="1"/>
      <c r="L27" s="1"/>
      <c r="M27" s="1"/>
      <c r="N27" s="1"/>
    </row>
    <row r="28" spans="2:20" ht="40" customHeight="1" x14ac:dyDescent="0.3">
      <c r="B28" s="804"/>
      <c r="C28" s="804"/>
      <c r="D28" s="806"/>
      <c r="E28" s="806"/>
      <c r="F28" s="806"/>
      <c r="G28" s="806"/>
      <c r="H28" s="806"/>
      <c r="I28" s="806"/>
      <c r="J28" s="67"/>
      <c r="K28" s="1"/>
      <c r="L28" s="1"/>
      <c r="M28" s="1"/>
      <c r="N28" s="1"/>
    </row>
    <row r="29" spans="2:20" ht="40" hidden="1" customHeight="1" x14ac:dyDescent="0.3">
      <c r="B29" s="804" t="str">
        <f>IF(B20=0,"",B20)</f>
        <v/>
      </c>
      <c r="C29" s="804"/>
      <c r="D29" s="806"/>
      <c r="E29" s="806"/>
      <c r="F29" s="806"/>
      <c r="G29" s="806"/>
      <c r="H29" s="806"/>
      <c r="I29" s="806"/>
      <c r="J29" s="67"/>
      <c r="K29" s="1"/>
      <c r="L29" s="1"/>
      <c r="M29" s="1"/>
      <c r="N29" s="1"/>
    </row>
    <row r="30" spans="2:20" ht="40" hidden="1" customHeight="1" x14ac:dyDescent="0.3">
      <c r="B30" s="804" t="str">
        <f>IF(B21=0,"",B21)</f>
        <v/>
      </c>
      <c r="C30" s="804"/>
      <c r="D30" s="806"/>
      <c r="E30" s="806"/>
      <c r="F30" s="806"/>
      <c r="G30" s="806"/>
      <c r="H30" s="806"/>
      <c r="I30" s="806"/>
      <c r="J30" s="67"/>
      <c r="K30" s="1"/>
      <c r="L30" s="1"/>
      <c r="M30" s="1"/>
      <c r="N30" s="1"/>
    </row>
    <row r="31" spans="2:20" ht="8.15" customHeight="1" x14ac:dyDescent="0.3">
      <c r="E31" s="73"/>
      <c r="F31" s="73"/>
      <c r="G31" s="73"/>
      <c r="H31" s="73"/>
      <c r="I31" s="73"/>
      <c r="J31" s="103"/>
    </row>
    <row r="32" spans="2:20" ht="15.5" x14ac:dyDescent="0.35">
      <c r="B32" s="52" t="s">
        <v>92</v>
      </c>
      <c r="C32" s="56"/>
      <c r="D32" s="52" t="s">
        <v>87</v>
      </c>
      <c r="E32" s="57">
        <v>2020</v>
      </c>
      <c r="F32" s="57">
        <f>+E32+1</f>
        <v>2021</v>
      </c>
      <c r="G32" s="57">
        <f>+F32+1</f>
        <v>2022</v>
      </c>
      <c r="H32" s="57">
        <f t="shared" ref="H32:I32" si="13">+G32+1</f>
        <v>2023</v>
      </c>
      <c r="I32" s="104">
        <f t="shared" si="13"/>
        <v>2024</v>
      </c>
      <c r="J32" s="105">
        <f>I32+1</f>
        <v>2025</v>
      </c>
      <c r="K32" s="105">
        <f t="shared" ref="K32:T32" si="14">+J32+1</f>
        <v>2026</v>
      </c>
      <c r="L32" s="105">
        <f t="shared" si="14"/>
        <v>2027</v>
      </c>
      <c r="M32" s="105">
        <f t="shared" si="14"/>
        <v>2028</v>
      </c>
      <c r="N32" s="105">
        <f t="shared" si="14"/>
        <v>2029</v>
      </c>
      <c r="O32" s="105">
        <f t="shared" si="14"/>
        <v>2030</v>
      </c>
      <c r="P32" s="105">
        <f t="shared" si="14"/>
        <v>2031</v>
      </c>
      <c r="Q32" s="105">
        <f t="shared" si="14"/>
        <v>2032</v>
      </c>
      <c r="R32" s="105">
        <f t="shared" si="14"/>
        <v>2033</v>
      </c>
      <c r="S32" s="105">
        <f t="shared" si="14"/>
        <v>2034</v>
      </c>
      <c r="T32" s="105">
        <f t="shared" si="14"/>
        <v>2035</v>
      </c>
    </row>
    <row r="33" spans="2:20" ht="4" customHeight="1" x14ac:dyDescent="0.35">
      <c r="B33" s="53"/>
      <c r="C33" s="53"/>
      <c r="D33" s="53"/>
      <c r="E33" s="53"/>
      <c r="F33" s="53"/>
      <c r="G33" s="53"/>
      <c r="H33" s="53"/>
      <c r="I33" s="106"/>
      <c r="J33" s="60"/>
      <c r="K33" s="60"/>
      <c r="L33" s="60"/>
      <c r="M33" s="60"/>
      <c r="N33" s="60"/>
      <c r="O33" s="60"/>
      <c r="P33" s="60"/>
      <c r="Q33" s="60"/>
      <c r="R33" s="60"/>
      <c r="S33" s="60"/>
      <c r="T33" s="60"/>
    </row>
    <row r="34" spans="2:20" x14ac:dyDescent="0.3">
      <c r="D34" s="65" t="str">
        <f>IFERROR(I34/$I$13,"")</f>
        <v/>
      </c>
      <c r="E34" s="95"/>
      <c r="F34" s="95"/>
      <c r="G34" s="95"/>
      <c r="H34" s="95"/>
      <c r="I34" s="107"/>
      <c r="J34" s="108"/>
      <c r="K34" s="108"/>
      <c r="L34" s="108"/>
      <c r="M34" s="108"/>
      <c r="N34" s="108"/>
      <c r="O34" s="108"/>
      <c r="P34" s="108"/>
      <c r="Q34" s="108"/>
      <c r="R34" s="108"/>
      <c r="S34" s="108"/>
      <c r="T34" s="108"/>
    </row>
    <row r="35" spans="2:20" hidden="1" x14ac:dyDescent="0.3">
      <c r="D35" s="65"/>
      <c r="E35" s="109"/>
      <c r="F35" s="110"/>
      <c r="G35" s="110"/>
      <c r="H35" s="110"/>
      <c r="I35" s="111"/>
      <c r="J35" s="112"/>
      <c r="K35" s="112"/>
      <c r="L35" s="112"/>
      <c r="M35" s="112"/>
      <c r="N35" s="112"/>
      <c r="O35" s="112"/>
      <c r="P35" s="112"/>
      <c r="Q35" s="112"/>
      <c r="R35" s="112"/>
      <c r="S35" s="112"/>
      <c r="T35" s="112"/>
    </row>
    <row r="36" spans="2:20" x14ac:dyDescent="0.3">
      <c r="D36" s="65" t="str">
        <f>IFERROR(I36/$I$13,"")</f>
        <v/>
      </c>
      <c r="E36" s="95"/>
      <c r="F36" s="95"/>
      <c r="G36" s="95"/>
      <c r="H36" s="95"/>
      <c r="I36" s="107"/>
      <c r="J36" s="108"/>
      <c r="K36" s="108"/>
      <c r="L36" s="108"/>
      <c r="M36" s="108"/>
      <c r="N36" s="108"/>
      <c r="O36" s="108"/>
      <c r="P36" s="108"/>
      <c r="Q36" s="108"/>
      <c r="R36" s="108"/>
      <c r="S36" s="108"/>
      <c r="T36" s="108"/>
    </row>
    <row r="37" spans="2:20" hidden="1" x14ac:dyDescent="0.3">
      <c r="D37" s="65"/>
      <c r="E37" s="109"/>
      <c r="F37" s="65" t="str">
        <f>IFERROR((F36-E36)/E36,"")</f>
        <v/>
      </c>
      <c r="G37" s="65" t="str">
        <f>IFERROR((G36-F36)/F36,"")</f>
        <v/>
      </c>
      <c r="H37" s="65" t="str">
        <f>IFERROR((H36-G36)/G36,"")</f>
        <v/>
      </c>
      <c r="I37" s="113" t="str">
        <f>IFERROR((I36-H36)/H36,"")</f>
        <v/>
      </c>
      <c r="J37" s="112"/>
      <c r="K37" s="112"/>
      <c r="L37" s="112"/>
      <c r="M37" s="112"/>
      <c r="N37" s="112"/>
      <c r="O37" s="112"/>
      <c r="P37" s="112"/>
      <c r="Q37" s="112"/>
      <c r="R37" s="112"/>
      <c r="S37" s="112"/>
      <c r="T37" s="112"/>
    </row>
    <row r="38" spans="2:20" hidden="1" x14ac:dyDescent="0.3">
      <c r="B38" t="s">
        <v>93</v>
      </c>
      <c r="D38" s="65" t="str">
        <f>IFERROR(I38/$I$13,"")</f>
        <v/>
      </c>
      <c r="E38" s="95"/>
      <c r="F38" s="95"/>
      <c r="G38" s="95"/>
      <c r="H38" s="95"/>
      <c r="I38" s="114"/>
      <c r="J38" s="108">
        <f>I38*(1+J39)</f>
        <v>0</v>
      </c>
      <c r="K38" s="108">
        <f t="shared" ref="K38:T38" si="15">J38*(1+K39)</f>
        <v>0</v>
      </c>
      <c r="L38" s="108">
        <f t="shared" si="15"/>
        <v>0</v>
      </c>
      <c r="M38" s="108">
        <f t="shared" si="15"/>
        <v>0</v>
      </c>
      <c r="N38" s="108">
        <f t="shared" si="15"/>
        <v>0</v>
      </c>
      <c r="O38" s="108">
        <f t="shared" si="15"/>
        <v>0</v>
      </c>
      <c r="P38" s="108">
        <f t="shared" si="15"/>
        <v>0</v>
      </c>
      <c r="Q38" s="108">
        <f t="shared" si="15"/>
        <v>0</v>
      </c>
      <c r="R38" s="108">
        <f t="shared" si="15"/>
        <v>0</v>
      </c>
      <c r="S38" s="108">
        <f t="shared" si="15"/>
        <v>0</v>
      </c>
      <c r="T38" s="108">
        <f t="shared" si="15"/>
        <v>0</v>
      </c>
    </row>
    <row r="39" spans="2:20" hidden="1" x14ac:dyDescent="0.3">
      <c r="D39" s="65"/>
      <c r="E39" s="109"/>
      <c r="F39" s="109" t="str">
        <f>IFERROR(F38-E38/E38,"")</f>
        <v/>
      </c>
      <c r="G39" s="109" t="str">
        <f t="shared" ref="G39:I39" si="16">IFERROR(G38-F38/F38,"")</f>
        <v/>
      </c>
      <c r="H39" s="109" t="str">
        <f t="shared" si="16"/>
        <v/>
      </c>
      <c r="I39" s="111" t="str">
        <f t="shared" si="16"/>
        <v/>
      </c>
      <c r="J39" s="112"/>
      <c r="K39" s="112"/>
      <c r="L39" s="112"/>
      <c r="M39" s="112"/>
      <c r="N39" s="112"/>
      <c r="O39" s="112"/>
      <c r="P39" s="112"/>
      <c r="Q39" s="112"/>
      <c r="R39" s="112"/>
      <c r="S39" s="112"/>
      <c r="T39" s="112"/>
    </row>
    <row r="40" spans="2:20" hidden="1" x14ac:dyDescent="0.3">
      <c r="B40" t="s">
        <v>94</v>
      </c>
      <c r="D40" s="65" t="str">
        <f>IFERROR(I40/$I$13,"")</f>
        <v/>
      </c>
      <c r="E40" s="95"/>
      <c r="F40" s="95"/>
      <c r="G40" s="95"/>
      <c r="H40" s="95"/>
      <c r="I40" s="114"/>
      <c r="J40" s="108">
        <f>I40*(1+J41)</f>
        <v>0</v>
      </c>
      <c r="K40" s="108">
        <f t="shared" ref="K40:T40" si="17">J40*(1+K41)</f>
        <v>0</v>
      </c>
      <c r="L40" s="108">
        <f t="shared" si="17"/>
        <v>0</v>
      </c>
      <c r="M40" s="108">
        <f t="shared" si="17"/>
        <v>0</v>
      </c>
      <c r="N40" s="108">
        <f t="shared" si="17"/>
        <v>0</v>
      </c>
      <c r="O40" s="108">
        <f t="shared" si="17"/>
        <v>0</v>
      </c>
      <c r="P40" s="108">
        <f t="shared" si="17"/>
        <v>0</v>
      </c>
      <c r="Q40" s="108">
        <f t="shared" si="17"/>
        <v>0</v>
      </c>
      <c r="R40" s="108">
        <f t="shared" si="17"/>
        <v>0</v>
      </c>
      <c r="S40" s="108">
        <f t="shared" si="17"/>
        <v>0</v>
      </c>
      <c r="T40" s="108">
        <f t="shared" si="17"/>
        <v>0</v>
      </c>
    </row>
    <row r="41" spans="2:20" hidden="1" x14ac:dyDescent="0.3">
      <c r="D41" s="65"/>
      <c r="E41" s="109"/>
      <c r="F41" s="109" t="str">
        <f>IFERROR(F40-E40/E40,"")</f>
        <v/>
      </c>
      <c r="G41" s="109" t="str">
        <f t="shared" ref="G41:I41" si="18">IFERROR(G40-F40/F40,"")</f>
        <v/>
      </c>
      <c r="H41" s="109" t="str">
        <f t="shared" si="18"/>
        <v/>
      </c>
      <c r="I41" s="111" t="str">
        <f t="shared" si="18"/>
        <v/>
      </c>
      <c r="J41" s="112"/>
      <c r="K41" s="112"/>
      <c r="L41" s="112"/>
      <c r="M41" s="112"/>
      <c r="N41" s="112"/>
      <c r="O41" s="112"/>
      <c r="P41" s="112"/>
      <c r="Q41" s="112"/>
      <c r="R41" s="112"/>
      <c r="S41" s="112"/>
      <c r="T41" s="112"/>
    </row>
    <row r="42" spans="2:20" hidden="1" x14ac:dyDescent="0.3">
      <c r="B42" t="s">
        <v>95</v>
      </c>
      <c r="D42" s="65" t="str">
        <f>IFERROR(I42/$I$13,"")</f>
        <v/>
      </c>
      <c r="E42" s="95"/>
      <c r="F42" s="95"/>
      <c r="G42" s="95"/>
      <c r="H42" s="95"/>
      <c r="I42" s="114"/>
      <c r="J42" s="108">
        <f>I42*(1+J43)</f>
        <v>0</v>
      </c>
      <c r="K42" s="108">
        <f t="shared" ref="K42:T42" si="19">J42*(1+K43)</f>
        <v>0</v>
      </c>
      <c r="L42" s="108">
        <f t="shared" si="19"/>
        <v>0</v>
      </c>
      <c r="M42" s="108">
        <f t="shared" si="19"/>
        <v>0</v>
      </c>
      <c r="N42" s="108">
        <f t="shared" si="19"/>
        <v>0</v>
      </c>
      <c r="O42" s="108">
        <f t="shared" si="19"/>
        <v>0</v>
      </c>
      <c r="P42" s="108">
        <f t="shared" si="19"/>
        <v>0</v>
      </c>
      <c r="Q42" s="108">
        <f t="shared" si="19"/>
        <v>0</v>
      </c>
      <c r="R42" s="108">
        <f t="shared" si="19"/>
        <v>0</v>
      </c>
      <c r="S42" s="108">
        <f t="shared" si="19"/>
        <v>0</v>
      </c>
      <c r="T42" s="108">
        <f t="shared" si="19"/>
        <v>0</v>
      </c>
    </row>
    <row r="43" spans="2:20" hidden="1" x14ac:dyDescent="0.3">
      <c r="D43" s="65"/>
      <c r="E43" s="109"/>
      <c r="F43" s="109" t="str">
        <f>IFERROR(F42-E42/E42,"")</f>
        <v/>
      </c>
      <c r="G43" s="109" t="str">
        <f t="shared" ref="G43:I43" si="20">IFERROR(G42-F42/F42,"")</f>
        <v/>
      </c>
      <c r="H43" s="109" t="str">
        <f t="shared" si="20"/>
        <v/>
      </c>
      <c r="I43" s="111" t="str">
        <f t="shared" si="20"/>
        <v/>
      </c>
      <c r="J43" s="112"/>
      <c r="K43" s="112"/>
      <c r="L43" s="112"/>
      <c r="M43" s="112"/>
      <c r="N43" s="112"/>
      <c r="O43" s="112"/>
      <c r="P43" s="112"/>
      <c r="Q43" s="112"/>
      <c r="R43" s="112"/>
      <c r="S43" s="112"/>
      <c r="T43" s="112"/>
    </row>
    <row r="44" spans="2:20" x14ac:dyDescent="0.3">
      <c r="B44" s="1" t="s">
        <v>88</v>
      </c>
      <c r="D44" s="96">
        <f>SUM(D34:D42)</f>
        <v>0</v>
      </c>
      <c r="E44" s="97">
        <f>SUM(E34:E42)</f>
        <v>0</v>
      </c>
      <c r="F44" s="97">
        <f t="shared" ref="F44:T44" si="21">SUM(F34:F42)</f>
        <v>0</v>
      </c>
      <c r="G44" s="97">
        <f t="shared" si="21"/>
        <v>0</v>
      </c>
      <c r="H44" s="97">
        <f t="shared" si="21"/>
        <v>0</v>
      </c>
      <c r="I44" s="115">
        <f t="shared" si="21"/>
        <v>0</v>
      </c>
      <c r="J44" s="97">
        <f t="shared" si="21"/>
        <v>0</v>
      </c>
      <c r="K44" s="97">
        <f t="shared" si="21"/>
        <v>0</v>
      </c>
      <c r="L44" s="97">
        <f t="shared" si="21"/>
        <v>0</v>
      </c>
      <c r="M44" s="97">
        <f t="shared" si="21"/>
        <v>0</v>
      </c>
      <c r="N44" s="97">
        <f t="shared" si="21"/>
        <v>0</v>
      </c>
      <c r="O44" s="97">
        <f t="shared" si="21"/>
        <v>0</v>
      </c>
      <c r="P44" s="97">
        <f t="shared" si="21"/>
        <v>0</v>
      </c>
      <c r="Q44" s="97">
        <f t="shared" si="21"/>
        <v>0</v>
      </c>
      <c r="R44" s="97">
        <f t="shared" si="21"/>
        <v>0</v>
      </c>
      <c r="S44" s="97">
        <f t="shared" si="21"/>
        <v>0</v>
      </c>
      <c r="T44" s="97">
        <f t="shared" si="21"/>
        <v>0</v>
      </c>
    </row>
    <row r="45" spans="2:20" ht="8.15" customHeight="1" x14ac:dyDescent="0.3"/>
    <row r="46" spans="2:20" ht="15.5" x14ac:dyDescent="0.35">
      <c r="B46" s="69" t="s">
        <v>96</v>
      </c>
      <c r="C46" s="70"/>
      <c r="D46" s="69"/>
      <c r="E46" s="70"/>
      <c r="F46" s="70"/>
      <c r="G46" s="70"/>
      <c r="H46" s="70"/>
      <c r="I46" s="70"/>
      <c r="J46" s="100"/>
      <c r="K46" s="101"/>
      <c r="L46" s="101"/>
      <c r="M46" s="101"/>
      <c r="N46" s="101"/>
      <c r="O46" s="101"/>
    </row>
    <row r="47" spans="2:20" ht="4" customHeight="1" x14ac:dyDescent="0.35">
      <c r="B47" s="71"/>
      <c r="C47" s="71"/>
      <c r="D47" s="71"/>
      <c r="E47" s="71"/>
      <c r="F47" s="71"/>
      <c r="G47" s="71"/>
      <c r="H47" s="71"/>
      <c r="I47" s="71"/>
      <c r="J47" s="102"/>
      <c r="K47" s="102"/>
      <c r="L47" s="102"/>
      <c r="M47" s="102"/>
      <c r="N47" s="102"/>
      <c r="O47" s="102"/>
    </row>
    <row r="48" spans="2:20" ht="40" customHeight="1" x14ac:dyDescent="0.3">
      <c r="B48" s="116"/>
      <c r="D48" s="807"/>
      <c r="E48" s="807"/>
      <c r="F48" s="807"/>
      <c r="G48" s="807"/>
      <c r="H48" s="807"/>
      <c r="I48" s="807"/>
      <c r="J48" s="807"/>
      <c r="K48" s="807"/>
      <c r="L48" s="807"/>
      <c r="M48" s="807"/>
      <c r="N48" s="807"/>
      <c r="O48" s="807"/>
    </row>
    <row r="49" spans="2:14" ht="40" customHeight="1" x14ac:dyDescent="0.3">
      <c r="B49" s="804"/>
      <c r="C49" s="804"/>
      <c r="D49" s="805"/>
      <c r="E49" s="805"/>
      <c r="F49" s="805"/>
      <c r="G49" s="805"/>
      <c r="H49" s="805"/>
      <c r="I49" s="805"/>
      <c r="J49" s="805"/>
      <c r="K49" s="805"/>
      <c r="L49" s="805"/>
      <c r="M49" s="805"/>
      <c r="N49" s="805"/>
    </row>
    <row r="50" spans="2:14" ht="40" customHeight="1" x14ac:dyDescent="0.3">
      <c r="B50" s="804"/>
      <c r="C50" s="804"/>
      <c r="D50" s="805"/>
      <c r="E50" s="805"/>
      <c r="F50" s="805"/>
      <c r="G50" s="805"/>
      <c r="H50" s="805"/>
      <c r="I50" s="805"/>
      <c r="J50" s="805"/>
      <c r="K50" s="805"/>
      <c r="L50" s="805"/>
      <c r="M50" s="805"/>
      <c r="N50" s="805"/>
    </row>
    <row r="51" spans="2:14" ht="40" customHeight="1" x14ac:dyDescent="0.3">
      <c r="B51" s="804"/>
      <c r="C51" s="804"/>
      <c r="D51" s="805"/>
      <c r="E51" s="805"/>
      <c r="F51" s="805"/>
      <c r="G51" s="805"/>
      <c r="H51" s="805"/>
      <c r="I51" s="805"/>
      <c r="J51" s="805"/>
      <c r="K51" s="805"/>
      <c r="L51" s="805"/>
      <c r="M51" s="805"/>
      <c r="N51" s="805"/>
    </row>
    <row r="52" spans="2:14" ht="40" customHeight="1" x14ac:dyDescent="0.3">
      <c r="B52" s="804"/>
      <c r="C52" s="804"/>
      <c r="D52" s="689"/>
    </row>
  </sheetData>
  <mergeCells count="18">
    <mergeCell ref="B50:C50"/>
    <mergeCell ref="D50:N50"/>
    <mergeCell ref="B51:C51"/>
    <mergeCell ref="D51:N51"/>
    <mergeCell ref="B52:C52"/>
    <mergeCell ref="B49:C49"/>
    <mergeCell ref="D49:N49"/>
    <mergeCell ref="B26:C26"/>
    <mergeCell ref="D26:I26"/>
    <mergeCell ref="B27:C27"/>
    <mergeCell ref="D27:I27"/>
    <mergeCell ref="B28:C28"/>
    <mergeCell ref="D28:I28"/>
    <mergeCell ref="B29:C29"/>
    <mergeCell ref="D29:I29"/>
    <mergeCell ref="B30:C30"/>
    <mergeCell ref="D30:I30"/>
    <mergeCell ref="D48:O48"/>
  </mergeCells>
  <conditionalFormatting sqref="D6:D12">
    <cfRule type="dataBar" priority="4">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3">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3">
    <cfRule type="dataBar" priority="2">
      <dataBar>
        <cfvo type="min"/>
        <cfvo type="max"/>
        <color rgb="FF63C384"/>
      </dataBar>
      <extLst>
        <ext xmlns:x14="http://schemas.microsoft.com/office/spreadsheetml/2009/9/main" uri="{B025F937-C7B1-47D3-B67F-A62EFF666E3E}">
          <x14:id>{8289347D-B214-462A-80A7-26906AF72159}</x14:id>
        </ext>
      </extLst>
    </cfRule>
  </conditionalFormatting>
  <conditionalFormatting sqref="K6:K12">
    <cfRule type="dataBar" priority="11">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7:K22">
    <cfRule type="dataBar" priority="8">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L12">
    <cfRule type="dataBar" priority="10">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7">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9">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6">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1">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5">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D34:D43</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L6:L12</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3"/>
  <sheetViews>
    <sheetView showGridLines="0" zoomScale="64" zoomScaleNormal="78" workbookViewId="0">
      <selection activeCell="E28" sqref="E28"/>
    </sheetView>
  </sheetViews>
  <sheetFormatPr defaultColWidth="8.83203125" defaultRowHeight="14" x14ac:dyDescent="0.3"/>
  <cols>
    <col min="1" max="1" width="2.33203125" customWidth="1"/>
    <col min="2" max="2" width="22" customWidth="1"/>
    <col min="4" max="4" width="11" customWidth="1"/>
    <col min="5" max="5" width="13.08203125" customWidth="1"/>
    <col min="6" max="16" width="12.58203125" customWidth="1"/>
    <col min="17" max="17" width="21.58203125" style="6" customWidth="1"/>
    <col min="18" max="32" width="12.58203125" customWidth="1"/>
  </cols>
  <sheetData>
    <row r="2" spans="2:18" s="41" customFormat="1" ht="20.149999999999999" customHeight="1" x14ac:dyDescent="0.4">
      <c r="B2" s="40" t="s">
        <v>97</v>
      </c>
      <c r="Q2" s="42"/>
    </row>
    <row r="4" spans="2:18" ht="15.5" x14ac:dyDescent="0.35">
      <c r="B4" s="52" t="s">
        <v>98</v>
      </c>
      <c r="C4" s="56"/>
      <c r="D4" s="56"/>
      <c r="E4" s="52" t="s">
        <v>87</v>
      </c>
      <c r="F4" s="57">
        <v>2025</v>
      </c>
      <c r="G4" s="57">
        <f>+F4+1</f>
        <v>2026</v>
      </c>
      <c r="H4" s="57">
        <f>+G4+1</f>
        <v>2027</v>
      </c>
      <c r="I4" s="57">
        <f t="shared" ref="I4:P4" si="0">+H4+1</f>
        <v>2028</v>
      </c>
      <c r="J4" s="57">
        <f t="shared" si="0"/>
        <v>2029</v>
      </c>
      <c r="K4" s="57">
        <f t="shared" si="0"/>
        <v>2030</v>
      </c>
      <c r="L4" s="57">
        <f t="shared" si="0"/>
        <v>2031</v>
      </c>
      <c r="M4" s="57">
        <f t="shared" si="0"/>
        <v>2032</v>
      </c>
      <c r="N4" s="57">
        <f t="shared" si="0"/>
        <v>2033</v>
      </c>
      <c r="O4" s="57">
        <f t="shared" si="0"/>
        <v>2034</v>
      </c>
      <c r="P4" s="57">
        <f t="shared" si="0"/>
        <v>2035</v>
      </c>
      <c r="Q4" s="58" t="str">
        <f>"CAGR "&amp;$F$4&amp;" - "&amp;$P$4</f>
        <v>CAGR 2025 - 2035</v>
      </c>
      <c r="R4" s="59" t="s">
        <v>99</v>
      </c>
    </row>
    <row r="5" spans="2:18" ht="4" customHeight="1" x14ac:dyDescent="0.35">
      <c r="B5" s="53"/>
      <c r="C5" s="53"/>
      <c r="D5" s="53"/>
      <c r="E5" s="53"/>
      <c r="F5" s="53"/>
      <c r="G5" s="53"/>
      <c r="H5" s="53"/>
      <c r="I5" s="53"/>
      <c r="J5" s="53"/>
      <c r="K5" s="53"/>
      <c r="L5" s="53"/>
      <c r="M5" s="53"/>
      <c r="N5" s="53"/>
      <c r="O5" s="53"/>
      <c r="P5" s="53"/>
      <c r="Q5" s="60"/>
      <c r="R5" s="60"/>
    </row>
    <row r="6" spans="2:18" x14ac:dyDescent="0.3">
      <c r="D6" s="61"/>
      <c r="E6" s="62"/>
      <c r="F6" s="688"/>
      <c r="G6" s="688"/>
      <c r="H6" s="688"/>
      <c r="I6" s="688"/>
      <c r="J6" s="688"/>
      <c r="K6" s="688"/>
      <c r="L6" s="688"/>
      <c r="M6" s="688"/>
      <c r="N6" s="688"/>
      <c r="O6" s="688"/>
      <c r="P6" s="688"/>
      <c r="Q6" s="64"/>
      <c r="R6" s="65"/>
    </row>
    <row r="7" spans="2:18" x14ac:dyDescent="0.3">
      <c r="D7" s="61"/>
      <c r="E7" s="62"/>
      <c r="F7" s="688"/>
      <c r="G7" s="688"/>
      <c r="H7" s="688"/>
      <c r="I7" s="688"/>
      <c r="J7" s="688"/>
      <c r="K7" s="688"/>
      <c r="L7" s="688"/>
      <c r="M7" s="688"/>
      <c r="N7" s="688"/>
      <c r="O7" s="688"/>
      <c r="P7" s="688"/>
      <c r="Q7" s="64"/>
      <c r="R7" s="65"/>
    </row>
    <row r="8" spans="2:18" x14ac:dyDescent="0.3">
      <c r="D8" s="61"/>
      <c r="E8" s="62"/>
      <c r="F8" s="63"/>
      <c r="G8" s="63"/>
      <c r="H8" s="63"/>
      <c r="I8" s="63"/>
      <c r="J8" s="63"/>
      <c r="K8" s="63"/>
      <c r="L8" s="63"/>
      <c r="M8" s="63"/>
      <c r="N8" s="63"/>
      <c r="O8" s="63"/>
      <c r="P8" s="63"/>
      <c r="Q8" s="64"/>
      <c r="R8" s="65"/>
    </row>
    <row r="9" spans="2:18" x14ac:dyDescent="0.3">
      <c r="D9" s="61"/>
      <c r="E9" s="62"/>
      <c r="F9" s="62"/>
      <c r="G9" s="62"/>
      <c r="H9" s="62"/>
      <c r="I9" s="62"/>
      <c r="J9" s="62"/>
      <c r="K9" s="62"/>
      <c r="L9" s="62"/>
      <c r="M9" s="62"/>
      <c r="N9" s="62"/>
      <c r="O9" s="62"/>
      <c r="P9" s="62"/>
      <c r="Q9" s="64"/>
      <c r="R9" s="65"/>
    </row>
    <row r="10" spans="2:18" x14ac:dyDescent="0.3">
      <c r="D10" s="61"/>
      <c r="E10" s="62"/>
      <c r="F10" s="62"/>
      <c r="G10" s="62"/>
      <c r="H10" s="62"/>
      <c r="I10" s="62"/>
      <c r="J10" s="62"/>
      <c r="K10" s="62"/>
      <c r="L10" s="62"/>
      <c r="M10" s="62"/>
      <c r="N10" s="62"/>
      <c r="O10" s="62"/>
      <c r="P10" s="62"/>
      <c r="Q10" s="64"/>
      <c r="R10" s="65"/>
    </row>
    <row r="11" spans="2:18" x14ac:dyDescent="0.3">
      <c r="B11" s="1" t="s">
        <v>100</v>
      </c>
      <c r="E11" s="66">
        <f>SUM(E6:E10)</f>
        <v>0</v>
      </c>
      <c r="F11" s="66">
        <f t="shared" ref="F11:P11" si="1">SUMPRODUCT(F6:F10,$E$6:$E$10)</f>
        <v>0</v>
      </c>
      <c r="G11" s="66">
        <f t="shared" si="1"/>
        <v>0</v>
      </c>
      <c r="H11" s="66">
        <f t="shared" si="1"/>
        <v>0</v>
      </c>
      <c r="I11" s="66">
        <f t="shared" si="1"/>
        <v>0</v>
      </c>
      <c r="J11" s="66">
        <f t="shared" si="1"/>
        <v>0</v>
      </c>
      <c r="K11" s="66">
        <f t="shared" si="1"/>
        <v>0</v>
      </c>
      <c r="L11" s="66">
        <f t="shared" si="1"/>
        <v>0</v>
      </c>
      <c r="M11" s="66">
        <f t="shared" si="1"/>
        <v>0</v>
      </c>
      <c r="N11" s="66">
        <f t="shared" si="1"/>
        <v>0</v>
      </c>
      <c r="O11" s="66">
        <f t="shared" si="1"/>
        <v>0</v>
      </c>
      <c r="P11" s="66">
        <f t="shared" si="1"/>
        <v>0</v>
      </c>
      <c r="Q11" s="67">
        <f t="shared" ref="Q11" si="2">IFERROR(((1+F11)*(1+G11)*(1+H11)*(1+I11)*(1+J11)*(1+K11)*(1+L11)*(1+M11)*(1+N11)*(1+O11)*(1+P11))^(1/COUNT($F$4:$P$4))-1,"")</f>
        <v>0</v>
      </c>
      <c r="R11" s="68"/>
    </row>
    <row r="12" spans="2:18" ht="8.15" customHeight="1" x14ac:dyDescent="0.3"/>
    <row r="13" spans="2:18" ht="15" customHeight="1" x14ac:dyDescent="0.35">
      <c r="B13" s="69" t="s">
        <v>101</v>
      </c>
      <c r="C13" s="70"/>
      <c r="D13" s="70"/>
      <c r="E13" s="69" t="s">
        <v>90</v>
      </c>
      <c r="F13" s="70"/>
      <c r="G13" s="70"/>
      <c r="H13" s="70"/>
      <c r="I13" s="70"/>
      <c r="J13" s="70"/>
      <c r="K13" s="70"/>
      <c r="L13" s="70"/>
      <c r="M13" s="70"/>
      <c r="N13" s="70"/>
      <c r="O13" s="70"/>
      <c r="P13" s="70"/>
      <c r="Q13"/>
      <c r="R13" s="67"/>
    </row>
    <row r="14" spans="2:18" ht="4" customHeight="1" x14ac:dyDescent="0.35">
      <c r="B14" s="71"/>
      <c r="C14" s="71"/>
      <c r="D14" s="71"/>
      <c r="E14" s="71"/>
      <c r="F14" s="71"/>
      <c r="G14" s="71"/>
      <c r="H14" s="71"/>
      <c r="I14" s="71"/>
      <c r="J14" s="71"/>
      <c r="K14" s="71"/>
      <c r="L14" s="71"/>
      <c r="M14" s="71"/>
      <c r="N14" s="71"/>
      <c r="O14" s="71"/>
      <c r="P14" s="71"/>
      <c r="Q14" s="67"/>
      <c r="R14" s="67"/>
    </row>
    <row r="15" spans="2:18" ht="40" customHeight="1" x14ac:dyDescent="0.3">
      <c r="B15" s="804"/>
      <c r="C15" s="804"/>
      <c r="D15" s="72"/>
      <c r="E15" s="806"/>
      <c r="F15" s="806"/>
      <c r="G15" s="806"/>
      <c r="H15" s="806"/>
      <c r="I15" s="806"/>
      <c r="J15" s="806"/>
      <c r="K15" s="806"/>
      <c r="L15" s="806"/>
      <c r="M15" s="806"/>
      <c r="N15" s="806"/>
      <c r="O15" s="806"/>
      <c r="P15" s="806"/>
      <c r="Q15" s="67"/>
      <c r="R15" s="1"/>
    </row>
    <row r="16" spans="2:18" ht="40" customHeight="1" x14ac:dyDescent="0.3">
      <c r="B16" s="804"/>
      <c r="C16" s="804"/>
      <c r="D16" s="72"/>
      <c r="E16" s="806"/>
      <c r="F16" s="806"/>
      <c r="G16" s="806"/>
      <c r="H16" s="806"/>
      <c r="I16" s="806"/>
      <c r="J16" s="806"/>
      <c r="K16" s="806"/>
      <c r="L16" s="806"/>
      <c r="M16" s="806"/>
      <c r="N16" s="806"/>
      <c r="O16" s="806"/>
      <c r="P16" s="806"/>
    </row>
    <row r="17" spans="2:16" ht="40" customHeight="1" x14ac:dyDescent="0.3">
      <c r="B17" s="804"/>
      <c r="C17" s="804"/>
      <c r="D17" s="72"/>
      <c r="E17" s="806"/>
      <c r="F17" s="806"/>
      <c r="G17" s="806"/>
      <c r="H17" s="806"/>
      <c r="I17" s="806"/>
      <c r="J17" s="806"/>
      <c r="K17" s="806"/>
      <c r="L17" s="806"/>
      <c r="M17" s="806"/>
      <c r="N17" s="806"/>
      <c r="O17" s="806"/>
      <c r="P17" s="806"/>
    </row>
    <row r="18" spans="2:16" ht="40" customHeight="1" x14ac:dyDescent="0.3">
      <c r="B18" s="804"/>
      <c r="C18" s="804"/>
      <c r="D18" s="72"/>
      <c r="E18" s="806"/>
      <c r="F18" s="806"/>
      <c r="G18" s="806"/>
      <c r="H18" s="806"/>
      <c r="I18" s="806"/>
      <c r="J18" s="806"/>
      <c r="K18" s="806"/>
      <c r="L18" s="806"/>
      <c r="M18" s="806"/>
      <c r="N18" s="806"/>
      <c r="O18" s="806"/>
      <c r="P18" s="806"/>
    </row>
    <row r="19" spans="2:16" ht="8.15" customHeight="1" x14ac:dyDescent="0.3">
      <c r="F19" s="73"/>
      <c r="G19" s="73"/>
      <c r="H19" s="73"/>
      <c r="I19" s="73"/>
      <c r="J19" s="73"/>
      <c r="K19" s="73"/>
      <c r="L19" s="73"/>
      <c r="M19" s="73"/>
      <c r="N19" s="73"/>
      <c r="O19" s="73"/>
      <c r="P19" s="73"/>
    </row>
    <row r="20" spans="2:16" ht="15.5" x14ac:dyDescent="0.35">
      <c r="B20" s="69" t="s">
        <v>102</v>
      </c>
      <c r="C20" s="70"/>
      <c r="D20" s="70"/>
      <c r="E20" s="69" t="s">
        <v>90</v>
      </c>
      <c r="F20" s="70"/>
      <c r="G20" s="70"/>
      <c r="H20" s="70"/>
      <c r="I20" s="70"/>
      <c r="J20" s="70"/>
      <c r="K20" s="70"/>
      <c r="L20" s="70"/>
      <c r="M20" s="70"/>
      <c r="N20" s="70"/>
      <c r="O20" s="70"/>
      <c r="P20" s="70"/>
    </row>
    <row r="21" spans="2:16" ht="4" customHeight="1" x14ac:dyDescent="0.35">
      <c r="B21" s="71"/>
      <c r="C21" s="71"/>
      <c r="D21" s="71"/>
      <c r="E21" s="71"/>
      <c r="F21" s="71"/>
      <c r="G21" s="71"/>
      <c r="H21" s="71"/>
      <c r="I21" s="71"/>
      <c r="J21" s="71"/>
      <c r="K21" s="71"/>
      <c r="L21" s="71"/>
      <c r="M21" s="71"/>
      <c r="N21" s="71"/>
      <c r="O21" s="71"/>
      <c r="P21" s="71"/>
    </row>
    <row r="22" spans="2:16" ht="40" customHeight="1" x14ac:dyDescent="0.3">
      <c r="B22" s="804"/>
      <c r="C22" s="804"/>
      <c r="D22" s="72"/>
      <c r="E22" s="806"/>
      <c r="F22" s="806"/>
      <c r="G22" s="806"/>
      <c r="H22" s="806"/>
      <c r="I22" s="806"/>
      <c r="J22" s="806"/>
      <c r="K22" s="806"/>
      <c r="L22" s="806"/>
      <c r="M22" s="806"/>
      <c r="N22" s="806"/>
      <c r="O22" s="806"/>
      <c r="P22" s="806"/>
    </row>
    <row r="23" spans="2:16" ht="40" customHeight="1" x14ac:dyDescent="0.3">
      <c r="B23" s="804"/>
      <c r="C23" s="804"/>
      <c r="D23" s="72"/>
      <c r="E23" s="806"/>
      <c r="F23" s="806"/>
      <c r="G23" s="806"/>
      <c r="H23" s="806"/>
      <c r="I23" s="806"/>
      <c r="J23" s="806"/>
      <c r="K23" s="806"/>
      <c r="L23" s="806"/>
      <c r="M23" s="806"/>
      <c r="N23" s="806"/>
      <c r="O23" s="806"/>
      <c r="P23" s="806"/>
    </row>
    <row r="24" spans="2:16" ht="40" hidden="1" customHeight="1" x14ac:dyDescent="0.3">
      <c r="B24" s="804"/>
      <c r="C24" s="804"/>
      <c r="D24" s="72"/>
      <c r="E24" s="806"/>
      <c r="F24" s="806"/>
      <c r="G24" s="806"/>
      <c r="H24" s="806"/>
      <c r="I24" s="806"/>
      <c r="J24" s="806"/>
      <c r="K24" s="806"/>
      <c r="L24" s="806"/>
      <c r="M24" s="806"/>
      <c r="N24" s="806"/>
      <c r="O24" s="806"/>
      <c r="P24" s="806"/>
    </row>
    <row r="25" spans="2:16" ht="8.15" customHeight="1" x14ac:dyDescent="0.3">
      <c r="B25" s="804"/>
      <c r="C25" s="804"/>
      <c r="D25" s="72"/>
      <c r="E25" s="806"/>
      <c r="F25" s="806"/>
      <c r="G25" s="806"/>
      <c r="H25" s="806"/>
      <c r="I25" s="806"/>
      <c r="J25" s="806"/>
      <c r="K25" s="806"/>
      <c r="L25" s="806"/>
      <c r="M25" s="806"/>
      <c r="N25" s="806"/>
      <c r="O25" s="806"/>
      <c r="P25" s="806"/>
    </row>
    <row r="26" spans="2:16" ht="15.5" x14ac:dyDescent="0.35">
      <c r="B26" s="52" t="s">
        <v>103</v>
      </c>
      <c r="C26" s="56"/>
      <c r="D26" s="56"/>
      <c r="E26" s="52" t="s">
        <v>104</v>
      </c>
      <c r="F26" s="52"/>
      <c r="G26" s="74" t="s">
        <v>105</v>
      </c>
      <c r="H26" s="75" t="s">
        <v>106</v>
      </c>
      <c r="I26" s="57" t="s">
        <v>103</v>
      </c>
      <c r="J26" s="57"/>
      <c r="K26" s="57"/>
      <c r="L26" s="57"/>
      <c r="M26" s="57"/>
      <c r="N26" s="57"/>
      <c r="O26" s="57"/>
      <c r="P26" s="57"/>
    </row>
    <row r="27" spans="2:16" ht="4" customHeight="1" x14ac:dyDescent="0.35">
      <c r="B27" s="53"/>
      <c r="C27" s="53"/>
      <c r="D27" s="53"/>
      <c r="E27" s="53"/>
      <c r="F27" s="53"/>
      <c r="G27" s="53"/>
      <c r="H27" s="53"/>
      <c r="I27" s="53"/>
      <c r="J27" s="53"/>
      <c r="K27" s="53"/>
      <c r="L27" s="53"/>
      <c r="M27" s="53"/>
      <c r="N27" s="53"/>
      <c r="O27" s="53"/>
      <c r="P27" s="53"/>
    </row>
    <row r="28" spans="2:16" x14ac:dyDescent="0.3">
      <c r="B28" s="76" t="str" cm="1">
        <f t="array" aca="1" ref="B28" ca="1">+_FV(DCF!R4,"Name")</f>
        <v>ADVANCED MICRO DEVICES, INC.</v>
      </c>
      <c r="C28" s="76"/>
      <c r="D28" s="76"/>
      <c r="E28" s="77"/>
      <c r="F28" s="77"/>
      <c r="G28" s="78" cm="1">
        <f t="array" ref="G28:G38">TRANSPOSE(Peers!D97:N97)</f>
        <v>0</v>
      </c>
      <c r="H28" s="76"/>
      <c r="I28" s="79" t="str">
        <f t="shared" ref="I28:I35" si="3">IFERROR(G28/$G$40,"")</f>
        <v/>
      </c>
    </row>
    <row r="29" spans="2:16" x14ac:dyDescent="0.3">
      <c r="B29" t="e" cm="1" vm="1">
        <f t="array" ref="B29">+_FV(Peers!A8,"Name")</f>
        <v>#VALUE!</v>
      </c>
      <c r="E29" s="80"/>
      <c r="F29" s="80"/>
      <c r="G29" s="81">
        <v>0</v>
      </c>
      <c r="I29" s="82" t="str">
        <f t="shared" si="3"/>
        <v/>
      </c>
    </row>
    <row r="30" spans="2:16" x14ac:dyDescent="0.3">
      <c r="B30" t="e" cm="1" vm="1">
        <f t="array" ref="B30">+_FV(Peers!A9,"Name")</f>
        <v>#VALUE!</v>
      </c>
      <c r="E30" s="80"/>
      <c r="F30" s="80"/>
      <c r="G30" s="81">
        <v>0</v>
      </c>
      <c r="I30" s="82" t="str">
        <f t="shared" si="3"/>
        <v/>
      </c>
    </row>
    <row r="31" spans="2:16" x14ac:dyDescent="0.3">
      <c r="B31" t="e" cm="1" vm="1">
        <f t="array" ref="B31">+_FV(Peers!A10,"Name")</f>
        <v>#VALUE!</v>
      </c>
      <c r="E31" s="80"/>
      <c r="F31" s="80"/>
      <c r="G31" s="81">
        <v>0</v>
      </c>
      <c r="I31" s="82" t="str">
        <f t="shared" si="3"/>
        <v/>
      </c>
    </row>
    <row r="32" spans="2:16" x14ac:dyDescent="0.3">
      <c r="B32" t="e" cm="1" vm="1">
        <f t="array" ref="B32">+_FV(Peers!A11,"Name")</f>
        <v>#VALUE!</v>
      </c>
      <c r="E32" s="80"/>
      <c r="F32" s="80"/>
      <c r="G32" s="81">
        <v>0</v>
      </c>
      <c r="I32" s="82" t="str">
        <f t="shared" si="3"/>
        <v/>
      </c>
    </row>
    <row r="33" spans="2:16" x14ac:dyDescent="0.3">
      <c r="B33" t="e" cm="1" vm="1">
        <f t="array" ref="B33">+_FV(Peers!A12,"Name")</f>
        <v>#VALUE!</v>
      </c>
      <c r="E33" s="80"/>
      <c r="F33" s="80"/>
      <c r="G33" s="81">
        <v>0</v>
      </c>
      <c r="I33" s="82" t="str">
        <f t="shared" si="3"/>
        <v/>
      </c>
    </row>
    <row r="34" spans="2:16" x14ac:dyDescent="0.3">
      <c r="B34" t="e" cm="1" vm="1">
        <f t="array" ref="B34">+_FV(Peers!A13,"Name")</f>
        <v>#VALUE!</v>
      </c>
      <c r="E34" s="80"/>
      <c r="F34" s="80"/>
      <c r="G34" s="81">
        <v>0</v>
      </c>
      <c r="I34" s="82" t="str">
        <f t="shared" si="3"/>
        <v/>
      </c>
    </row>
    <row r="35" spans="2:16" x14ac:dyDescent="0.3">
      <c r="B35" t="e" cm="1" vm="1">
        <f t="array" ref="B35">+_FV(Peers!A14,"Name")</f>
        <v>#VALUE!</v>
      </c>
      <c r="E35" s="80"/>
      <c r="F35" s="80"/>
      <c r="G35" s="81">
        <v>0</v>
      </c>
      <c r="I35" s="82" t="str">
        <f t="shared" si="3"/>
        <v/>
      </c>
    </row>
    <row r="36" spans="2:16" x14ac:dyDescent="0.3">
      <c r="B36" t="e" cm="1" vm="1">
        <f t="array" ref="B36">+_FV(Peers!A15,"Name")</f>
        <v>#VALUE!</v>
      </c>
      <c r="E36" s="80"/>
      <c r="F36" s="80"/>
      <c r="G36" s="81">
        <v>0</v>
      </c>
      <c r="I36" s="82" t="str">
        <f>IFERROR(G36/$G$40,"")</f>
        <v/>
      </c>
    </row>
    <row r="37" spans="2:16" x14ac:dyDescent="0.3">
      <c r="B37" t="e" cm="1" vm="1">
        <f t="array" ref="B37">+_FV(Peers!A16,"Name")</f>
        <v>#VALUE!</v>
      </c>
      <c r="E37" s="80"/>
      <c r="F37" s="80"/>
      <c r="G37" s="81">
        <v>0</v>
      </c>
      <c r="I37" s="83" t="str">
        <f>IFERROR(G37/$G$40,"")</f>
        <v/>
      </c>
    </row>
    <row r="38" spans="2:16" x14ac:dyDescent="0.3">
      <c r="B38" t="e" cm="1" vm="1">
        <f t="array" ref="B38">+_FV(Peers!A17,"Name")</f>
        <v>#VALUE!</v>
      </c>
      <c r="E38" s="80"/>
      <c r="F38" s="80"/>
      <c r="G38" s="81">
        <v>0</v>
      </c>
      <c r="I38" s="83" t="str">
        <f>IFERROR(G38/$G$40,"")</f>
        <v/>
      </c>
    </row>
    <row r="39" spans="2:16" x14ac:dyDescent="0.3">
      <c r="B39" s="38" t="s">
        <v>107</v>
      </c>
      <c r="C39" s="38"/>
      <c r="D39" s="38"/>
      <c r="E39" s="84" t="s">
        <v>108</v>
      </c>
      <c r="F39" s="38"/>
      <c r="G39" s="85">
        <f>G40-SUM(G28:G38)</f>
        <v>0</v>
      </c>
      <c r="H39" s="38"/>
      <c r="I39" s="86" t="str">
        <f t="shared" ref="I39" si="4">IFERROR(G39/$G$40,"")</f>
        <v/>
      </c>
    </row>
    <row r="40" spans="2:16" x14ac:dyDescent="0.3">
      <c r="B40" s="1" t="s">
        <v>109</v>
      </c>
      <c r="E40" s="87" t="s">
        <v>108</v>
      </c>
      <c r="G40" s="81"/>
      <c r="H40" s="27"/>
      <c r="I40" s="88">
        <v>1</v>
      </c>
    </row>
    <row r="41" spans="2:16" ht="8.15" customHeight="1" x14ac:dyDescent="0.3"/>
    <row r="42" spans="2:16" ht="15.5" x14ac:dyDescent="0.35">
      <c r="B42" s="52" t="s">
        <v>110</v>
      </c>
      <c r="C42" s="56"/>
      <c r="D42" s="52"/>
      <c r="E42" s="52" t="s">
        <v>111</v>
      </c>
      <c r="F42" s="57"/>
      <c r="G42" s="57"/>
      <c r="H42" s="808" t="s">
        <v>112</v>
      </c>
      <c r="I42" s="808"/>
      <c r="J42" s="57"/>
      <c r="K42" s="57"/>
      <c r="P42" s="89"/>
    </row>
    <row r="43" spans="2:16" ht="4" customHeight="1" x14ac:dyDescent="0.35">
      <c r="B43" s="53"/>
      <c r="C43" s="53"/>
      <c r="D43" s="53"/>
      <c r="E43" s="53"/>
      <c r="F43" s="53"/>
      <c r="G43" s="53"/>
      <c r="H43" s="53"/>
      <c r="I43" s="53"/>
      <c r="J43" s="53"/>
      <c r="K43" s="53"/>
    </row>
    <row r="44" spans="2:16" x14ac:dyDescent="0.3">
      <c r="B44" s="1" t="s">
        <v>113</v>
      </c>
      <c r="E44" s="421" t="str">
        <f>IFERROR(AVERAGE(E45:E50),"")</f>
        <v/>
      </c>
    </row>
    <row r="45" spans="2:16" x14ac:dyDescent="0.3">
      <c r="B45" s="25" t="s">
        <v>114</v>
      </c>
      <c r="E45" s="91"/>
    </row>
    <row r="46" spans="2:16" x14ac:dyDescent="0.3">
      <c r="B46" s="25" t="s">
        <v>115</v>
      </c>
      <c r="E46" s="91"/>
    </row>
    <row r="47" spans="2:16" x14ac:dyDescent="0.3">
      <c r="B47" s="25" t="s">
        <v>116</v>
      </c>
      <c r="E47" s="91"/>
    </row>
    <row r="48" spans="2:16" x14ac:dyDescent="0.3">
      <c r="B48" s="25" t="s">
        <v>117</v>
      </c>
      <c r="E48" s="91"/>
    </row>
    <row r="49" spans="2:5" x14ac:dyDescent="0.3">
      <c r="B49" s="25" t="s">
        <v>118</v>
      </c>
      <c r="E49" s="91"/>
    </row>
    <row r="50" spans="2:5" x14ac:dyDescent="0.3">
      <c r="B50" s="25" t="s">
        <v>119</v>
      </c>
      <c r="E50" s="91"/>
    </row>
    <row r="51" spans="2:5" x14ac:dyDescent="0.3">
      <c r="B51" s="1" t="s">
        <v>120</v>
      </c>
      <c r="E51" s="90" t="str">
        <f>IFERROR(AVERAGE(E52:E56),"")</f>
        <v/>
      </c>
    </row>
    <row r="52" spans="2:5" x14ac:dyDescent="0.3">
      <c r="B52" s="25" t="s">
        <v>121</v>
      </c>
      <c r="E52" s="91"/>
    </row>
    <row r="53" spans="2:5" x14ac:dyDescent="0.3">
      <c r="B53" s="25" t="s">
        <v>122</v>
      </c>
      <c r="E53" s="91"/>
    </row>
    <row r="54" spans="2:5" x14ac:dyDescent="0.3">
      <c r="B54" s="25" t="s">
        <v>123</v>
      </c>
      <c r="E54" s="91"/>
    </row>
    <row r="55" spans="2:5" x14ac:dyDescent="0.3">
      <c r="B55" s="25" t="s">
        <v>124</v>
      </c>
      <c r="E55" s="91"/>
    </row>
    <row r="56" spans="2:5" x14ac:dyDescent="0.3">
      <c r="B56" s="25" t="s">
        <v>125</v>
      </c>
      <c r="E56" s="91"/>
    </row>
    <row r="57" spans="2:5" x14ac:dyDescent="0.3">
      <c r="B57" s="1" t="s">
        <v>126</v>
      </c>
      <c r="E57" s="90" t="str">
        <f>IFERROR(AVERAGE(E58:E62),"")</f>
        <v/>
      </c>
    </row>
    <row r="58" spans="2:5" x14ac:dyDescent="0.3">
      <c r="B58" s="25" t="s">
        <v>127</v>
      </c>
      <c r="E58" s="91"/>
    </row>
    <row r="59" spans="2:5" x14ac:dyDescent="0.3">
      <c r="B59" s="25" t="s">
        <v>128</v>
      </c>
      <c r="E59" s="91"/>
    </row>
    <row r="60" spans="2:5" x14ac:dyDescent="0.3">
      <c r="B60" s="25" t="s">
        <v>119</v>
      </c>
      <c r="E60" s="91"/>
    </row>
    <row r="61" spans="2:5" x14ac:dyDescent="0.3">
      <c r="B61" s="25" t="s">
        <v>129</v>
      </c>
      <c r="E61" s="91"/>
    </row>
    <row r="62" spans="2:5" x14ac:dyDescent="0.3">
      <c r="B62" s="25" t="s">
        <v>130</v>
      </c>
      <c r="E62" s="91"/>
    </row>
    <row r="63" spans="2:5" x14ac:dyDescent="0.3">
      <c r="B63" s="1" t="s">
        <v>131</v>
      </c>
      <c r="E63" s="90" t="str">
        <f>IFERROR(AVERAGE(E64:E68),"")</f>
        <v/>
      </c>
    </row>
    <row r="64" spans="2:5" x14ac:dyDescent="0.3">
      <c r="B64" s="25" t="s">
        <v>132</v>
      </c>
      <c r="E64" s="91"/>
    </row>
    <row r="65" spans="2:5" x14ac:dyDescent="0.3">
      <c r="B65" s="25" t="s">
        <v>133</v>
      </c>
      <c r="E65" s="91"/>
    </row>
    <row r="66" spans="2:5" x14ac:dyDescent="0.3">
      <c r="B66" s="25" t="s">
        <v>134</v>
      </c>
      <c r="E66" s="91"/>
    </row>
    <row r="67" spans="2:5" x14ac:dyDescent="0.3">
      <c r="B67" s="25" t="s">
        <v>135</v>
      </c>
      <c r="E67" s="91"/>
    </row>
    <row r="68" spans="2:5" x14ac:dyDescent="0.3">
      <c r="B68" s="25" t="s">
        <v>136</v>
      </c>
      <c r="E68" s="91"/>
    </row>
    <row r="69" spans="2:5" x14ac:dyDescent="0.3">
      <c r="B69" s="1" t="s">
        <v>137</v>
      </c>
      <c r="E69" s="90" t="str">
        <f>IFERROR(AVERAGE(E70:E74),"")</f>
        <v/>
      </c>
    </row>
    <row r="70" spans="2:5" x14ac:dyDescent="0.3">
      <c r="B70" s="25" t="s">
        <v>138</v>
      </c>
      <c r="E70" s="91"/>
    </row>
    <row r="71" spans="2:5" x14ac:dyDescent="0.3">
      <c r="B71" s="25" t="s">
        <v>139</v>
      </c>
      <c r="E71" s="91"/>
    </row>
    <row r="72" spans="2:5" x14ac:dyDescent="0.3">
      <c r="B72" s="25" t="s">
        <v>140</v>
      </c>
      <c r="E72" s="91"/>
    </row>
    <row r="73" spans="2:5" x14ac:dyDescent="0.3">
      <c r="B73" s="25" t="s">
        <v>141</v>
      </c>
      <c r="E73" s="91"/>
    </row>
  </sheetData>
  <mergeCells count="17">
    <mergeCell ref="B18:C18"/>
    <mergeCell ref="E18:P18"/>
    <mergeCell ref="B15:C15"/>
    <mergeCell ref="E15:P15"/>
    <mergeCell ref="B16:C16"/>
    <mergeCell ref="E16:P16"/>
    <mergeCell ref="B17:C17"/>
    <mergeCell ref="E17:P17"/>
    <mergeCell ref="B22:C22"/>
    <mergeCell ref="E22:P22"/>
    <mergeCell ref="B23:C23"/>
    <mergeCell ref="E23:P23"/>
    <mergeCell ref="H42:I42"/>
    <mergeCell ref="B24:C24"/>
    <mergeCell ref="E24:P24"/>
    <mergeCell ref="B25:C25"/>
    <mergeCell ref="E25:P25"/>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tabSelected="1" zoomScale="41" zoomScaleNormal="68" workbookViewId="0">
      <pane xSplit="3" topLeftCell="E1" activePane="topRight" state="frozen"/>
      <selection pane="topRight" activeCell="S8" sqref="S8"/>
    </sheetView>
  </sheetViews>
  <sheetFormatPr defaultColWidth="9" defaultRowHeight="14.25" customHeight="1" x14ac:dyDescent="0.3"/>
  <cols>
    <col min="1" max="1" width="2.08203125" style="398" customWidth="1"/>
    <col min="2" max="2" width="31" style="398" customWidth="1"/>
    <col min="3" max="3" width="6.33203125" style="398" customWidth="1"/>
    <col min="4" max="15" width="19.58203125" style="398" customWidth="1"/>
    <col min="16" max="16384" width="9" style="398"/>
  </cols>
  <sheetData>
    <row r="1" spans="1:52" s="397" customFormat="1" ht="12" customHeight="1" x14ac:dyDescent="0.3">
      <c r="A1" s="422"/>
      <c r="B1" s="422"/>
      <c r="C1" s="423"/>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c r="AY1" s="422"/>
      <c r="AZ1" s="422"/>
    </row>
    <row r="2" spans="1:52" s="397" customFormat="1" ht="14" x14ac:dyDescent="0.3">
      <c r="A2" s="422"/>
      <c r="B2" s="424"/>
      <c r="C2" s="424"/>
      <c r="D2" s="810"/>
      <c r="E2" s="811"/>
      <c r="F2" s="530"/>
      <c r="G2" s="519"/>
      <c r="H2" s="530"/>
      <c r="I2" s="519"/>
      <c r="J2" s="530"/>
      <c r="K2" s="545"/>
      <c r="L2" s="551"/>
      <c r="M2" s="545"/>
      <c r="N2" s="424"/>
      <c r="O2" s="424"/>
      <c r="P2" s="426"/>
      <c r="Q2" s="426"/>
      <c r="R2" s="426"/>
      <c r="S2" s="422"/>
      <c r="T2" s="426"/>
      <c r="U2" s="426"/>
      <c r="V2" s="422"/>
      <c r="W2" s="427"/>
      <c r="X2" s="427"/>
      <c r="Y2" s="427"/>
      <c r="Z2" s="427"/>
      <c r="AA2" s="427"/>
      <c r="AB2" s="427"/>
      <c r="AC2" s="422"/>
      <c r="AD2" s="427"/>
      <c r="AE2" s="427"/>
      <c r="AF2" s="427"/>
      <c r="AG2" s="427"/>
      <c r="AH2" s="427"/>
      <c r="AI2" s="422"/>
      <c r="AJ2" s="427"/>
      <c r="AK2" s="428"/>
      <c r="AL2" s="428"/>
      <c r="AM2" s="428"/>
      <c r="AN2" s="428"/>
      <c r="AO2" s="422"/>
      <c r="AP2" s="427"/>
      <c r="AQ2" s="422"/>
      <c r="AR2" s="422"/>
      <c r="AS2" s="422"/>
      <c r="AT2" s="422"/>
      <c r="AU2" s="422"/>
      <c r="AV2" s="422"/>
      <c r="AW2" s="422"/>
      <c r="AX2" s="422"/>
      <c r="AY2" s="422"/>
      <c r="AZ2" s="422"/>
    </row>
    <row r="3" spans="1:52" s="397" customFormat="1" ht="14" x14ac:dyDescent="0.3">
      <c r="A3" s="422"/>
      <c r="B3" s="424"/>
      <c r="C3" s="424"/>
      <c r="D3" s="814" t="s">
        <v>142</v>
      </c>
      <c r="E3" s="813"/>
      <c r="F3" s="812" t="s">
        <v>29</v>
      </c>
      <c r="G3" s="813"/>
      <c r="H3" s="812" t="s">
        <v>143</v>
      </c>
      <c r="I3" s="813"/>
      <c r="J3" s="812" t="s">
        <v>144</v>
      </c>
      <c r="K3" s="813"/>
      <c r="L3" s="812" t="s">
        <v>13</v>
      </c>
      <c r="M3" s="813"/>
      <c r="N3" s="814" t="s">
        <v>16</v>
      </c>
      <c r="O3" s="814"/>
      <c r="P3" s="426"/>
      <c r="Q3" s="639"/>
      <c r="R3" s="426"/>
      <c r="S3" s="426"/>
      <c r="T3" s="426"/>
      <c r="U3" s="426"/>
      <c r="V3" s="426"/>
      <c r="W3" s="426"/>
      <c r="X3" s="426"/>
      <c r="Y3" s="426"/>
      <c r="Z3" s="426"/>
      <c r="AA3" s="426"/>
      <c r="AB3" s="426"/>
      <c r="AC3" s="426"/>
      <c r="AD3" s="426"/>
      <c r="AE3" s="426"/>
      <c r="AF3" s="426"/>
      <c r="AG3" s="426"/>
      <c r="AH3" s="426"/>
      <c r="AI3" s="426"/>
      <c r="AJ3" s="426"/>
      <c r="AK3" s="426"/>
      <c r="AL3" s="426"/>
      <c r="AM3" s="426"/>
      <c r="AN3" s="426"/>
      <c r="AO3" s="422"/>
      <c r="AP3" s="426"/>
      <c r="AQ3" s="422"/>
      <c r="AR3" s="422"/>
      <c r="AS3" s="422"/>
      <c r="AT3" s="422"/>
      <c r="AU3" s="422"/>
      <c r="AV3" s="422"/>
      <c r="AW3" s="422"/>
      <c r="AX3" s="422"/>
      <c r="AY3" s="422"/>
      <c r="AZ3" s="422"/>
    </row>
    <row r="4" spans="1:52" s="397" customFormat="1" ht="14" x14ac:dyDescent="0.3">
      <c r="A4" s="422"/>
      <c r="B4" s="424" t="s">
        <v>145</v>
      </c>
      <c r="C4" s="424" t="s">
        <v>146</v>
      </c>
      <c r="D4" s="425" t="str">
        <f>+Inputs!O4&amp;"-"&amp;Inputs!P4</f>
        <v>2022-2023</v>
      </c>
      <c r="E4" s="519" t="str">
        <f>+Inputs!P4&amp;"-"&amp;Inputs!Q4</f>
        <v>2023-2024</v>
      </c>
      <c r="F4" s="530">
        <v>2023</v>
      </c>
      <c r="G4" s="519">
        <v>2024</v>
      </c>
      <c r="H4" s="530" t="str">
        <f>+Inputs!O4&amp;"-"&amp;Inputs!P4</f>
        <v>2022-2023</v>
      </c>
      <c r="I4" s="519" t="str">
        <f>+Inputs!P4&amp;"-"&amp;Inputs!Q4</f>
        <v>2023-2024</v>
      </c>
      <c r="J4" s="530">
        <v>2023</v>
      </c>
      <c r="K4" s="519">
        <v>2024</v>
      </c>
      <c r="L4" s="530">
        <v>2023</v>
      </c>
      <c r="M4" s="519">
        <v>2024</v>
      </c>
      <c r="N4" s="425">
        <v>2023</v>
      </c>
      <c r="O4" s="425">
        <v>2024</v>
      </c>
      <c r="P4" s="426"/>
      <c r="Q4" s="639"/>
      <c r="R4" s="426"/>
      <c r="S4" s="426"/>
      <c r="T4" s="426"/>
      <c r="U4" s="426"/>
      <c r="V4" s="426"/>
      <c r="W4" s="426"/>
      <c r="X4" s="426"/>
      <c r="Y4" s="426"/>
      <c r="Z4" s="426"/>
      <c r="AA4" s="426"/>
      <c r="AB4" s="426"/>
      <c r="AC4" s="426"/>
      <c r="AD4" s="426"/>
      <c r="AE4" s="426"/>
      <c r="AF4" s="426"/>
      <c r="AG4" s="426"/>
      <c r="AH4" s="426"/>
      <c r="AI4" s="426"/>
      <c r="AJ4" s="426"/>
      <c r="AK4" s="426"/>
      <c r="AL4" s="426"/>
      <c r="AM4" s="426"/>
      <c r="AN4" s="426"/>
      <c r="AO4" s="422"/>
      <c r="AP4" s="426"/>
      <c r="AQ4" s="422"/>
      <c r="AR4" s="422"/>
      <c r="AS4" s="422"/>
      <c r="AT4" s="422"/>
      <c r="AU4" s="422"/>
      <c r="AV4" s="422"/>
      <c r="AW4" s="422"/>
      <c r="AX4" s="422"/>
      <c r="AY4" s="422"/>
      <c r="AZ4" s="422"/>
    </row>
    <row r="5" spans="1:52" s="397" customFormat="1" ht="3.75" customHeight="1" x14ac:dyDescent="0.3">
      <c r="A5" s="422"/>
      <c r="B5" s="429"/>
      <c r="C5" s="429"/>
      <c r="D5" s="429"/>
      <c r="E5" s="520"/>
      <c r="F5" s="531"/>
      <c r="G5" s="520"/>
      <c r="H5" s="531"/>
      <c r="I5" s="520"/>
      <c r="J5" s="531"/>
      <c r="K5" s="520"/>
      <c r="L5" s="531"/>
      <c r="M5" s="520"/>
      <c r="N5" s="429"/>
      <c r="O5" s="429"/>
      <c r="P5" s="430"/>
      <c r="Q5" s="639"/>
      <c r="R5" s="430"/>
      <c r="S5" s="430"/>
      <c r="T5" s="430"/>
      <c r="U5" s="430"/>
      <c r="V5" s="430"/>
      <c r="W5" s="430"/>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row>
    <row r="6" spans="1:52" s="406" customFormat="1" ht="17.25" customHeight="1" x14ac:dyDescent="0.3">
      <c r="A6" s="431" t="e" vm="2">
        <f>+D91</f>
        <v>#VALUE!</v>
      </c>
      <c r="B6" s="432" t="str" cm="1">
        <f t="array" aca="1" ref="B6" ca="1">IFERROR(_FV(A6,"Name"),"")</f>
        <v>ADVANCED MICRO DEVICES, INC.</v>
      </c>
      <c r="C6" s="433" t="str" cm="1">
        <f t="array" aca="1" ref="C6" ca="1">IFERROR(_FV(A6,"Ticker symbol",TRUE),"")</f>
        <v>AMD</v>
      </c>
      <c r="D6" s="521" t="str">
        <f>IFERROR(D94/D93-1,"")</f>
        <v/>
      </c>
      <c r="E6" s="522" t="str">
        <f>IFERROR(D97/D94-1,"")</f>
        <v/>
      </c>
      <c r="F6" s="532" t="str">
        <f>IFERROR(D95/D94,"")</f>
        <v/>
      </c>
      <c r="G6" s="533" t="str">
        <f>IFERROR(D100/D97,"")</f>
        <v/>
      </c>
      <c r="H6" s="539" t="str">
        <f>IFERROR(D96/D94,"")</f>
        <v/>
      </c>
      <c r="I6" s="522" t="str">
        <f>IFERROR(D105/D97,"")</f>
        <v/>
      </c>
      <c r="J6" s="569" t="str" cm="1">
        <f t="array" aca="1" ref="J6" ca="1">IFERROR((_FV(A6,"Market cap",TRUE)/1000000+D$121-D$111)/D$94,"")</f>
        <v/>
      </c>
      <c r="K6" s="570" t="str" cm="1">
        <f t="array" aca="1" ref="K6" ca="1">IFERROR((_FV(A6,"Market cap",TRUE)/1000000+D$121-D$111)/D$97,"")</f>
        <v/>
      </c>
      <c r="L6" s="571" t="str" cm="1">
        <f t="array" aca="1" ref="L6" ca="1">+IFERROR((_FV(A6,"Market cap",TRUE)/1000000+D$121-D$111)/D$95,"")</f>
        <v/>
      </c>
      <c r="M6" s="572" t="str" cm="1">
        <f t="array" aca="1" ref="M6" ca="1">IFERROR((_FV(A6,"Market cap",TRUE)/1000000+D$121-D$111)/D$100,"")</f>
        <v/>
      </c>
      <c r="N6" s="573" t="str" cm="1">
        <f t="array" aca="1" ref="N6" ca="1">IFERROR((_FV(A6,"Market cap",TRUE)/1000000)/D$96,"")</f>
        <v/>
      </c>
      <c r="O6" s="574" t="str" cm="1">
        <f t="array" aca="1" ref="O6" ca="1">IFERROR((_FV(A6,"Market cap",TRUE)/1000000)/D$105,"")</f>
        <v/>
      </c>
      <c r="P6" s="435"/>
      <c r="Q6" s="639"/>
      <c r="R6" s="438"/>
      <c r="S6" s="439"/>
      <c r="T6" s="438"/>
      <c r="U6" s="438"/>
      <c r="V6" s="439"/>
      <c r="W6" s="438"/>
      <c r="X6" s="438"/>
      <c r="Y6" s="438"/>
      <c r="Z6" s="438"/>
      <c r="AA6" s="438"/>
      <c r="AB6" s="439"/>
      <c r="AC6" s="439"/>
      <c r="AD6" s="434"/>
      <c r="AE6" s="434"/>
      <c r="AF6" s="434"/>
      <c r="AG6" s="434"/>
      <c r="AH6" s="434"/>
      <c r="AI6" s="439"/>
      <c r="AJ6" s="439"/>
      <c r="AK6" s="439"/>
      <c r="AL6" s="440"/>
      <c r="AM6" s="441"/>
      <c r="AN6" s="442"/>
      <c r="AO6" s="439"/>
      <c r="AP6" s="439"/>
    </row>
    <row r="7" spans="1:52" ht="3.75" customHeight="1" x14ac:dyDescent="0.3">
      <c r="A7" s="431"/>
      <c r="B7" s="443"/>
      <c r="C7" s="444"/>
      <c r="E7" s="523"/>
      <c r="F7" s="534"/>
      <c r="G7" s="535"/>
      <c r="H7" s="540"/>
      <c r="I7" s="541"/>
      <c r="J7" s="540"/>
      <c r="K7" s="541"/>
      <c r="L7" s="554"/>
      <c r="M7" s="555"/>
      <c r="N7" s="448"/>
      <c r="O7" s="449"/>
      <c r="P7" s="446"/>
      <c r="Q7" s="446"/>
      <c r="R7" s="450"/>
      <c r="S7" s="449"/>
      <c r="T7" s="450"/>
      <c r="U7" s="450"/>
      <c r="V7" s="449"/>
      <c r="W7" s="450"/>
      <c r="X7" s="450"/>
      <c r="Y7" s="450"/>
      <c r="Z7" s="450"/>
      <c r="AA7" s="450"/>
      <c r="AB7" s="449"/>
      <c r="AC7" s="449"/>
      <c r="AD7" s="445"/>
      <c r="AE7" s="445"/>
      <c r="AF7" s="445"/>
      <c r="AG7" s="445"/>
      <c r="AH7" s="445"/>
      <c r="AI7" s="449"/>
      <c r="AJ7" s="449"/>
      <c r="AK7" s="449"/>
      <c r="AL7" s="451"/>
      <c r="AM7" s="452"/>
      <c r="AN7" s="453"/>
      <c r="AO7" s="449"/>
      <c r="AP7" s="449"/>
    </row>
    <row r="8" spans="1:52" s="400" customFormat="1" ht="17.25" customHeight="1" x14ac:dyDescent="0.3">
      <c r="A8" s="431" t="str">
        <f>+E91</f>
        <v>PEER 1</v>
      </c>
      <c r="B8" s="432" t="str" cm="1">
        <f t="array" ref="B8">IFERROR(_FV(A8,"Name"),"")</f>
        <v/>
      </c>
      <c r="C8" s="433" t="str" cm="1">
        <f t="array" ref="C8">+IFERROR(_FV(A8,"Ticker symbol",TRUE),"")</f>
        <v/>
      </c>
      <c r="D8" s="524" t="str">
        <f>+IFERROR(E94/E93-1,"")</f>
        <v/>
      </c>
      <c r="E8" s="525" t="str">
        <f>IFERROR(E97/E94-1,"")</f>
        <v/>
      </c>
      <c r="F8" s="536" t="str">
        <f>IFERROR(E95/E94,"")</f>
        <v/>
      </c>
      <c r="G8" s="525" t="str">
        <f>+IFERROR(E100/E97,"")</f>
        <v/>
      </c>
      <c r="H8" s="536" t="str">
        <f>IFERROR(E96/E94,"")</f>
        <v/>
      </c>
      <c r="I8" s="525" t="str">
        <f>+IFERROR(D105/D99,"")</f>
        <v/>
      </c>
      <c r="J8" s="546" t="str" cm="1">
        <f t="array" ref="J8">+IFERROR((_FV(A8,"Market cap",TRUE)/1000000+E$121-E$111)/E$94,"")</f>
        <v/>
      </c>
      <c r="K8" s="547" t="str" cm="1">
        <f t="array" ref="K8">IFERROR(+(_FV(A8,"Market cap",TRUE)/1000000+E$121-E$111)/E$97,"")</f>
        <v/>
      </c>
      <c r="L8" s="552" t="str" cm="1">
        <f t="array" ref="L8">IFERROR(+(_FV(A8,"Market cap",TRUE)/1000000+E$121-E$111)/E$95,"")</f>
        <v/>
      </c>
      <c r="M8" s="553" t="str" cm="1">
        <f t="array" ref="M8">IFERROR(+(_FV(A8,"Market cap",TRUE)/1000000+E$121-E$111)/E$100,"")</f>
        <v/>
      </c>
      <c r="N8" s="437" t="str" cm="1">
        <f t="array" ref="N8">IFERROR(+(_FV(A8,"Market cap",TRUE)/1000000)/E$96,"")</f>
        <v/>
      </c>
      <c r="O8" s="436" t="str" cm="1">
        <f t="array" ref="O8">IFERROR(+(_FV(A8,"Market cap",TRUE)/1000000)/E$105,"")</f>
        <v/>
      </c>
      <c r="P8" s="435"/>
      <c r="Q8" s="435"/>
      <c r="R8" s="438"/>
      <c r="S8" s="439"/>
      <c r="T8" s="438"/>
      <c r="U8" s="438"/>
      <c r="V8" s="439"/>
      <c r="W8" s="438"/>
      <c r="X8" s="438"/>
      <c r="Y8" s="438"/>
      <c r="Z8" s="438"/>
      <c r="AA8" s="438"/>
      <c r="AB8" s="439"/>
      <c r="AC8" s="439"/>
      <c r="AD8" s="434"/>
      <c r="AE8" s="434"/>
      <c r="AF8" s="434"/>
      <c r="AG8" s="434"/>
      <c r="AH8" s="434"/>
      <c r="AI8" s="439"/>
      <c r="AJ8" s="439"/>
      <c r="AK8" s="439"/>
      <c r="AL8" s="440"/>
      <c r="AM8" s="441"/>
      <c r="AN8" s="442"/>
      <c r="AO8" s="439"/>
      <c r="AP8" s="439"/>
      <c r="AQ8" s="431"/>
      <c r="AR8" s="431"/>
      <c r="AS8" s="431"/>
      <c r="AT8" s="431"/>
      <c r="AU8" s="431"/>
      <c r="AV8" s="431"/>
      <c r="AW8" s="431"/>
      <c r="AX8" s="431"/>
      <c r="AY8" s="431"/>
      <c r="AZ8" s="431"/>
    </row>
    <row r="9" spans="1:52" s="400" customFormat="1" ht="17.25" customHeight="1" x14ac:dyDescent="0.3">
      <c r="A9" s="454" t="str">
        <f>+F91</f>
        <v>PEER 2</v>
      </c>
      <c r="B9" s="432" t="str" cm="1">
        <f t="array" ref="B9">IFERROR(_FV(A9,"Name"),"")</f>
        <v/>
      </c>
      <c r="C9" s="433" t="str" cm="1">
        <f t="array" ref="C9">+IFERROR(_FV(A9,"Ticker symbol",TRUE),"")</f>
        <v/>
      </c>
      <c r="D9" s="524" t="str">
        <f>IFERROR(F94/F93-1,"")</f>
        <v/>
      </c>
      <c r="E9" s="525" t="str">
        <f>IFERROR(+F97/F94-1,"")</f>
        <v/>
      </c>
      <c r="F9" s="536" t="str">
        <f>IFERROR(F95/F94,"")</f>
        <v/>
      </c>
      <c r="G9" s="525" t="str">
        <f>IFERROR(F100/F97,"")</f>
        <v/>
      </c>
      <c r="H9" s="536" t="str">
        <f>IFERROR(F96/F94,"")</f>
        <v/>
      </c>
      <c r="I9" s="525" t="str">
        <f>+IFERROR(F105/F97,"")</f>
        <v/>
      </c>
      <c r="J9" s="546" t="str" cm="1">
        <f t="array" ref="J9">IFERROR(+(_FV(A9,"Market cap",TRUE)/1000000+F$121-F$111)/F$94,"")</f>
        <v/>
      </c>
      <c r="K9" s="547" t="str" cm="1">
        <f t="array" ref="K9">IFERROR(+(_FV(A9,"Market cap",TRUE)/1000000+F$121-F$111)/F$97,"")</f>
        <v/>
      </c>
      <c r="L9" s="552" t="str" cm="1">
        <f t="array" ref="L9">IFERROR(+(_FV(A9,"Market cap",TRUE)/1000000+F$121-F$111)/F$95,"")</f>
        <v/>
      </c>
      <c r="M9" s="553" t="str" cm="1">
        <f t="array" ref="M9">IFERROR(+(_FV(A9,"Market cap",TRUE)/1000000+F$121-F$111)/F$100,"")</f>
        <v/>
      </c>
      <c r="N9" s="437" t="str" cm="1">
        <f t="array" ref="N9">IFERROR(+(_FV(A9,"Market cap",TRUE)/1000000)/F$96,"")</f>
        <v/>
      </c>
      <c r="O9" s="436" t="str" cm="1">
        <f t="array" ref="O9">IFERROR(+(_FV(A9,"Market cap",TRUE)/1000000)/F$105,"")</f>
        <v/>
      </c>
      <c r="P9" s="435"/>
      <c r="Q9" s="435"/>
      <c r="R9" s="438"/>
      <c r="S9" s="439"/>
      <c r="T9" s="438"/>
      <c r="U9" s="438"/>
      <c r="V9" s="439"/>
      <c r="W9" s="438"/>
      <c r="X9" s="438"/>
      <c r="Y9" s="438"/>
      <c r="Z9" s="438"/>
      <c r="AA9" s="438"/>
      <c r="AB9" s="439"/>
      <c r="AC9" s="439"/>
      <c r="AD9" s="434"/>
      <c r="AE9" s="434"/>
      <c r="AF9" s="434"/>
      <c r="AG9" s="434"/>
      <c r="AH9" s="434"/>
      <c r="AI9" s="439"/>
      <c r="AJ9" s="439"/>
      <c r="AK9" s="439"/>
      <c r="AL9" s="440"/>
      <c r="AM9" s="441"/>
      <c r="AN9" s="442"/>
      <c r="AO9" s="439"/>
      <c r="AP9" s="439"/>
      <c r="AQ9" s="431"/>
      <c r="AR9" s="431"/>
      <c r="AS9" s="431"/>
      <c r="AT9" s="431"/>
      <c r="AU9" s="431"/>
      <c r="AV9" s="431"/>
      <c r="AW9" s="431"/>
      <c r="AX9" s="431"/>
      <c r="AY9" s="431"/>
      <c r="AZ9" s="431"/>
    </row>
    <row r="10" spans="1:52" s="400" customFormat="1" ht="17.25" customHeight="1" x14ac:dyDescent="0.3">
      <c r="A10" s="454" t="str">
        <f>+G91</f>
        <v>PEER 3</v>
      </c>
      <c r="B10" s="432" t="str" cm="1">
        <f t="array" ref="B10">IFERROR(_FV(A10,"Name"),"")</f>
        <v/>
      </c>
      <c r="C10" s="433" t="str" cm="1">
        <f t="array" ref="C10">IFERROR(_FV(A10,"Ticker symbol",TRUE),"")</f>
        <v/>
      </c>
      <c r="D10" s="524" t="str">
        <f>+IFERROR(G94/G93-1,"")</f>
        <v/>
      </c>
      <c r="E10" s="525" t="str">
        <f>IFERROR(G97/G94-1,"")</f>
        <v/>
      </c>
      <c r="F10" s="536" t="str">
        <f>IFERROR(G95/G94,"")</f>
        <v/>
      </c>
      <c r="G10" s="525" t="str">
        <f>IFERROR(G100/G97,"")</f>
        <v/>
      </c>
      <c r="H10" s="536" t="str">
        <f>IFERROR(G96/G94,"")</f>
        <v/>
      </c>
      <c r="I10" s="525" t="str">
        <f>+IFERROR(G105/G97,"")</f>
        <v/>
      </c>
      <c r="J10" s="546" t="str" cm="1">
        <f t="array" ref="J10">IFERROR(+(_FV(A10,"Market cap",TRUE)/1000000+G$121-G$111)/G$94,"")</f>
        <v/>
      </c>
      <c r="K10" s="547" t="str" cm="1">
        <f t="array" ref="K10">IFERROR(+(_FV(A10,"Market cap",TRUE)/1000000+G$121-G$111)/G$97,"")</f>
        <v/>
      </c>
      <c r="L10" s="552" t="str" cm="1">
        <f t="array" ref="L10">IFERROR(+(_FV(A10,"Market cap",TRUE)/1000000+G$121-G$111)/G$95,"")</f>
        <v/>
      </c>
      <c r="M10" s="553" t="str" cm="1">
        <f t="array" ref="M10">IFERROR(+(_FV(A10,"Market cap",TRUE)/1000000+G$121-G$111)/G$100,"")</f>
        <v/>
      </c>
      <c r="N10" s="437" t="str" cm="1">
        <f t="array" ref="N10">IFERROR(+(_FV(A10,"Market cap",TRUE)/1000000)/G$96,"")</f>
        <v/>
      </c>
      <c r="O10" s="436" t="str" cm="1">
        <f t="array" ref="O10">IFERROR(+(_FV(A10,"Market cap",TRUE)/1000000)/G$105,"")</f>
        <v/>
      </c>
      <c r="P10" s="435"/>
      <c r="Q10" s="435"/>
      <c r="R10" s="435"/>
      <c r="S10" s="439"/>
      <c r="T10" s="438"/>
      <c r="U10" s="438"/>
      <c r="V10" s="439"/>
      <c r="W10" s="438"/>
      <c r="X10" s="438"/>
      <c r="Y10" s="438"/>
      <c r="Z10" s="438"/>
      <c r="AA10" s="438"/>
      <c r="AB10" s="439"/>
      <c r="AC10" s="439"/>
      <c r="AD10" s="434"/>
      <c r="AE10" s="434"/>
      <c r="AF10" s="434"/>
      <c r="AG10" s="434"/>
      <c r="AH10" s="434"/>
      <c r="AI10" s="439"/>
      <c r="AJ10" s="439"/>
      <c r="AK10" s="439"/>
      <c r="AL10" s="440"/>
      <c r="AM10" s="441"/>
      <c r="AN10" s="442"/>
      <c r="AO10" s="439"/>
      <c r="AP10" s="439"/>
      <c r="AQ10" s="431"/>
      <c r="AR10" s="431"/>
      <c r="AS10" s="431"/>
      <c r="AT10" s="431"/>
      <c r="AU10" s="431"/>
      <c r="AV10" s="431"/>
      <c r="AW10" s="431"/>
      <c r="AX10" s="431"/>
      <c r="AY10" s="431"/>
      <c r="AZ10" s="431"/>
    </row>
    <row r="11" spans="1:52" s="400" customFormat="1" ht="17.25" customHeight="1" x14ac:dyDescent="0.3">
      <c r="A11" s="454" t="str">
        <f>+H91</f>
        <v>PEER 4</v>
      </c>
      <c r="B11" s="432" t="str" cm="1">
        <f t="array" ref="B11">IFERROR(_FV(A11,"Name"),"")</f>
        <v/>
      </c>
      <c r="C11" s="433" t="str" cm="1">
        <f t="array" ref="C11">IFERROR(_FV(A11,"Ticker symbol",TRUE),"")</f>
        <v/>
      </c>
      <c r="D11" s="524" t="str">
        <f>IFERROR(H94/H93-1,"")</f>
        <v/>
      </c>
      <c r="E11" s="525" t="str">
        <f>IFERROR(H97/H94-1,"")</f>
        <v/>
      </c>
      <c r="F11" s="536" t="str">
        <f>IFERROR(H95/H94,"")</f>
        <v/>
      </c>
      <c r="G11" s="525" t="str">
        <f>IFERROR(H100/H97,"")</f>
        <v/>
      </c>
      <c r="H11" s="536" t="str">
        <f>IFERROR(H96/H94,"")</f>
        <v/>
      </c>
      <c r="I11" s="525" t="str">
        <f>+IFERROR(H105/H102,"")</f>
        <v/>
      </c>
      <c r="J11" s="546" t="str" cm="1">
        <f t="array" ref="J11">IFERROR((_FV(A11,"Market cap",TRUE)/1000000+H$121-H$111)/H$94,"")</f>
        <v/>
      </c>
      <c r="K11" s="547" t="str" cm="1">
        <f t="array" ref="K11">IFERROR(+(_FV(A11,"Market cap",TRUE)/1000000+H$121-H$111)/H$97,"")</f>
        <v/>
      </c>
      <c r="L11" s="552" t="str" cm="1">
        <f t="array" ref="L11">IFERROR(+(_FV(A11,"Market cap",TRUE)/1000000+H$121-H$111)/H$95,"")</f>
        <v/>
      </c>
      <c r="M11" s="553" t="str" cm="1">
        <f t="array" ref="M11">IFERROR(+(_FV(A11,"Market cap",TRUE)/1000000+H$121-H$111)/H$100,"")</f>
        <v/>
      </c>
      <c r="N11" s="437" t="str" cm="1">
        <f t="array" ref="N11">IFERROR(+(_FV(A11,"Market cap",TRUE)/1000000)/H$96,"")</f>
        <v/>
      </c>
      <c r="O11" s="436" t="str" cm="1">
        <f t="array" ref="O11">IFERROR(+(_FV(A11,"Market cap",TRUE)/1000000)/H$105,"")</f>
        <v/>
      </c>
      <c r="P11" s="435"/>
      <c r="Q11" s="435"/>
      <c r="R11" s="435"/>
      <c r="S11" s="439"/>
      <c r="T11" s="438"/>
      <c r="U11" s="438"/>
      <c r="V11" s="439"/>
      <c r="W11" s="438"/>
      <c r="X11" s="438"/>
      <c r="Y11" s="438"/>
      <c r="Z11" s="438"/>
      <c r="AA11" s="438"/>
      <c r="AB11" s="439"/>
      <c r="AC11" s="439"/>
      <c r="AD11" s="434"/>
      <c r="AE11" s="434"/>
      <c r="AF11" s="434"/>
      <c r="AG11" s="434"/>
      <c r="AH11" s="434"/>
      <c r="AI11" s="439"/>
      <c r="AJ11" s="439"/>
      <c r="AK11" s="439"/>
      <c r="AL11" s="440"/>
      <c r="AM11" s="441"/>
      <c r="AN11" s="442"/>
      <c r="AO11" s="439"/>
      <c r="AP11" s="439"/>
      <c r="AQ11" s="431"/>
      <c r="AR11" s="431"/>
      <c r="AS11" s="431"/>
      <c r="AT11" s="431"/>
      <c r="AU11" s="431"/>
      <c r="AV11" s="431"/>
      <c r="AW11" s="431"/>
      <c r="AX11" s="431"/>
      <c r="AY11" s="431"/>
      <c r="AZ11" s="431"/>
    </row>
    <row r="12" spans="1:52" s="400" customFormat="1" ht="17.25" customHeight="1" x14ac:dyDescent="0.3">
      <c r="A12" s="454" t="str">
        <f>+I91</f>
        <v>PEER 5</v>
      </c>
      <c r="B12" s="432" t="str" cm="1">
        <f t="array" ref="B12">IFERROR(_FV(A12,"Name"),"")</f>
        <v/>
      </c>
      <c r="C12" s="433" t="str" cm="1">
        <f t="array" ref="C12">IFERROR(_FV(A12,"Ticker symbol",TRUE),"")</f>
        <v/>
      </c>
      <c r="D12" s="524" t="str">
        <f>+IFERROR(I94/I93-1,"")</f>
        <v/>
      </c>
      <c r="E12" s="525" t="str">
        <f>IFERROR(I97/I94-1,"")</f>
        <v/>
      </c>
      <c r="F12" s="536" t="str">
        <f>IFERROR(I95/I94,"")</f>
        <v/>
      </c>
      <c r="G12" s="525" t="str">
        <f>IFERROR(I100/I97,"")</f>
        <v/>
      </c>
      <c r="H12" s="536" t="str">
        <f>IFERROR(I96/I94,"")</f>
        <v/>
      </c>
      <c r="I12" s="525" t="str">
        <f>+IFERROR(I105/I97,"")</f>
        <v/>
      </c>
      <c r="J12" s="546" t="str" cm="1">
        <f t="array" ref="J12">IFERROR((_FV(A12,"Market cap",TRUE)/1000000+I$121-I$111)/I$94,"")</f>
        <v/>
      </c>
      <c r="K12" s="547" t="str" cm="1">
        <f t="array" ref="K12">IFERROR(+(_FV(A12,"Market cap",TRUE)/1000000+I$121-I$111)/I$97,"")</f>
        <v/>
      </c>
      <c r="L12" s="552" t="str" cm="1">
        <f t="array" ref="L12">IFERROR(+(_FV(A12,"Market cap",TRUE)/1000000+I$121-I$111)/I$95,"")</f>
        <v/>
      </c>
      <c r="M12" s="553" t="str" cm="1">
        <f t="array" ref="M12">IFERROR(+(_FV(A12,"Market cap",TRUE)/1000000+I$121-I$111)/I$100,"")</f>
        <v/>
      </c>
      <c r="N12" s="437" t="str" cm="1">
        <f t="array" ref="N12">IFERROR(+(_FV(A12,"Market cap",TRUE)/1000000)/I$96,"")</f>
        <v/>
      </c>
      <c r="O12" s="436" t="str" cm="1">
        <f t="array" ref="O12">IFERROR(+(_FV(A12,"Market cap",TRUE)/1000000)/I$105,"")</f>
        <v/>
      </c>
      <c r="P12" s="435"/>
      <c r="Q12" s="435"/>
      <c r="R12" s="435"/>
      <c r="S12" s="439"/>
      <c r="T12" s="438"/>
      <c r="U12" s="438"/>
      <c r="V12" s="439"/>
      <c r="W12" s="438"/>
      <c r="X12" s="438"/>
      <c r="Y12" s="438"/>
      <c r="Z12" s="438"/>
      <c r="AA12" s="438"/>
      <c r="AB12" s="439"/>
      <c r="AC12" s="439"/>
      <c r="AD12" s="434"/>
      <c r="AE12" s="434"/>
      <c r="AF12" s="434"/>
      <c r="AG12" s="434"/>
      <c r="AH12" s="434"/>
      <c r="AI12" s="439"/>
      <c r="AJ12" s="439"/>
      <c r="AK12" s="439"/>
      <c r="AL12" s="440"/>
      <c r="AM12" s="441"/>
      <c r="AN12" s="442"/>
      <c r="AO12" s="439"/>
      <c r="AP12" s="439"/>
      <c r="AQ12" s="431"/>
      <c r="AR12" s="431"/>
      <c r="AS12" s="431"/>
      <c r="AT12" s="431"/>
      <c r="AU12" s="431"/>
      <c r="AV12" s="431"/>
      <c r="AW12" s="431"/>
      <c r="AX12" s="431"/>
      <c r="AY12" s="431"/>
      <c r="AZ12" s="431"/>
    </row>
    <row r="13" spans="1:52" s="400" customFormat="1" ht="17.25" customHeight="1" x14ac:dyDescent="0.3">
      <c r="A13" s="454" t="str">
        <f>+J91</f>
        <v>PEER 6</v>
      </c>
      <c r="B13" s="432" t="str" cm="1">
        <f t="array" ref="B13">IFERROR(_FV(A13,"Name"),"")</f>
        <v/>
      </c>
      <c r="C13" s="433" t="str" cm="1">
        <f t="array" ref="C13">IFERROR(_FV(A13,"Ticker symbol",TRUE),"")</f>
        <v/>
      </c>
      <c r="D13" s="524" t="str">
        <f>IFERROR(J94/J93-1,"")</f>
        <v/>
      </c>
      <c r="E13" s="525" t="str">
        <f>IFERROR(J97/J94-1,"")</f>
        <v/>
      </c>
      <c r="F13" s="536" t="str">
        <f>IFERROR(J95/J94,"")</f>
        <v/>
      </c>
      <c r="G13" s="525" t="str">
        <f>IFERROR(J100/J97,"")</f>
        <v/>
      </c>
      <c r="H13" s="542" t="str">
        <f>IFERROR(J96/J94,"")</f>
        <v/>
      </c>
      <c r="I13" s="525" t="str">
        <f>+IFERROR(J105/J97,"")</f>
        <v/>
      </c>
      <c r="J13" s="546" t="str" cm="1">
        <f t="array" ref="J13">IFERROR(+(_FV(A13,"Market cap",TRUE)/1000000+J$121-J$111)/J$94,"")</f>
        <v/>
      </c>
      <c r="K13" s="547" t="str" cm="1">
        <f t="array" ref="K13">IFERROR(+(_FV(A13,"Market cap",TRUE)/1000000+J$121-J$111)/J$97,"")</f>
        <v/>
      </c>
      <c r="L13" s="552" t="str" cm="1">
        <f t="array" ref="L13">IFERROR(+(_FV(A13,"Market cap",TRUE)/1000000+J$121-J$111)/J$95,"")</f>
        <v/>
      </c>
      <c r="M13" s="553" t="str" cm="1">
        <f t="array" ref="M13">IFERROR(+(_FV(A13,"Market cap",TRUE)/1000000+J$121-J$111)/J$100,"")</f>
        <v/>
      </c>
      <c r="N13" s="437" t="str" cm="1">
        <f t="array" ref="N13">IFERROR(+(_FV(A13,"Market cap",TRUE)/1000000)/J$96,"")</f>
        <v/>
      </c>
      <c r="O13" s="436" t="str" cm="1">
        <f t="array" ref="O13">IFERROR(+(_FV(A13,"Market cap",TRUE)/1000000)/J$105,"")</f>
        <v/>
      </c>
      <c r="P13" s="435"/>
      <c r="Q13" s="435"/>
      <c r="R13" s="435"/>
      <c r="S13" s="439"/>
      <c r="T13" s="438"/>
      <c r="U13" s="438"/>
      <c r="V13" s="439"/>
      <c r="W13" s="438"/>
      <c r="X13" s="438"/>
      <c r="Y13" s="438"/>
      <c r="Z13" s="438"/>
      <c r="AA13" s="438"/>
      <c r="AB13" s="439"/>
      <c r="AC13" s="439"/>
      <c r="AD13" s="434"/>
      <c r="AE13" s="434"/>
      <c r="AF13" s="434"/>
      <c r="AG13" s="434"/>
      <c r="AH13" s="434"/>
      <c r="AI13" s="439"/>
      <c r="AJ13" s="439"/>
      <c r="AK13" s="439"/>
      <c r="AL13" s="440"/>
      <c r="AM13" s="441"/>
      <c r="AN13" s="442"/>
      <c r="AO13" s="439"/>
      <c r="AP13" s="439"/>
      <c r="AQ13" s="431"/>
      <c r="AR13" s="431"/>
      <c r="AS13" s="431"/>
      <c r="AT13" s="431"/>
      <c r="AU13" s="431"/>
      <c r="AV13" s="431"/>
      <c r="AW13" s="431"/>
      <c r="AX13" s="431"/>
      <c r="AY13" s="431"/>
      <c r="AZ13" s="431"/>
    </row>
    <row r="14" spans="1:52" s="400" customFormat="1" ht="17.25" customHeight="1" x14ac:dyDescent="0.3">
      <c r="A14" s="454" t="str">
        <f>+K91</f>
        <v>PEER 7</v>
      </c>
      <c r="B14" s="432" t="str" cm="1">
        <f t="array" ref="B14">IFERROR(_FV(A14,"Name"),"")</f>
        <v/>
      </c>
      <c r="C14" s="433" t="str" cm="1">
        <f t="array" ref="C14">IFERROR(_FV(A14,"Ticker symbol",TRUE),"")</f>
        <v/>
      </c>
      <c r="D14" s="524" t="str">
        <f>IFERROR(K94/K93-1,"")</f>
        <v/>
      </c>
      <c r="E14" s="525" t="str">
        <f>IFERROR(K97/K94-1,"")</f>
        <v/>
      </c>
      <c r="F14" s="536" t="str">
        <f>+IFERROR(K95/K94,"")</f>
        <v/>
      </c>
      <c r="G14" s="525" t="str">
        <f>IFERROR(K100/K97,"")</f>
        <v/>
      </c>
      <c r="H14" s="542" t="str">
        <f>IFERROR(K96/K94,"")</f>
        <v/>
      </c>
      <c r="I14" s="525" t="str">
        <f>+IFERROR(K105/K97,"")</f>
        <v/>
      </c>
      <c r="J14" s="546" t="str" cm="1">
        <f t="array" ref="J14">IFERROR((_FV(A14,"Market cap",TRUE)/1000000+D$121-K$111)/K$94,"")</f>
        <v/>
      </c>
      <c r="K14" s="547" t="str" cm="1">
        <f t="array" ref="K14">IFERROR(+(_FV(A14,"Market cap",TRUE)/1000000+D$121-K$111)/K$97,"")</f>
        <v/>
      </c>
      <c r="L14" s="552" t="str" cm="1">
        <f t="array" ref="L14">IFERROR(+(_FV(A14,"Market cap",TRUE)/1000000+D$121-K$111)/K$95,"")</f>
        <v/>
      </c>
      <c r="M14" s="553" t="str" cm="1">
        <f t="array" ref="M14">IFERROR(+(_FV(A14,"Market cap",TRUE)/1000000+D$121-K$111)/K$100,"")</f>
        <v/>
      </c>
      <c r="N14" s="437" t="str" cm="1">
        <f t="array" ref="N14">IFERROR(+(_FV(A14,"Market cap",TRUE)/1000000)/K$96,"")</f>
        <v/>
      </c>
      <c r="O14" s="436" t="str" cm="1">
        <f t="array" ref="O14">IFERROR(+(_FV(A14,"Market cap",TRUE)/1000000)/K$105,"")</f>
        <v/>
      </c>
      <c r="P14" s="435"/>
      <c r="Q14" s="435"/>
      <c r="R14" s="435"/>
      <c r="S14" s="439"/>
      <c r="T14" s="438"/>
      <c r="U14" s="438"/>
      <c r="V14" s="439"/>
      <c r="W14" s="438"/>
      <c r="X14" s="438"/>
      <c r="Y14" s="438"/>
      <c r="Z14" s="438"/>
      <c r="AA14" s="438"/>
      <c r="AB14" s="439"/>
      <c r="AC14" s="439"/>
      <c r="AD14" s="434"/>
      <c r="AE14" s="434"/>
      <c r="AF14" s="434"/>
      <c r="AG14" s="434"/>
      <c r="AH14" s="434"/>
      <c r="AI14" s="439"/>
      <c r="AJ14" s="439"/>
      <c r="AK14" s="439"/>
      <c r="AL14" s="440"/>
      <c r="AM14" s="441"/>
      <c r="AN14" s="442"/>
      <c r="AO14" s="439"/>
      <c r="AP14" s="439"/>
      <c r="AQ14" s="431"/>
      <c r="AR14" s="431"/>
      <c r="AS14" s="431"/>
      <c r="AT14" s="431"/>
      <c r="AU14" s="431"/>
      <c r="AV14" s="431"/>
      <c r="AW14" s="431"/>
      <c r="AX14" s="431"/>
      <c r="AY14" s="431"/>
      <c r="AZ14" s="431"/>
    </row>
    <row r="15" spans="1:52" s="400" customFormat="1" ht="17.25" customHeight="1" x14ac:dyDescent="0.3">
      <c r="A15" s="454" t="str">
        <f>+L91</f>
        <v>PEER 8</v>
      </c>
      <c r="B15" s="432" t="str" cm="1">
        <f t="array" ref="B15">IFERROR(_FV(A15,"Name"),"")</f>
        <v/>
      </c>
      <c r="C15" s="433" t="str" cm="1">
        <f t="array" ref="C15">IFERROR(_FV(A15,"Ticker symbol",TRUE),"")</f>
        <v/>
      </c>
      <c r="D15" s="524" t="str">
        <f>+IFERROR(L94/L93,"")</f>
        <v/>
      </c>
      <c r="E15" s="525" t="str">
        <f>IFERROR(L97/L94,"")</f>
        <v/>
      </c>
      <c r="F15" s="536" t="str">
        <f>IFERROR(L95/L94,"")</f>
        <v/>
      </c>
      <c r="G15" s="525" t="str">
        <f>IFERROR(L100/L97,"")</f>
        <v/>
      </c>
      <c r="H15" s="542" t="str">
        <f>IFERROR(L96/L94,"")</f>
        <v/>
      </c>
      <c r="I15" s="525" t="str">
        <f>+IFERROR(L105/L97,"")</f>
        <v/>
      </c>
      <c r="J15" s="546" t="str" cm="1">
        <f t="array" ref="J15">IFERROR(+(_FV(A15,"Market cap",TRUE)/1000000+L$121-L$111)/L$94,"")</f>
        <v/>
      </c>
      <c r="K15" s="547" t="str" cm="1">
        <f t="array" ref="K15">IFERROR(+(_FV(A15,"Market cap",TRUE)/1000000+L$121-L$111)/L$97,"")</f>
        <v/>
      </c>
      <c r="L15" s="552" t="str" cm="1">
        <f t="array" ref="L15">IFERROR(+(_FV(A15,"Market cap",TRUE)/1000000+L$121-L$111)/L$95,"")</f>
        <v/>
      </c>
      <c r="M15" s="553" t="str" cm="1">
        <f t="array" ref="M15">IFERROR(+(_FV(A15,"Market cap",TRUE)/1000000+L$121-L$111)/L$100,"")</f>
        <v/>
      </c>
      <c r="N15" s="437" t="str" cm="1">
        <f t="array" ref="N15">IFERROR(+(_FV(A15,"Market cap",TRUE)/1000000)/L$96,"")</f>
        <v/>
      </c>
      <c r="O15" s="436" t="str" cm="1">
        <f t="array" ref="O15">IFERROR(+(_FV(A15,"Market cap",TRUE)/1000000)/L$105,"")</f>
        <v/>
      </c>
      <c r="P15" s="435"/>
      <c r="Q15" s="435"/>
      <c r="R15" s="435"/>
      <c r="S15" s="439"/>
      <c r="T15" s="438"/>
      <c r="U15" s="438"/>
      <c r="V15" s="439"/>
      <c r="W15" s="438"/>
      <c r="X15" s="438"/>
      <c r="Y15" s="438"/>
      <c r="Z15" s="438"/>
      <c r="AA15" s="438"/>
      <c r="AB15" s="439"/>
      <c r="AC15" s="439"/>
      <c r="AD15" s="434"/>
      <c r="AE15" s="434"/>
      <c r="AF15" s="434"/>
      <c r="AG15" s="434"/>
      <c r="AH15" s="434"/>
      <c r="AI15" s="439"/>
      <c r="AJ15" s="439"/>
      <c r="AK15" s="439"/>
      <c r="AL15" s="440"/>
      <c r="AM15" s="441"/>
      <c r="AN15" s="442"/>
      <c r="AO15" s="439"/>
      <c r="AP15" s="439"/>
      <c r="AQ15" s="431"/>
      <c r="AR15" s="431"/>
      <c r="AS15" s="431"/>
      <c r="AT15" s="431"/>
      <c r="AU15" s="431"/>
      <c r="AV15" s="431"/>
      <c r="AW15" s="431"/>
      <c r="AX15" s="431"/>
      <c r="AY15" s="431"/>
      <c r="AZ15" s="431"/>
    </row>
    <row r="16" spans="1:52" s="400" customFormat="1" ht="17.25" customHeight="1" x14ac:dyDescent="0.3">
      <c r="A16" s="454" t="str">
        <f>+M91</f>
        <v>PEER 9</v>
      </c>
      <c r="B16" s="432" t="str" cm="1">
        <f t="array" ref="B16">IFERROR(_FV(A16,"Name"),"")</f>
        <v/>
      </c>
      <c r="C16" s="433" t="str" cm="1">
        <f t="array" ref="C16">IFERROR(_FV(A16,"Ticker symbol",TRUE),"")</f>
        <v/>
      </c>
      <c r="D16" s="524" t="str">
        <f>IFERROR(M94/M93-1,"")</f>
        <v/>
      </c>
      <c r="E16" s="525" t="str">
        <f>IFERROR(M97/M94-1,"")</f>
        <v/>
      </c>
      <c r="F16" s="536" t="str">
        <f>IFERROR(M95/M94,"")</f>
        <v/>
      </c>
      <c r="G16" s="525" t="str">
        <f>IFERROR(M100/M97,"")</f>
        <v/>
      </c>
      <c r="H16" s="542" t="str">
        <f>IFERROR(M96/M94,"")</f>
        <v/>
      </c>
      <c r="I16" s="525" t="str">
        <f>+IFERROR(M105/M97,"")</f>
        <v/>
      </c>
      <c r="J16" s="546" t="str" cm="1">
        <f t="array" ref="J16">IFERROR(+(_FV(A16,"Market cap",TRUE)/1000000+M$121-M$111)/M$94,"")</f>
        <v/>
      </c>
      <c r="K16" s="547" t="str" cm="1">
        <f t="array" ref="K16">IFERROR(+(_FV(A16,"Market cap",TRUE)/1000000+M$121-M$111)/M$97,"")</f>
        <v/>
      </c>
      <c r="L16" s="552" t="str" cm="1">
        <f t="array" ref="L16">IFERROR(+(_FV(A16,"Market cap",TRUE)/1000000+M$121-M$111)/M$95,"")</f>
        <v/>
      </c>
      <c r="M16" s="553" t="str" cm="1">
        <f t="array" ref="M16">IFERROR(+(_FV(A16,"Market cap",TRUE)/1000000+M$121-M$111)/M$100,"")</f>
        <v/>
      </c>
      <c r="N16" s="437" t="str" cm="1">
        <f t="array" ref="N16">IFERROR(+(_FV(A16,"Market cap",TRUE)/1000000)/M$96,"")</f>
        <v/>
      </c>
      <c r="O16" s="436" t="str" cm="1">
        <f t="array" ref="O16">IFERROR(+(_FV(A16,"Market cap",TRUE)/1000000)/M$105,"")</f>
        <v/>
      </c>
      <c r="P16" s="435"/>
      <c r="Q16" s="435"/>
      <c r="R16" s="435"/>
      <c r="S16" s="439"/>
      <c r="T16" s="438"/>
      <c r="U16" s="438"/>
      <c r="V16" s="439"/>
      <c r="W16" s="438"/>
      <c r="X16" s="438"/>
      <c r="Y16" s="438"/>
      <c r="Z16" s="438"/>
      <c r="AA16" s="438"/>
      <c r="AB16" s="439"/>
      <c r="AC16" s="439"/>
      <c r="AD16" s="434"/>
      <c r="AE16" s="434"/>
      <c r="AF16" s="434"/>
      <c r="AG16" s="434"/>
      <c r="AH16" s="434"/>
      <c r="AI16" s="439"/>
      <c r="AJ16" s="439"/>
      <c r="AK16" s="439"/>
      <c r="AL16" s="440"/>
      <c r="AM16" s="441"/>
      <c r="AN16" s="442"/>
      <c r="AO16" s="439"/>
      <c r="AP16" s="439"/>
      <c r="AQ16" s="431"/>
      <c r="AR16" s="431"/>
      <c r="AS16" s="431"/>
      <c r="AT16" s="431"/>
      <c r="AU16" s="431"/>
      <c r="AV16" s="431"/>
      <c r="AW16" s="431"/>
      <c r="AX16" s="431"/>
      <c r="AY16" s="431"/>
      <c r="AZ16" s="431"/>
    </row>
    <row r="17" spans="1:42" s="400" customFormat="1" ht="17.25" customHeight="1" x14ac:dyDescent="0.3">
      <c r="A17" s="454" t="str">
        <f>+N91</f>
        <v>PEER 10</v>
      </c>
      <c r="B17" s="576" t="str" cm="1">
        <f t="array" ref="B17">IFERROR(_FV(A17,"Name"),"")</f>
        <v/>
      </c>
      <c r="C17" s="577" t="str" cm="1">
        <f t="array" ref="C17">+IFERROR(_FV(A17,"Ticker symbol",TRUE),"")</f>
        <v/>
      </c>
      <c r="D17" s="578" t="str">
        <f>IFERROR(N94/N93-1,"")</f>
        <v/>
      </c>
      <c r="E17" s="579" t="str">
        <f>IFERROR(N97/N94-1,"")</f>
        <v/>
      </c>
      <c r="F17" s="580" t="str">
        <f>IFERROR(N95/N94,"")</f>
        <v/>
      </c>
      <c r="G17" s="579" t="str">
        <f>IFERROR(N100/N97,"")</f>
        <v/>
      </c>
      <c r="H17" s="581" t="str">
        <f>IFERROR(N96/N94,"")</f>
        <v/>
      </c>
      <c r="I17" s="579" t="str">
        <f>+IFERROR(N105/N97,"")</f>
        <v/>
      </c>
      <c r="J17" s="582" t="str" cm="1">
        <f t="array" ref="J17">IFERROR(+(_FV(A17,"Market cap",TRUE)/1000000+N$121-N$111)/N$94,"")</f>
        <v/>
      </c>
      <c r="K17" s="583" t="str" cm="1">
        <f t="array" ref="K17">IFERROR(+(_FV(A17,"Market cap",TRUE)/1000000+N$121-N$111)/N$97,"")</f>
        <v/>
      </c>
      <c r="L17" s="584" t="str" cm="1">
        <f t="array" ref="L17">IFERROR(+(_FV(A17,"Market cap",TRUE)/1000000+N$121-N$111)/N$95,"")</f>
        <v/>
      </c>
      <c r="M17" s="585" t="str" cm="1">
        <f t="array" ref="M17">IFERROR(+(_FV(A17,"Market cap",TRUE)/1000000+N$121-N$111)/N$100,"")</f>
        <v/>
      </c>
      <c r="N17" s="586" t="str" cm="1">
        <f t="array" ref="N17">IFERROR(+(_FV(A17,"Market cap",TRUE)/1000000)/N$96,"")</f>
        <v/>
      </c>
      <c r="O17" s="587" t="str" cm="1">
        <f t="array" ref="O17">IFERROR(+(_FV(A17,"Market cap",TRUE)/1000000)/N$105,"")</f>
        <v/>
      </c>
      <c r="P17" s="435"/>
      <c r="Q17" s="435"/>
      <c r="R17" s="435"/>
      <c r="S17" s="439"/>
      <c r="T17" s="438"/>
      <c r="U17" s="438"/>
      <c r="V17" s="439"/>
      <c r="W17" s="438"/>
      <c r="X17" s="438"/>
      <c r="Y17" s="438"/>
      <c r="Z17" s="438"/>
      <c r="AA17" s="438"/>
      <c r="AB17" s="439"/>
      <c r="AC17" s="439"/>
      <c r="AD17" s="434"/>
      <c r="AE17" s="434"/>
      <c r="AF17" s="434"/>
      <c r="AG17" s="434"/>
      <c r="AH17" s="434"/>
      <c r="AI17" s="439"/>
      <c r="AJ17" s="439"/>
      <c r="AK17" s="439"/>
      <c r="AL17" s="440"/>
      <c r="AM17" s="441"/>
      <c r="AN17" s="442"/>
      <c r="AO17" s="439"/>
      <c r="AP17" s="439"/>
    </row>
    <row r="18" spans="1:42" s="397" customFormat="1" ht="15.75" customHeight="1" x14ac:dyDescent="0.3">
      <c r="A18" s="454"/>
      <c r="B18" s="399" t="s">
        <v>147</v>
      </c>
      <c r="C18" s="399"/>
      <c r="D18" s="526" t="str">
        <f t="shared" ref="D18:O18" si="0">IFERROR(AVERAGE(D6:D17),"")</f>
        <v/>
      </c>
      <c r="E18" s="527" t="str">
        <f t="shared" si="0"/>
        <v/>
      </c>
      <c r="F18" s="537" t="str">
        <f t="shared" si="0"/>
        <v/>
      </c>
      <c r="G18" s="527" t="str">
        <f t="shared" si="0"/>
        <v/>
      </c>
      <c r="H18" s="543" t="str">
        <f t="shared" si="0"/>
        <v/>
      </c>
      <c r="I18" s="544" t="str">
        <f t="shared" si="0"/>
        <v/>
      </c>
      <c r="J18" s="548" t="str">
        <f t="shared" ca="1" si="0"/>
        <v/>
      </c>
      <c r="K18" s="549" t="str">
        <f t="shared" ca="1" si="0"/>
        <v/>
      </c>
      <c r="L18" s="548" t="str">
        <f t="shared" ca="1" si="0"/>
        <v/>
      </c>
      <c r="M18" s="549" t="str">
        <f t="shared" ca="1" si="0"/>
        <v/>
      </c>
      <c r="N18" s="416" t="str">
        <f t="shared" ca="1" si="0"/>
        <v/>
      </c>
      <c r="O18" s="416" t="str">
        <f t="shared" ca="1" si="0"/>
        <v/>
      </c>
      <c r="P18" s="566"/>
      <c r="Q18" s="455"/>
      <c r="R18" s="455"/>
      <c r="S18" s="449"/>
      <c r="T18" s="455"/>
      <c r="U18" s="455"/>
      <c r="V18" s="449"/>
      <c r="W18" s="455"/>
      <c r="X18" s="455"/>
      <c r="Y18" s="455"/>
      <c r="Z18" s="455"/>
      <c r="AA18" s="455"/>
      <c r="AB18" s="455"/>
      <c r="AC18" s="449"/>
      <c r="AD18" s="455"/>
      <c r="AE18" s="455"/>
      <c r="AF18" s="455"/>
      <c r="AG18" s="455"/>
      <c r="AH18" s="455"/>
      <c r="AI18" s="449"/>
      <c r="AJ18" s="456"/>
      <c r="AK18" s="449"/>
      <c r="AL18" s="456"/>
      <c r="AM18" s="452"/>
      <c r="AN18" s="456"/>
      <c r="AO18" s="449"/>
      <c r="AP18" s="456"/>
    </row>
    <row r="19" spans="1:42" s="397" customFormat="1" ht="15.75" customHeight="1" x14ac:dyDescent="0.3">
      <c r="A19" s="454"/>
      <c r="B19" s="457" t="s">
        <v>148</v>
      </c>
      <c r="C19" s="399"/>
      <c r="D19" s="528" t="str">
        <f>IFERROR(+D18-D6,"")</f>
        <v/>
      </c>
      <c r="E19" s="529" t="str">
        <f>IFERROR(E18-E6,"")</f>
        <v/>
      </c>
      <c r="F19" s="538" t="str">
        <f>+IFERROR(F18-F6,"")</f>
        <v/>
      </c>
      <c r="G19" s="529" t="str">
        <f>IFERROR(G18-G6,"")</f>
        <v/>
      </c>
      <c r="H19" s="538" t="str">
        <f>IFERROR(+H6-H18,"")</f>
        <v/>
      </c>
      <c r="I19" s="529" t="str">
        <f>+IFERROR(I6-I18,"")</f>
        <v/>
      </c>
      <c r="J19" s="575" t="str">
        <f ca="1">+IFERROR(J6-J18,"")</f>
        <v/>
      </c>
      <c r="K19" s="550" t="str">
        <f ca="1">+IFERROR(K6-K18,"")</f>
        <v/>
      </c>
      <c r="L19" s="575" t="str">
        <f ca="1">IFERROR(+L6-L18,"")</f>
        <v/>
      </c>
      <c r="M19" s="550" t="str">
        <f ca="1">IFERROR(M6-M18,"")</f>
        <v/>
      </c>
      <c r="N19" s="575" t="str">
        <f ca="1">IFERROR(+N6-N18,"")</f>
        <v/>
      </c>
      <c r="O19" s="575" t="str">
        <f ca="1">IFERROR(+O6-O18,"")</f>
        <v/>
      </c>
      <c r="P19" s="567"/>
      <c r="Q19" s="450"/>
      <c r="R19" s="450"/>
      <c r="S19" s="449"/>
      <c r="T19" s="450"/>
      <c r="U19" s="450"/>
      <c r="V19" s="449"/>
      <c r="W19" s="450"/>
      <c r="X19" s="450"/>
      <c r="Y19" s="450"/>
      <c r="Z19" s="450"/>
      <c r="AA19" s="450"/>
      <c r="AB19" s="450"/>
      <c r="AC19" s="449"/>
      <c r="AD19" s="450"/>
      <c r="AE19" s="450"/>
      <c r="AF19" s="450"/>
      <c r="AG19" s="450"/>
      <c r="AH19" s="450"/>
      <c r="AI19" s="449"/>
      <c r="AJ19" s="458"/>
      <c r="AK19" s="449"/>
      <c r="AL19" s="458"/>
      <c r="AM19" s="449"/>
      <c r="AN19" s="458"/>
      <c r="AO19" s="449"/>
      <c r="AP19" s="458"/>
    </row>
    <row r="20" spans="1:42" s="397" customFormat="1" ht="14.25" customHeight="1" x14ac:dyDescent="0.3">
      <c r="A20" s="422"/>
      <c r="B20" s="422"/>
      <c r="C20" s="422"/>
      <c r="D20" s="422"/>
      <c r="E20" s="422"/>
      <c r="F20" s="422"/>
      <c r="G20" s="422"/>
      <c r="H20" s="422"/>
      <c r="I20" s="422"/>
      <c r="J20" s="422"/>
      <c r="K20" s="422"/>
      <c r="L20" s="422"/>
      <c r="M20" s="422"/>
      <c r="N20" s="422"/>
      <c r="O20" s="422"/>
      <c r="P20" s="460"/>
      <c r="Q20" s="422"/>
      <c r="R20" s="422"/>
      <c r="S20" s="422"/>
      <c r="T20" s="422"/>
      <c r="U20" s="422"/>
      <c r="V20" s="422"/>
      <c r="W20" s="422"/>
      <c r="X20" s="422"/>
      <c r="Y20" s="422"/>
      <c r="Z20" s="422"/>
      <c r="AA20" s="422"/>
      <c r="AB20" s="422"/>
      <c r="AC20" s="422"/>
      <c r="AD20" s="422"/>
      <c r="AE20" s="422"/>
      <c r="AF20" s="422"/>
      <c r="AG20" s="422"/>
      <c r="AH20" s="422"/>
      <c r="AI20" s="422"/>
      <c r="AJ20" s="422"/>
      <c r="AK20" s="422"/>
      <c r="AL20" s="422"/>
      <c r="AM20" s="422"/>
      <c r="AN20" s="422"/>
      <c r="AO20" s="422"/>
      <c r="AP20" s="422"/>
    </row>
    <row r="21" spans="1:42" s="397" customFormat="1" ht="14" x14ac:dyDescent="0.3">
      <c r="A21" s="422"/>
      <c r="B21" s="459"/>
      <c r="C21" s="459"/>
      <c r="D21" s="809" t="s">
        <v>149</v>
      </c>
      <c r="E21" s="809"/>
      <c r="F21" s="809"/>
      <c r="G21" s="644" t="s">
        <v>150</v>
      </c>
      <c r="H21" s="644" t="s">
        <v>151</v>
      </c>
      <c r="I21" s="644" t="s">
        <v>152</v>
      </c>
      <c r="J21" s="809" t="s">
        <v>153</v>
      </c>
      <c r="K21" s="809"/>
      <c r="L21" s="809"/>
      <c r="M21" s="809" t="s">
        <v>154</v>
      </c>
      <c r="N21" s="809"/>
      <c r="O21" s="809"/>
      <c r="P21" s="564"/>
      <c r="Q21" s="460"/>
      <c r="R21" s="460"/>
      <c r="S21" s="460"/>
      <c r="T21" s="460"/>
      <c r="U21" s="460"/>
      <c r="V21" s="460"/>
      <c r="W21" s="460"/>
      <c r="X21" s="460"/>
      <c r="Y21" s="422"/>
      <c r="Z21" s="422"/>
      <c r="AA21" s="422"/>
      <c r="AB21" s="422"/>
      <c r="AC21" s="422"/>
      <c r="AD21" s="422"/>
      <c r="AE21" s="422"/>
      <c r="AF21" s="422"/>
      <c r="AG21" s="422"/>
      <c r="AH21" s="422"/>
      <c r="AI21" s="422"/>
      <c r="AJ21" s="422"/>
      <c r="AK21" s="422"/>
      <c r="AL21" s="422"/>
      <c r="AM21" s="422"/>
      <c r="AN21" s="422"/>
      <c r="AO21" s="422"/>
      <c r="AP21" s="422"/>
    </row>
    <row r="22" spans="1:42" s="397" customFormat="1" ht="14.25" customHeight="1" x14ac:dyDescent="0.3">
      <c r="A22" s="422"/>
      <c r="B22" s="461" t="s">
        <v>155</v>
      </c>
      <c r="C22" s="459"/>
      <c r="D22" s="425" t="s">
        <v>156</v>
      </c>
      <c r="E22" s="425" t="s">
        <v>157</v>
      </c>
      <c r="F22" s="425" t="s">
        <v>158</v>
      </c>
      <c r="G22" s="425" t="s">
        <v>159</v>
      </c>
      <c r="H22" s="425" t="s">
        <v>160</v>
      </c>
      <c r="I22" s="425" t="s">
        <v>161</v>
      </c>
      <c r="J22" s="425" t="s">
        <v>156</v>
      </c>
      <c r="K22" s="425" t="s">
        <v>157</v>
      </c>
      <c r="L22" s="425" t="s">
        <v>158</v>
      </c>
      <c r="M22" s="425" t="s">
        <v>156</v>
      </c>
      <c r="N22" s="425" t="s">
        <v>157</v>
      </c>
      <c r="O22" s="425" t="s">
        <v>158</v>
      </c>
      <c r="P22" s="564" t="s">
        <v>162</v>
      </c>
      <c r="Q22" s="460"/>
      <c r="R22" s="460"/>
      <c r="S22" s="460"/>
      <c r="T22" s="460"/>
      <c r="U22" s="460"/>
      <c r="V22" s="460"/>
      <c r="W22" s="460"/>
      <c r="X22" s="460"/>
      <c r="Y22" s="422"/>
      <c r="Z22" s="422"/>
      <c r="AA22" s="422"/>
      <c r="AB22" s="422"/>
      <c r="AC22" s="422"/>
      <c r="AD22" s="422"/>
      <c r="AE22" s="422"/>
      <c r="AF22" s="422"/>
      <c r="AG22" s="422"/>
      <c r="AH22" s="422"/>
      <c r="AI22" s="422"/>
      <c r="AJ22" s="422"/>
      <c r="AK22" s="422"/>
      <c r="AL22" s="422"/>
      <c r="AM22" s="422"/>
      <c r="AN22" s="422"/>
      <c r="AO22" s="422"/>
      <c r="AP22" s="422"/>
    </row>
    <row r="23" spans="1:42" s="397" customFormat="1" ht="3.75" customHeight="1" x14ac:dyDescent="0.3">
      <c r="A23" s="422"/>
      <c r="B23" s="462"/>
      <c r="C23" s="463"/>
      <c r="D23" s="559"/>
      <c r="E23" s="561"/>
      <c r="F23" s="556"/>
      <c r="G23" s="559"/>
      <c r="H23" s="561"/>
      <c r="I23" s="556"/>
      <c r="J23" s="463"/>
      <c r="K23" s="463"/>
      <c r="L23" s="556"/>
      <c r="M23" s="463"/>
      <c r="N23" s="463"/>
      <c r="O23" s="463"/>
      <c r="P23" s="565"/>
      <c r="Q23" s="460"/>
      <c r="R23" s="460"/>
      <c r="S23" s="460"/>
      <c r="T23" s="460"/>
      <c r="U23" s="460"/>
      <c r="V23" s="460"/>
      <c r="W23" s="460"/>
      <c r="X23" s="460"/>
      <c r="Y23" s="422"/>
      <c r="Z23" s="422"/>
      <c r="AA23" s="422"/>
      <c r="AB23" s="422"/>
      <c r="AC23" s="422"/>
      <c r="AD23" s="422"/>
      <c r="AE23" s="422"/>
      <c r="AF23" s="422"/>
      <c r="AG23" s="422"/>
      <c r="AH23" s="422"/>
      <c r="AI23" s="422"/>
      <c r="AJ23" s="422"/>
      <c r="AK23" s="422"/>
      <c r="AL23" s="422"/>
      <c r="AM23" s="422"/>
      <c r="AN23" s="422"/>
      <c r="AO23" s="422"/>
      <c r="AP23" s="422"/>
    </row>
    <row r="24" spans="1:42" s="397" customFormat="1" ht="14" x14ac:dyDescent="0.3">
      <c r="A24" s="422"/>
      <c r="B24" s="422" t="s">
        <v>163</v>
      </c>
      <c r="C24" s="422"/>
      <c r="D24" s="560" t="str">
        <f ca="1">IFERROR(SMALL(K6:K17,2),"")</f>
        <v/>
      </c>
      <c r="E24" s="562" t="str">
        <f ca="1">IFERROR(SMALL(M6:M17,2),"")</f>
        <v/>
      </c>
      <c r="F24" s="557" t="str">
        <f ca="1">IFERROR(SMALL(O6:O17,2),"")</f>
        <v/>
      </c>
      <c r="G24" s="560">
        <f>-Inputs!$Q$99+Inputs!$Q$100</f>
        <v>0</v>
      </c>
      <c r="H24" s="562">
        <f>+Inputs!$Q$101</f>
        <v>0</v>
      </c>
      <c r="I24" s="557">
        <f>+Inputs!$Q$102</f>
        <v>0</v>
      </c>
      <c r="J24" s="464" t="str">
        <f ca="1">IFERROR(+D24*$D$97+G24+H24+I24,"")</f>
        <v/>
      </c>
      <c r="K24" s="464" t="str">
        <f ca="1">IFERROR(E24*$D$100+G24+H24+I24,"")</f>
        <v/>
      </c>
      <c r="L24" s="558" t="str">
        <f ca="1">IFERROR(F24*$D$105,"")</f>
        <v/>
      </c>
      <c r="M24" s="563" t="str" cm="1">
        <f t="array" aca="1" ref="M24" ca="1">IFERROR(+(J24/_FV($A$6,"Shares outstanding",TRUE)*1000000)/$P$24-1,"")</f>
        <v/>
      </c>
      <c r="N24" s="563" t="str" cm="1">
        <f t="array" aca="1" ref="N24" ca="1">IFERROR((+K24/_FV($A$6,"Shares outstanding",TRUE)*1000000)/$P$24-1,"")</f>
        <v/>
      </c>
      <c r="O24" s="563" t="str" cm="1">
        <f t="array" aca="1" ref="O24" ca="1">IFERROR(+(L24/_FV($A$6,"Shares outstanding",TRUE)*1000000)/$P$24-1,"")</f>
        <v/>
      </c>
      <c r="P24" s="568" cm="1">
        <f t="array" aca="1" ref="P24" ca="1">+_FV(A6,"Price")</f>
        <v>156.6514</v>
      </c>
      <c r="Q24" s="422"/>
      <c r="R24" s="422"/>
      <c r="S24" s="422"/>
      <c r="T24" s="422"/>
      <c r="U24" s="422"/>
      <c r="V24" s="422"/>
      <c r="W24" s="422"/>
      <c r="X24" s="422"/>
      <c r="Y24" s="422"/>
      <c r="Z24" s="422"/>
      <c r="AA24" s="422"/>
      <c r="AB24" s="422"/>
      <c r="AC24" s="422"/>
      <c r="AD24" s="422"/>
      <c r="AE24" s="422"/>
      <c r="AF24" s="422"/>
      <c r="AG24" s="422"/>
      <c r="AH24" s="422"/>
      <c r="AI24" s="422"/>
      <c r="AJ24" s="422"/>
      <c r="AK24" s="422"/>
      <c r="AL24" s="422"/>
      <c r="AM24" s="422"/>
      <c r="AN24" s="422"/>
      <c r="AO24" s="422"/>
      <c r="AP24" s="422"/>
    </row>
    <row r="25" spans="1:42" ht="14" x14ac:dyDescent="0.3">
      <c r="B25" s="422" t="s">
        <v>147</v>
      </c>
      <c r="C25" s="422"/>
      <c r="D25" s="560" t="str">
        <f ca="1">+IFERROR(AVERAGE(K6:K17),"")</f>
        <v/>
      </c>
      <c r="E25" s="562" t="str">
        <f ca="1">IFERROR(+AVERAGE(M6:M17),"")</f>
        <v/>
      </c>
      <c r="F25" s="557" t="str">
        <f ca="1">IFERROR(+AVERAGE(O6:O17),"")</f>
        <v/>
      </c>
      <c r="G25" s="560">
        <f>-Inputs!$Q$99+Inputs!$Q$100</f>
        <v>0</v>
      </c>
      <c r="H25" s="562">
        <f>+Inputs!$Q$101</f>
        <v>0</v>
      </c>
      <c r="I25" s="557">
        <f>+Inputs!$Q$102</f>
        <v>0</v>
      </c>
      <c r="J25" s="464" t="str">
        <f ca="1">IFERROR(+D25*$D$97+G25+H25+I25,"")</f>
        <v/>
      </c>
      <c r="K25" s="464" t="str">
        <f ca="1">IFERROR(E25*$D$100+G25+H25+I25,"")</f>
        <v/>
      </c>
      <c r="L25" s="558" t="str">
        <f ca="1">IFERROR(+F25*$D$105,"")</f>
        <v/>
      </c>
      <c r="M25" s="563" t="str" cm="1">
        <f t="array" aca="1" ref="M25" ca="1">IFERROR(+(J25/_FV($A$6,"Shares outstanding",TRUE)*1000000)/$P$24-1,"")</f>
        <v/>
      </c>
      <c r="N25" s="563" t="str" cm="1">
        <f t="array" aca="1" ref="N25" ca="1">IFERROR((+K25/_FV($A$6,"Shares outstanding",TRUE)*1000000)/$P$24-1,"")</f>
        <v/>
      </c>
      <c r="O25" s="563" t="str" cm="1">
        <f t="array" aca="1" ref="O25" ca="1">IFERROR(+(L25/_FV($A$6,"Shares outstanding",TRUE)*1000000)/$P$24-1,"")</f>
        <v/>
      </c>
      <c r="P25" s="564"/>
    </row>
    <row r="26" spans="1:42" s="397" customFormat="1" ht="14" x14ac:dyDescent="0.3">
      <c r="A26" s="422"/>
      <c r="B26" s="422" t="s">
        <v>164</v>
      </c>
      <c r="C26" s="422"/>
      <c r="D26" s="560" t="str">
        <f ca="1">IFERROR(MEDIAN(K6:K17),"")</f>
        <v/>
      </c>
      <c r="E26" s="562" t="str">
        <f ca="1">IFERROR(MEDIAN(M6:M17),"")</f>
        <v/>
      </c>
      <c r="F26" s="557" t="str">
        <f ca="1">IFERROR(MEDIAN(O6:O17),"")</f>
        <v/>
      </c>
      <c r="G26" s="560">
        <f>-Inputs!$Q$99+Inputs!$Q$100</f>
        <v>0</v>
      </c>
      <c r="H26" s="562">
        <f>+Inputs!$Q$101</f>
        <v>0</v>
      </c>
      <c r="I26" s="557">
        <f>+Inputs!$Q$102</f>
        <v>0</v>
      </c>
      <c r="J26" s="464" t="str">
        <f ca="1">IFERROR(D26*$D$97+G26+H26+I26,"")</f>
        <v/>
      </c>
      <c r="K26" s="464" t="str">
        <f ca="1">IFERROR(E26*$D$100+G26+H26+I26,"")</f>
        <v/>
      </c>
      <c r="L26" s="558" t="str">
        <f ca="1">IFERROR(+F26*$D$105,"")</f>
        <v/>
      </c>
      <c r="M26" s="563" t="str" cm="1">
        <f t="array" aca="1" ref="M26" ca="1">IFERROR(+(J26/_FV($A$6,"Shares outstanding",TRUE)*1000000)/$P$24-1,"")</f>
        <v/>
      </c>
      <c r="N26" s="563" t="str" cm="1">
        <f t="array" aca="1" ref="N26" ca="1">IFERROR((+K26/_FV($A$6,"Shares outstanding",TRUE)*1000000)/$P$24-1,"")</f>
        <v/>
      </c>
      <c r="O26" s="563" t="str" cm="1">
        <f t="array" aca="1" ref="O26" ca="1">+IFERROR((L26/_FV($A$6,"Shares outstanding",TRUE)*1000000)/$P$24-1,"")</f>
        <v/>
      </c>
      <c r="P26" s="565"/>
      <c r="Q26" s="422"/>
      <c r="R26" s="422"/>
      <c r="S26" s="422"/>
      <c r="T26" s="422"/>
      <c r="U26" s="422"/>
      <c r="V26" s="422"/>
      <c r="W26" s="422"/>
      <c r="X26" s="422"/>
      <c r="Y26" s="422"/>
      <c r="Z26" s="422"/>
      <c r="AA26" s="422"/>
      <c r="AB26" s="422"/>
      <c r="AC26" s="422"/>
      <c r="AD26" s="422"/>
      <c r="AE26" s="422"/>
      <c r="AF26" s="422"/>
      <c r="AG26" s="422"/>
      <c r="AH26" s="422"/>
      <c r="AI26" s="422"/>
      <c r="AJ26" s="422"/>
      <c r="AK26" s="422"/>
      <c r="AL26" s="422"/>
      <c r="AM26" s="422"/>
      <c r="AN26" s="422"/>
      <c r="AO26" s="422"/>
      <c r="AP26" s="422"/>
    </row>
    <row r="27" spans="1:42" s="397" customFormat="1" ht="14" x14ac:dyDescent="0.3">
      <c r="A27" s="422"/>
      <c r="B27" s="422" t="s">
        <v>165</v>
      </c>
      <c r="C27" s="422"/>
      <c r="D27" s="560" t="str">
        <f ca="1">IFERROR(LARGE(K6:K17,2),"")</f>
        <v/>
      </c>
      <c r="E27" s="562" t="str">
        <f ca="1">IFERROR(LARGE(M6:M17,2),"")</f>
        <v/>
      </c>
      <c r="F27" s="557" t="str">
        <f ca="1">IFERROR(LARGE(O6:O17,2),"")</f>
        <v/>
      </c>
      <c r="G27" s="560">
        <f>-Inputs!$Q$99+Inputs!$Q$100</f>
        <v>0</v>
      </c>
      <c r="H27" s="562">
        <f>+Inputs!$Q$101</f>
        <v>0</v>
      </c>
      <c r="I27" s="557">
        <f>+Inputs!$Q$102</f>
        <v>0</v>
      </c>
      <c r="J27" s="464" t="str">
        <f ca="1">IFERROR(+D27*$D$97+G27+H27+I27,"")</f>
        <v/>
      </c>
      <c r="K27" s="464" t="str">
        <f ca="1">IFERROR(E27*$D$100+G27+H27+I27,"")</f>
        <v/>
      </c>
      <c r="L27" s="558" t="str">
        <f ca="1">IFERROR(+F27*$D$105,"")</f>
        <v/>
      </c>
      <c r="M27" s="563" t="str" cm="1">
        <f t="array" aca="1" ref="M27" ca="1">IFERROR(+(J27/_FV($A$6,"Shares outstanding",TRUE)*1000000)/$P$24-1,"")</f>
        <v/>
      </c>
      <c r="N27" s="563" t="str" cm="1">
        <f t="array" aca="1" ref="N27" ca="1">IFERROR((+K27/_FV($A$6,"Shares outstanding",TRUE)*1000000)/$P$24-1,"")</f>
        <v/>
      </c>
      <c r="O27" s="563" t="str" cm="1">
        <f t="array" aca="1" ref="O27" ca="1">IFERROR(+(L27/_FV($A$6,"Shares outstanding",TRUE)*1000000)/$P$24-1,"")</f>
        <v/>
      </c>
      <c r="P27" s="565"/>
      <c r="Q27" s="422"/>
      <c r="R27" s="422"/>
      <c r="S27" s="422"/>
      <c r="T27" s="422"/>
      <c r="U27" s="422"/>
      <c r="V27" s="422"/>
      <c r="W27" s="422"/>
      <c r="X27" s="422"/>
      <c r="Y27" s="422"/>
      <c r="Z27" s="422"/>
      <c r="AA27" s="422"/>
      <c r="AB27" s="422"/>
      <c r="AC27" s="422"/>
      <c r="AD27" s="422"/>
      <c r="AE27" s="422"/>
      <c r="AF27" s="422"/>
      <c r="AG27" s="422"/>
      <c r="AH27" s="422"/>
      <c r="AI27" s="422"/>
      <c r="AJ27" s="422"/>
      <c r="AK27" s="422"/>
      <c r="AL27" s="422"/>
      <c r="AM27" s="422"/>
      <c r="AN27" s="422"/>
      <c r="AO27" s="422"/>
      <c r="AP27" s="422"/>
    </row>
    <row r="28" spans="1:42" s="397" customFormat="1" ht="14.25" customHeight="1" x14ac:dyDescent="0.3">
      <c r="A28" s="422"/>
      <c r="B28" s="422"/>
      <c r="C28" s="422"/>
      <c r="D28" s="422"/>
      <c r="E28" s="422"/>
      <c r="F28" s="422"/>
      <c r="G28" s="422"/>
      <c r="H28" s="422"/>
      <c r="I28" s="422"/>
      <c r="J28" s="422"/>
      <c r="K28" s="422"/>
      <c r="L28" s="422"/>
      <c r="M28" s="422"/>
      <c r="N28" s="422"/>
      <c r="O28" s="466"/>
      <c r="P28" s="422"/>
      <c r="Q28" s="422"/>
      <c r="R28" s="422"/>
      <c r="S28" s="422"/>
      <c r="T28" s="422"/>
      <c r="U28" s="422"/>
      <c r="V28" s="422"/>
      <c r="W28" s="422"/>
      <c r="X28" s="422"/>
      <c r="Y28" s="422"/>
      <c r="Z28" s="422"/>
      <c r="AA28" s="422"/>
      <c r="AB28" s="422"/>
      <c r="AC28" s="422"/>
      <c r="AD28" s="422"/>
      <c r="AE28" s="422"/>
      <c r="AF28" s="422"/>
      <c r="AG28" s="422"/>
      <c r="AH28" s="422"/>
      <c r="AI28" s="422"/>
      <c r="AJ28" s="422"/>
      <c r="AK28" s="422"/>
      <c r="AL28" s="422"/>
      <c r="AM28" s="422"/>
      <c r="AN28" s="422"/>
      <c r="AO28" s="422"/>
      <c r="AP28" s="422"/>
    </row>
    <row r="29" spans="1:42" s="400" customFormat="1" ht="14.25" customHeight="1" x14ac:dyDescent="0.3">
      <c r="A29" s="431"/>
      <c r="B29" s="641" t="s">
        <v>166</v>
      </c>
      <c r="C29" s="642"/>
      <c r="D29" s="407" t="str">
        <f ca="1">+LEFT(B6, FIND(" ", B6 &amp; " ") - 1)</f>
        <v>ADVANCED</v>
      </c>
      <c r="E29" s="407" t="str">
        <f>+LEFT(B8, FIND(" ", B8 &amp; " ") - 1)</f>
        <v/>
      </c>
      <c r="F29" s="407" t="str">
        <f>+LEFT(B9, FIND(" ", B9 &amp; " ") - 1)</f>
        <v/>
      </c>
      <c r="G29" s="407" t="str">
        <f>+LEFT(B10, FIND(" ", B10 &amp; " ") - 1)</f>
        <v/>
      </c>
      <c r="H29" s="407" t="str">
        <f>+LEFT(B11, FIND(" ", B11 &amp; " ") - 1)</f>
        <v/>
      </c>
      <c r="I29" s="407" t="str">
        <f>+LEFT(B12, FIND(" ", B12 &amp; " ") - 1)</f>
        <v/>
      </c>
      <c r="J29" s="407" t="str">
        <f>+LEFT(C12, FIND(" ", C12 &amp; " ") - 1)</f>
        <v/>
      </c>
      <c r="K29" s="407" t="str">
        <f>+LEFT(B14, FIND(" ", B14 &amp; " ") - 1)</f>
        <v/>
      </c>
      <c r="L29" s="407" t="str">
        <f>+LEFT(B15, FIND(" ", B15 &amp; " ") - 1)</f>
        <v/>
      </c>
      <c r="M29" s="407" t="str">
        <f>+LEFT(B16, FIND(" ", B16 &amp; " ") - 1)</f>
        <v/>
      </c>
      <c r="N29" s="407" t="str">
        <f>+LEFT(B17, FIND(" ", B17 &amp; " ") - 1)</f>
        <v/>
      </c>
      <c r="O29" s="467" t="s">
        <v>147</v>
      </c>
      <c r="P29" s="431"/>
      <c r="Q29" s="431" t="s">
        <v>167</v>
      </c>
      <c r="R29" s="431"/>
      <c r="S29" s="431"/>
      <c r="T29" s="431"/>
      <c r="U29" s="431"/>
      <c r="V29" s="431"/>
      <c r="W29" s="431"/>
      <c r="X29" s="431"/>
      <c r="Y29" s="431"/>
      <c r="Z29" s="431"/>
      <c r="AA29" s="431"/>
      <c r="AB29" s="431"/>
      <c r="AC29" s="431"/>
      <c r="AD29" s="431"/>
      <c r="AE29" s="431"/>
      <c r="AF29" s="431"/>
      <c r="AG29" s="431"/>
      <c r="AH29" s="431"/>
      <c r="AI29" s="431"/>
      <c r="AJ29" s="431"/>
      <c r="AK29" s="431"/>
      <c r="AL29" s="431"/>
      <c r="AM29" s="431"/>
      <c r="AN29" s="431"/>
      <c r="AO29" s="431"/>
      <c r="AP29" s="431"/>
    </row>
    <row r="30" spans="1:42" s="397" customFormat="1" ht="3.75" customHeight="1" x14ac:dyDescent="0.3">
      <c r="A30" s="422"/>
      <c r="B30" s="457"/>
      <c r="C30" s="457"/>
      <c r="D30" s="457"/>
      <c r="E30" s="457"/>
      <c r="F30" s="457"/>
      <c r="G30" s="457"/>
      <c r="H30" s="457"/>
      <c r="I30" s="457"/>
      <c r="J30" s="457"/>
      <c r="K30" s="457"/>
      <c r="L30" s="457"/>
      <c r="M30" s="457"/>
      <c r="N30" s="457"/>
      <c r="O30" s="468"/>
      <c r="P30" s="422"/>
      <c r="Q30" s="422"/>
      <c r="R30" s="469"/>
      <c r="S30" s="422"/>
      <c r="T30" s="422"/>
      <c r="U30" s="422"/>
      <c r="V30" s="422"/>
      <c r="W30" s="422"/>
      <c r="X30" s="422"/>
      <c r="Y30" s="422"/>
      <c r="Z30" s="422"/>
      <c r="AA30" s="422"/>
      <c r="AB30" s="422"/>
      <c r="AC30" s="422"/>
      <c r="AD30" s="422"/>
      <c r="AE30" s="422"/>
      <c r="AF30" s="422"/>
      <c r="AG30" s="422"/>
      <c r="AH30" s="422"/>
      <c r="AI30" s="422"/>
      <c r="AJ30" s="422"/>
      <c r="AK30" s="422"/>
      <c r="AL30" s="422"/>
      <c r="AM30" s="422"/>
      <c r="AN30" s="422"/>
      <c r="AO30" s="422"/>
      <c r="AP30" s="422"/>
    </row>
    <row r="31" spans="1:42" s="397" customFormat="1" ht="14.25" customHeight="1" x14ac:dyDescent="0.3">
      <c r="A31" s="422"/>
      <c r="B31" s="422" t="s">
        <v>168</v>
      </c>
      <c r="C31" s="422"/>
      <c r="D31" s="470" t="str">
        <f>IFERROR(D101/D97,"")</f>
        <v/>
      </c>
      <c r="E31" s="470" t="str">
        <f t="shared" ref="E31:N31" si="1">IFERROR(E101/E97,"")</f>
        <v/>
      </c>
      <c r="F31" s="470" t="str">
        <f t="shared" si="1"/>
        <v/>
      </c>
      <c r="G31" s="470" t="str">
        <f t="shared" si="1"/>
        <v/>
      </c>
      <c r="H31" s="470" t="str">
        <f t="shared" si="1"/>
        <v/>
      </c>
      <c r="I31" s="470" t="str">
        <f t="shared" si="1"/>
        <v/>
      </c>
      <c r="J31" s="470" t="str">
        <f t="shared" si="1"/>
        <v/>
      </c>
      <c r="K31" s="470" t="str">
        <f t="shared" si="1"/>
        <v/>
      </c>
      <c r="L31" s="470" t="str">
        <f t="shared" si="1"/>
        <v/>
      </c>
      <c r="M31" s="470" t="str">
        <f t="shared" si="1"/>
        <v/>
      </c>
      <c r="N31" s="470" t="str">
        <f t="shared" si="1"/>
        <v/>
      </c>
      <c r="O31" s="718" t="str">
        <f t="shared" ref="O31:O36" si="2">IFERROR(+AVERAGE(D31:N31),"")</f>
        <v/>
      </c>
      <c r="P31" s="422"/>
      <c r="Q31" s="422"/>
      <c r="R31" s="469"/>
      <c r="S31" s="422"/>
      <c r="T31" s="422"/>
      <c r="U31" s="422"/>
      <c r="V31" s="422"/>
      <c r="W31" s="422"/>
      <c r="X31" s="422"/>
      <c r="Y31" s="422"/>
      <c r="Z31" s="422"/>
      <c r="AA31" s="422"/>
      <c r="AB31" s="422"/>
      <c r="AC31" s="422"/>
      <c r="AD31" s="422"/>
      <c r="AE31" s="422"/>
      <c r="AF31" s="422"/>
      <c r="AG31" s="422"/>
      <c r="AH31" s="422"/>
      <c r="AI31" s="422"/>
      <c r="AJ31" s="422"/>
      <c r="AK31" s="422"/>
      <c r="AL31" s="422"/>
      <c r="AM31" s="422"/>
      <c r="AN31" s="422"/>
      <c r="AO31" s="422"/>
      <c r="AP31" s="422"/>
    </row>
    <row r="32" spans="1:42" s="397" customFormat="1" ht="14.25" customHeight="1" x14ac:dyDescent="0.3">
      <c r="A32" s="422"/>
      <c r="B32" s="422" t="s">
        <v>35</v>
      </c>
      <c r="C32" s="422"/>
      <c r="D32" s="470" t="str">
        <f>IFERROR(D105/D97,"")</f>
        <v/>
      </c>
      <c r="E32" s="470" t="str">
        <f t="shared" ref="E32:N32" si="3">IFERROR(E105/E97,"")</f>
        <v/>
      </c>
      <c r="F32" s="470" t="str">
        <f t="shared" si="3"/>
        <v/>
      </c>
      <c r="G32" s="470" t="str">
        <f t="shared" si="3"/>
        <v/>
      </c>
      <c r="H32" s="470" t="str">
        <f t="shared" si="3"/>
        <v/>
      </c>
      <c r="I32" s="470" t="str">
        <f t="shared" si="3"/>
        <v/>
      </c>
      <c r="J32" s="470" t="str">
        <f t="shared" si="3"/>
        <v/>
      </c>
      <c r="K32" s="470" t="str">
        <f t="shared" si="3"/>
        <v/>
      </c>
      <c r="L32" s="470" t="str">
        <f t="shared" si="3"/>
        <v/>
      </c>
      <c r="M32" s="470" t="str">
        <f t="shared" si="3"/>
        <v/>
      </c>
      <c r="N32" s="470" t="str">
        <f t="shared" si="3"/>
        <v/>
      </c>
      <c r="O32" s="718" t="str">
        <f t="shared" si="2"/>
        <v/>
      </c>
      <c r="P32" s="422"/>
      <c r="Q32" s="422"/>
      <c r="R32" s="469"/>
      <c r="S32" s="422"/>
      <c r="T32" s="422"/>
      <c r="U32" s="422"/>
      <c r="V32" s="422"/>
      <c r="W32" s="422"/>
      <c r="X32" s="422"/>
      <c r="Y32" s="422"/>
      <c r="Z32" s="422"/>
      <c r="AA32" s="422"/>
      <c r="AB32" s="422"/>
      <c r="AC32" s="422"/>
      <c r="AD32" s="422"/>
      <c r="AE32" s="422"/>
      <c r="AF32" s="422"/>
      <c r="AG32" s="422"/>
      <c r="AH32" s="422"/>
      <c r="AI32" s="422"/>
      <c r="AJ32" s="422"/>
      <c r="AK32" s="422"/>
      <c r="AL32" s="422"/>
      <c r="AM32" s="422"/>
      <c r="AN32" s="422"/>
      <c r="AO32" s="422"/>
      <c r="AP32" s="422"/>
    </row>
    <row r="33" spans="2:18" s="397" customFormat="1" ht="14.25" customHeight="1" x14ac:dyDescent="0.3">
      <c r="B33" s="422" t="s">
        <v>169</v>
      </c>
      <c r="C33" s="422"/>
      <c r="D33" s="470" t="str">
        <f>IFERROR(D105/D117,"")</f>
        <v/>
      </c>
      <c r="E33" s="470" t="str">
        <f t="shared" ref="E33:N33" si="4">IFERROR(E105/E117,"")</f>
        <v/>
      </c>
      <c r="F33" s="470" t="str">
        <f t="shared" si="4"/>
        <v/>
      </c>
      <c r="G33" s="470" t="str">
        <f t="shared" si="4"/>
        <v/>
      </c>
      <c r="H33" s="470" t="str">
        <f t="shared" si="4"/>
        <v/>
      </c>
      <c r="I33" s="470" t="str">
        <f t="shared" si="4"/>
        <v/>
      </c>
      <c r="J33" s="470" t="str">
        <f t="shared" si="4"/>
        <v/>
      </c>
      <c r="K33" s="470" t="str">
        <f t="shared" si="4"/>
        <v/>
      </c>
      <c r="L33" s="470" t="str">
        <f t="shared" si="4"/>
        <v/>
      </c>
      <c r="M33" s="470" t="str">
        <f t="shared" si="4"/>
        <v/>
      </c>
      <c r="N33" s="470" t="str">
        <f t="shared" si="4"/>
        <v/>
      </c>
      <c r="O33" s="718" t="str">
        <f t="shared" si="2"/>
        <v/>
      </c>
      <c r="P33" s="422"/>
      <c r="Q33" s="422"/>
      <c r="R33" s="469"/>
    </row>
    <row r="34" spans="2:18" s="397" customFormat="1" ht="14.25" customHeight="1" x14ac:dyDescent="0.3">
      <c r="B34" s="422" t="s">
        <v>170</v>
      </c>
      <c r="C34" s="422"/>
      <c r="D34" s="470" t="str">
        <f>IFERROR(+(D102/D121)*(1-(D104/D103)),"")</f>
        <v/>
      </c>
      <c r="E34" s="470" t="str">
        <f t="shared" ref="E34:N34" si="5">IFERROR(+(E102/E121)*(1-(E104/E103)),"")</f>
        <v/>
      </c>
      <c r="F34" s="470" t="str">
        <f t="shared" si="5"/>
        <v/>
      </c>
      <c r="G34" s="470" t="str">
        <f t="shared" si="5"/>
        <v/>
      </c>
      <c r="H34" s="470" t="str">
        <f t="shared" si="5"/>
        <v/>
      </c>
      <c r="I34" s="470" t="str">
        <f t="shared" si="5"/>
        <v/>
      </c>
      <c r="J34" s="470" t="str">
        <f t="shared" si="5"/>
        <v/>
      </c>
      <c r="K34" s="470" t="str">
        <f t="shared" si="5"/>
        <v/>
      </c>
      <c r="L34" s="470" t="str">
        <f t="shared" si="5"/>
        <v/>
      </c>
      <c r="M34" s="470" t="str">
        <f t="shared" si="5"/>
        <v/>
      </c>
      <c r="N34" s="470" t="str">
        <f t="shared" si="5"/>
        <v/>
      </c>
      <c r="O34" s="718" t="str">
        <f t="shared" si="2"/>
        <v/>
      </c>
      <c r="P34" s="422"/>
      <c r="Q34" s="422"/>
      <c r="R34" s="469"/>
    </row>
    <row r="35" spans="2:18" s="397" customFormat="1" ht="14.25" customHeight="1" x14ac:dyDescent="0.3">
      <c r="B35" s="422" t="s">
        <v>171</v>
      </c>
      <c r="C35" s="422"/>
      <c r="D35" s="470" t="str">
        <f>IFERROR(+D105/D122,"")</f>
        <v/>
      </c>
      <c r="E35" s="470" t="str">
        <f t="shared" ref="E35:N35" si="6">IFERROR(+E105/E122,"")</f>
        <v/>
      </c>
      <c r="F35" s="470" t="str">
        <f t="shared" si="6"/>
        <v/>
      </c>
      <c r="G35" s="470" t="str">
        <f t="shared" si="6"/>
        <v/>
      </c>
      <c r="H35" s="470" t="str">
        <f t="shared" si="6"/>
        <v/>
      </c>
      <c r="I35" s="470" t="str">
        <f t="shared" si="6"/>
        <v/>
      </c>
      <c r="J35" s="470" t="str">
        <f t="shared" si="6"/>
        <v/>
      </c>
      <c r="K35" s="470" t="str">
        <f t="shared" si="6"/>
        <v/>
      </c>
      <c r="L35" s="470" t="str">
        <f t="shared" si="6"/>
        <v/>
      </c>
      <c r="M35" s="470" t="str">
        <f t="shared" si="6"/>
        <v/>
      </c>
      <c r="N35" s="470" t="str">
        <f t="shared" si="6"/>
        <v/>
      </c>
      <c r="O35" s="718" t="str">
        <f t="shared" si="2"/>
        <v/>
      </c>
      <c r="P35" s="422"/>
      <c r="Q35" s="422"/>
      <c r="R35" s="469"/>
    </row>
    <row r="36" spans="2:18" s="397" customFormat="1" ht="14.25" customHeight="1" x14ac:dyDescent="0.3">
      <c r="B36" s="422" t="s">
        <v>172</v>
      </c>
      <c r="C36" s="422"/>
      <c r="D36" s="470" t="str">
        <f>IFERROR(+D105/(D121+D122),"")</f>
        <v/>
      </c>
      <c r="E36" s="470" t="str">
        <f t="shared" ref="E36:N36" si="7">IFERROR(+E105/(E121+E122),"")</f>
        <v/>
      </c>
      <c r="F36" s="470" t="str">
        <f t="shared" si="7"/>
        <v/>
      </c>
      <c r="G36" s="470" t="str">
        <f t="shared" si="7"/>
        <v/>
      </c>
      <c r="H36" s="470" t="str">
        <f t="shared" si="7"/>
        <v/>
      </c>
      <c r="I36" s="470" t="str">
        <f t="shared" si="7"/>
        <v/>
      </c>
      <c r="J36" s="470" t="str">
        <f t="shared" si="7"/>
        <v/>
      </c>
      <c r="K36" s="470" t="str">
        <f t="shared" si="7"/>
        <v/>
      </c>
      <c r="L36" s="470" t="str">
        <f t="shared" si="7"/>
        <v/>
      </c>
      <c r="M36" s="470" t="str">
        <f t="shared" si="7"/>
        <v/>
      </c>
      <c r="N36" s="470" t="str">
        <f t="shared" si="7"/>
        <v/>
      </c>
      <c r="O36" s="718" t="str">
        <f t="shared" si="2"/>
        <v/>
      </c>
      <c r="P36" s="422"/>
      <c r="Q36" s="422"/>
      <c r="R36" s="469"/>
    </row>
    <row r="37" spans="2:18" s="397" customFormat="1" ht="3.75" customHeight="1" x14ac:dyDescent="0.3">
      <c r="B37" s="422"/>
      <c r="C37" s="422"/>
      <c r="D37" s="422"/>
      <c r="E37" s="422"/>
      <c r="F37" s="422"/>
      <c r="G37" s="422"/>
      <c r="H37" s="422"/>
      <c r="I37" s="422"/>
      <c r="J37" s="422"/>
      <c r="K37" s="422"/>
      <c r="L37" s="422"/>
      <c r="M37" s="422"/>
      <c r="N37" s="422"/>
      <c r="O37" s="466"/>
      <c r="P37" s="422"/>
      <c r="Q37" s="422"/>
      <c r="R37" s="469"/>
    </row>
    <row r="38" spans="2:18" s="400" customFormat="1" ht="14.25" customHeight="1" x14ac:dyDescent="0.3">
      <c r="B38" s="641" t="s">
        <v>173</v>
      </c>
      <c r="C38" s="642"/>
      <c r="D38" s="407" t="str">
        <f ca="1">+D29</f>
        <v>ADVANCED</v>
      </c>
      <c r="E38" s="407" t="str">
        <f t="shared" ref="E38:O38" si="8">+E29</f>
        <v/>
      </c>
      <c r="F38" s="407" t="str">
        <f t="shared" si="8"/>
        <v/>
      </c>
      <c r="G38" s="407" t="str">
        <f t="shared" si="8"/>
        <v/>
      </c>
      <c r="H38" s="407" t="str">
        <f t="shared" si="8"/>
        <v/>
      </c>
      <c r="I38" s="407" t="str">
        <f t="shared" si="8"/>
        <v/>
      </c>
      <c r="J38" s="407" t="str">
        <f t="shared" si="8"/>
        <v/>
      </c>
      <c r="K38" s="407" t="str">
        <f t="shared" si="8"/>
        <v/>
      </c>
      <c r="L38" s="407" t="str">
        <f t="shared" si="8"/>
        <v/>
      </c>
      <c r="M38" s="407" t="str">
        <f t="shared" si="8"/>
        <v/>
      </c>
      <c r="N38" s="407" t="str">
        <f t="shared" si="8"/>
        <v/>
      </c>
      <c r="O38" s="407" t="str">
        <f t="shared" si="8"/>
        <v>Average</v>
      </c>
      <c r="P38" s="431"/>
      <c r="Q38" s="431"/>
      <c r="R38" s="643"/>
    </row>
    <row r="39" spans="2:18" s="397" customFormat="1" ht="3.75" customHeight="1" x14ac:dyDescent="0.3">
      <c r="B39" s="457"/>
      <c r="C39" s="457"/>
      <c r="D39" s="457"/>
      <c r="E39" s="457"/>
      <c r="F39" s="457"/>
      <c r="G39" s="457"/>
      <c r="H39" s="457"/>
      <c r="I39" s="457"/>
      <c r="J39" s="457"/>
      <c r="K39" s="457"/>
      <c r="L39" s="457"/>
      <c r="M39" s="457"/>
      <c r="N39" s="457"/>
      <c r="O39" s="468"/>
      <c r="P39" s="422"/>
      <c r="Q39" s="422"/>
      <c r="R39" s="469"/>
    </row>
    <row r="40" spans="2:18" s="397" customFormat="1" ht="14.25" customHeight="1" x14ac:dyDescent="0.3">
      <c r="B40" s="422" t="s">
        <v>174</v>
      </c>
      <c r="C40" s="422"/>
      <c r="D40" s="471" t="str">
        <f>IFERROR(D121/D117,"")</f>
        <v/>
      </c>
      <c r="E40" s="471" t="str">
        <f t="shared" ref="E40:N40" si="9">IFERROR(E121/E117,"")</f>
        <v/>
      </c>
      <c r="F40" s="471" t="str">
        <f t="shared" si="9"/>
        <v/>
      </c>
      <c r="G40" s="471" t="str">
        <f t="shared" si="9"/>
        <v/>
      </c>
      <c r="H40" s="471" t="str">
        <f t="shared" si="9"/>
        <v/>
      </c>
      <c r="I40" s="471" t="str">
        <f t="shared" si="9"/>
        <v/>
      </c>
      <c r="J40" s="471" t="str">
        <f t="shared" si="9"/>
        <v/>
      </c>
      <c r="K40" s="471" t="str">
        <f t="shared" si="9"/>
        <v/>
      </c>
      <c r="L40" s="471" t="str">
        <f t="shared" si="9"/>
        <v/>
      </c>
      <c r="M40" s="471" t="str">
        <f t="shared" si="9"/>
        <v/>
      </c>
      <c r="N40" s="471" t="str">
        <f t="shared" si="9"/>
        <v/>
      </c>
      <c r="O40" s="717" t="str">
        <f t="shared" ref="O40:O42" si="10">IFERROR(+AVERAGE(D40:N40),"")</f>
        <v/>
      </c>
      <c r="P40" s="422"/>
      <c r="Q40" s="422"/>
      <c r="R40" s="469"/>
    </row>
    <row r="41" spans="2:18" s="397" customFormat="1" ht="14.25" customHeight="1" x14ac:dyDescent="0.3">
      <c r="B41" s="422" t="s">
        <v>175</v>
      </c>
      <c r="C41" s="422"/>
      <c r="D41" s="471" t="str">
        <f>IFERROR(+(D121-D111)/D100,"")</f>
        <v/>
      </c>
      <c r="E41" s="471" t="str">
        <f t="shared" ref="E41:N41" si="11">IFERROR(+(E121-E111)/E100,"")</f>
        <v/>
      </c>
      <c r="F41" s="471" t="str">
        <f t="shared" si="11"/>
        <v/>
      </c>
      <c r="G41" s="471" t="str">
        <f t="shared" si="11"/>
        <v/>
      </c>
      <c r="H41" s="471" t="str">
        <f t="shared" si="11"/>
        <v/>
      </c>
      <c r="I41" s="471" t="str">
        <f t="shared" si="11"/>
        <v/>
      </c>
      <c r="J41" s="471" t="str">
        <f t="shared" si="11"/>
        <v/>
      </c>
      <c r="K41" s="471" t="str">
        <f t="shared" si="11"/>
        <v/>
      </c>
      <c r="L41" s="471" t="str">
        <f t="shared" si="11"/>
        <v/>
      </c>
      <c r="M41" s="471" t="str">
        <f t="shared" si="11"/>
        <v/>
      </c>
      <c r="N41" s="471" t="str">
        <f t="shared" si="11"/>
        <v/>
      </c>
      <c r="O41" s="717" t="str">
        <f t="shared" si="10"/>
        <v/>
      </c>
      <c r="P41" s="422"/>
      <c r="Q41" s="422"/>
      <c r="R41" s="469"/>
    </row>
    <row r="42" spans="2:18" s="397" customFormat="1" ht="14.25" customHeight="1" x14ac:dyDescent="0.3">
      <c r="B42" s="422" t="s">
        <v>176</v>
      </c>
      <c r="C42" s="422"/>
      <c r="D42" s="471" t="str">
        <f t="shared" ref="D42:N42" si="12">IFERROR(D101/D102,"")</f>
        <v/>
      </c>
      <c r="E42" s="471" t="str">
        <f t="shared" si="12"/>
        <v/>
      </c>
      <c r="F42" s="471" t="str">
        <f t="shared" si="12"/>
        <v/>
      </c>
      <c r="G42" s="471" t="str">
        <f t="shared" si="12"/>
        <v/>
      </c>
      <c r="H42" s="471" t="str">
        <f t="shared" si="12"/>
        <v/>
      </c>
      <c r="I42" s="471" t="str">
        <f t="shared" si="12"/>
        <v/>
      </c>
      <c r="J42" s="471" t="str">
        <f t="shared" si="12"/>
        <v/>
      </c>
      <c r="K42" s="471" t="str">
        <f t="shared" si="12"/>
        <v/>
      </c>
      <c r="L42" s="471" t="str">
        <f t="shared" si="12"/>
        <v/>
      </c>
      <c r="M42" s="471" t="str">
        <f t="shared" si="12"/>
        <v/>
      </c>
      <c r="N42" s="471" t="str">
        <f t="shared" si="12"/>
        <v/>
      </c>
      <c r="O42" s="717" t="str">
        <f t="shared" si="10"/>
        <v/>
      </c>
      <c r="P42" s="422"/>
      <c r="Q42" s="422"/>
      <c r="R42" s="469"/>
    </row>
    <row r="43" spans="2:18" s="397" customFormat="1" ht="3.75" customHeight="1" x14ac:dyDescent="0.3">
      <c r="B43" s="422"/>
      <c r="C43" s="422"/>
      <c r="D43" s="422"/>
      <c r="E43" s="422"/>
      <c r="F43" s="422"/>
      <c r="G43" s="422"/>
      <c r="H43" s="422"/>
      <c r="I43" s="422"/>
      <c r="J43" s="422"/>
      <c r="K43" s="422"/>
      <c r="L43" s="422"/>
      <c r="M43" s="422"/>
      <c r="N43" s="422"/>
      <c r="O43" s="466"/>
      <c r="P43" s="422"/>
      <c r="Q43" s="422"/>
      <c r="R43" s="469"/>
    </row>
    <row r="44" spans="2:18" s="400" customFormat="1" ht="14.25" customHeight="1" x14ac:dyDescent="0.3">
      <c r="B44" s="641" t="s">
        <v>177</v>
      </c>
      <c r="C44" s="642"/>
      <c r="D44" s="407" t="str">
        <f ca="1">+D29</f>
        <v>ADVANCED</v>
      </c>
      <c r="E44" s="407" t="str">
        <f t="shared" ref="E44:O44" si="13">+E29</f>
        <v/>
      </c>
      <c r="F44" s="407" t="str">
        <f t="shared" si="13"/>
        <v/>
      </c>
      <c r="G44" s="407" t="str">
        <f t="shared" si="13"/>
        <v/>
      </c>
      <c r="H44" s="407" t="str">
        <f t="shared" si="13"/>
        <v/>
      </c>
      <c r="I44" s="407" t="str">
        <f t="shared" si="13"/>
        <v/>
      </c>
      <c r="J44" s="407" t="str">
        <f t="shared" si="13"/>
        <v/>
      </c>
      <c r="K44" s="407" t="str">
        <f t="shared" si="13"/>
        <v/>
      </c>
      <c r="L44" s="407" t="str">
        <f t="shared" si="13"/>
        <v/>
      </c>
      <c r="M44" s="407" t="str">
        <f t="shared" si="13"/>
        <v/>
      </c>
      <c r="N44" s="407" t="str">
        <f t="shared" si="13"/>
        <v/>
      </c>
      <c r="O44" s="407" t="str">
        <f t="shared" si="13"/>
        <v>Average</v>
      </c>
      <c r="P44" s="431"/>
      <c r="Q44" s="431"/>
      <c r="R44" s="643"/>
    </row>
    <row r="45" spans="2:18" s="397" customFormat="1" ht="3.75" customHeight="1" x14ac:dyDescent="0.3">
      <c r="B45" s="457"/>
      <c r="C45" s="457"/>
      <c r="D45" s="457"/>
      <c r="E45" s="457"/>
      <c r="F45" s="457"/>
      <c r="G45" s="457"/>
      <c r="H45" s="457"/>
      <c r="I45" s="457"/>
      <c r="J45" s="457"/>
      <c r="K45" s="457"/>
      <c r="L45" s="457"/>
      <c r="M45" s="457"/>
      <c r="N45" s="457"/>
      <c r="O45" s="468"/>
      <c r="P45" s="422"/>
      <c r="Q45" s="422"/>
      <c r="R45" s="469"/>
    </row>
    <row r="46" spans="2:18" s="397" customFormat="1" ht="14.25" customHeight="1" x14ac:dyDescent="0.3">
      <c r="B46" s="422" t="s">
        <v>43</v>
      </c>
      <c r="C46" s="422"/>
      <c r="D46" s="471" t="str">
        <f>IFERROR(D111/D119,"")</f>
        <v/>
      </c>
      <c r="E46" s="471" t="str">
        <f t="shared" ref="E46:N46" si="14">IFERROR(E111/E119,"")</f>
        <v/>
      </c>
      <c r="F46" s="471" t="str">
        <f t="shared" si="14"/>
        <v/>
      </c>
      <c r="G46" s="471" t="str">
        <f t="shared" si="14"/>
        <v/>
      </c>
      <c r="H46" s="471" t="str">
        <f t="shared" si="14"/>
        <v/>
      </c>
      <c r="I46" s="471" t="str">
        <f t="shared" si="14"/>
        <v/>
      </c>
      <c r="J46" s="471" t="str">
        <f t="shared" si="14"/>
        <v/>
      </c>
      <c r="K46" s="471" t="str">
        <f t="shared" si="14"/>
        <v/>
      </c>
      <c r="L46" s="471" t="str">
        <f t="shared" si="14"/>
        <v/>
      </c>
      <c r="M46" s="471" t="str">
        <f t="shared" si="14"/>
        <v/>
      </c>
      <c r="N46" s="471" t="str">
        <f t="shared" si="14"/>
        <v/>
      </c>
      <c r="O46" s="717" t="str">
        <f t="shared" ref="O46:O48" si="15">IFERROR(+AVERAGE(D46:N46),"")</f>
        <v/>
      </c>
      <c r="P46" s="422"/>
      <c r="Q46" s="422"/>
      <c r="R46" s="469"/>
    </row>
    <row r="47" spans="2:18" s="397" customFormat="1" ht="14.25" customHeight="1" x14ac:dyDescent="0.3">
      <c r="B47" s="422" t="s">
        <v>44</v>
      </c>
      <c r="C47" s="422"/>
      <c r="D47" s="471" t="str">
        <f>IFERROR(+(D111+D112)/D119,"")</f>
        <v/>
      </c>
      <c r="E47" s="471" t="str">
        <f t="shared" ref="E47:N47" si="16">IFERROR(+(E111+E112)/E119,"")</f>
        <v/>
      </c>
      <c r="F47" s="471" t="str">
        <f t="shared" si="16"/>
        <v/>
      </c>
      <c r="G47" s="471" t="str">
        <f t="shared" si="16"/>
        <v/>
      </c>
      <c r="H47" s="471" t="str">
        <f t="shared" si="16"/>
        <v/>
      </c>
      <c r="I47" s="471" t="str">
        <f t="shared" si="16"/>
        <v/>
      </c>
      <c r="J47" s="471" t="str">
        <f t="shared" si="16"/>
        <v/>
      </c>
      <c r="K47" s="471" t="str">
        <f t="shared" si="16"/>
        <v/>
      </c>
      <c r="L47" s="471" t="str">
        <f t="shared" si="16"/>
        <v/>
      </c>
      <c r="M47" s="471" t="str">
        <f t="shared" si="16"/>
        <v/>
      </c>
      <c r="N47" s="471" t="str">
        <f t="shared" si="16"/>
        <v/>
      </c>
      <c r="O47" s="717" t="str">
        <f t="shared" si="15"/>
        <v/>
      </c>
      <c r="P47" s="422"/>
      <c r="Q47" s="422"/>
      <c r="R47" s="469"/>
    </row>
    <row r="48" spans="2:18" s="397" customFormat="1" ht="14.25" customHeight="1" x14ac:dyDescent="0.3">
      <c r="B48" s="422" t="s">
        <v>46</v>
      </c>
      <c r="C48" s="422"/>
      <c r="D48" s="471" t="str">
        <f>IFERROR(D115/D119,"")</f>
        <v/>
      </c>
      <c r="E48" s="471" t="str">
        <f t="shared" ref="E48:N48" si="17">IFERROR(E115/E119,"")</f>
        <v/>
      </c>
      <c r="F48" s="471" t="str">
        <f t="shared" si="17"/>
        <v/>
      </c>
      <c r="G48" s="471" t="str">
        <f t="shared" si="17"/>
        <v/>
      </c>
      <c r="H48" s="471" t="str">
        <f t="shared" si="17"/>
        <v/>
      </c>
      <c r="I48" s="471" t="str">
        <f t="shared" si="17"/>
        <v/>
      </c>
      <c r="J48" s="471" t="str">
        <f t="shared" si="17"/>
        <v/>
      </c>
      <c r="K48" s="471" t="str">
        <f t="shared" si="17"/>
        <v/>
      </c>
      <c r="L48" s="471" t="str">
        <f t="shared" si="17"/>
        <v/>
      </c>
      <c r="M48" s="471" t="str">
        <f t="shared" si="17"/>
        <v/>
      </c>
      <c r="N48" s="471" t="str">
        <f t="shared" si="17"/>
        <v/>
      </c>
      <c r="O48" s="717" t="str">
        <f t="shared" si="15"/>
        <v/>
      </c>
      <c r="P48" s="422"/>
      <c r="Q48" s="422"/>
      <c r="R48" s="469"/>
    </row>
    <row r="49" spans="2:18" s="397" customFormat="1" ht="3.75" customHeight="1" x14ac:dyDescent="0.3">
      <c r="B49" s="422"/>
      <c r="C49" s="422"/>
      <c r="D49" s="471"/>
      <c r="E49" s="422"/>
      <c r="F49" s="422"/>
      <c r="G49" s="422"/>
      <c r="H49" s="422"/>
      <c r="I49" s="422"/>
      <c r="J49" s="422"/>
      <c r="K49" s="422"/>
      <c r="L49" s="422"/>
      <c r="M49" s="422"/>
      <c r="N49" s="422"/>
      <c r="O49" s="466"/>
      <c r="P49" s="422"/>
      <c r="Q49" s="422"/>
      <c r="R49" s="469"/>
    </row>
    <row r="50" spans="2:18" s="400" customFormat="1" ht="14.25" customHeight="1" x14ac:dyDescent="0.3">
      <c r="B50" s="641" t="s">
        <v>178</v>
      </c>
      <c r="C50" s="642"/>
      <c r="D50" s="407" t="str">
        <f ca="1">+D29</f>
        <v>ADVANCED</v>
      </c>
      <c r="E50" s="407" t="str">
        <f t="shared" ref="E50:O50" si="18">+E29</f>
        <v/>
      </c>
      <c r="F50" s="407" t="str">
        <f t="shared" si="18"/>
        <v/>
      </c>
      <c r="G50" s="407" t="str">
        <f t="shared" si="18"/>
        <v/>
      </c>
      <c r="H50" s="407" t="str">
        <f t="shared" si="18"/>
        <v/>
      </c>
      <c r="I50" s="407" t="str">
        <f t="shared" si="18"/>
        <v/>
      </c>
      <c r="J50" s="407" t="str">
        <f t="shared" si="18"/>
        <v/>
      </c>
      <c r="K50" s="407" t="str">
        <f t="shared" si="18"/>
        <v/>
      </c>
      <c r="L50" s="407" t="str">
        <f t="shared" si="18"/>
        <v/>
      </c>
      <c r="M50" s="407" t="str">
        <f t="shared" si="18"/>
        <v/>
      </c>
      <c r="N50" s="407" t="str">
        <f t="shared" si="18"/>
        <v/>
      </c>
      <c r="O50" s="407" t="str">
        <f t="shared" si="18"/>
        <v>Average</v>
      </c>
      <c r="P50" s="431"/>
      <c r="Q50" s="431"/>
      <c r="R50" s="643"/>
    </row>
    <row r="51" spans="2:18" s="397" customFormat="1" ht="3.75" customHeight="1" x14ac:dyDescent="0.3">
      <c r="B51" s="457"/>
      <c r="C51" s="457"/>
      <c r="D51" s="457"/>
      <c r="E51" s="457"/>
      <c r="F51" s="457"/>
      <c r="G51" s="457"/>
      <c r="H51" s="457"/>
      <c r="I51" s="457"/>
      <c r="J51" s="457"/>
      <c r="K51" s="457"/>
      <c r="L51" s="457"/>
      <c r="M51" s="457"/>
      <c r="N51" s="457"/>
      <c r="O51" s="468"/>
      <c r="P51" s="422"/>
      <c r="Q51" s="422"/>
      <c r="R51" s="469"/>
    </row>
    <row r="52" spans="2:18" s="397" customFormat="1" ht="14.25" customHeight="1" x14ac:dyDescent="0.3">
      <c r="B52" s="422" t="s">
        <v>179</v>
      </c>
      <c r="C52" s="422"/>
      <c r="D52" s="774" t="str">
        <f>IFERROR(D98/(AVERAGE(D113:D114)),"")</f>
        <v/>
      </c>
      <c r="E52" s="774" t="str">
        <f t="shared" ref="E52:N52" si="19">IFERROR(E98/(AVERAGE(E113:E114)),"")</f>
        <v/>
      </c>
      <c r="F52" s="774" t="str">
        <f t="shared" si="19"/>
        <v/>
      </c>
      <c r="G52" s="774" t="str">
        <f t="shared" si="19"/>
        <v/>
      </c>
      <c r="H52" s="774" t="str">
        <f t="shared" si="19"/>
        <v/>
      </c>
      <c r="I52" s="774" t="str">
        <f t="shared" si="19"/>
        <v/>
      </c>
      <c r="J52" s="774" t="str">
        <f t="shared" si="19"/>
        <v/>
      </c>
      <c r="K52" s="774" t="str">
        <f t="shared" si="19"/>
        <v/>
      </c>
      <c r="L52" s="774" t="str">
        <f t="shared" si="19"/>
        <v/>
      </c>
      <c r="M52" s="774" t="str">
        <f t="shared" si="19"/>
        <v/>
      </c>
      <c r="N52" s="774" t="str">
        <f t="shared" si="19"/>
        <v/>
      </c>
      <c r="O52" s="717" t="str">
        <f t="shared" ref="O52:O57" si="20">IFERROR(+AVERAGE(D52:N52),"")</f>
        <v/>
      </c>
      <c r="P52" s="422"/>
      <c r="Q52" s="422"/>
      <c r="R52" s="469"/>
    </row>
    <row r="53" spans="2:18" s="397" customFormat="1" ht="14.25" customHeight="1" x14ac:dyDescent="0.3">
      <c r="B53" s="422" t="s">
        <v>180</v>
      </c>
      <c r="C53" s="422"/>
      <c r="D53" s="774" t="str">
        <f>IFERROR(D97/D112,"")</f>
        <v/>
      </c>
      <c r="E53" s="774" t="str">
        <f t="shared" ref="E53:N53" si="21">IFERROR(E97/E112,"")</f>
        <v/>
      </c>
      <c r="F53" s="774" t="str">
        <f t="shared" si="21"/>
        <v/>
      </c>
      <c r="G53" s="774" t="str">
        <f t="shared" si="21"/>
        <v/>
      </c>
      <c r="H53" s="774" t="str">
        <f t="shared" si="21"/>
        <v/>
      </c>
      <c r="I53" s="774" t="str">
        <f t="shared" si="21"/>
        <v/>
      </c>
      <c r="J53" s="774" t="str">
        <f t="shared" si="21"/>
        <v/>
      </c>
      <c r="K53" s="774" t="str">
        <f t="shared" si="21"/>
        <v/>
      </c>
      <c r="L53" s="774" t="str">
        <f t="shared" si="21"/>
        <v/>
      </c>
      <c r="M53" s="774" t="str">
        <f t="shared" si="21"/>
        <v/>
      </c>
      <c r="N53" s="774" t="str">
        <f t="shared" si="21"/>
        <v/>
      </c>
      <c r="O53" s="717" t="str">
        <f t="shared" si="20"/>
        <v/>
      </c>
      <c r="P53" s="422"/>
      <c r="Q53" s="422"/>
      <c r="R53" s="469"/>
    </row>
    <row r="54" spans="2:18" s="397" customFormat="1" ht="14.25" customHeight="1" x14ac:dyDescent="0.3">
      <c r="B54" s="422" t="s">
        <v>181</v>
      </c>
      <c r="C54" s="422"/>
      <c r="D54" s="774" t="str">
        <f>IFERROR(D98/D118,"")</f>
        <v/>
      </c>
      <c r="E54" s="774" t="str">
        <f t="shared" ref="E54:N54" si="22">IFERROR(E98/E118,"")</f>
        <v/>
      </c>
      <c r="F54" s="774" t="str">
        <f t="shared" si="22"/>
        <v/>
      </c>
      <c r="G54" s="774" t="str">
        <f t="shared" si="22"/>
        <v/>
      </c>
      <c r="H54" s="774" t="str">
        <f t="shared" si="22"/>
        <v/>
      </c>
      <c r="I54" s="774" t="str">
        <f t="shared" si="22"/>
        <v/>
      </c>
      <c r="J54" s="774" t="str">
        <f t="shared" si="22"/>
        <v/>
      </c>
      <c r="K54" s="774" t="str">
        <f t="shared" si="22"/>
        <v/>
      </c>
      <c r="L54" s="774" t="str">
        <f t="shared" si="22"/>
        <v/>
      </c>
      <c r="M54" s="774" t="str">
        <f t="shared" si="22"/>
        <v/>
      </c>
      <c r="N54" s="774" t="str">
        <f t="shared" si="22"/>
        <v/>
      </c>
      <c r="O54" s="717" t="str">
        <f t="shared" si="20"/>
        <v/>
      </c>
      <c r="P54" s="422"/>
      <c r="Q54" s="422"/>
      <c r="R54" s="469"/>
    </row>
    <row r="55" spans="2:18" s="397" customFormat="1" ht="14.25" customHeight="1" x14ac:dyDescent="0.3">
      <c r="B55" s="422" t="s">
        <v>182</v>
      </c>
      <c r="C55" s="422"/>
      <c r="D55" s="471" t="str">
        <f>IFERROR(D97/D116,"")</f>
        <v/>
      </c>
      <c r="E55" s="471" t="str">
        <f t="shared" ref="E55:N55" si="23">IFERROR(E97/E116,"")</f>
        <v/>
      </c>
      <c r="F55" s="471" t="str">
        <f t="shared" si="23"/>
        <v/>
      </c>
      <c r="G55" s="471" t="str">
        <f t="shared" si="23"/>
        <v/>
      </c>
      <c r="H55" s="471" t="str">
        <f t="shared" si="23"/>
        <v/>
      </c>
      <c r="I55" s="471" t="str">
        <f t="shared" si="23"/>
        <v/>
      </c>
      <c r="J55" s="471" t="str">
        <f t="shared" si="23"/>
        <v/>
      </c>
      <c r="K55" s="471" t="str">
        <f t="shared" si="23"/>
        <v/>
      </c>
      <c r="L55" s="471" t="str">
        <f t="shared" si="23"/>
        <v/>
      </c>
      <c r="M55" s="471" t="str">
        <f t="shared" si="23"/>
        <v/>
      </c>
      <c r="N55" s="471" t="str">
        <f t="shared" si="23"/>
        <v/>
      </c>
      <c r="O55" s="717" t="str">
        <f t="shared" si="20"/>
        <v/>
      </c>
      <c r="P55" s="422"/>
      <c r="Q55" s="422"/>
      <c r="R55" s="469"/>
    </row>
    <row r="56" spans="2:18" s="397" customFormat="1" ht="14.25" customHeight="1" x14ac:dyDescent="0.3">
      <c r="B56" s="422" t="s">
        <v>183</v>
      </c>
      <c r="C56" s="422"/>
      <c r="D56" s="471" t="str">
        <f>IFERROR(D97/D117,"")</f>
        <v/>
      </c>
      <c r="E56" s="471" t="str">
        <f t="shared" ref="E56:N56" si="24">IFERROR(E97/E117,"")</f>
        <v/>
      </c>
      <c r="F56" s="471" t="str">
        <f t="shared" si="24"/>
        <v/>
      </c>
      <c r="G56" s="471" t="str">
        <f t="shared" si="24"/>
        <v/>
      </c>
      <c r="H56" s="471" t="str">
        <f t="shared" si="24"/>
        <v/>
      </c>
      <c r="I56" s="471" t="str">
        <f t="shared" si="24"/>
        <v/>
      </c>
      <c r="J56" s="471" t="str">
        <f t="shared" si="24"/>
        <v/>
      </c>
      <c r="K56" s="471" t="str">
        <f t="shared" si="24"/>
        <v/>
      </c>
      <c r="L56" s="471" t="str">
        <f t="shared" si="24"/>
        <v/>
      </c>
      <c r="M56" s="471" t="str">
        <f t="shared" si="24"/>
        <v/>
      </c>
      <c r="N56" s="471" t="str">
        <f t="shared" si="24"/>
        <v/>
      </c>
      <c r="O56" s="717" t="str">
        <f t="shared" si="20"/>
        <v/>
      </c>
      <c r="P56" s="422"/>
      <c r="Q56" s="422"/>
      <c r="R56" s="469"/>
    </row>
    <row r="57" spans="2:18" s="397" customFormat="1" ht="14.25" customHeight="1" x14ac:dyDescent="0.3">
      <c r="B57" s="422" t="s">
        <v>184</v>
      </c>
      <c r="C57" s="422"/>
      <c r="D57" s="775" t="str">
        <f>IFERROR(365/D52+365/D53-365/D54,"")</f>
        <v/>
      </c>
      <c r="E57" s="775" t="str">
        <f t="shared" ref="E57:N57" si="25">IFERROR(365/E52+365/E53-365/E54,"")</f>
        <v/>
      </c>
      <c r="F57" s="775" t="str">
        <f t="shared" si="25"/>
        <v/>
      </c>
      <c r="G57" s="775" t="str">
        <f t="shared" si="25"/>
        <v/>
      </c>
      <c r="H57" s="775" t="str">
        <f t="shared" si="25"/>
        <v/>
      </c>
      <c r="I57" s="775" t="str">
        <f t="shared" si="25"/>
        <v/>
      </c>
      <c r="J57" s="775" t="str">
        <f t="shared" si="25"/>
        <v/>
      </c>
      <c r="K57" s="775" t="str">
        <f t="shared" si="25"/>
        <v/>
      </c>
      <c r="L57" s="775" t="str">
        <f t="shared" si="25"/>
        <v/>
      </c>
      <c r="M57" s="775" t="str">
        <f t="shared" si="25"/>
        <v/>
      </c>
      <c r="N57" s="775" t="str">
        <f t="shared" si="25"/>
        <v/>
      </c>
      <c r="O57" s="717" t="str">
        <f t="shared" si="20"/>
        <v/>
      </c>
      <c r="P57" s="422"/>
      <c r="Q57" s="422"/>
      <c r="R57" s="469"/>
    </row>
    <row r="58" spans="2:18" s="397" customFormat="1" ht="4" customHeight="1" x14ac:dyDescent="0.3">
      <c r="B58" s="422"/>
      <c r="C58" s="422"/>
      <c r="D58" s="717"/>
      <c r="E58" s="717"/>
      <c r="F58" s="717"/>
      <c r="G58" s="717"/>
      <c r="H58" s="717"/>
      <c r="I58" s="717"/>
      <c r="J58" s="717"/>
      <c r="K58" s="717"/>
      <c r="L58" s="717"/>
      <c r="M58" s="717"/>
      <c r="N58" s="717"/>
      <c r="O58" s="717"/>
      <c r="P58" s="422"/>
      <c r="Q58" s="422"/>
      <c r="R58" s="469"/>
    </row>
    <row r="59" spans="2:18" s="397" customFormat="1" ht="14.25" customHeight="1" x14ac:dyDescent="0.3">
      <c r="B59" s="641" t="s">
        <v>185</v>
      </c>
      <c r="C59" s="642"/>
      <c r="D59" s="407" t="str">
        <f ca="1">+D38</f>
        <v>ADVANCED</v>
      </c>
      <c r="E59" s="407" t="str">
        <f t="shared" ref="E59:O59" si="26">+E38</f>
        <v/>
      </c>
      <c r="F59" s="407" t="str">
        <f t="shared" si="26"/>
        <v/>
      </c>
      <c r="G59" s="407" t="str">
        <f t="shared" si="26"/>
        <v/>
      </c>
      <c r="H59" s="407" t="str">
        <f t="shared" si="26"/>
        <v/>
      </c>
      <c r="I59" s="407" t="str">
        <f t="shared" si="26"/>
        <v/>
      </c>
      <c r="J59" s="407" t="str">
        <f t="shared" si="26"/>
        <v/>
      </c>
      <c r="K59" s="407" t="str">
        <f t="shared" si="26"/>
        <v/>
      </c>
      <c r="L59" s="407" t="str">
        <f t="shared" si="26"/>
        <v/>
      </c>
      <c r="M59" s="407" t="str">
        <f t="shared" si="26"/>
        <v/>
      </c>
      <c r="N59" s="407" t="str">
        <f t="shared" si="26"/>
        <v/>
      </c>
      <c r="O59" s="407" t="str">
        <f t="shared" si="26"/>
        <v>Average</v>
      </c>
      <c r="P59" s="422"/>
      <c r="Q59" s="422"/>
      <c r="R59" s="469"/>
    </row>
    <row r="60" spans="2:18" s="397" customFormat="1" ht="4" customHeight="1" x14ac:dyDescent="0.3">
      <c r="B60" s="457"/>
      <c r="C60" s="457"/>
      <c r="D60" s="457"/>
      <c r="E60" s="457"/>
      <c r="F60" s="457"/>
      <c r="G60" s="457"/>
      <c r="H60" s="457"/>
      <c r="I60" s="457"/>
      <c r="J60" s="457"/>
      <c r="K60" s="457"/>
      <c r="L60" s="457"/>
      <c r="M60" s="457"/>
      <c r="N60" s="457"/>
      <c r="O60" s="468"/>
      <c r="P60" s="422"/>
      <c r="Q60" s="422"/>
      <c r="R60" s="469"/>
    </row>
    <row r="61" spans="2:18" s="397" customFormat="1" ht="14.25" customHeight="1" x14ac:dyDescent="0.3">
      <c r="B61" s="422" t="s">
        <v>186</v>
      </c>
      <c r="C61" s="422"/>
      <c r="D61" s="718" t="str">
        <f>IFERROR(D132/D97,"")</f>
        <v/>
      </c>
      <c r="E61" s="718" t="str">
        <f t="shared" ref="E61:N61" si="27">IFERROR(E132/E97,"")</f>
        <v/>
      </c>
      <c r="F61" s="718" t="str">
        <f t="shared" si="27"/>
        <v/>
      </c>
      <c r="G61" s="718" t="str">
        <f t="shared" si="27"/>
        <v/>
      </c>
      <c r="H61" s="718" t="str">
        <f t="shared" si="27"/>
        <v/>
      </c>
      <c r="I61" s="718" t="str">
        <f t="shared" si="27"/>
        <v/>
      </c>
      <c r="J61" s="718" t="str">
        <f t="shared" si="27"/>
        <v/>
      </c>
      <c r="K61" s="718" t="str">
        <f t="shared" si="27"/>
        <v/>
      </c>
      <c r="L61" s="718" t="str">
        <f t="shared" si="27"/>
        <v/>
      </c>
      <c r="M61" s="718" t="str">
        <f t="shared" si="27"/>
        <v/>
      </c>
      <c r="N61" s="718" t="str">
        <f t="shared" si="27"/>
        <v/>
      </c>
      <c r="O61" s="718" t="str">
        <f>IFERROR(+AVERAGE(D61:N61),"")</f>
        <v/>
      </c>
      <c r="P61" s="422"/>
      <c r="Q61" s="422"/>
      <c r="R61" s="469"/>
    </row>
    <row r="62" spans="2:18" s="397" customFormat="1" ht="14.25" customHeight="1" x14ac:dyDescent="0.3">
      <c r="B62" s="422" t="s">
        <v>187</v>
      </c>
      <c r="C62" s="422"/>
      <c r="D62" s="718" t="str">
        <f>IFERROR(D132/D96,"")</f>
        <v/>
      </c>
      <c r="E62" s="718" t="str">
        <f t="shared" ref="E62:N62" si="28">IFERROR(E132/E96,"")</f>
        <v/>
      </c>
      <c r="F62" s="718" t="str">
        <f t="shared" si="28"/>
        <v/>
      </c>
      <c r="G62" s="718" t="str">
        <f t="shared" si="28"/>
        <v/>
      </c>
      <c r="H62" s="718" t="str">
        <f t="shared" si="28"/>
        <v/>
      </c>
      <c r="I62" s="718" t="str">
        <f t="shared" si="28"/>
        <v/>
      </c>
      <c r="J62" s="718" t="str">
        <f t="shared" si="28"/>
        <v/>
      </c>
      <c r="K62" s="718" t="str">
        <f t="shared" si="28"/>
        <v/>
      </c>
      <c r="L62" s="718" t="str">
        <f t="shared" si="28"/>
        <v/>
      </c>
      <c r="M62" s="718" t="str">
        <f t="shared" si="28"/>
        <v/>
      </c>
      <c r="N62" s="718" t="str">
        <f t="shared" si="28"/>
        <v/>
      </c>
      <c r="O62" s="718" t="str">
        <f t="shared" ref="O62:O68" si="29">IFERROR(+AVERAGE(D62:N62),"")</f>
        <v/>
      </c>
      <c r="P62" s="422"/>
      <c r="Q62" s="422"/>
      <c r="R62" s="469"/>
    </row>
    <row r="63" spans="2:18" s="397" customFormat="1" ht="14.25" customHeight="1" x14ac:dyDescent="0.3">
      <c r="B63" s="422" t="s">
        <v>188</v>
      </c>
      <c r="C63" s="422"/>
      <c r="D63" s="718" t="str">
        <f>+IFERROR(D126/D105,"")</f>
        <v/>
      </c>
      <c r="E63" s="718" t="str">
        <f t="shared" ref="E63:N63" si="30">+IFERROR(E126/E105,"")</f>
        <v/>
      </c>
      <c r="F63" s="718" t="str">
        <f t="shared" si="30"/>
        <v/>
      </c>
      <c r="G63" s="718" t="str">
        <f t="shared" si="30"/>
        <v/>
      </c>
      <c r="H63" s="718" t="str">
        <f t="shared" si="30"/>
        <v/>
      </c>
      <c r="I63" s="718" t="str">
        <f t="shared" si="30"/>
        <v/>
      </c>
      <c r="J63" s="718" t="str">
        <f t="shared" si="30"/>
        <v/>
      </c>
      <c r="K63" s="718" t="str">
        <f t="shared" si="30"/>
        <v/>
      </c>
      <c r="L63" s="718" t="str">
        <f t="shared" si="30"/>
        <v/>
      </c>
      <c r="M63" s="718" t="str">
        <f t="shared" si="30"/>
        <v/>
      </c>
      <c r="N63" s="718" t="str">
        <f t="shared" si="30"/>
        <v/>
      </c>
      <c r="O63" s="718" t="str">
        <f t="shared" si="29"/>
        <v/>
      </c>
      <c r="P63" s="422"/>
      <c r="Q63" s="422"/>
      <c r="R63" s="469"/>
    </row>
    <row r="64" spans="2:18" s="397" customFormat="1" ht="14.25" customHeight="1" x14ac:dyDescent="0.3">
      <c r="B64" s="422" t="s">
        <v>189</v>
      </c>
      <c r="C64" s="422"/>
      <c r="D64" s="718" t="str">
        <f t="shared" ref="D64:N64" si="31">IFERROR(-D127/D126,"")</f>
        <v/>
      </c>
      <c r="E64" s="718" t="str">
        <f t="shared" si="31"/>
        <v/>
      </c>
      <c r="F64" s="718" t="str">
        <f t="shared" si="31"/>
        <v/>
      </c>
      <c r="G64" s="718" t="str">
        <f t="shared" si="31"/>
        <v/>
      </c>
      <c r="H64" s="718" t="str">
        <f t="shared" si="31"/>
        <v/>
      </c>
      <c r="I64" s="718" t="str">
        <f t="shared" si="31"/>
        <v/>
      </c>
      <c r="J64" s="718" t="str">
        <f t="shared" si="31"/>
        <v/>
      </c>
      <c r="K64" s="718" t="str">
        <f t="shared" si="31"/>
        <v/>
      </c>
      <c r="L64" s="718" t="str">
        <f t="shared" si="31"/>
        <v/>
      </c>
      <c r="M64" s="718" t="str">
        <f t="shared" si="31"/>
        <v/>
      </c>
      <c r="N64" s="718" t="str">
        <f t="shared" si="31"/>
        <v/>
      </c>
      <c r="O64" s="718" t="str">
        <f t="shared" si="29"/>
        <v/>
      </c>
      <c r="P64" s="422"/>
      <c r="Q64" s="422"/>
      <c r="R64" s="469"/>
    </row>
    <row r="65" spans="1:52" s="397" customFormat="1" ht="14.25" customHeight="1" x14ac:dyDescent="0.3">
      <c r="A65" s="422"/>
      <c r="B65" s="422" t="s">
        <v>190</v>
      </c>
      <c r="C65" s="422"/>
      <c r="D65" s="718" t="str">
        <f>IFERROR(-D128/D126,"")</f>
        <v/>
      </c>
      <c r="E65" s="718" t="str">
        <f t="shared" ref="E65:N65" si="32">IFERROR(-E128/E126,"")</f>
        <v/>
      </c>
      <c r="F65" s="718" t="str">
        <f t="shared" si="32"/>
        <v/>
      </c>
      <c r="G65" s="718" t="str">
        <f t="shared" si="32"/>
        <v/>
      </c>
      <c r="H65" s="718" t="str">
        <f t="shared" si="32"/>
        <v/>
      </c>
      <c r="I65" s="718" t="str">
        <f t="shared" si="32"/>
        <v/>
      </c>
      <c r="J65" s="718" t="str">
        <f t="shared" si="32"/>
        <v/>
      </c>
      <c r="K65" s="718" t="str">
        <f t="shared" si="32"/>
        <v/>
      </c>
      <c r="L65" s="718" t="str">
        <f t="shared" si="32"/>
        <v/>
      </c>
      <c r="M65" s="718" t="str">
        <f t="shared" si="32"/>
        <v/>
      </c>
      <c r="N65" s="718" t="str">
        <f t="shared" si="32"/>
        <v/>
      </c>
      <c r="O65" s="718" t="str">
        <f t="shared" si="29"/>
        <v/>
      </c>
      <c r="P65" s="422"/>
      <c r="Q65" s="422"/>
      <c r="R65" s="469"/>
      <c r="S65" s="422"/>
      <c r="T65" s="422"/>
      <c r="U65" s="422"/>
      <c r="V65" s="422"/>
      <c r="W65" s="422"/>
      <c r="X65" s="422"/>
      <c r="Y65" s="422"/>
      <c r="Z65" s="422"/>
      <c r="AA65" s="422"/>
      <c r="AB65" s="422"/>
      <c r="AC65" s="422"/>
      <c r="AD65" s="422"/>
      <c r="AE65" s="422"/>
      <c r="AF65" s="422"/>
      <c r="AG65" s="422"/>
      <c r="AH65" s="422"/>
      <c r="AI65" s="422"/>
      <c r="AJ65" s="422"/>
      <c r="AK65" s="422"/>
      <c r="AL65" s="422"/>
      <c r="AM65" s="422"/>
      <c r="AN65" s="422"/>
      <c r="AO65" s="422"/>
      <c r="AP65" s="422"/>
      <c r="AQ65" s="422"/>
      <c r="AR65" s="422"/>
      <c r="AS65" s="422"/>
      <c r="AT65" s="422"/>
      <c r="AU65" s="422"/>
      <c r="AV65" s="422"/>
      <c r="AW65" s="422"/>
      <c r="AX65" s="422"/>
      <c r="AY65" s="422"/>
      <c r="AZ65" s="422"/>
    </row>
    <row r="66" spans="1:52" s="397" customFormat="1" ht="14.25" customHeight="1" x14ac:dyDescent="0.3">
      <c r="A66" s="422"/>
      <c r="B66" s="422" t="s">
        <v>191</v>
      </c>
      <c r="C66" s="422"/>
      <c r="D66" s="718" t="str">
        <f>IFERROR((D129+D130)/D126,"")</f>
        <v/>
      </c>
      <c r="E66" s="718" t="str">
        <f t="shared" ref="E66:N66" si="33">IFERROR((E129+E130)/E126,"")</f>
        <v/>
      </c>
      <c r="F66" s="718" t="str">
        <f t="shared" si="33"/>
        <v/>
      </c>
      <c r="G66" s="718" t="str">
        <f t="shared" si="33"/>
        <v/>
      </c>
      <c r="H66" s="718" t="str">
        <f t="shared" si="33"/>
        <v/>
      </c>
      <c r="I66" s="718" t="str">
        <f t="shared" si="33"/>
        <v/>
      </c>
      <c r="J66" s="718" t="str">
        <f t="shared" si="33"/>
        <v/>
      </c>
      <c r="K66" s="718" t="str">
        <f t="shared" si="33"/>
        <v/>
      </c>
      <c r="L66" s="718" t="str">
        <f t="shared" si="33"/>
        <v/>
      </c>
      <c r="M66" s="718" t="str">
        <f t="shared" si="33"/>
        <v/>
      </c>
      <c r="N66" s="718" t="str">
        <f t="shared" si="33"/>
        <v/>
      </c>
      <c r="O66" s="718" t="str">
        <f t="shared" si="29"/>
        <v/>
      </c>
      <c r="P66" s="422"/>
      <c r="Q66" s="422"/>
      <c r="R66" s="469"/>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422"/>
      <c r="AZ66" s="422"/>
    </row>
    <row r="67" spans="1:52" s="397" customFormat="1" ht="14.25" customHeight="1" x14ac:dyDescent="0.3">
      <c r="A67" s="422"/>
      <c r="B67" s="422" t="s">
        <v>192</v>
      </c>
      <c r="C67" s="422"/>
      <c r="D67" s="718" t="str">
        <f>+IFERROR(-D130/D129,"")</f>
        <v/>
      </c>
      <c r="E67" s="718" t="str">
        <f t="shared" ref="E67:N67" si="34">+IFERROR(-E130/E129,"")</f>
        <v/>
      </c>
      <c r="F67" s="718" t="str">
        <f t="shared" si="34"/>
        <v/>
      </c>
      <c r="G67" s="718" t="str">
        <f t="shared" si="34"/>
        <v/>
      </c>
      <c r="H67" s="718" t="str">
        <f t="shared" si="34"/>
        <v/>
      </c>
      <c r="I67" s="718" t="str">
        <f t="shared" si="34"/>
        <v/>
      </c>
      <c r="J67" s="718" t="str">
        <f t="shared" si="34"/>
        <v/>
      </c>
      <c r="K67" s="718" t="str">
        <f t="shared" si="34"/>
        <v/>
      </c>
      <c r="L67" s="718" t="str">
        <f t="shared" si="34"/>
        <v/>
      </c>
      <c r="M67" s="718" t="str">
        <f t="shared" si="34"/>
        <v/>
      </c>
      <c r="N67" s="718" t="str">
        <f t="shared" si="34"/>
        <v/>
      </c>
      <c r="O67" s="718" t="str">
        <f>IFERROR(+AVERAGE(D67:N67),"")</f>
        <v/>
      </c>
      <c r="P67" s="422"/>
      <c r="Q67" s="422"/>
      <c r="R67" s="469"/>
      <c r="S67" s="422"/>
      <c r="T67" s="422"/>
      <c r="U67" s="422"/>
      <c r="V67" s="422"/>
      <c r="W67" s="422"/>
      <c r="X67" s="422"/>
      <c r="Y67" s="422"/>
      <c r="Z67" s="422"/>
      <c r="AA67" s="422"/>
      <c r="AB67" s="422"/>
      <c r="AC67" s="422"/>
      <c r="AD67" s="422"/>
      <c r="AE67" s="422"/>
      <c r="AF67" s="422"/>
      <c r="AG67" s="422"/>
      <c r="AH67" s="422"/>
      <c r="AI67" s="422"/>
      <c r="AJ67" s="422"/>
      <c r="AK67" s="422"/>
      <c r="AL67" s="422"/>
      <c r="AM67" s="422"/>
      <c r="AN67" s="422"/>
      <c r="AO67" s="422"/>
      <c r="AP67" s="422"/>
      <c r="AQ67" s="422"/>
      <c r="AR67" s="422"/>
      <c r="AS67" s="422"/>
      <c r="AT67" s="422"/>
      <c r="AU67" s="422"/>
      <c r="AV67" s="422"/>
      <c r="AW67" s="422"/>
      <c r="AX67" s="422"/>
      <c r="AY67" s="422"/>
      <c r="AZ67" s="422"/>
    </row>
    <row r="68" spans="1:52" s="397" customFormat="1" ht="14.25" customHeight="1" x14ac:dyDescent="0.3">
      <c r="A68" s="422"/>
      <c r="B68" s="422" t="s">
        <v>193</v>
      </c>
      <c r="C68" s="422"/>
      <c r="D68" s="718" t="str">
        <f t="shared" ref="D68:N68" si="35">IFERROR(-D131/D126,"")</f>
        <v/>
      </c>
      <c r="E68" s="718" t="str">
        <f t="shared" si="35"/>
        <v/>
      </c>
      <c r="F68" s="718" t="str">
        <f t="shared" si="35"/>
        <v/>
      </c>
      <c r="G68" s="718" t="str">
        <f t="shared" si="35"/>
        <v/>
      </c>
      <c r="H68" s="718" t="str">
        <f t="shared" si="35"/>
        <v/>
      </c>
      <c r="I68" s="718" t="str">
        <f t="shared" si="35"/>
        <v/>
      </c>
      <c r="J68" s="718" t="str">
        <f t="shared" si="35"/>
        <v/>
      </c>
      <c r="K68" s="718" t="str">
        <f t="shared" si="35"/>
        <v/>
      </c>
      <c r="L68" s="718" t="str">
        <f t="shared" si="35"/>
        <v/>
      </c>
      <c r="M68" s="718" t="str">
        <f t="shared" si="35"/>
        <v/>
      </c>
      <c r="N68" s="718" t="str">
        <f t="shared" si="35"/>
        <v/>
      </c>
      <c r="O68" s="718" t="str">
        <f t="shared" si="29"/>
        <v/>
      </c>
      <c r="P68" s="422"/>
      <c r="Q68" s="422"/>
      <c r="R68" s="469"/>
      <c r="S68" s="422"/>
      <c r="T68" s="422"/>
      <c r="U68" s="422"/>
      <c r="V68" s="422"/>
      <c r="W68" s="422"/>
      <c r="X68" s="422"/>
      <c r="Y68" s="422"/>
      <c r="Z68" s="422"/>
      <c r="AA68" s="422"/>
      <c r="AB68" s="422"/>
      <c r="AC68" s="422"/>
      <c r="AD68" s="422"/>
      <c r="AE68" s="422"/>
      <c r="AF68" s="422"/>
      <c r="AG68" s="422"/>
      <c r="AH68" s="422"/>
      <c r="AI68" s="422"/>
      <c r="AJ68" s="422"/>
      <c r="AK68" s="422"/>
      <c r="AL68" s="422"/>
      <c r="AM68" s="422"/>
      <c r="AN68" s="422"/>
      <c r="AO68" s="422"/>
      <c r="AP68" s="422"/>
      <c r="AQ68" s="422"/>
      <c r="AR68" s="422"/>
      <c r="AS68" s="422"/>
      <c r="AT68" s="422"/>
      <c r="AU68" s="422"/>
      <c r="AV68" s="422"/>
      <c r="AW68" s="422"/>
      <c r="AX68" s="422"/>
      <c r="AY68" s="422"/>
      <c r="AZ68" s="422"/>
    </row>
    <row r="69" spans="1:52" s="397" customFormat="1" ht="14.25" customHeight="1" x14ac:dyDescent="0.3">
      <c r="A69" s="422"/>
      <c r="B69" s="422" t="s">
        <v>194</v>
      </c>
      <c r="C69" s="422"/>
      <c r="D69" s="472"/>
      <c r="E69" s="472"/>
      <c r="F69" s="472"/>
      <c r="G69" s="472"/>
      <c r="H69" s="472"/>
      <c r="I69" s="472"/>
      <c r="J69" s="472"/>
      <c r="K69" s="472"/>
      <c r="L69" s="472"/>
      <c r="M69" s="472"/>
      <c r="N69" s="472"/>
      <c r="O69" s="718" t="str">
        <f>IFERROR(+AVERAGE(D69:N69),"")</f>
        <v/>
      </c>
      <c r="P69" s="422"/>
      <c r="Q69" s="422"/>
      <c r="R69" s="469"/>
      <c r="S69" s="422"/>
      <c r="T69" s="422"/>
      <c r="U69" s="422"/>
      <c r="V69" s="422"/>
      <c r="W69" s="422"/>
      <c r="X69" s="422"/>
      <c r="Y69" s="422"/>
      <c r="Z69" s="422"/>
      <c r="AA69" s="422"/>
      <c r="AB69" s="422"/>
      <c r="AC69" s="422"/>
      <c r="AD69" s="422"/>
      <c r="AE69" s="422"/>
      <c r="AF69" s="422"/>
      <c r="AG69" s="422"/>
      <c r="AH69" s="422"/>
      <c r="AI69" s="422"/>
      <c r="AJ69" s="422"/>
      <c r="AK69" s="422"/>
      <c r="AL69" s="422"/>
      <c r="AM69" s="422"/>
      <c r="AN69" s="422"/>
      <c r="AO69" s="422"/>
      <c r="AP69" s="422"/>
      <c r="AQ69" s="422"/>
      <c r="AR69" s="422"/>
      <c r="AS69" s="422"/>
      <c r="AT69" s="422"/>
      <c r="AU69" s="422"/>
      <c r="AV69" s="422"/>
      <c r="AW69" s="422"/>
      <c r="AX69" s="422"/>
      <c r="AY69" s="422"/>
      <c r="AZ69" s="422"/>
    </row>
    <row r="70" spans="1:52" s="397" customFormat="1" ht="3.75" customHeight="1" x14ac:dyDescent="0.3">
      <c r="A70" s="422"/>
      <c r="B70" s="422"/>
      <c r="C70" s="422"/>
      <c r="D70" s="422"/>
      <c r="E70" s="422"/>
      <c r="F70" s="422"/>
      <c r="G70" s="422"/>
      <c r="H70" s="422"/>
      <c r="I70" s="422"/>
      <c r="J70" s="422"/>
      <c r="K70" s="422"/>
      <c r="L70" s="422"/>
      <c r="M70" s="422"/>
      <c r="N70" s="422"/>
      <c r="O70" s="466"/>
      <c r="P70" s="422"/>
      <c r="Q70" s="422"/>
      <c r="R70" s="469"/>
      <c r="S70" s="422"/>
      <c r="T70" s="422"/>
      <c r="U70" s="422"/>
      <c r="V70" s="422"/>
      <c r="W70" s="422"/>
      <c r="X70" s="422"/>
      <c r="Y70" s="422"/>
      <c r="Z70" s="422"/>
      <c r="AA70" s="422"/>
      <c r="AB70" s="422"/>
      <c r="AC70" s="422"/>
      <c r="AD70" s="422"/>
      <c r="AE70" s="422"/>
      <c r="AF70" s="422"/>
      <c r="AG70" s="422"/>
      <c r="AH70" s="422"/>
      <c r="AI70" s="422"/>
      <c r="AJ70" s="422"/>
      <c r="AK70" s="422"/>
      <c r="AL70" s="422"/>
      <c r="AM70" s="422"/>
      <c r="AN70" s="422"/>
      <c r="AO70" s="422"/>
      <c r="AP70" s="422"/>
      <c r="AQ70" s="422"/>
      <c r="AR70" s="422"/>
      <c r="AS70" s="422"/>
      <c r="AT70" s="422"/>
      <c r="AU70" s="422"/>
      <c r="AV70" s="422"/>
      <c r="AW70" s="422"/>
      <c r="AX70" s="422"/>
      <c r="AY70" s="422"/>
      <c r="AZ70" s="422"/>
    </row>
    <row r="71" spans="1:52" s="400" customFormat="1" ht="14.25" customHeight="1" x14ac:dyDescent="0.3">
      <c r="A71" s="431"/>
      <c r="B71" s="641" t="s">
        <v>195</v>
      </c>
      <c r="C71" s="642"/>
      <c r="D71" s="407" t="str">
        <f t="shared" ref="D71:O71" ca="1" si="36">+D29</f>
        <v>ADVANCED</v>
      </c>
      <c r="E71" s="407" t="str">
        <f t="shared" si="36"/>
        <v/>
      </c>
      <c r="F71" s="407" t="str">
        <f t="shared" si="36"/>
        <v/>
      </c>
      <c r="G71" s="407" t="str">
        <f t="shared" si="36"/>
        <v/>
      </c>
      <c r="H71" s="407" t="str">
        <f t="shared" si="36"/>
        <v/>
      </c>
      <c r="I71" s="407" t="str">
        <f t="shared" si="36"/>
        <v/>
      </c>
      <c r="J71" s="407" t="str">
        <f t="shared" si="36"/>
        <v/>
      </c>
      <c r="K71" s="407" t="str">
        <f t="shared" si="36"/>
        <v/>
      </c>
      <c r="L71" s="407" t="str">
        <f t="shared" si="36"/>
        <v/>
      </c>
      <c r="M71" s="407" t="str">
        <f t="shared" si="36"/>
        <v/>
      </c>
      <c r="N71" s="407" t="str">
        <f t="shared" si="36"/>
        <v/>
      </c>
      <c r="O71" s="407" t="str">
        <f t="shared" si="36"/>
        <v>Average</v>
      </c>
      <c r="P71" s="431"/>
      <c r="Q71" s="431"/>
      <c r="R71" s="643"/>
      <c r="S71" s="431"/>
      <c r="T71" s="431"/>
      <c r="U71" s="431"/>
      <c r="V71" s="431"/>
      <c r="W71" s="431"/>
      <c r="X71" s="431"/>
      <c r="Y71" s="431"/>
      <c r="Z71" s="431"/>
      <c r="AA71" s="431"/>
      <c r="AB71" s="431"/>
      <c r="AC71" s="431"/>
      <c r="AD71" s="431"/>
      <c r="AE71" s="431"/>
      <c r="AF71" s="431"/>
      <c r="AG71" s="431"/>
      <c r="AH71" s="431"/>
      <c r="AI71" s="431"/>
      <c r="AJ71" s="431"/>
      <c r="AK71" s="431"/>
      <c r="AL71" s="431"/>
      <c r="AM71" s="431"/>
      <c r="AN71" s="431"/>
      <c r="AO71" s="431"/>
      <c r="AP71" s="431"/>
      <c r="AQ71" s="431"/>
      <c r="AR71" s="431"/>
      <c r="AS71" s="431"/>
      <c r="AT71" s="431"/>
      <c r="AU71" s="431"/>
      <c r="AV71" s="431"/>
      <c r="AW71" s="431"/>
      <c r="AX71" s="431"/>
      <c r="AY71" s="431"/>
      <c r="AZ71" s="431"/>
    </row>
    <row r="72" spans="1:52" s="397" customFormat="1" ht="3.75" customHeight="1" x14ac:dyDescent="0.3">
      <c r="A72" s="422"/>
      <c r="B72" s="457"/>
      <c r="C72" s="457"/>
      <c r="D72" s="457"/>
      <c r="E72" s="457"/>
      <c r="F72" s="457"/>
      <c r="G72" s="457"/>
      <c r="H72" s="457"/>
      <c r="I72" s="457"/>
      <c r="J72" s="457"/>
      <c r="K72" s="457"/>
      <c r="L72" s="457"/>
      <c r="M72" s="457"/>
      <c r="N72" s="457"/>
      <c r="O72" s="468"/>
      <c r="P72" s="422"/>
      <c r="Q72" s="422"/>
      <c r="R72" s="469"/>
      <c r="S72" s="422"/>
      <c r="T72" s="422"/>
      <c r="U72" s="422"/>
      <c r="V72" s="422"/>
      <c r="W72" s="422"/>
      <c r="X72" s="422"/>
      <c r="Y72" s="422"/>
      <c r="Z72" s="422"/>
      <c r="AA72" s="422"/>
      <c r="AB72" s="422"/>
      <c r="AC72" s="422"/>
      <c r="AD72" s="422"/>
      <c r="AE72" s="422"/>
      <c r="AF72" s="422"/>
      <c r="AG72" s="422"/>
      <c r="AH72" s="422"/>
      <c r="AI72" s="422"/>
      <c r="AJ72" s="422"/>
      <c r="AK72" s="422"/>
      <c r="AL72" s="422"/>
      <c r="AM72" s="422"/>
      <c r="AN72" s="422"/>
      <c r="AO72" s="422"/>
      <c r="AP72" s="422"/>
      <c r="AQ72" s="422"/>
      <c r="AR72" s="422"/>
      <c r="AS72" s="422"/>
      <c r="AT72" s="422"/>
      <c r="AU72" s="422"/>
      <c r="AV72" s="422"/>
      <c r="AW72" s="422"/>
      <c r="AX72" s="422"/>
      <c r="AY72" s="422"/>
      <c r="AZ72" s="422"/>
    </row>
    <row r="73" spans="1:52" s="397" customFormat="1" ht="14.25" customHeight="1" x14ac:dyDescent="0.3">
      <c r="A73" s="422"/>
      <c r="B73" s="422" t="s">
        <v>196</v>
      </c>
      <c r="C73" s="422"/>
      <c r="D73" s="472"/>
      <c r="E73" s="472"/>
      <c r="F73" s="472"/>
      <c r="G73" s="472"/>
      <c r="H73" s="472"/>
      <c r="I73" s="472"/>
      <c r="J73" s="472"/>
      <c r="K73" s="472"/>
      <c r="L73" s="472"/>
      <c r="M73" s="472"/>
      <c r="N73" s="472"/>
      <c r="O73" s="718" t="str">
        <f>IFERROR(+AVERAGE(D73:N73),"")</f>
        <v/>
      </c>
      <c r="P73" s="422"/>
      <c r="Q73" s="422"/>
      <c r="R73" s="469"/>
      <c r="S73" s="422"/>
      <c r="T73" s="422"/>
      <c r="U73" s="422"/>
      <c r="V73" s="422"/>
      <c r="W73" s="422"/>
      <c r="X73" s="422"/>
      <c r="Y73" s="422"/>
      <c r="Z73" s="422"/>
      <c r="AA73" s="422"/>
      <c r="AB73" s="422"/>
      <c r="AC73" s="422"/>
      <c r="AD73" s="422"/>
      <c r="AE73" s="422"/>
      <c r="AF73" s="422"/>
      <c r="AG73" s="422"/>
      <c r="AH73" s="422"/>
      <c r="AI73" s="422"/>
      <c r="AJ73" s="422"/>
      <c r="AK73" s="422"/>
      <c r="AL73" s="422"/>
      <c r="AM73" s="422"/>
      <c r="AN73" s="422"/>
      <c r="AO73" s="422"/>
      <c r="AP73" s="422"/>
      <c r="AQ73" s="422"/>
      <c r="AR73" s="422"/>
      <c r="AS73" s="422"/>
      <c r="AT73" s="422"/>
      <c r="AU73" s="422"/>
      <c r="AV73" s="422"/>
      <c r="AW73" s="422"/>
      <c r="AX73" s="422"/>
      <c r="AY73" s="422"/>
      <c r="AZ73" s="422"/>
    </row>
    <row r="74" spans="1:52" s="397" customFormat="1" ht="14.25" customHeight="1" x14ac:dyDescent="0.3">
      <c r="A74" s="422"/>
      <c r="B74" s="422" t="s">
        <v>197</v>
      </c>
      <c r="C74" s="422"/>
      <c r="D74" s="447" cm="1">
        <f t="array" aca="1" ref="D74" ca="1">IFERROR(_FV(D91,"Beta"),"")</f>
        <v>1.8979999999999999</v>
      </c>
      <c r="E74" s="447" t="str" cm="1">
        <f t="array" ref="E74">IFERROR(_FV(E91,"Beta"),"")</f>
        <v/>
      </c>
      <c r="F74" s="447" t="str" cm="1">
        <f t="array" ref="F74">IFERROR(_FV(F91,"Beta"),"")</f>
        <v/>
      </c>
      <c r="G74" s="447" t="str" cm="1">
        <f t="array" ref="G74">IFERROR(_FV(G91,"Beta"),"")</f>
        <v/>
      </c>
      <c r="H74" s="447" t="str" cm="1">
        <f t="array" ref="H74">IFERROR(_FV(H91,"Beta"),"")</f>
        <v/>
      </c>
      <c r="I74" s="447" t="str" cm="1">
        <f t="array" ref="I74">IFERROR(_FV(I91,"Beta"),"")</f>
        <v/>
      </c>
      <c r="J74" s="447" t="str" cm="1">
        <f t="array" ref="J74">IFERROR(_FV(J91,"Beta"),"")</f>
        <v/>
      </c>
      <c r="K74" s="447" t="str" cm="1">
        <f t="array" ref="K74">IFERROR(_FV(K91,"Beta"),"")</f>
        <v/>
      </c>
      <c r="L74" s="447" t="str" cm="1">
        <f t="array" ref="L74">IFERROR(_FV(L91,"Beta"),"")</f>
        <v/>
      </c>
      <c r="M74" s="447" t="str" cm="1">
        <f t="array" ref="M74">IFERROR(_FV(M91,"Beta"),"")</f>
        <v/>
      </c>
      <c r="N74" s="447" t="str" cm="1">
        <f t="array" ref="N74">IFERROR(_FV(N91,"Beta"),"")</f>
        <v/>
      </c>
      <c r="O74" s="719">
        <f t="shared" ref="O74:O75" ca="1" si="37">IFERROR(+AVERAGE(D74:N74),"")</f>
        <v>1.8979999999999999</v>
      </c>
      <c r="P74" s="422"/>
      <c r="Q74" s="422"/>
      <c r="R74" s="469"/>
      <c r="S74" s="422"/>
      <c r="T74" s="422"/>
      <c r="U74" s="422"/>
      <c r="V74" s="422"/>
      <c r="W74" s="422"/>
      <c r="X74" s="422"/>
      <c r="Y74" s="422"/>
      <c r="Z74" s="422"/>
      <c r="AA74" s="422"/>
      <c r="AB74" s="422"/>
      <c r="AC74" s="422"/>
      <c r="AD74" s="422"/>
      <c r="AE74" s="422"/>
      <c r="AF74" s="422"/>
      <c r="AG74" s="422"/>
      <c r="AH74" s="422"/>
      <c r="AI74" s="422"/>
      <c r="AJ74" s="422"/>
      <c r="AK74" s="422"/>
      <c r="AL74" s="422"/>
      <c r="AM74" s="422"/>
      <c r="AN74" s="422"/>
      <c r="AO74" s="422"/>
      <c r="AP74" s="422"/>
      <c r="AQ74" s="422"/>
      <c r="AR74" s="422"/>
      <c r="AS74" s="422"/>
      <c r="AT74" s="422"/>
      <c r="AU74" s="422"/>
      <c r="AV74" s="422"/>
      <c r="AW74" s="422"/>
      <c r="AX74" s="422"/>
      <c r="AY74" s="422"/>
      <c r="AZ74" s="422"/>
    </row>
    <row r="75" spans="1:52" s="397" customFormat="1" ht="14.15" customHeight="1" x14ac:dyDescent="0.3">
      <c r="A75" s="422"/>
      <c r="B75" s="422" t="s">
        <v>198</v>
      </c>
      <c r="C75" s="422"/>
      <c r="D75" s="447" t="str">
        <f ca="1">IFERROR(D74/(1+(1-D104/D103)*(D121/D122)),"")</f>
        <v/>
      </c>
      <c r="E75" s="447" t="str">
        <f t="shared" ref="E75:N75" si="38">IFERROR(E74/(1+(1-E104/E103)*(E121/E122)),"")</f>
        <v/>
      </c>
      <c r="F75" s="447" t="str">
        <f t="shared" si="38"/>
        <v/>
      </c>
      <c r="G75" s="447" t="str">
        <f t="shared" si="38"/>
        <v/>
      </c>
      <c r="H75" s="447" t="str">
        <f t="shared" si="38"/>
        <v/>
      </c>
      <c r="I75" s="447" t="str">
        <f t="shared" si="38"/>
        <v/>
      </c>
      <c r="J75" s="447" t="str">
        <f t="shared" si="38"/>
        <v/>
      </c>
      <c r="K75" s="447" t="str">
        <f t="shared" si="38"/>
        <v/>
      </c>
      <c r="L75" s="447" t="str">
        <f t="shared" si="38"/>
        <v/>
      </c>
      <c r="M75" s="447" t="str">
        <f t="shared" si="38"/>
        <v/>
      </c>
      <c r="N75" s="447" t="str">
        <f t="shared" si="38"/>
        <v/>
      </c>
      <c r="O75" s="719" t="str">
        <f t="shared" ca="1" si="37"/>
        <v/>
      </c>
      <c r="P75" s="422"/>
      <c r="Q75" s="422"/>
      <c r="R75" s="469"/>
      <c r="S75" s="422"/>
      <c r="T75" s="422"/>
      <c r="U75" s="422"/>
      <c r="V75" s="422"/>
      <c r="W75" s="422"/>
      <c r="X75" s="422"/>
      <c r="Y75" s="422"/>
      <c r="Z75" s="422"/>
      <c r="AA75" s="422"/>
      <c r="AB75" s="422"/>
      <c r="AC75" s="422"/>
      <c r="AD75" s="422"/>
      <c r="AE75" s="422"/>
      <c r="AF75" s="422"/>
      <c r="AG75" s="422"/>
      <c r="AH75" s="422"/>
      <c r="AI75" s="422"/>
      <c r="AJ75" s="422"/>
      <c r="AK75" s="422"/>
      <c r="AL75" s="422"/>
      <c r="AM75" s="422"/>
      <c r="AN75" s="422"/>
      <c r="AO75" s="422"/>
      <c r="AP75" s="422"/>
      <c r="AQ75" s="422"/>
      <c r="AR75" s="422"/>
      <c r="AS75" s="422"/>
      <c r="AT75" s="422"/>
      <c r="AU75" s="422"/>
      <c r="AV75" s="422"/>
      <c r="AW75" s="422"/>
      <c r="AX75" s="422"/>
      <c r="AY75" s="422"/>
      <c r="AZ75" s="422"/>
    </row>
    <row r="76" spans="1:52" s="397" customFormat="1" ht="14.25" customHeight="1" x14ac:dyDescent="0.3">
      <c r="A76" s="422"/>
      <c r="B76" s="422" t="s">
        <v>36</v>
      </c>
      <c r="C76" s="422"/>
      <c r="D76" s="472"/>
      <c r="E76" s="472"/>
      <c r="F76" s="472"/>
      <c r="G76" s="472"/>
      <c r="H76" s="472"/>
      <c r="I76" s="472"/>
      <c r="J76" s="472"/>
      <c r="K76" s="472"/>
      <c r="L76" s="472"/>
      <c r="M76" s="472"/>
      <c r="N76" s="472"/>
      <c r="O76" s="718" t="str">
        <f t="shared" ref="O76:O78" si="39">IFERROR(+AVERAGE(D76:N76),"")</f>
        <v/>
      </c>
      <c r="P76" s="422"/>
      <c r="Q76" s="422"/>
      <c r="R76" s="469"/>
      <c r="S76" s="422"/>
      <c r="T76" s="422"/>
      <c r="U76" s="422"/>
      <c r="V76" s="422"/>
      <c r="W76" s="422"/>
      <c r="X76" s="422"/>
      <c r="Y76" s="422"/>
      <c r="Z76" s="422"/>
      <c r="AA76" s="422"/>
      <c r="AB76" s="422"/>
      <c r="AC76" s="422"/>
      <c r="AD76" s="422"/>
      <c r="AE76" s="422"/>
      <c r="AF76" s="422"/>
      <c r="AG76" s="422"/>
      <c r="AH76" s="422"/>
      <c r="AI76" s="422"/>
      <c r="AJ76" s="422"/>
      <c r="AK76" s="422"/>
      <c r="AL76" s="422"/>
      <c r="AM76" s="422"/>
      <c r="AN76" s="422"/>
      <c r="AO76" s="422"/>
      <c r="AP76" s="422"/>
      <c r="AQ76" s="422"/>
      <c r="AR76" s="422"/>
      <c r="AS76" s="422"/>
      <c r="AT76" s="422"/>
      <c r="AU76" s="422"/>
      <c r="AV76" s="422"/>
      <c r="AW76" s="422"/>
      <c r="AX76" s="422"/>
      <c r="AY76" s="422"/>
      <c r="AZ76" s="422"/>
    </row>
    <row r="77" spans="1:52" s="397" customFormat="1" ht="14.25" customHeight="1" x14ac:dyDescent="0.3">
      <c r="A77" s="422"/>
      <c r="B77" s="422" t="s">
        <v>37</v>
      </c>
      <c r="C77" s="422"/>
      <c r="D77" s="472"/>
      <c r="E77" s="472"/>
      <c r="F77" s="472"/>
      <c r="G77" s="472"/>
      <c r="H77" s="472"/>
      <c r="I77" s="472"/>
      <c r="J77" s="472"/>
      <c r="K77" s="472"/>
      <c r="L77" s="472"/>
      <c r="M77" s="472"/>
      <c r="N77" s="472"/>
      <c r="O77" s="718" t="str">
        <f t="shared" si="39"/>
        <v/>
      </c>
      <c r="P77" s="422"/>
      <c r="Q77" s="422"/>
      <c r="R77" s="469"/>
      <c r="S77" s="422"/>
      <c r="T77" s="422"/>
      <c r="U77" s="422"/>
      <c r="V77" s="422"/>
      <c r="W77" s="422"/>
      <c r="X77" s="422"/>
      <c r="Y77" s="422"/>
      <c r="Z77" s="422"/>
      <c r="AA77" s="422"/>
      <c r="AB77" s="422"/>
      <c r="AC77" s="422"/>
      <c r="AD77" s="422"/>
      <c r="AE77" s="422"/>
      <c r="AF77" s="422"/>
      <c r="AG77" s="422"/>
      <c r="AH77" s="422"/>
      <c r="AI77" s="422"/>
      <c r="AJ77" s="422"/>
      <c r="AK77" s="422"/>
      <c r="AL77" s="422"/>
      <c r="AM77" s="422"/>
      <c r="AN77" s="422"/>
      <c r="AO77" s="422"/>
      <c r="AP77" s="422"/>
      <c r="AQ77" s="422"/>
      <c r="AR77" s="422"/>
      <c r="AS77" s="422"/>
      <c r="AT77" s="422"/>
      <c r="AU77" s="422"/>
      <c r="AV77" s="422"/>
      <c r="AW77" s="422"/>
      <c r="AX77" s="422"/>
      <c r="AY77" s="422"/>
      <c r="AZ77" s="422"/>
    </row>
    <row r="78" spans="1:52" s="397" customFormat="1" ht="14.25" customHeight="1" x14ac:dyDescent="0.3">
      <c r="A78" s="422"/>
      <c r="B78" s="422" t="s">
        <v>199</v>
      </c>
      <c r="C78" s="422"/>
      <c r="D78" s="472"/>
      <c r="E78" s="472"/>
      <c r="F78" s="472"/>
      <c r="G78" s="472"/>
      <c r="H78" s="472"/>
      <c r="I78" s="472"/>
      <c r="J78" s="472"/>
      <c r="K78" s="472"/>
      <c r="L78" s="472"/>
      <c r="M78" s="472"/>
      <c r="N78" s="472"/>
      <c r="O78" s="718" t="str">
        <f t="shared" si="39"/>
        <v/>
      </c>
      <c r="P78" s="422"/>
      <c r="Q78" s="422"/>
      <c r="R78" s="469"/>
      <c r="S78" s="422"/>
      <c r="T78" s="422"/>
      <c r="U78" s="422"/>
      <c r="V78" s="422"/>
      <c r="W78" s="422"/>
      <c r="X78" s="422"/>
      <c r="Y78" s="422"/>
      <c r="Z78" s="422"/>
      <c r="AA78" s="422"/>
      <c r="AB78" s="422"/>
      <c r="AC78" s="422"/>
      <c r="AD78" s="422"/>
      <c r="AE78" s="422"/>
      <c r="AF78" s="422"/>
      <c r="AG78" s="422"/>
      <c r="AH78" s="422"/>
      <c r="AI78" s="422"/>
      <c r="AJ78" s="422"/>
      <c r="AK78" s="422"/>
      <c r="AL78" s="422"/>
      <c r="AM78" s="422"/>
      <c r="AN78" s="422"/>
      <c r="AO78" s="422"/>
      <c r="AP78" s="422"/>
      <c r="AQ78" s="422"/>
      <c r="AR78" s="422"/>
      <c r="AS78" s="422"/>
      <c r="AT78" s="422"/>
      <c r="AU78" s="422"/>
      <c r="AV78" s="422"/>
      <c r="AW78" s="422"/>
      <c r="AX78" s="422"/>
      <c r="AY78" s="422"/>
      <c r="AZ78" s="422"/>
    </row>
    <row r="79" spans="1:52" s="397" customFormat="1" ht="3.75" customHeight="1" x14ac:dyDescent="0.3">
      <c r="A79" s="422"/>
      <c r="B79" s="422"/>
      <c r="C79" s="422"/>
      <c r="D79" s="422"/>
      <c r="E79" s="422"/>
      <c r="F79" s="422"/>
      <c r="G79" s="422"/>
      <c r="H79" s="422"/>
      <c r="I79" s="422"/>
      <c r="J79" s="422"/>
      <c r="K79" s="422"/>
      <c r="L79" s="422"/>
      <c r="M79" s="422"/>
      <c r="N79" s="422"/>
      <c r="O79" s="422"/>
      <c r="P79" s="422"/>
      <c r="Q79" s="422"/>
      <c r="R79" s="469"/>
      <c r="S79" s="422"/>
      <c r="T79" s="422"/>
      <c r="U79" s="422"/>
      <c r="V79" s="422"/>
      <c r="W79" s="422"/>
      <c r="X79" s="422"/>
      <c r="Y79" s="422"/>
      <c r="Z79" s="422"/>
      <c r="AA79" s="422"/>
      <c r="AB79" s="422"/>
      <c r="AC79" s="422"/>
      <c r="AD79" s="422"/>
      <c r="AE79" s="422"/>
      <c r="AF79" s="422"/>
      <c r="AG79" s="422"/>
      <c r="AH79" s="422"/>
      <c r="AI79" s="422"/>
      <c r="AJ79" s="422"/>
      <c r="AK79" s="422"/>
      <c r="AL79" s="422"/>
      <c r="AM79" s="422"/>
      <c r="AN79" s="422"/>
      <c r="AO79" s="422"/>
      <c r="AP79" s="422"/>
      <c r="AQ79" s="422"/>
      <c r="AR79" s="422"/>
      <c r="AS79" s="422"/>
      <c r="AT79" s="422"/>
      <c r="AU79" s="422"/>
      <c r="AV79" s="422"/>
      <c r="AW79" s="422"/>
      <c r="AX79" s="422"/>
      <c r="AY79" s="422"/>
      <c r="AZ79" s="422"/>
    </row>
    <row r="80" spans="1:52" s="400" customFormat="1" ht="14.25" customHeight="1" x14ac:dyDescent="0.3">
      <c r="A80" s="431"/>
      <c r="B80" s="641" t="s">
        <v>68</v>
      </c>
      <c r="C80" s="642"/>
      <c r="D80" s="407" t="str">
        <f t="shared" ref="D80:O80" ca="1" si="40">+D29</f>
        <v>ADVANCED</v>
      </c>
      <c r="E80" s="407" t="str">
        <f t="shared" si="40"/>
        <v/>
      </c>
      <c r="F80" s="407" t="str">
        <f t="shared" si="40"/>
        <v/>
      </c>
      <c r="G80" s="407" t="str">
        <f t="shared" si="40"/>
        <v/>
      </c>
      <c r="H80" s="407" t="str">
        <f t="shared" si="40"/>
        <v/>
      </c>
      <c r="I80" s="407" t="str">
        <f t="shared" si="40"/>
        <v/>
      </c>
      <c r="J80" s="407" t="str">
        <f t="shared" si="40"/>
        <v/>
      </c>
      <c r="K80" s="407" t="str">
        <f t="shared" si="40"/>
        <v/>
      </c>
      <c r="L80" s="407" t="str">
        <f t="shared" si="40"/>
        <v/>
      </c>
      <c r="M80" s="407" t="str">
        <f t="shared" si="40"/>
        <v/>
      </c>
      <c r="N80" s="407" t="str">
        <f t="shared" si="40"/>
        <v/>
      </c>
      <c r="O80" s="407" t="str">
        <f t="shared" si="40"/>
        <v>Average</v>
      </c>
      <c r="P80" s="431"/>
      <c r="Q80" s="431"/>
      <c r="R80" s="643"/>
      <c r="S80" s="431"/>
      <c r="T80" s="431"/>
      <c r="U80" s="431"/>
      <c r="V80" s="431"/>
      <c r="W80" s="431"/>
      <c r="X80" s="431"/>
      <c r="Y80" s="431"/>
      <c r="Z80" s="431"/>
      <c r="AA80" s="431"/>
      <c r="AB80" s="431"/>
      <c r="AC80" s="431"/>
      <c r="AD80" s="431"/>
      <c r="AE80" s="431"/>
      <c r="AF80" s="431"/>
      <c r="AG80" s="431"/>
      <c r="AH80" s="431"/>
      <c r="AI80" s="431"/>
      <c r="AJ80" s="431"/>
      <c r="AK80" s="431"/>
      <c r="AL80" s="431"/>
      <c r="AM80" s="431"/>
      <c r="AN80" s="431"/>
      <c r="AO80" s="431"/>
      <c r="AP80" s="431"/>
      <c r="AQ80" s="431"/>
      <c r="AR80" s="431"/>
      <c r="AS80" s="431"/>
      <c r="AT80" s="431"/>
      <c r="AU80" s="431"/>
      <c r="AV80" s="431"/>
      <c r="AW80" s="431"/>
      <c r="AX80" s="431"/>
      <c r="AY80" s="431"/>
      <c r="AZ80" s="431"/>
    </row>
    <row r="81" spans="1:52" s="397" customFormat="1" ht="3.75" customHeight="1" x14ac:dyDescent="0.3">
      <c r="A81" s="422"/>
      <c r="B81" s="457"/>
      <c r="C81" s="457"/>
      <c r="D81" s="457"/>
      <c r="E81" s="457"/>
      <c r="F81" s="457"/>
      <c r="G81" s="457"/>
      <c r="H81" s="457"/>
      <c r="I81" s="457"/>
      <c r="J81" s="457"/>
      <c r="K81" s="457"/>
      <c r="L81" s="457"/>
      <c r="M81" s="457"/>
      <c r="N81" s="457"/>
      <c r="O81" s="457"/>
      <c r="P81" s="422"/>
      <c r="Q81" s="422"/>
      <c r="R81" s="469"/>
      <c r="S81" s="422"/>
      <c r="T81" s="422"/>
      <c r="U81" s="422"/>
      <c r="V81" s="422"/>
      <c r="W81" s="422"/>
      <c r="X81" s="422"/>
      <c r="Y81" s="422"/>
      <c r="Z81" s="422"/>
      <c r="AA81" s="422"/>
      <c r="AB81" s="422"/>
      <c r="AC81" s="422"/>
      <c r="AD81" s="422"/>
      <c r="AE81" s="422"/>
      <c r="AF81" s="422"/>
      <c r="AG81" s="422"/>
      <c r="AH81" s="422"/>
      <c r="AI81" s="422"/>
      <c r="AJ81" s="422"/>
      <c r="AK81" s="422"/>
      <c r="AL81" s="422"/>
      <c r="AM81" s="422"/>
      <c r="AN81" s="422"/>
      <c r="AO81" s="422"/>
      <c r="AP81" s="422"/>
      <c r="AQ81" s="422"/>
      <c r="AR81" s="422"/>
      <c r="AS81" s="422"/>
      <c r="AT81" s="422"/>
      <c r="AU81" s="422"/>
      <c r="AV81" s="422"/>
      <c r="AW81" s="422"/>
      <c r="AX81" s="422"/>
      <c r="AY81" s="422"/>
      <c r="AZ81" s="422"/>
    </row>
    <row r="82" spans="1:52" s="397" customFormat="1" ht="14.25" customHeight="1" x14ac:dyDescent="0.3">
      <c r="A82" s="422"/>
      <c r="B82" s="422" t="s">
        <v>200</v>
      </c>
      <c r="C82" s="422"/>
      <c r="D82" s="473" cm="1">
        <f t="array" aca="1" ref="D82" ca="1">IFERROR((D85/_xlfn.STOCKHISTORY(C6,TODAY()-1,TODAY()-1,0,0,1))-1,"Non-trading days")</f>
        <v>0.17853897080950953</v>
      </c>
      <c r="E82" s="473" t="str" cm="1">
        <f t="array" aca="1" ref="E82" ca="1">IFERROR((E85/_xlfn.STOCKHISTORY(C8,TODAY()-1,TODAY()-1,0,0,1))-1,"Non-trading days")</f>
        <v>Non-trading days</v>
      </c>
      <c r="F82" s="473" t="str" cm="1">
        <f t="array" aca="1" ref="F82" ca="1">IFERROR((F85/_xlfn.STOCKHISTORY(C9,TODAY()-1,TODAY()-1,0,0,1))-1,"Non-trading days")</f>
        <v>Non-trading days</v>
      </c>
      <c r="G82" s="473" t="str" cm="1">
        <f t="array" aca="1" ref="G82" ca="1">IFERROR((G85/_xlfn.STOCKHISTORY(C10,TODAY()-1,TODAY()-1,0,0,1))-1,"Non-trading days")</f>
        <v>Non-trading days</v>
      </c>
      <c r="H82" s="473" t="str" cm="1">
        <f t="array" aca="1" ref="H82" ca="1">IFERROR((K85/_xlfn.STOCKHISTORY(C11,TODAY()-1,TODAY()-1,0,0,1))-1,"Non-trading days")</f>
        <v>Non-trading days</v>
      </c>
      <c r="I82" s="473" t="str" cm="1">
        <f t="array" aca="1" ref="I82" ca="1">IFERROR((L85/_xlfn.STOCKHISTORY(C12,TODAY()-1,TODAY()-1,0,0,1))-1,"Non-trading days")</f>
        <v>Non-trading days</v>
      </c>
      <c r="J82" s="473" t="str" cm="1">
        <f t="array" aca="1" ref="J82" ca="1">IFERROR((M85/_xlfn.STOCKHISTORY(C13,TODAY()-1,TODAY()-1,0,0,1))-1,"Non-trading days")</f>
        <v>Non-trading days</v>
      </c>
      <c r="K82" s="473" t="str" cm="1">
        <f t="array" aca="1" ref="K82" ca="1">IFERROR((N85/_xlfn.STOCKHISTORY(C14,TODAY()-1,TODAY()-1,0,0,1))-1,"Non-trading days")</f>
        <v>Non-trading days</v>
      </c>
      <c r="L82" s="473" t="str" cm="1">
        <f t="array" aca="1" ref="L82" ca="1">IFERROR((L85/_xlfn.STOCKHISTORY(C15,TODAY()-1,TODAY()-1,0,0,1))-1,"Non-trading days")</f>
        <v>Non-trading days</v>
      </c>
      <c r="M82" s="473" t="str" cm="1">
        <f t="array" aca="1" ref="M82" ca="1">IFERROR((M85/_xlfn.STOCKHISTORY(C16,TODAY()-1,TODAY()-1,0,0,1))-1,"Non-trading days")</f>
        <v>Non-trading days</v>
      </c>
      <c r="N82" s="473" t="str" cm="1">
        <f t="array" aca="1" ref="N82" ca="1">IFERROR((N85/_xlfn.STOCKHISTORY(C17,TODAY()-1,TODAY()-1,0,0,1))-1,"Non-trading days")</f>
        <v>Non-trading days</v>
      </c>
      <c r="O82" s="470">
        <f ca="1">IFERROR(+AVERAGE(D82:N82),"")</f>
        <v>0.17853897080950953</v>
      </c>
      <c r="P82" s="422"/>
      <c r="Q82" s="422"/>
      <c r="R82" s="469"/>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422"/>
      <c r="AR82" s="422"/>
      <c r="AS82" s="422"/>
      <c r="AT82" s="422"/>
      <c r="AU82" s="422"/>
      <c r="AV82" s="422"/>
      <c r="AW82" s="422"/>
      <c r="AX82" s="422"/>
      <c r="AY82" s="422"/>
      <c r="AZ82" s="422"/>
    </row>
    <row r="83" spans="1:52" s="397" customFormat="1" ht="14.25" customHeight="1" x14ac:dyDescent="0.3">
      <c r="A83" s="422"/>
      <c r="B83" s="422" t="s">
        <v>201</v>
      </c>
      <c r="C83" s="422"/>
      <c r="D83" s="473" cm="1">
        <f t="array" aca="1" ref="D83" ca="1">IFERROR((D85/_xlfn.STOCKHISTORY(C6,TODAY()-29,TODAY()-29,0,0,1))-1,"Non-trading days")</f>
        <v>-4.3116486469977455E-2</v>
      </c>
      <c r="E83" s="473" t="str" cm="1">
        <f t="array" aca="1" ref="E83" ca="1">IFERROR((E85/_xlfn.STOCKHISTORY(C8,TODAY()-29,TODAY()-29,0,0,1))-1,"Non-trading days")</f>
        <v>Non-trading days</v>
      </c>
      <c r="F83" s="473" t="str" cm="1">
        <f t="array" aca="1" ref="F83" ca="1">IFERROR((F85/_xlfn.STOCKHISTORY(C9,TODAY()-29,TODAY()-29,0,0,1))-1,"Non-trading days")</f>
        <v>Non-trading days</v>
      </c>
      <c r="G83" s="473" t="str" cm="1">
        <f t="array" aca="1" ref="G83" ca="1">IFERROR((G85/_xlfn.STOCKHISTORY(C10,TODAY()-29,TODAY()-29,0,0,1))-1,"Non-trading days")</f>
        <v>Non-trading days</v>
      </c>
      <c r="H83" s="473" t="str" cm="1">
        <f t="array" aca="1" ref="H83" ca="1">IFERROR((K85/_xlfn.STOCKHISTORY(C11,TODAY()-29,TODAY()-29,0,0,1))-1,"Non-trading days")</f>
        <v>Non-trading days</v>
      </c>
      <c r="I83" s="473" t="str" cm="1">
        <f t="array" aca="1" ref="I83" ca="1">IFERROR((L85/_xlfn.STOCKHISTORY(C12,TODAY()-29,TODAY()-29,0,0,1))-1,"Non-trading days")</f>
        <v>Non-trading days</v>
      </c>
      <c r="J83" s="473" t="str" cm="1">
        <f t="array" aca="1" ref="J83" ca="1">IFERROR((M85/_xlfn.STOCKHISTORY(C13,TODAY()-29,TODAY()-29,0,0,1))-1,"Non-trading days")</f>
        <v>Non-trading days</v>
      </c>
      <c r="K83" s="473" t="str" cm="1">
        <f t="array" aca="1" ref="K83" ca="1">IFERROR((N85/_xlfn.STOCKHISTORY(C14,TODAY()-29,TODAY()-29,0,0,1))-1,"Non-trading days")</f>
        <v>Non-trading days</v>
      </c>
      <c r="L83" s="473" t="str" cm="1">
        <f t="array" aca="1" ref="L83" ca="1">IFERROR((L85/_xlfn.STOCKHISTORY(C15,TODAY()-29,TODAY()-29,0,0,1))-1,"Non-trading days")</f>
        <v>Non-trading days</v>
      </c>
      <c r="M83" s="473" t="str" cm="1">
        <f t="array" aca="1" ref="M83" ca="1">IFERROR((M85/_xlfn.STOCKHISTORY(C16,TODAY()-29,TODAY()-29,0,0,1))-1,"Non-trading days")</f>
        <v>Non-trading days</v>
      </c>
      <c r="N83" s="473" t="str" cm="1">
        <f t="array" aca="1" ref="N83" ca="1">IFERROR((N85/_xlfn.STOCKHISTORY(C17,TODAY()-29,TODAY()-29,0,0,1))-1,"Non-trading days")</f>
        <v>Non-trading days</v>
      </c>
      <c r="O83" s="470">
        <f ca="1">IFERROR(AVERAGE(D83:N83),"")</f>
        <v>-4.3116486469977455E-2</v>
      </c>
      <c r="P83" s="422"/>
      <c r="Q83" s="422"/>
      <c r="R83" s="469"/>
      <c r="S83" s="422"/>
      <c r="T83" s="422"/>
      <c r="U83" s="422"/>
      <c r="V83" s="422"/>
      <c r="W83" s="422"/>
      <c r="X83" s="422"/>
      <c r="Y83" s="422"/>
      <c r="Z83" s="422"/>
      <c r="AA83" s="422"/>
      <c r="AB83" s="422"/>
      <c r="AC83" s="422"/>
      <c r="AD83" s="422"/>
      <c r="AE83" s="422"/>
      <c r="AF83" s="422"/>
      <c r="AG83" s="422"/>
      <c r="AH83" s="422"/>
      <c r="AI83" s="422"/>
      <c r="AJ83" s="422"/>
      <c r="AK83" s="422"/>
      <c r="AL83" s="422"/>
      <c r="AM83" s="422"/>
      <c r="AN83" s="422"/>
      <c r="AO83" s="422"/>
      <c r="AP83" s="422"/>
      <c r="AQ83" s="422"/>
      <c r="AR83" s="422"/>
      <c r="AS83" s="422"/>
      <c r="AT83" s="422"/>
      <c r="AU83" s="422"/>
      <c r="AV83" s="422"/>
      <c r="AW83" s="422"/>
      <c r="AX83" s="422"/>
      <c r="AY83" s="422"/>
      <c r="AZ83" s="422"/>
    </row>
    <row r="84" spans="1:52" s="397" customFormat="1" ht="14.25" customHeight="1" x14ac:dyDescent="0.3">
      <c r="A84" s="422"/>
      <c r="B84" s="422" t="s">
        <v>202</v>
      </c>
      <c r="C84" s="422"/>
      <c r="D84" s="473" cm="1">
        <f t="array" aca="1" ref="D84" ca="1">IFERROR((D85/_xlfn.STOCKHISTORY(C6,"2025-01-02","2025-01-02",0,0,1))-1,"Non-trading days")</f>
        <v>0.29861062753875478</v>
      </c>
      <c r="E84" s="473" t="str" cm="1">
        <f t="array" ref="E84">IFERROR((E85/_xlfn.STOCKHISTORY(C8,"2025-01-02","2025-01-02",0,0,1))-1,"Non-trading days")</f>
        <v>Non-trading days</v>
      </c>
      <c r="F84" s="473" t="str" cm="1">
        <f t="array" ref="F84">IFERROR((F85/_xlfn.STOCKHISTORY(C9,"2025-01-02","2025-01-02",0,0,1))-1,"Non-trading days")</f>
        <v>Non-trading days</v>
      </c>
      <c r="G84" s="473" t="str" cm="1">
        <f t="array" ref="G84">IFERROR((G85/_xlfn.STOCKHISTORY(C10,"2025-01-02","2025-01-02",0,0,1))-1,"Non-trading days")</f>
        <v>Non-trading days</v>
      </c>
      <c r="H84" s="473" t="str" cm="1">
        <f t="array" ref="H84">IFERROR((K85/_xlfn.STOCKHISTORY(C11,"2025-01-02","2025-01-02",0,0,1))-1,"Non-trading days")</f>
        <v>Non-trading days</v>
      </c>
      <c r="I84" s="473" t="str" cm="1">
        <f t="array" ref="I84">IFERROR((L85/_xlfn.STOCKHISTORY(C12,"2025-01-02","2025-01-02",0,0,1))-1,"Non-trading days")</f>
        <v>Non-trading days</v>
      </c>
      <c r="J84" s="473" t="str" cm="1">
        <f t="array" ref="J84">IFERROR((M85/_xlfn.STOCKHISTORY(C13,"2025-01-02","2025-01-02",0,0,1))-1,"Non-trading days")</f>
        <v>Non-trading days</v>
      </c>
      <c r="K84" s="473" t="str" cm="1">
        <f t="array" ref="K84">IFERROR((N85/_xlfn.STOCKHISTORY(C14,"2025-01-02","2025-01-02",0,0,1))-1,"Non-trading days")</f>
        <v>Non-trading days</v>
      </c>
      <c r="L84" s="473" t="str" cm="1">
        <f t="array" ref="L84">IFERROR((L85/_xlfn.STOCKHISTORY(C15,"2025-01-02","2025-01-02",0,0,1))-1,"Non-trading days")</f>
        <v>Non-trading days</v>
      </c>
      <c r="M84" s="473" t="str" cm="1">
        <f t="array" ref="M84">IFERROR((M85/_xlfn.STOCKHISTORY(C16,"2025-01-02","2025-01-02",0,0,1))-1,"Non-trading days")</f>
        <v>Non-trading days</v>
      </c>
      <c r="N84" s="473" t="str" cm="1">
        <f t="array" ref="N84">IFERROR((N85/_xlfn.STOCKHISTORY(C17,"2025-01-02","2025-01-02",0,0,1))-1,"Non-trading days")</f>
        <v>Non-trading days</v>
      </c>
      <c r="O84" s="470">
        <f ca="1">IFERROR(AVERAGE(D84:N84),"")</f>
        <v>0.29861062753875478</v>
      </c>
      <c r="P84" s="422"/>
      <c r="Q84" s="422"/>
      <c r="R84" s="469"/>
      <c r="S84" s="422"/>
      <c r="T84" s="422"/>
      <c r="U84" s="422"/>
      <c r="V84" s="422"/>
      <c r="W84" s="422"/>
      <c r="X84" s="422"/>
      <c r="Y84" s="422"/>
      <c r="Z84" s="422"/>
      <c r="AA84" s="422"/>
      <c r="AB84" s="422"/>
      <c r="AC84" s="422"/>
      <c r="AD84" s="422"/>
      <c r="AE84" s="422"/>
      <c r="AF84" s="422"/>
      <c r="AG84" s="422"/>
      <c r="AH84" s="422"/>
      <c r="AI84" s="422"/>
      <c r="AJ84" s="422"/>
      <c r="AK84" s="422"/>
      <c r="AL84" s="422"/>
      <c r="AM84" s="422"/>
      <c r="AN84" s="422"/>
      <c r="AO84" s="422"/>
      <c r="AP84" s="422"/>
      <c r="AQ84" s="422"/>
      <c r="AR84" s="422"/>
      <c r="AS84" s="422"/>
      <c r="AT84" s="422"/>
      <c r="AU84" s="422"/>
      <c r="AV84" s="422"/>
      <c r="AW84" s="422"/>
      <c r="AX84" s="422"/>
      <c r="AY84" s="422"/>
      <c r="AZ84" s="422"/>
    </row>
    <row r="85" spans="1:52" s="397" customFormat="1" ht="14.25" customHeight="1" x14ac:dyDescent="0.3">
      <c r="A85" s="422"/>
      <c r="B85" s="422" t="s">
        <v>162</v>
      </c>
      <c r="C85" s="422"/>
      <c r="D85" s="465" cm="1">
        <f t="array" aca="1" ref="D85" ca="1">+IFERROR(_FV(D91,"Price"),"")</f>
        <v>156.6514</v>
      </c>
      <c r="E85" s="465" t="str" cm="1">
        <f t="array" ref="E85">+IFERROR(_FV(E91,"Price"),"")</f>
        <v/>
      </c>
      <c r="F85" s="465" t="str" cm="1">
        <f t="array" ref="F85">+IFERROR(_FV(F91,"Price"),"")</f>
        <v/>
      </c>
      <c r="G85" s="465" t="str" cm="1">
        <f t="array" ref="G85">+IFERROR(_FV(G91,"Price"),"")</f>
        <v/>
      </c>
      <c r="H85" s="465" t="str" cm="1">
        <f t="array" ref="H85">+IFERROR(_FV(H91,"Price"),"")</f>
        <v/>
      </c>
      <c r="I85" s="465" t="str" cm="1">
        <f t="array" ref="I85">+IFERROR(_FV(I91,"Price"),"")</f>
        <v/>
      </c>
      <c r="J85" s="465" t="str" cm="1">
        <f t="array" ref="J85">+IFERROR(_FV(J91,"Price"),"")</f>
        <v/>
      </c>
      <c r="K85" s="465" t="str" cm="1">
        <f t="array" ref="K85">+IFERROR(_FV(K91,"Price"),"")</f>
        <v/>
      </c>
      <c r="L85" s="465" t="str" cm="1">
        <f t="array" ref="L85">+IFERROR(_FV(L91,"Price"),"")</f>
        <v/>
      </c>
      <c r="M85" s="465" t="str" cm="1">
        <f t="array" ref="M85">+IFERROR(_FV(M91,"Price"),"")</f>
        <v/>
      </c>
      <c r="N85" s="465" t="str" cm="1">
        <f t="array" ref="N85">+IFERROR(_FV(N91,"Price"),"")</f>
        <v/>
      </c>
      <c r="O85" s="470">
        <f ca="1">IFERROR(AVERAGE(D85:N85),"")</f>
        <v>156.6514</v>
      </c>
      <c r="P85" s="422"/>
      <c r="Q85" s="422"/>
      <c r="R85" s="469"/>
      <c r="S85" s="422"/>
      <c r="T85" s="422"/>
      <c r="U85" s="422"/>
      <c r="V85" s="422"/>
      <c r="W85" s="422"/>
      <c r="X85" s="422"/>
      <c r="Y85" s="422"/>
      <c r="Z85" s="422"/>
      <c r="AA85" s="422"/>
      <c r="AB85" s="422"/>
      <c r="AC85" s="422"/>
      <c r="AD85" s="422"/>
      <c r="AE85" s="422"/>
      <c r="AF85" s="422"/>
      <c r="AG85" s="422"/>
      <c r="AH85" s="422"/>
      <c r="AI85" s="422"/>
      <c r="AJ85" s="422"/>
      <c r="AK85" s="422"/>
      <c r="AL85" s="422"/>
      <c r="AM85" s="422"/>
      <c r="AN85" s="422"/>
      <c r="AO85" s="422"/>
      <c r="AP85" s="422"/>
      <c r="AQ85" s="422"/>
      <c r="AR85" s="422"/>
      <c r="AS85" s="422"/>
      <c r="AT85" s="422"/>
      <c r="AU85" s="422"/>
      <c r="AV85" s="422"/>
      <c r="AW85" s="422"/>
      <c r="AX85" s="422"/>
      <c r="AY85" s="422"/>
      <c r="AZ85" s="422"/>
    </row>
    <row r="86" spans="1:52" s="397" customFormat="1" ht="3.75" customHeight="1" x14ac:dyDescent="0.3">
      <c r="A86" s="422"/>
      <c r="B86" s="422"/>
      <c r="C86" s="422"/>
      <c r="D86" s="422"/>
      <c r="E86" s="422"/>
      <c r="F86" s="422"/>
      <c r="G86" s="422"/>
      <c r="H86" s="422"/>
      <c r="I86" s="422"/>
      <c r="J86" s="422"/>
      <c r="K86" s="422"/>
      <c r="L86" s="422"/>
      <c r="M86" s="422"/>
      <c r="N86" s="422"/>
      <c r="O86" s="422"/>
      <c r="P86" s="422"/>
      <c r="Q86" s="422"/>
      <c r="R86" s="469"/>
      <c r="S86" s="422"/>
      <c r="T86" s="422"/>
      <c r="U86" s="422"/>
      <c r="V86" s="422"/>
      <c r="W86" s="422"/>
      <c r="X86" s="422"/>
      <c r="Y86" s="422"/>
      <c r="Z86" s="422"/>
      <c r="AA86" s="422"/>
      <c r="AB86" s="422"/>
      <c r="AC86" s="422"/>
      <c r="AD86" s="422"/>
      <c r="AE86" s="422"/>
      <c r="AF86" s="422"/>
      <c r="AG86" s="422"/>
      <c r="AH86" s="422"/>
      <c r="AI86" s="422"/>
      <c r="AJ86" s="422"/>
      <c r="AK86" s="422"/>
      <c r="AL86" s="422"/>
      <c r="AM86" s="422"/>
      <c r="AN86" s="422"/>
      <c r="AO86" s="422"/>
      <c r="AP86" s="422"/>
      <c r="AQ86" s="422"/>
      <c r="AR86" s="422"/>
      <c r="AS86" s="422"/>
      <c r="AT86" s="422"/>
      <c r="AU86" s="422"/>
      <c r="AV86" s="422"/>
      <c r="AW86" s="422"/>
      <c r="AX86" s="422"/>
      <c r="AY86" s="422"/>
      <c r="AZ86" s="422"/>
    </row>
    <row r="87" spans="1:52" s="400" customFormat="1" ht="14.25" customHeight="1" x14ac:dyDescent="0.3">
      <c r="A87" s="431"/>
      <c r="B87" s="641" t="s">
        <v>203</v>
      </c>
      <c r="C87" s="642"/>
      <c r="D87" s="641"/>
      <c r="E87" s="641"/>
      <c r="F87" s="641"/>
      <c r="G87" s="641"/>
      <c r="H87" s="641"/>
      <c r="I87" s="641"/>
      <c r="J87" s="641"/>
      <c r="K87" s="641"/>
      <c r="L87" s="641"/>
      <c r="M87" s="641"/>
      <c r="N87" s="641"/>
      <c r="O87" s="641"/>
      <c r="P87" s="431"/>
      <c r="Q87" s="431"/>
      <c r="R87" s="643"/>
      <c r="S87" s="431"/>
      <c r="T87" s="431"/>
      <c r="U87" s="431"/>
      <c r="V87" s="431"/>
      <c r="W87" s="431"/>
      <c r="X87" s="431"/>
      <c r="Y87" s="431"/>
      <c r="Z87" s="431"/>
      <c r="AA87" s="431"/>
      <c r="AB87" s="431"/>
      <c r="AC87" s="431"/>
      <c r="AD87" s="431"/>
      <c r="AE87" s="431"/>
      <c r="AF87" s="431"/>
      <c r="AG87" s="431"/>
      <c r="AH87" s="431"/>
      <c r="AI87" s="431"/>
      <c r="AJ87" s="431"/>
      <c r="AK87" s="431"/>
      <c r="AL87" s="431"/>
      <c r="AM87" s="431"/>
      <c r="AN87" s="431"/>
      <c r="AO87" s="431"/>
      <c r="AP87" s="431"/>
      <c r="AQ87" s="431"/>
      <c r="AR87" s="431"/>
      <c r="AS87" s="431"/>
      <c r="AT87" s="431"/>
      <c r="AU87" s="431"/>
      <c r="AV87" s="431"/>
      <c r="AW87" s="431"/>
      <c r="AX87" s="431"/>
      <c r="AY87" s="431"/>
      <c r="AZ87" s="431"/>
    </row>
    <row r="88" spans="1:52" s="397" customFormat="1" ht="3.75" customHeight="1" x14ac:dyDescent="0.3">
      <c r="A88" s="422"/>
      <c r="B88" s="457"/>
      <c r="C88" s="457"/>
      <c r="D88" s="457"/>
      <c r="E88" s="457"/>
      <c r="F88" s="457"/>
      <c r="G88" s="457"/>
      <c r="H88" s="457"/>
      <c r="I88" s="457"/>
      <c r="J88" s="457"/>
      <c r="K88" s="457"/>
      <c r="L88" s="457"/>
      <c r="M88" s="457"/>
      <c r="N88" s="457"/>
      <c r="O88" s="457"/>
      <c r="P88" s="422"/>
      <c r="Q88" s="422"/>
      <c r="R88" s="469"/>
      <c r="S88" s="422"/>
      <c r="T88" s="422"/>
      <c r="U88" s="422"/>
      <c r="V88" s="422"/>
      <c r="W88" s="422"/>
      <c r="X88" s="422"/>
      <c r="Y88" s="422"/>
      <c r="Z88" s="422"/>
      <c r="AA88" s="422"/>
      <c r="AB88" s="422"/>
      <c r="AC88" s="422"/>
      <c r="AD88" s="422"/>
      <c r="AE88" s="422"/>
      <c r="AF88" s="422"/>
      <c r="AG88" s="422"/>
      <c r="AH88" s="422"/>
      <c r="AI88" s="422"/>
      <c r="AJ88" s="422"/>
      <c r="AK88" s="422"/>
      <c r="AL88" s="422"/>
      <c r="AM88" s="422"/>
      <c r="AN88" s="422"/>
      <c r="AO88" s="422"/>
      <c r="AP88" s="422"/>
      <c r="AQ88" s="422"/>
      <c r="AR88" s="422"/>
      <c r="AS88" s="422"/>
      <c r="AT88" s="422"/>
      <c r="AU88" s="422"/>
      <c r="AV88" s="422"/>
      <c r="AW88" s="422"/>
      <c r="AX88" s="422"/>
      <c r="AY88" s="422"/>
      <c r="AZ88" s="422"/>
    </row>
    <row r="89" spans="1:52" s="397" customFormat="1" ht="14.25" customHeight="1" x14ac:dyDescent="0.3">
      <c r="A89" s="422"/>
      <c r="B89" s="422" t="s">
        <v>204</v>
      </c>
      <c r="C89" s="422"/>
      <c r="D89" s="422"/>
      <c r="E89" s="422"/>
      <c r="F89" s="422"/>
      <c r="G89" s="422"/>
      <c r="H89" s="422"/>
      <c r="I89" s="422"/>
      <c r="J89" s="422"/>
      <c r="K89" s="422"/>
      <c r="L89" s="422"/>
      <c r="M89" s="422"/>
      <c r="N89" s="422"/>
      <c r="O89" s="422"/>
      <c r="P89" s="422"/>
      <c r="Q89" s="422"/>
      <c r="R89" s="469"/>
      <c r="S89" s="422"/>
      <c r="T89" s="422"/>
      <c r="U89" s="422"/>
      <c r="V89" s="422"/>
      <c r="W89" s="422"/>
      <c r="X89" s="422"/>
      <c r="Y89" s="422"/>
      <c r="Z89" s="422"/>
      <c r="AA89" s="422"/>
      <c r="AB89" s="422"/>
      <c r="AC89" s="422"/>
      <c r="AD89" s="422"/>
      <c r="AE89" s="422"/>
      <c r="AF89" s="422"/>
      <c r="AG89" s="422"/>
      <c r="AH89" s="422"/>
      <c r="AI89" s="422"/>
      <c r="AJ89" s="422"/>
      <c r="AK89" s="422"/>
      <c r="AL89" s="422"/>
      <c r="AM89" s="422"/>
      <c r="AN89" s="422"/>
      <c r="AO89" s="422"/>
      <c r="AP89" s="422"/>
      <c r="AQ89" s="422"/>
      <c r="AR89" s="422"/>
      <c r="AS89" s="422"/>
      <c r="AT89" s="422"/>
      <c r="AU89" s="422"/>
      <c r="AV89" s="422"/>
      <c r="AW89" s="422"/>
      <c r="AX89" s="422"/>
      <c r="AY89" s="422"/>
      <c r="AZ89" s="422"/>
    </row>
    <row r="90" spans="1:52" s="397" customFormat="1" ht="5.25" customHeight="1" x14ac:dyDescent="0.3">
      <c r="A90" s="422"/>
      <c r="B90" s="422"/>
      <c r="C90" s="422"/>
      <c r="D90" s="422"/>
      <c r="E90" s="422"/>
      <c r="F90" s="422"/>
      <c r="G90" s="422"/>
      <c r="H90" s="422"/>
      <c r="I90" s="422"/>
      <c r="J90" s="422"/>
      <c r="K90" s="422"/>
      <c r="L90" s="422"/>
      <c r="M90" s="422"/>
      <c r="N90" s="422"/>
      <c r="O90" s="422"/>
      <c r="P90" s="422"/>
      <c r="Q90" s="422"/>
      <c r="R90" s="469"/>
      <c r="S90" s="422"/>
      <c r="T90" s="422"/>
      <c r="U90" s="422"/>
      <c r="V90" s="422"/>
      <c r="W90" s="422"/>
      <c r="X90" s="422"/>
      <c r="Y90" s="422"/>
      <c r="Z90" s="422"/>
      <c r="AA90" s="422"/>
      <c r="AB90" s="422"/>
      <c r="AC90" s="422"/>
      <c r="AD90" s="422"/>
      <c r="AE90" s="422"/>
      <c r="AF90" s="422"/>
      <c r="AG90" s="422"/>
      <c r="AH90" s="422"/>
      <c r="AI90" s="422"/>
      <c r="AJ90" s="422"/>
      <c r="AK90" s="422"/>
      <c r="AL90" s="422"/>
      <c r="AM90" s="422"/>
      <c r="AN90" s="422"/>
      <c r="AO90" s="422"/>
      <c r="AP90" s="422"/>
      <c r="AQ90" s="422"/>
      <c r="AR90" s="422"/>
      <c r="AS90" s="422"/>
      <c r="AT90" s="422"/>
      <c r="AU90" s="422"/>
      <c r="AV90" s="422"/>
      <c r="AW90" s="422"/>
      <c r="AX90" s="422"/>
      <c r="AY90" s="422"/>
      <c r="AZ90" s="422"/>
    </row>
    <row r="91" spans="1:52" s="397" customFormat="1" ht="24.75" customHeight="1" x14ac:dyDescent="0.3">
      <c r="A91" s="422"/>
      <c r="B91" s="474" t="s">
        <v>205</v>
      </c>
      <c r="C91" s="459"/>
      <c r="D91" s="408" t="e" vm="2">
        <f>+DCF!R4</f>
        <v>#VALUE!</v>
      </c>
      <c r="E91" s="409" t="s">
        <v>206</v>
      </c>
      <c r="F91" s="411" t="s">
        <v>207</v>
      </c>
      <c r="G91" s="699" t="s">
        <v>208</v>
      </c>
      <c r="H91" s="708" t="s">
        <v>209</v>
      </c>
      <c r="I91" s="708" t="s">
        <v>210</v>
      </c>
      <c r="J91" s="708" t="s">
        <v>211</v>
      </c>
      <c r="K91" s="708" t="s">
        <v>212</v>
      </c>
      <c r="L91" s="708" t="s">
        <v>213</v>
      </c>
      <c r="M91" s="708" t="s">
        <v>214</v>
      </c>
      <c r="N91" s="410" t="s">
        <v>215</v>
      </c>
      <c r="O91" s="422"/>
      <c r="P91" s="422"/>
      <c r="Q91" s="422"/>
      <c r="R91" s="469"/>
      <c r="S91" s="422"/>
      <c r="T91" s="422"/>
      <c r="U91" s="422"/>
      <c r="V91" s="422"/>
      <c r="W91" s="422"/>
      <c r="X91" s="422"/>
      <c r="Y91" s="422"/>
      <c r="Z91" s="422"/>
      <c r="AA91" s="422"/>
      <c r="AB91" s="422"/>
      <c r="AC91" s="422"/>
      <c r="AD91" s="422"/>
      <c r="AE91" s="422"/>
      <c r="AF91" s="422"/>
      <c r="AG91" s="422"/>
      <c r="AH91" s="422"/>
      <c r="AI91" s="422"/>
      <c r="AJ91" s="422"/>
      <c r="AK91" s="422"/>
      <c r="AL91" s="422"/>
      <c r="AM91" s="422"/>
      <c r="AN91" s="422"/>
      <c r="AO91" s="422"/>
      <c r="AP91" s="422"/>
      <c r="AQ91" s="422"/>
      <c r="AR91" s="422"/>
      <c r="AS91" s="422"/>
      <c r="AT91" s="422"/>
      <c r="AU91" s="422"/>
      <c r="AV91" s="422"/>
      <c r="AW91" s="422"/>
      <c r="AX91" s="422"/>
      <c r="AY91" s="422"/>
      <c r="AZ91" s="422"/>
    </row>
    <row r="92" spans="1:52" s="397" customFormat="1" ht="3.75" customHeight="1" x14ac:dyDescent="0.3">
      <c r="A92" s="422"/>
      <c r="B92" s="475"/>
      <c r="C92" s="463"/>
      <c r="D92" s="412"/>
      <c r="E92" s="413"/>
      <c r="F92" s="415"/>
      <c r="G92" s="700"/>
      <c r="H92" s="709"/>
      <c r="I92" s="709"/>
      <c r="J92" s="709"/>
      <c r="K92" s="709"/>
      <c r="L92" s="709"/>
      <c r="M92" s="709"/>
      <c r="N92" s="414"/>
      <c r="O92" s="422"/>
      <c r="P92" s="422"/>
      <c r="Q92" s="422"/>
      <c r="R92" s="469"/>
      <c r="S92" s="422"/>
      <c r="T92" s="422"/>
      <c r="U92" s="422"/>
      <c r="V92" s="422"/>
      <c r="W92" s="422"/>
      <c r="X92" s="422"/>
      <c r="Y92" s="422"/>
      <c r="Z92" s="422"/>
      <c r="AA92" s="422"/>
      <c r="AB92" s="422"/>
      <c r="AC92" s="422"/>
      <c r="AD92" s="422"/>
      <c r="AE92" s="422"/>
      <c r="AF92" s="422"/>
      <c r="AG92" s="422"/>
      <c r="AH92" s="422"/>
      <c r="AI92" s="422"/>
      <c r="AJ92" s="422"/>
      <c r="AK92" s="422"/>
      <c r="AL92" s="422"/>
      <c r="AM92" s="422"/>
      <c r="AN92" s="422"/>
      <c r="AO92" s="422"/>
      <c r="AP92" s="422"/>
      <c r="AQ92" s="422"/>
      <c r="AR92" s="422"/>
      <c r="AS92" s="422"/>
      <c r="AT92" s="422"/>
      <c r="AU92" s="422"/>
      <c r="AV92" s="422"/>
      <c r="AW92" s="422"/>
      <c r="AX92" s="422"/>
      <c r="AY92" s="422"/>
      <c r="AZ92" s="422"/>
    </row>
    <row r="93" spans="1:52" s="397" customFormat="1" ht="14.25" customHeight="1" x14ac:dyDescent="0.3">
      <c r="A93" s="422"/>
      <c r="B93" s="476" t="str">
        <f>+Inputs!$B$6&amp;" ("&amp;Inputs!O$4&amp;")"</f>
        <v>Revenue (Sales) (2022)</v>
      </c>
      <c r="C93" s="477"/>
      <c r="D93" s="478">
        <f>+_xlfn.XLOOKUP("Revenue (Sales)",Inputs!$B:$B,Inputs!O:O)</f>
        <v>0</v>
      </c>
      <c r="E93" s="479"/>
      <c r="F93" s="480"/>
      <c r="G93" s="701"/>
      <c r="H93" s="710"/>
      <c r="I93" s="710"/>
      <c r="J93" s="710"/>
      <c r="K93" s="710"/>
      <c r="L93" s="710"/>
      <c r="M93" s="710"/>
      <c r="N93" s="481"/>
      <c r="O93" s="422"/>
      <c r="P93" s="422"/>
      <c r="Q93" s="422"/>
      <c r="R93" s="469"/>
      <c r="S93" s="422"/>
      <c r="T93" s="422"/>
      <c r="U93" s="422"/>
      <c r="V93" s="422"/>
      <c r="W93" s="422"/>
      <c r="X93" s="422"/>
      <c r="Y93" s="422"/>
      <c r="Z93" s="422"/>
      <c r="AA93" s="422"/>
      <c r="AB93" s="422"/>
      <c r="AC93" s="422"/>
      <c r="AD93" s="422"/>
      <c r="AE93" s="422"/>
      <c r="AF93" s="422"/>
      <c r="AG93" s="422"/>
      <c r="AH93" s="422"/>
      <c r="AI93" s="422"/>
      <c r="AJ93" s="422"/>
      <c r="AK93" s="422"/>
      <c r="AL93" s="422"/>
      <c r="AM93" s="422"/>
      <c r="AN93" s="422"/>
      <c r="AO93" s="422"/>
      <c r="AP93" s="422"/>
      <c r="AQ93" s="422"/>
      <c r="AR93" s="422"/>
      <c r="AS93" s="422"/>
      <c r="AT93" s="422"/>
      <c r="AU93" s="422"/>
      <c r="AV93" s="422"/>
      <c r="AW93" s="422"/>
      <c r="AX93" s="422"/>
      <c r="AY93" s="422"/>
      <c r="AZ93" s="422"/>
    </row>
    <row r="94" spans="1:52" s="397" customFormat="1" ht="14.25" customHeight="1" x14ac:dyDescent="0.3">
      <c r="A94" s="422"/>
      <c r="B94" s="482" t="str">
        <f>+Inputs!$B$6&amp;" ("&amp;Inputs!P$4&amp;")"</f>
        <v>Revenue (Sales) (2023)</v>
      </c>
      <c r="C94" s="422"/>
      <c r="D94" s="483">
        <f>+_xlfn.XLOOKUP("Revenue (Sales)",Inputs!$B:$B,Inputs!P:P)</f>
        <v>0</v>
      </c>
      <c r="E94" s="484"/>
      <c r="F94" s="485"/>
      <c r="G94" s="702"/>
      <c r="H94" s="711"/>
      <c r="I94" s="711"/>
      <c r="J94" s="711"/>
      <c r="K94" s="711"/>
      <c r="L94" s="711"/>
      <c r="M94" s="711"/>
      <c r="N94" s="486"/>
      <c r="O94" s="422"/>
      <c r="P94" s="422"/>
      <c r="Q94" s="422"/>
      <c r="R94" s="469"/>
      <c r="S94" s="422"/>
      <c r="T94" s="422"/>
      <c r="U94" s="422"/>
      <c r="V94" s="422"/>
      <c r="W94" s="422"/>
      <c r="X94" s="422"/>
      <c r="Y94" s="422"/>
      <c r="Z94" s="422"/>
      <c r="AA94" s="422"/>
      <c r="AB94" s="422"/>
      <c r="AC94" s="422"/>
      <c r="AD94" s="422"/>
      <c r="AE94" s="422"/>
      <c r="AF94" s="422"/>
      <c r="AG94" s="422"/>
      <c r="AH94" s="422"/>
      <c r="AI94" s="422"/>
      <c r="AJ94" s="422"/>
      <c r="AK94" s="422"/>
      <c r="AL94" s="422"/>
      <c r="AM94" s="422"/>
      <c r="AN94" s="422"/>
      <c r="AO94" s="422"/>
      <c r="AP94" s="422"/>
      <c r="AQ94" s="422"/>
      <c r="AR94" s="422"/>
      <c r="AS94" s="422"/>
      <c r="AT94" s="422"/>
      <c r="AU94" s="422"/>
      <c r="AV94" s="422"/>
      <c r="AW94" s="422"/>
      <c r="AX94" s="422"/>
      <c r="AY94" s="422"/>
      <c r="AZ94" s="422"/>
    </row>
    <row r="95" spans="1:52" s="397" customFormat="1" ht="14.25" customHeight="1" x14ac:dyDescent="0.3">
      <c r="A95" s="422"/>
      <c r="B95" s="482" t="s">
        <v>216</v>
      </c>
      <c r="C95" s="422"/>
      <c r="D95" s="483">
        <f>+_xlfn.XLOOKUP("EBITDA",Inputs!$B:$B,Inputs!P:P)</f>
        <v>0</v>
      </c>
      <c r="E95" s="484"/>
      <c r="F95" s="485"/>
      <c r="G95" s="702"/>
      <c r="H95" s="711"/>
      <c r="I95" s="711"/>
      <c r="J95" s="711"/>
      <c r="K95" s="711"/>
      <c r="L95" s="711"/>
      <c r="M95" s="711"/>
      <c r="N95" s="486"/>
      <c r="O95" s="422"/>
      <c r="P95" s="422"/>
      <c r="Q95" s="422"/>
      <c r="R95" s="469"/>
      <c r="S95" s="422"/>
      <c r="T95" s="422"/>
      <c r="U95" s="422"/>
      <c r="V95" s="422"/>
      <c r="W95" s="422"/>
      <c r="X95" s="422"/>
      <c r="Y95" s="422"/>
      <c r="Z95" s="422"/>
      <c r="AA95" s="422"/>
      <c r="AB95" s="422"/>
      <c r="AC95" s="422"/>
      <c r="AD95" s="422"/>
      <c r="AE95" s="422"/>
      <c r="AF95" s="422"/>
      <c r="AG95" s="422"/>
      <c r="AH95" s="422"/>
      <c r="AI95" s="422"/>
      <c r="AJ95" s="422"/>
      <c r="AK95" s="422"/>
      <c r="AL95" s="422"/>
      <c r="AM95" s="422"/>
      <c r="AN95" s="422"/>
      <c r="AO95" s="422"/>
      <c r="AP95" s="422"/>
      <c r="AQ95" s="422"/>
      <c r="AR95" s="422"/>
      <c r="AS95" s="422"/>
      <c r="AT95" s="422"/>
      <c r="AU95" s="422"/>
      <c r="AV95" s="422"/>
      <c r="AW95" s="422"/>
      <c r="AX95" s="422"/>
      <c r="AY95" s="422"/>
      <c r="AZ95" s="422"/>
    </row>
    <row r="96" spans="1:52" s="397" customFormat="1" ht="14.25" customHeight="1" x14ac:dyDescent="0.3">
      <c r="A96" s="422"/>
      <c r="B96" s="476" t="s">
        <v>217</v>
      </c>
      <c r="C96" s="477"/>
      <c r="D96" s="478">
        <f>+_xlfn.XLOOKUP("Net Income",Inputs!$B:$B,Inputs!P:P)</f>
        <v>0</v>
      </c>
      <c r="E96" s="479"/>
      <c r="F96" s="480"/>
      <c r="G96" s="701"/>
      <c r="H96" s="710"/>
      <c r="I96" s="710"/>
      <c r="J96" s="710"/>
      <c r="K96" s="710"/>
      <c r="L96" s="710"/>
      <c r="M96" s="710"/>
      <c r="N96" s="481"/>
      <c r="O96" s="422"/>
      <c r="P96" s="422"/>
      <c r="Q96" s="422"/>
      <c r="R96" s="469"/>
      <c r="S96" s="422"/>
      <c r="T96" s="422"/>
      <c r="U96" s="422"/>
      <c r="V96" s="422"/>
      <c r="W96" s="422"/>
      <c r="X96" s="422"/>
      <c r="Y96" s="422"/>
      <c r="Z96" s="422"/>
      <c r="AA96" s="422"/>
      <c r="AB96" s="422"/>
      <c r="AC96" s="422"/>
      <c r="AD96" s="422"/>
      <c r="AE96" s="422"/>
      <c r="AF96" s="422"/>
      <c r="AG96" s="422"/>
      <c r="AH96" s="422"/>
      <c r="AI96" s="422"/>
      <c r="AJ96" s="422"/>
      <c r="AK96" s="422"/>
      <c r="AL96" s="422"/>
      <c r="AM96" s="422"/>
      <c r="AN96" s="422"/>
      <c r="AO96" s="422"/>
      <c r="AP96" s="422"/>
      <c r="AQ96" s="422"/>
      <c r="AR96" s="422"/>
      <c r="AS96" s="422"/>
      <c r="AT96" s="422"/>
      <c r="AU96" s="422"/>
      <c r="AV96" s="422"/>
      <c r="AW96" s="422"/>
      <c r="AX96" s="422"/>
      <c r="AY96" s="422"/>
      <c r="AZ96" s="422"/>
    </row>
    <row r="97" spans="1:52" s="397" customFormat="1" ht="14.25" customHeight="1" x14ac:dyDescent="0.3">
      <c r="A97" s="422"/>
      <c r="B97" s="482" t="str">
        <f>+Inputs!$B$6&amp;" ("&amp;Inputs!Q$4&amp;")"</f>
        <v>Revenue (Sales) (2024)</v>
      </c>
      <c r="C97" s="422"/>
      <c r="D97" s="483">
        <f>+_xlfn.XLOOKUP("Revenue (Sales)",Inputs!$B:$B,Inputs!Q:Q)</f>
        <v>0</v>
      </c>
      <c r="E97" s="487"/>
      <c r="F97" s="485"/>
      <c r="G97" s="703"/>
      <c r="H97" s="696"/>
      <c r="I97" s="711"/>
      <c r="J97" s="711"/>
      <c r="K97" s="711"/>
      <c r="L97" s="711"/>
      <c r="M97" s="711"/>
      <c r="N97" s="486"/>
      <c r="O97" s="422"/>
      <c r="P97" s="422"/>
      <c r="Q97" s="422"/>
      <c r="R97" s="469"/>
      <c r="S97" s="422"/>
      <c r="T97" s="422"/>
      <c r="U97" s="422"/>
      <c r="V97" s="422"/>
      <c r="W97" s="422"/>
      <c r="X97" s="422"/>
      <c r="Y97" s="422"/>
      <c r="Z97" s="422"/>
      <c r="AA97" s="422"/>
      <c r="AB97" s="422"/>
      <c r="AC97" s="422"/>
      <c r="AD97" s="422"/>
      <c r="AE97" s="422"/>
      <c r="AF97" s="422"/>
      <c r="AG97" s="422"/>
      <c r="AH97" s="422"/>
      <c r="AI97" s="422"/>
      <c r="AJ97" s="422"/>
      <c r="AK97" s="422"/>
      <c r="AL97" s="422"/>
      <c r="AM97" s="422"/>
      <c r="AN97" s="422"/>
      <c r="AO97" s="422"/>
      <c r="AP97" s="422"/>
      <c r="AQ97" s="422"/>
      <c r="AR97" s="422"/>
      <c r="AS97" s="422"/>
      <c r="AT97" s="422"/>
      <c r="AU97" s="422"/>
      <c r="AV97" s="422"/>
      <c r="AW97" s="422"/>
      <c r="AX97" s="422"/>
      <c r="AY97" s="422"/>
      <c r="AZ97" s="422"/>
    </row>
    <row r="98" spans="1:52" s="397" customFormat="1" ht="14.25" customHeight="1" x14ac:dyDescent="0.3">
      <c r="A98" s="422"/>
      <c r="B98" s="488" t="s">
        <v>218</v>
      </c>
      <c r="C98" s="422"/>
      <c r="D98" s="483">
        <f>+_xlfn.XLOOKUP($B98,Inputs!$B:$B,Inputs!Q:Q)</f>
        <v>0</v>
      </c>
      <c r="E98" s="484"/>
      <c r="F98" s="485"/>
      <c r="G98" s="702"/>
      <c r="H98" s="711"/>
      <c r="I98" s="711"/>
      <c r="J98" s="711"/>
      <c r="K98" s="711"/>
      <c r="L98" s="711"/>
      <c r="M98" s="711"/>
      <c r="N98" s="486"/>
      <c r="O98" s="422"/>
      <c r="P98" s="422"/>
      <c r="Q98" s="422"/>
      <c r="R98" s="469"/>
      <c r="S98" s="422"/>
      <c r="T98" s="422"/>
      <c r="U98" s="422"/>
      <c r="V98" s="422"/>
      <c r="W98" s="422"/>
      <c r="X98" s="422"/>
      <c r="Y98" s="422"/>
      <c r="Z98" s="422"/>
      <c r="AA98" s="422"/>
      <c r="AB98" s="422"/>
      <c r="AC98" s="422"/>
      <c r="AD98" s="422"/>
      <c r="AE98" s="422"/>
      <c r="AF98" s="422"/>
      <c r="AG98" s="422"/>
      <c r="AH98" s="422"/>
      <c r="AI98" s="422"/>
      <c r="AJ98" s="422"/>
      <c r="AK98" s="422"/>
      <c r="AL98" s="422"/>
      <c r="AM98" s="422"/>
      <c r="AN98" s="422"/>
      <c r="AO98" s="422"/>
      <c r="AP98" s="422"/>
      <c r="AQ98" s="422"/>
      <c r="AR98" s="422"/>
      <c r="AS98" s="422"/>
      <c r="AT98" s="422"/>
      <c r="AU98" s="422"/>
      <c r="AV98" s="422"/>
      <c r="AW98" s="422"/>
      <c r="AX98" s="422"/>
      <c r="AY98" s="422"/>
      <c r="AZ98" s="422"/>
    </row>
    <row r="99" spans="1:52" s="397" customFormat="1" ht="14.25" customHeight="1" x14ac:dyDescent="0.3">
      <c r="A99" s="422"/>
      <c r="B99" s="489" t="s">
        <v>219</v>
      </c>
      <c r="C99" s="422"/>
      <c r="D99" s="483">
        <f>+_xlfn.XLOOKUP($B99,Inputs!$B:$B,Inputs!Q:Q)</f>
        <v>0</v>
      </c>
      <c r="E99" s="490">
        <f>+E97-E98</f>
        <v>0</v>
      </c>
      <c r="F99" s="491">
        <f>+F97-F98</f>
        <v>0</v>
      </c>
      <c r="G99" s="704">
        <f>G97-G98</f>
        <v>0</v>
      </c>
      <c r="H99" s="712">
        <f>+H97-H98</f>
        <v>0</v>
      </c>
      <c r="I99" s="715">
        <f>I97-I98</f>
        <v>0</v>
      </c>
      <c r="J99" s="715">
        <f>+J97-J98</f>
        <v>0</v>
      </c>
      <c r="K99" s="715">
        <f>+K97-K98</f>
        <v>0</v>
      </c>
      <c r="L99" s="715">
        <f>+L97-L98</f>
        <v>0</v>
      </c>
      <c r="M99" s="715">
        <f>+M97-M98</f>
        <v>0</v>
      </c>
      <c r="N99" s="492">
        <f>+N97-N98</f>
        <v>0</v>
      </c>
      <c r="O99" s="443"/>
      <c r="P99" s="443"/>
      <c r="Q99" s="443"/>
      <c r="R99" s="124"/>
      <c r="S99" s="422"/>
      <c r="T99" s="422"/>
      <c r="U99" s="422"/>
      <c r="V99" s="422"/>
      <c r="W99" s="422"/>
      <c r="X99" s="422"/>
      <c r="Y99" s="422"/>
      <c r="Z99" s="422"/>
      <c r="AA99" s="422"/>
      <c r="AB99" s="422"/>
      <c r="AC99" s="422"/>
      <c r="AD99" s="422"/>
      <c r="AE99" s="422"/>
      <c r="AF99" s="422"/>
      <c r="AG99" s="422"/>
      <c r="AH99" s="422"/>
      <c r="AI99" s="422"/>
      <c r="AJ99" s="422"/>
      <c r="AK99" s="422"/>
      <c r="AL99" s="422"/>
      <c r="AM99" s="422"/>
      <c r="AN99" s="422"/>
      <c r="AO99" s="422"/>
      <c r="AP99" s="422"/>
      <c r="AQ99" s="422"/>
      <c r="AR99" s="422"/>
      <c r="AS99" s="422"/>
      <c r="AT99" s="422"/>
      <c r="AU99" s="422"/>
      <c r="AV99" s="422"/>
      <c r="AW99" s="422"/>
      <c r="AX99" s="422"/>
      <c r="AY99" s="422"/>
      <c r="AZ99" s="422"/>
    </row>
    <row r="100" spans="1:52" s="397" customFormat="1" ht="14.25" customHeight="1" x14ac:dyDescent="0.3">
      <c r="A100" s="422"/>
      <c r="B100" s="488" t="s">
        <v>157</v>
      </c>
      <c r="C100" s="422"/>
      <c r="D100" s="483">
        <f>+_xlfn.XLOOKUP($B100,Inputs!$B:$B,Inputs!Q:Q)</f>
        <v>0</v>
      </c>
      <c r="E100" s="487"/>
      <c r="F100" s="493"/>
      <c r="G100" s="703"/>
      <c r="H100" s="696"/>
      <c r="I100" s="696"/>
      <c r="J100" s="696"/>
      <c r="K100" s="696"/>
      <c r="L100" s="696"/>
      <c r="M100" s="696"/>
      <c r="N100" s="486"/>
      <c r="O100" s="422"/>
      <c r="P100" s="422"/>
      <c r="Q100" s="422"/>
      <c r="R100" s="422"/>
      <c r="S100" s="422"/>
      <c r="T100" s="422"/>
      <c r="U100" s="422"/>
      <c r="V100" s="422"/>
      <c r="W100" s="422"/>
      <c r="X100" s="422"/>
      <c r="Y100" s="422"/>
      <c r="Z100" s="422"/>
      <c r="AA100" s="422"/>
      <c r="AB100" s="422"/>
      <c r="AC100" s="422"/>
      <c r="AD100" s="422"/>
      <c r="AE100" s="422"/>
      <c r="AF100" s="422"/>
      <c r="AG100" s="422"/>
      <c r="AH100" s="422"/>
      <c r="AI100" s="422"/>
      <c r="AJ100" s="422"/>
      <c r="AK100" s="422"/>
      <c r="AL100" s="422"/>
      <c r="AM100" s="422"/>
      <c r="AN100" s="422"/>
      <c r="AO100" s="422"/>
      <c r="AP100" s="422"/>
      <c r="AQ100" s="422"/>
      <c r="AR100" s="422"/>
      <c r="AS100" s="422"/>
      <c r="AT100" s="422"/>
      <c r="AU100" s="422"/>
      <c r="AV100" s="422"/>
      <c r="AW100" s="422"/>
      <c r="AX100" s="422"/>
      <c r="AY100" s="422"/>
      <c r="AZ100" s="422"/>
    </row>
    <row r="101" spans="1:52" s="397" customFormat="1" ht="14.25" customHeight="1" x14ac:dyDescent="0.3">
      <c r="A101" s="422"/>
      <c r="B101" s="488" t="s">
        <v>220</v>
      </c>
      <c r="C101" s="422"/>
      <c r="D101" s="483">
        <f>+_xlfn.XLOOKUP($B101,Inputs!$B:$B,Inputs!Q:Q)</f>
        <v>0</v>
      </c>
      <c r="E101" s="487"/>
      <c r="F101" s="493"/>
      <c r="G101" s="703"/>
      <c r="H101" s="696"/>
      <c r="I101" s="696"/>
      <c r="J101" s="696"/>
      <c r="K101" s="696"/>
      <c r="L101" s="696"/>
      <c r="M101" s="696"/>
      <c r="N101" s="486"/>
      <c r="O101" s="422"/>
      <c r="P101" s="422"/>
      <c r="Q101" s="422"/>
      <c r="R101" s="422"/>
      <c r="S101" s="422"/>
      <c r="T101" s="422"/>
      <c r="U101" s="422"/>
      <c r="V101" s="422"/>
      <c r="W101" s="422"/>
      <c r="X101" s="422"/>
      <c r="Y101" s="422"/>
      <c r="Z101" s="422"/>
      <c r="AA101" s="422"/>
      <c r="AB101" s="422"/>
      <c r="AC101" s="422"/>
      <c r="AD101" s="422"/>
      <c r="AE101" s="422"/>
      <c r="AF101" s="422"/>
      <c r="AG101" s="422"/>
      <c r="AH101" s="422"/>
      <c r="AI101" s="422"/>
      <c r="AJ101" s="422"/>
      <c r="AK101" s="422"/>
      <c r="AL101" s="422"/>
      <c r="AM101" s="422"/>
      <c r="AN101" s="422"/>
      <c r="AO101" s="422"/>
      <c r="AP101" s="422"/>
      <c r="AQ101" s="422"/>
      <c r="AR101" s="422"/>
      <c r="AS101" s="422"/>
      <c r="AT101" s="422"/>
      <c r="AU101" s="422"/>
      <c r="AV101" s="422"/>
      <c r="AW101" s="422"/>
      <c r="AX101" s="422"/>
      <c r="AY101" s="422"/>
      <c r="AZ101" s="422"/>
    </row>
    <row r="102" spans="1:52" s="397" customFormat="1" ht="14.25" customHeight="1" x14ac:dyDescent="0.3">
      <c r="A102" s="422"/>
      <c r="B102" s="488" t="s">
        <v>221</v>
      </c>
      <c r="C102" s="422"/>
      <c r="D102" s="483">
        <f>+_xlfn.XLOOKUP($B102,Inputs!$B:$B,Inputs!Q:Q)</f>
        <v>0</v>
      </c>
      <c r="E102" s="487"/>
      <c r="F102" s="493"/>
      <c r="G102" s="703"/>
      <c r="H102" s="696"/>
      <c r="I102" s="696"/>
      <c r="J102" s="696"/>
      <c r="K102" s="696"/>
      <c r="L102" s="716"/>
      <c r="M102" s="716"/>
      <c r="N102" s="494"/>
      <c r="O102" s="422"/>
      <c r="P102" s="422"/>
      <c r="Q102" s="422"/>
      <c r="R102" s="422"/>
      <c r="S102" s="422"/>
      <c r="T102" s="422"/>
      <c r="U102" s="422"/>
      <c r="V102" s="422"/>
      <c r="W102" s="422"/>
      <c r="X102" s="422"/>
      <c r="Y102" s="422"/>
      <c r="Z102" s="422"/>
      <c r="AA102" s="422"/>
      <c r="AB102" s="422"/>
      <c r="AC102" s="422"/>
      <c r="AD102" s="422"/>
      <c r="AE102" s="422"/>
      <c r="AF102" s="422"/>
      <c r="AG102" s="422"/>
      <c r="AH102" s="422"/>
      <c r="AI102" s="422"/>
      <c r="AJ102" s="422"/>
      <c r="AK102" s="422"/>
      <c r="AL102" s="422"/>
      <c r="AM102" s="422"/>
      <c r="AN102" s="422"/>
      <c r="AO102" s="422"/>
      <c r="AP102" s="422"/>
      <c r="AQ102" s="422"/>
      <c r="AR102" s="422"/>
      <c r="AS102" s="422"/>
      <c r="AT102" s="422"/>
      <c r="AU102" s="422"/>
      <c r="AV102" s="422"/>
      <c r="AW102" s="422"/>
      <c r="AX102" s="422"/>
      <c r="AY102" s="422"/>
      <c r="AZ102" s="422"/>
    </row>
    <row r="103" spans="1:52" s="397" customFormat="1" ht="14.25" customHeight="1" x14ac:dyDescent="0.3">
      <c r="A103" s="422"/>
      <c r="B103" s="488" t="s">
        <v>222</v>
      </c>
      <c r="C103" s="422"/>
      <c r="D103" s="483">
        <f>+_xlfn.XLOOKUP($B103,Inputs!$B:$B,Inputs!Q:Q)</f>
        <v>0</v>
      </c>
      <c r="E103" s="487"/>
      <c r="F103" s="493"/>
      <c r="G103" s="703"/>
      <c r="H103" s="696"/>
      <c r="I103" s="696"/>
      <c r="J103" s="696"/>
      <c r="K103" s="696"/>
      <c r="L103" s="696"/>
      <c r="M103" s="696"/>
      <c r="N103" s="486"/>
      <c r="O103" s="422"/>
      <c r="P103" s="422"/>
      <c r="Q103" s="422"/>
      <c r="R103" s="422"/>
      <c r="S103" s="422"/>
      <c r="T103" s="422"/>
      <c r="U103" s="422"/>
      <c r="V103" s="422"/>
      <c r="W103" s="422"/>
      <c r="X103" s="422"/>
      <c r="Y103" s="422"/>
      <c r="Z103" s="422"/>
      <c r="AA103" s="422"/>
      <c r="AB103" s="422"/>
      <c r="AC103" s="422"/>
      <c r="AD103" s="422"/>
      <c r="AE103" s="422"/>
      <c r="AF103" s="422"/>
      <c r="AG103" s="422"/>
      <c r="AH103" s="422"/>
      <c r="AI103" s="422"/>
      <c r="AJ103" s="422"/>
      <c r="AK103" s="422"/>
      <c r="AL103" s="422"/>
      <c r="AM103" s="422"/>
      <c r="AN103" s="422"/>
      <c r="AO103" s="422"/>
      <c r="AP103" s="422"/>
      <c r="AQ103" s="422"/>
      <c r="AR103" s="422"/>
      <c r="AS103" s="422"/>
      <c r="AT103" s="422"/>
      <c r="AU103" s="422"/>
      <c r="AV103" s="422"/>
      <c r="AW103" s="422"/>
      <c r="AX103" s="422"/>
      <c r="AY103" s="422"/>
      <c r="AZ103" s="422"/>
    </row>
    <row r="104" spans="1:52" s="397" customFormat="1" ht="14.25" customHeight="1" x14ac:dyDescent="0.3">
      <c r="A104" s="422"/>
      <c r="B104" s="488" t="s">
        <v>223</v>
      </c>
      <c r="C104" s="422"/>
      <c r="D104" s="483">
        <f>+_xlfn.XLOOKUP($B104,Inputs!$B:$B,Inputs!Q:Q)</f>
        <v>0</v>
      </c>
      <c r="E104" s="487"/>
      <c r="F104" s="493"/>
      <c r="G104" s="703"/>
      <c r="H104" s="696"/>
      <c r="I104" s="696"/>
      <c r="J104" s="696"/>
      <c r="K104" s="696"/>
      <c r="L104" s="696"/>
      <c r="M104" s="696"/>
      <c r="N104" s="486"/>
      <c r="O104" s="422"/>
      <c r="P104" s="422"/>
      <c r="Q104" s="422"/>
      <c r="R104" s="422"/>
      <c r="S104" s="422"/>
      <c r="T104" s="422"/>
      <c r="U104" s="422"/>
      <c r="V104" s="422"/>
      <c r="W104" s="422"/>
      <c r="X104" s="422"/>
      <c r="Y104" s="422"/>
      <c r="Z104" s="422"/>
      <c r="AA104" s="422"/>
      <c r="AB104" s="422"/>
      <c r="AC104" s="422"/>
      <c r="AD104" s="422"/>
      <c r="AE104" s="422"/>
      <c r="AF104" s="422"/>
      <c r="AG104" s="422"/>
      <c r="AH104" s="422"/>
      <c r="AI104" s="422"/>
      <c r="AJ104" s="422"/>
      <c r="AK104" s="422"/>
      <c r="AL104" s="422"/>
      <c r="AM104" s="422"/>
      <c r="AN104" s="422"/>
      <c r="AO104" s="422"/>
      <c r="AP104" s="422"/>
      <c r="AQ104" s="422"/>
      <c r="AR104" s="422"/>
      <c r="AS104" s="422"/>
      <c r="AT104" s="422"/>
      <c r="AU104" s="422"/>
      <c r="AV104" s="422"/>
      <c r="AW104" s="422"/>
      <c r="AX104" s="422"/>
      <c r="AY104" s="422"/>
      <c r="AZ104" s="422"/>
    </row>
    <row r="105" spans="1:52" s="397" customFormat="1" ht="14.25" customHeight="1" x14ac:dyDescent="0.3">
      <c r="A105" s="422"/>
      <c r="B105" s="488" t="s">
        <v>224</v>
      </c>
      <c r="C105" s="422"/>
      <c r="D105" s="483">
        <f>+_xlfn.XLOOKUP($B105,Inputs!$B:$B,Inputs!Q:Q)</f>
        <v>0</v>
      </c>
      <c r="E105" s="487"/>
      <c r="F105" s="493"/>
      <c r="G105" s="703"/>
      <c r="H105" s="696"/>
      <c r="I105" s="696"/>
      <c r="J105" s="696"/>
      <c r="K105" s="696"/>
      <c r="L105" s="696"/>
      <c r="M105" s="696"/>
      <c r="N105" s="486"/>
      <c r="O105" s="422"/>
      <c r="P105" s="422"/>
      <c r="Q105" s="422"/>
      <c r="R105" s="422"/>
      <c r="S105" s="422"/>
      <c r="T105" s="422"/>
      <c r="U105" s="422"/>
      <c r="V105" s="422"/>
      <c r="W105" s="422"/>
      <c r="X105" s="422"/>
      <c r="Y105" s="422"/>
      <c r="Z105" s="422"/>
      <c r="AA105" s="422"/>
      <c r="AB105" s="422"/>
      <c r="AC105" s="422"/>
      <c r="AD105" s="422"/>
      <c r="AE105" s="422"/>
      <c r="AF105" s="422"/>
      <c r="AG105" s="422"/>
      <c r="AH105" s="422"/>
      <c r="AI105" s="422"/>
      <c r="AJ105" s="422"/>
      <c r="AK105" s="422"/>
      <c r="AL105" s="422"/>
      <c r="AM105" s="422"/>
      <c r="AN105" s="422"/>
      <c r="AO105" s="422"/>
      <c r="AP105" s="422"/>
      <c r="AQ105" s="422"/>
      <c r="AR105" s="422"/>
      <c r="AS105" s="422"/>
      <c r="AT105" s="422"/>
      <c r="AU105" s="422"/>
      <c r="AV105" s="422"/>
      <c r="AW105" s="422"/>
      <c r="AX105" s="422"/>
      <c r="AY105" s="422"/>
      <c r="AZ105" s="422"/>
    </row>
    <row r="106" spans="1:52" s="397" customFormat="1" ht="14.25" customHeight="1" x14ac:dyDescent="0.3">
      <c r="A106" s="422"/>
      <c r="B106" s="488" t="s">
        <v>225</v>
      </c>
      <c r="C106" s="422"/>
      <c r="D106" s="483">
        <f>+_xlfn.XLOOKUP($B106,Inputs!$B:$B,Inputs!Q:Q)</f>
        <v>0</v>
      </c>
      <c r="E106" s="495"/>
      <c r="F106" s="496"/>
      <c r="G106" s="705"/>
      <c r="H106" s="713"/>
      <c r="I106" s="713"/>
      <c r="J106" s="713"/>
      <c r="K106" s="713"/>
      <c r="L106" s="713"/>
      <c r="M106" s="713"/>
      <c r="N106" s="497"/>
      <c r="O106" s="422"/>
      <c r="P106" s="422"/>
      <c r="Q106" s="422"/>
      <c r="R106" s="422"/>
      <c r="S106" s="422"/>
      <c r="T106" s="422"/>
      <c r="U106" s="422"/>
      <c r="V106" s="422"/>
      <c r="W106" s="422"/>
      <c r="X106" s="422"/>
      <c r="Y106" s="422"/>
      <c r="Z106" s="422"/>
      <c r="AA106" s="422"/>
      <c r="AB106" s="422"/>
      <c r="AC106" s="422"/>
      <c r="AD106" s="422"/>
      <c r="AE106" s="422"/>
      <c r="AF106" s="422"/>
      <c r="AG106" s="422"/>
      <c r="AH106" s="422"/>
      <c r="AI106" s="422"/>
      <c r="AJ106" s="422"/>
      <c r="AK106" s="422"/>
      <c r="AL106" s="422"/>
      <c r="AM106" s="422"/>
      <c r="AN106" s="422"/>
      <c r="AO106" s="422"/>
      <c r="AP106" s="422"/>
      <c r="AQ106" s="422"/>
      <c r="AR106" s="422"/>
      <c r="AS106" s="422"/>
      <c r="AT106" s="422"/>
      <c r="AU106" s="422"/>
      <c r="AV106" s="422"/>
      <c r="AW106" s="422"/>
      <c r="AX106" s="422"/>
      <c r="AY106" s="422"/>
      <c r="AZ106" s="422"/>
    </row>
    <row r="107" spans="1:52" s="397" customFormat="1" ht="14.25" customHeight="1" x14ac:dyDescent="0.3">
      <c r="A107" s="422"/>
      <c r="B107" s="488" t="s">
        <v>226</v>
      </c>
      <c r="C107" s="422"/>
      <c r="D107" s="483">
        <f>+_xlfn.XLOOKUP($B107,Inputs!$B:$B,Inputs!Q:Q)</f>
        <v>0</v>
      </c>
      <c r="E107" s="487"/>
      <c r="F107" s="493"/>
      <c r="G107" s="703"/>
      <c r="H107" s="696"/>
      <c r="I107" s="696"/>
      <c r="J107" s="696"/>
      <c r="K107" s="696"/>
      <c r="L107" s="696"/>
      <c r="M107" s="696"/>
      <c r="N107" s="486"/>
      <c r="O107" s="422"/>
      <c r="P107" s="422"/>
      <c r="Q107" s="422"/>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422"/>
      <c r="AR107" s="422"/>
      <c r="AS107" s="422"/>
      <c r="AT107" s="422"/>
      <c r="AU107" s="422"/>
      <c r="AV107" s="422"/>
      <c r="AW107" s="422"/>
      <c r="AX107" s="422"/>
      <c r="AY107" s="422"/>
      <c r="AZ107" s="422"/>
    </row>
    <row r="108" spans="1:52" s="397" customFormat="1" ht="3.75" customHeight="1" x14ac:dyDescent="0.3">
      <c r="A108" s="422"/>
      <c r="B108" s="488"/>
      <c r="C108" s="422"/>
      <c r="D108" s="498"/>
      <c r="E108" s="499"/>
      <c r="F108" s="500"/>
      <c r="G108" s="706"/>
      <c r="H108" s="714"/>
      <c r="I108" s="714"/>
      <c r="J108" s="714"/>
      <c r="K108" s="714"/>
      <c r="L108" s="714"/>
      <c r="M108" s="714"/>
      <c r="N108" s="466"/>
      <c r="O108" s="422"/>
      <c r="P108" s="422"/>
      <c r="Q108" s="422"/>
      <c r="R108" s="422"/>
      <c r="S108" s="422"/>
      <c r="T108" s="422"/>
      <c r="U108" s="422"/>
      <c r="V108" s="422"/>
      <c r="W108" s="422"/>
      <c r="X108" s="422"/>
      <c r="Y108" s="422"/>
      <c r="Z108" s="422"/>
      <c r="AA108" s="422"/>
      <c r="AB108" s="422"/>
      <c r="AC108" s="422"/>
      <c r="AD108" s="422"/>
      <c r="AE108" s="422"/>
      <c r="AF108" s="422"/>
      <c r="AG108" s="422"/>
      <c r="AH108" s="422"/>
      <c r="AI108" s="422"/>
      <c r="AJ108" s="422"/>
      <c r="AK108" s="422"/>
      <c r="AL108" s="422"/>
      <c r="AM108" s="422"/>
      <c r="AN108" s="422"/>
      <c r="AO108" s="422"/>
      <c r="AP108" s="422"/>
      <c r="AQ108" s="422"/>
      <c r="AR108" s="422"/>
      <c r="AS108" s="422"/>
      <c r="AT108" s="422"/>
      <c r="AU108" s="422"/>
      <c r="AV108" s="422"/>
      <c r="AW108" s="422"/>
      <c r="AX108" s="422"/>
      <c r="AY108" s="422"/>
      <c r="AZ108" s="422"/>
    </row>
    <row r="109" spans="1:52" s="397" customFormat="1" ht="14.25" customHeight="1" x14ac:dyDescent="0.3">
      <c r="A109" s="422"/>
      <c r="B109" s="474" t="s">
        <v>227</v>
      </c>
      <c r="C109" s="459"/>
      <c r="D109" s="501"/>
      <c r="E109" s="502"/>
      <c r="F109" s="503"/>
      <c r="G109" s="707"/>
      <c r="H109" s="697"/>
      <c r="I109" s="697"/>
      <c r="J109" s="697"/>
      <c r="K109" s="697"/>
      <c r="L109" s="697"/>
      <c r="M109" s="697"/>
      <c r="N109" s="504"/>
      <c r="O109" s="422"/>
      <c r="P109" s="422"/>
      <c r="Q109" s="422"/>
      <c r="R109" s="422"/>
      <c r="S109" s="422"/>
      <c r="T109" s="422"/>
      <c r="U109" s="422"/>
      <c r="V109" s="422"/>
      <c r="W109" s="422"/>
      <c r="X109" s="422"/>
      <c r="Y109" s="422"/>
      <c r="Z109" s="422"/>
      <c r="AA109" s="422"/>
      <c r="AB109" s="422"/>
      <c r="AC109" s="422"/>
      <c r="AD109" s="422"/>
      <c r="AE109" s="422"/>
      <c r="AF109" s="422"/>
      <c r="AG109" s="422"/>
      <c r="AH109" s="422"/>
      <c r="AI109" s="422"/>
      <c r="AJ109" s="422"/>
      <c r="AK109" s="422"/>
      <c r="AL109" s="422"/>
      <c r="AM109" s="422"/>
      <c r="AN109" s="422"/>
      <c r="AO109" s="422"/>
      <c r="AP109" s="422"/>
      <c r="AQ109" s="422"/>
      <c r="AR109" s="422"/>
      <c r="AS109" s="422"/>
      <c r="AT109" s="422"/>
      <c r="AU109" s="422"/>
      <c r="AV109" s="422"/>
      <c r="AW109" s="422"/>
      <c r="AX109" s="422"/>
      <c r="AY109" s="422"/>
      <c r="AZ109" s="422"/>
    </row>
    <row r="110" spans="1:52" s="397" customFormat="1" ht="3.75" customHeight="1" x14ac:dyDescent="0.3">
      <c r="A110" s="422"/>
      <c r="B110" s="475"/>
      <c r="C110" s="463"/>
      <c r="D110" s="505"/>
      <c r="E110" s="506"/>
      <c r="F110" s="507"/>
      <c r="G110" s="695"/>
      <c r="H110" s="698"/>
      <c r="I110" s="698"/>
      <c r="J110" s="698"/>
      <c r="K110" s="698"/>
      <c r="L110" s="698"/>
      <c r="M110" s="698"/>
      <c r="N110" s="468"/>
      <c r="O110" s="422"/>
      <c r="P110" s="422"/>
      <c r="Q110" s="422"/>
      <c r="R110" s="422"/>
      <c r="S110" s="422"/>
      <c r="T110" s="422"/>
      <c r="U110" s="422"/>
      <c r="V110" s="422"/>
      <c r="W110" s="422"/>
      <c r="X110" s="422"/>
      <c r="Y110" s="422"/>
      <c r="Z110" s="422"/>
      <c r="AA110" s="422"/>
      <c r="AB110" s="422"/>
      <c r="AC110" s="422"/>
      <c r="AD110" s="422"/>
      <c r="AE110" s="422"/>
      <c r="AF110" s="422"/>
      <c r="AG110" s="422"/>
      <c r="AH110" s="422"/>
      <c r="AI110" s="422"/>
      <c r="AJ110" s="422"/>
      <c r="AK110" s="422"/>
      <c r="AL110" s="422"/>
      <c r="AM110" s="422"/>
      <c r="AN110" s="422"/>
      <c r="AO110" s="422"/>
      <c r="AP110" s="422"/>
      <c r="AQ110" s="422"/>
      <c r="AR110" s="422"/>
      <c r="AS110" s="422"/>
      <c r="AT110" s="422"/>
      <c r="AU110" s="422"/>
      <c r="AV110" s="422"/>
      <c r="AW110" s="422"/>
      <c r="AX110" s="422"/>
      <c r="AY110" s="422"/>
      <c r="AZ110" s="422"/>
    </row>
    <row r="111" spans="1:52" s="397" customFormat="1" ht="14.25" customHeight="1" x14ac:dyDescent="0.3">
      <c r="A111" s="422"/>
      <c r="B111" s="488" t="s">
        <v>228</v>
      </c>
      <c r="C111" s="422"/>
      <c r="D111" s="483">
        <f>+_xlfn.XLOOKUP($B111,Inputs!$B:$B,Inputs!Q:Q)</f>
        <v>0</v>
      </c>
      <c r="E111" s="487"/>
      <c r="F111" s="493"/>
      <c r="G111" s="703"/>
      <c r="H111" s="696"/>
      <c r="I111" s="696"/>
      <c r="J111" s="696"/>
      <c r="K111" s="696"/>
      <c r="L111" s="696"/>
      <c r="M111" s="696"/>
      <c r="N111" s="486"/>
      <c r="O111" s="422"/>
      <c r="P111" s="422"/>
      <c r="Q111" s="422"/>
      <c r="R111" s="422"/>
      <c r="S111" s="422"/>
      <c r="T111" s="422"/>
      <c r="U111" s="422"/>
      <c r="V111" s="422"/>
      <c r="W111" s="422"/>
      <c r="X111" s="422"/>
      <c r="Y111" s="422"/>
      <c r="Z111" s="422"/>
      <c r="AA111" s="422"/>
      <c r="AB111" s="422"/>
      <c r="AC111" s="422"/>
      <c r="AD111" s="422"/>
      <c r="AE111" s="422"/>
      <c r="AF111" s="422"/>
      <c r="AG111" s="422"/>
      <c r="AH111" s="422"/>
      <c r="AI111" s="422"/>
      <c r="AJ111" s="422"/>
      <c r="AK111" s="422"/>
      <c r="AL111" s="422"/>
      <c r="AM111" s="422"/>
      <c r="AN111" s="422"/>
      <c r="AO111" s="422"/>
      <c r="AP111" s="422"/>
      <c r="AQ111" s="422"/>
      <c r="AR111" s="422"/>
      <c r="AS111" s="422"/>
      <c r="AT111" s="422"/>
      <c r="AU111" s="422"/>
      <c r="AV111" s="422"/>
      <c r="AW111" s="422"/>
      <c r="AX111" s="422"/>
      <c r="AY111" s="422"/>
      <c r="AZ111" s="422"/>
    </row>
    <row r="112" spans="1:52" s="397" customFormat="1" ht="14.25" customHeight="1" x14ac:dyDescent="0.3">
      <c r="A112" s="422"/>
      <c r="B112" s="488" t="s">
        <v>229</v>
      </c>
      <c r="C112" s="422"/>
      <c r="D112" s="483">
        <f>+_xlfn.XLOOKUP($B112,Inputs!$B:$B,Inputs!Q:Q)</f>
        <v>0</v>
      </c>
      <c r="E112" s="487"/>
      <c r="F112" s="493"/>
      <c r="G112" s="703"/>
      <c r="H112" s="696"/>
      <c r="I112" s="696"/>
      <c r="J112" s="696"/>
      <c r="K112" s="696"/>
      <c r="L112" s="696"/>
      <c r="M112" s="696"/>
      <c r="N112" s="486"/>
      <c r="O112" s="422"/>
      <c r="P112" s="422"/>
      <c r="Q112" s="422"/>
      <c r="R112" s="422"/>
      <c r="S112" s="422"/>
      <c r="T112" s="422"/>
      <c r="U112" s="422"/>
      <c r="V112" s="422"/>
      <c r="W112" s="422"/>
      <c r="X112" s="422"/>
      <c r="Y112" s="422"/>
      <c r="Z112" s="422"/>
      <c r="AA112" s="422"/>
      <c r="AB112" s="422"/>
      <c r="AC112" s="422"/>
      <c r="AD112" s="422"/>
      <c r="AE112" s="422"/>
      <c r="AF112" s="422"/>
      <c r="AG112" s="422"/>
      <c r="AH112" s="422"/>
      <c r="AI112" s="422"/>
      <c r="AJ112" s="422"/>
      <c r="AK112" s="422"/>
      <c r="AL112" s="422"/>
      <c r="AM112" s="422"/>
      <c r="AN112" s="422"/>
      <c r="AO112" s="422"/>
      <c r="AP112" s="422"/>
      <c r="AQ112" s="422"/>
      <c r="AR112" s="422"/>
      <c r="AS112" s="422"/>
      <c r="AT112" s="422"/>
      <c r="AU112" s="422"/>
      <c r="AV112" s="422"/>
      <c r="AW112" s="422"/>
      <c r="AX112" s="422"/>
      <c r="AY112" s="422"/>
      <c r="AZ112" s="422"/>
    </row>
    <row r="113" spans="1:52" s="397" customFormat="1" ht="14.25" customHeight="1" x14ac:dyDescent="0.3">
      <c r="A113" s="422"/>
      <c r="B113" s="488" t="s">
        <v>230</v>
      </c>
      <c r="C113" s="422"/>
      <c r="D113" s="483">
        <f>+_xlfn.XLOOKUP("Inventory",Inputs!$B:$B,Inputs!P:P)</f>
        <v>0</v>
      </c>
      <c r="E113" s="487"/>
      <c r="F113" s="493"/>
      <c r="G113" s="703"/>
      <c r="H113" s="696"/>
      <c r="I113" s="696"/>
      <c r="J113" s="696"/>
      <c r="K113" s="696"/>
      <c r="L113" s="696"/>
      <c r="M113" s="696"/>
      <c r="N113" s="486"/>
      <c r="O113" s="422"/>
      <c r="P113" s="422"/>
      <c r="Q113" s="422"/>
      <c r="R113" s="422"/>
      <c r="S113" s="422"/>
      <c r="T113" s="422"/>
      <c r="U113" s="422"/>
      <c r="V113" s="422"/>
      <c r="W113" s="422"/>
      <c r="X113" s="422"/>
      <c r="Y113" s="422"/>
      <c r="Z113" s="422"/>
      <c r="AA113" s="422"/>
      <c r="AB113" s="422"/>
      <c r="AC113" s="422"/>
      <c r="AD113" s="422"/>
      <c r="AE113" s="422"/>
      <c r="AF113" s="422"/>
      <c r="AG113" s="422"/>
      <c r="AH113" s="422"/>
      <c r="AI113" s="422"/>
      <c r="AJ113" s="422"/>
      <c r="AK113" s="422"/>
      <c r="AL113" s="422"/>
      <c r="AM113" s="422"/>
      <c r="AN113" s="422"/>
      <c r="AO113" s="422"/>
      <c r="AP113" s="422"/>
      <c r="AQ113" s="422"/>
      <c r="AR113" s="422"/>
      <c r="AS113" s="422"/>
      <c r="AT113" s="422"/>
      <c r="AU113" s="422"/>
      <c r="AV113" s="422"/>
      <c r="AW113" s="422"/>
      <c r="AX113" s="422"/>
      <c r="AY113" s="422"/>
      <c r="AZ113" s="422"/>
    </row>
    <row r="114" spans="1:52" s="397" customFormat="1" ht="14.25" customHeight="1" x14ac:dyDescent="0.3">
      <c r="A114" s="422"/>
      <c r="B114" s="488" t="s">
        <v>231</v>
      </c>
      <c r="C114" s="422"/>
      <c r="D114" s="483">
        <f>+_xlfn.XLOOKUP("Inventory",Inputs!$B:$B,Inputs!Q:Q)</f>
        <v>0</v>
      </c>
      <c r="E114" s="487"/>
      <c r="F114" s="493"/>
      <c r="G114" s="703"/>
      <c r="H114" s="696"/>
      <c r="I114" s="696"/>
      <c r="J114" s="696"/>
      <c r="K114" s="696"/>
      <c r="L114" s="696"/>
      <c r="M114" s="696"/>
      <c r="N114" s="486"/>
      <c r="O114" s="422"/>
      <c r="P114" s="422"/>
      <c r="Q114" s="422"/>
      <c r="R114" s="422"/>
      <c r="S114" s="422"/>
      <c r="T114" s="422"/>
      <c r="U114" s="422"/>
      <c r="V114" s="422"/>
      <c r="W114" s="422"/>
      <c r="X114" s="422"/>
      <c r="Y114" s="422"/>
      <c r="Z114" s="422"/>
      <c r="AA114" s="422"/>
      <c r="AB114" s="422"/>
      <c r="AC114" s="422"/>
      <c r="AD114" s="422"/>
      <c r="AE114" s="422"/>
      <c r="AF114" s="422"/>
      <c r="AG114" s="422"/>
      <c r="AH114" s="422"/>
      <c r="AI114" s="422"/>
      <c r="AJ114" s="422"/>
      <c r="AK114" s="422"/>
      <c r="AL114" s="422"/>
      <c r="AM114" s="422"/>
      <c r="AN114" s="422"/>
      <c r="AO114" s="422"/>
      <c r="AP114" s="422"/>
      <c r="AQ114" s="422"/>
      <c r="AR114" s="422"/>
      <c r="AS114" s="422"/>
      <c r="AT114" s="422"/>
      <c r="AU114" s="422"/>
      <c r="AV114" s="422"/>
      <c r="AW114" s="422"/>
      <c r="AX114" s="422"/>
      <c r="AY114" s="422"/>
      <c r="AZ114" s="422"/>
    </row>
    <row r="115" spans="1:52" s="397" customFormat="1" ht="14.25" customHeight="1" x14ac:dyDescent="0.3">
      <c r="A115" s="422"/>
      <c r="B115" s="488" t="s">
        <v>232</v>
      </c>
      <c r="C115" s="422"/>
      <c r="D115" s="483">
        <f>+_xlfn.XLOOKUP($B115,Inputs!$B:$B,Inputs!Q:Q)</f>
        <v>0</v>
      </c>
      <c r="E115" s="487"/>
      <c r="F115" s="493"/>
      <c r="G115" s="703"/>
      <c r="H115" s="696"/>
      <c r="I115" s="696"/>
      <c r="J115" s="696"/>
      <c r="K115" s="696"/>
      <c r="L115" s="696"/>
      <c r="M115" s="696"/>
      <c r="N115" s="486"/>
      <c r="O115" s="422"/>
      <c r="P115" s="422"/>
      <c r="Q115" s="422"/>
      <c r="R115" s="422"/>
      <c r="S115" s="422"/>
      <c r="T115" s="422"/>
      <c r="U115" s="422"/>
      <c r="V115" s="422"/>
      <c r="W115" s="422"/>
      <c r="X115" s="422"/>
      <c r="Y115" s="422"/>
      <c r="Z115" s="422"/>
      <c r="AA115" s="422"/>
      <c r="AB115" s="422"/>
      <c r="AC115" s="422"/>
      <c r="AD115" s="422"/>
      <c r="AE115" s="422"/>
      <c r="AF115" s="422"/>
      <c r="AG115" s="422"/>
      <c r="AH115" s="422"/>
      <c r="AI115" s="422"/>
      <c r="AJ115" s="422"/>
      <c r="AK115" s="422"/>
      <c r="AL115" s="422"/>
      <c r="AM115" s="422"/>
      <c r="AN115" s="422"/>
      <c r="AO115" s="422"/>
      <c r="AP115" s="422"/>
      <c r="AQ115" s="422"/>
      <c r="AR115" s="422"/>
      <c r="AS115" s="422"/>
      <c r="AT115" s="422"/>
      <c r="AU115" s="422"/>
      <c r="AV115" s="422"/>
      <c r="AW115" s="422"/>
      <c r="AX115" s="422"/>
      <c r="AY115" s="422"/>
      <c r="AZ115" s="422"/>
    </row>
    <row r="116" spans="1:52" s="397" customFormat="1" ht="14.25" customHeight="1" x14ac:dyDescent="0.3">
      <c r="A116" s="422"/>
      <c r="B116" s="488" t="s">
        <v>233</v>
      </c>
      <c r="C116" s="422"/>
      <c r="D116" s="483">
        <f>+_xlfn.XLOOKUP($B116,Inputs!$B:$B,Inputs!Q:Q)</f>
        <v>0</v>
      </c>
      <c r="E116" s="487"/>
      <c r="F116" s="493"/>
      <c r="G116" s="703"/>
      <c r="H116" s="696"/>
      <c r="I116" s="696"/>
      <c r="J116" s="696"/>
      <c r="K116" s="696"/>
      <c r="L116" s="696"/>
      <c r="M116" s="696"/>
      <c r="N116" s="486"/>
      <c r="O116" s="422"/>
      <c r="P116" s="422"/>
      <c r="Q116" s="422"/>
      <c r="R116" s="422"/>
      <c r="S116" s="422"/>
      <c r="T116" s="422"/>
      <c r="U116" s="422"/>
      <c r="V116" s="422"/>
      <c r="W116" s="422"/>
      <c r="X116" s="422"/>
      <c r="Y116" s="422"/>
      <c r="Z116" s="422"/>
      <c r="AA116" s="422"/>
      <c r="AB116" s="422"/>
      <c r="AC116" s="422"/>
      <c r="AD116" s="422"/>
      <c r="AE116" s="422"/>
      <c r="AF116" s="422"/>
      <c r="AG116" s="422"/>
      <c r="AH116" s="422"/>
      <c r="AI116" s="422"/>
      <c r="AJ116" s="422"/>
      <c r="AK116" s="422"/>
      <c r="AL116" s="422"/>
      <c r="AM116" s="422"/>
      <c r="AN116" s="422"/>
      <c r="AO116" s="422"/>
      <c r="AP116" s="422"/>
      <c r="AQ116" s="422"/>
      <c r="AR116" s="422"/>
      <c r="AS116" s="422"/>
      <c r="AT116" s="422"/>
      <c r="AU116" s="422"/>
      <c r="AV116" s="422"/>
      <c r="AW116" s="422"/>
      <c r="AX116" s="422"/>
      <c r="AY116" s="422"/>
      <c r="AZ116" s="422"/>
    </row>
    <row r="117" spans="1:52" s="397" customFormat="1" ht="14.25" customHeight="1" x14ac:dyDescent="0.3">
      <c r="A117" s="422"/>
      <c r="B117" s="488" t="s">
        <v>234</v>
      </c>
      <c r="C117" s="508"/>
      <c r="D117" s="509">
        <f>+_xlfn.XLOOKUP($B117,Inputs!$B:$B,Inputs!Q:Q)</f>
        <v>0</v>
      </c>
      <c r="E117" s="487"/>
      <c r="F117" s="487"/>
      <c r="G117" s="703"/>
      <c r="H117" s="696"/>
      <c r="I117" s="696"/>
      <c r="J117" s="696"/>
      <c r="K117" s="696"/>
      <c r="L117" s="696"/>
      <c r="M117" s="696"/>
      <c r="N117" s="486"/>
      <c r="O117" s="422"/>
      <c r="P117" s="422"/>
      <c r="Q117" s="422"/>
      <c r="R117" s="422"/>
      <c r="S117" s="422"/>
      <c r="T117" s="422"/>
      <c r="U117" s="422"/>
      <c r="V117" s="422"/>
      <c r="W117" s="422"/>
      <c r="X117" s="422"/>
      <c r="Y117" s="422"/>
      <c r="Z117" s="422"/>
      <c r="AA117" s="422"/>
      <c r="AB117" s="422"/>
      <c r="AC117" s="422"/>
      <c r="AD117" s="422"/>
      <c r="AE117" s="422"/>
      <c r="AF117" s="422"/>
      <c r="AG117" s="422"/>
      <c r="AH117" s="422"/>
      <c r="AI117" s="422"/>
      <c r="AJ117" s="422"/>
      <c r="AK117" s="422"/>
      <c r="AL117" s="422"/>
      <c r="AM117" s="422"/>
      <c r="AN117" s="422"/>
      <c r="AO117" s="422"/>
      <c r="AP117" s="422"/>
      <c r="AQ117" s="422"/>
      <c r="AR117" s="422"/>
      <c r="AS117" s="422"/>
      <c r="AT117" s="422"/>
      <c r="AU117" s="422"/>
      <c r="AV117" s="422"/>
      <c r="AW117" s="422"/>
      <c r="AX117" s="422"/>
      <c r="AY117" s="422"/>
      <c r="AZ117" s="422"/>
    </row>
    <row r="118" spans="1:52" s="397" customFormat="1" ht="14.25" customHeight="1" x14ac:dyDescent="0.3">
      <c r="A118" s="422"/>
      <c r="B118" s="488" t="s">
        <v>235</v>
      </c>
      <c r="C118" s="422"/>
      <c r="D118" s="483">
        <f>+_xlfn.XLOOKUP($B118,Inputs!$B:$B,Inputs!Q:Q)</f>
        <v>0</v>
      </c>
      <c r="E118" s="487"/>
      <c r="F118" s="493"/>
      <c r="G118" s="703"/>
      <c r="H118" s="696"/>
      <c r="I118" s="696"/>
      <c r="J118" s="696"/>
      <c r="K118" s="696"/>
      <c r="L118" s="696"/>
      <c r="M118" s="696"/>
      <c r="N118" s="486"/>
      <c r="O118" s="422"/>
      <c r="P118" s="422"/>
      <c r="Q118" s="422"/>
      <c r="R118" s="422"/>
      <c r="S118" s="422"/>
      <c r="T118" s="422"/>
      <c r="U118" s="422"/>
      <c r="V118" s="422"/>
      <c r="W118" s="422"/>
      <c r="X118" s="422"/>
      <c r="Y118" s="422"/>
      <c r="Z118" s="422"/>
      <c r="AA118" s="422"/>
      <c r="AB118" s="422"/>
      <c r="AC118" s="422"/>
      <c r="AD118" s="422"/>
      <c r="AE118" s="422"/>
      <c r="AF118" s="422"/>
      <c r="AG118" s="422"/>
      <c r="AH118" s="422"/>
      <c r="AI118" s="422"/>
      <c r="AJ118" s="422"/>
      <c r="AK118" s="422"/>
      <c r="AL118" s="422"/>
      <c r="AM118" s="422"/>
      <c r="AN118" s="422"/>
      <c r="AO118" s="422"/>
      <c r="AP118" s="422"/>
      <c r="AQ118" s="422"/>
      <c r="AR118" s="422"/>
      <c r="AS118" s="422"/>
      <c r="AT118" s="422"/>
      <c r="AU118" s="422"/>
      <c r="AV118" s="422"/>
      <c r="AW118" s="422"/>
      <c r="AX118" s="422"/>
      <c r="AY118" s="422"/>
      <c r="AZ118" s="422"/>
    </row>
    <row r="119" spans="1:52" s="397" customFormat="1" ht="14.25" customHeight="1" x14ac:dyDescent="0.3">
      <c r="A119" s="422"/>
      <c r="B119" s="488" t="s">
        <v>236</v>
      </c>
      <c r="C119" s="422"/>
      <c r="D119" s="483">
        <f>+_xlfn.XLOOKUP($B119,Inputs!$B:$B,Inputs!Q:Q)</f>
        <v>0</v>
      </c>
      <c r="E119" s="487"/>
      <c r="F119" s="493"/>
      <c r="G119" s="703"/>
      <c r="H119" s="696"/>
      <c r="I119" s="696"/>
      <c r="J119" s="696"/>
      <c r="K119" s="696"/>
      <c r="L119" s="696"/>
      <c r="M119" s="696"/>
      <c r="N119" s="486"/>
      <c r="O119" s="422"/>
      <c r="P119" s="422"/>
      <c r="Q119" s="422"/>
      <c r="R119" s="422"/>
      <c r="S119" s="422"/>
      <c r="T119" s="422"/>
      <c r="U119" s="422"/>
      <c r="V119" s="422"/>
      <c r="W119" s="422"/>
      <c r="X119" s="422"/>
      <c r="Y119" s="422"/>
      <c r="Z119" s="422"/>
      <c r="AA119" s="422"/>
      <c r="AB119" s="422"/>
      <c r="AC119" s="422"/>
      <c r="AD119" s="422"/>
      <c r="AE119" s="422"/>
      <c r="AF119" s="422"/>
      <c r="AG119" s="422"/>
      <c r="AH119" s="422"/>
      <c r="AI119" s="422"/>
      <c r="AJ119" s="422"/>
      <c r="AK119" s="422"/>
      <c r="AL119" s="422"/>
      <c r="AM119" s="422"/>
      <c r="AN119" s="422"/>
      <c r="AO119" s="422"/>
      <c r="AP119" s="422"/>
      <c r="AQ119" s="422"/>
      <c r="AR119" s="422"/>
      <c r="AS119" s="422"/>
      <c r="AT119" s="422"/>
      <c r="AU119" s="422"/>
      <c r="AV119" s="422"/>
      <c r="AW119" s="422"/>
      <c r="AX119" s="422"/>
      <c r="AY119" s="422"/>
      <c r="AZ119" s="422"/>
    </row>
    <row r="120" spans="1:52" s="397" customFormat="1" ht="14.25" customHeight="1" x14ac:dyDescent="0.3">
      <c r="A120" s="422"/>
      <c r="B120" s="488" t="s">
        <v>237</v>
      </c>
      <c r="C120" s="422"/>
      <c r="D120" s="483">
        <f>+_xlfn.XLOOKUP($B120,Inputs!$B:$B,Inputs!Q:Q)</f>
        <v>0</v>
      </c>
      <c r="E120" s="487"/>
      <c r="F120" s="493"/>
      <c r="G120" s="703"/>
      <c r="H120" s="696"/>
      <c r="I120" s="696"/>
      <c r="J120" s="696"/>
      <c r="K120" s="696"/>
      <c r="L120" s="696"/>
      <c r="M120" s="696"/>
      <c r="N120" s="486"/>
      <c r="O120" s="422"/>
      <c r="P120" s="422"/>
      <c r="Q120" s="422"/>
      <c r="R120" s="422"/>
      <c r="S120" s="422"/>
      <c r="T120" s="422"/>
      <c r="U120" s="422"/>
      <c r="V120" s="422"/>
      <c r="W120" s="422"/>
      <c r="X120" s="422"/>
      <c r="Y120" s="422"/>
      <c r="Z120" s="422"/>
      <c r="AA120" s="422"/>
      <c r="AB120" s="422"/>
      <c r="AC120" s="422"/>
      <c r="AD120" s="422"/>
      <c r="AE120" s="422"/>
      <c r="AF120" s="422"/>
      <c r="AG120" s="422"/>
      <c r="AH120" s="422"/>
      <c r="AI120" s="422"/>
      <c r="AJ120" s="422"/>
      <c r="AK120" s="422"/>
      <c r="AL120" s="422"/>
      <c r="AM120" s="422"/>
      <c r="AN120" s="422"/>
      <c r="AO120" s="422"/>
      <c r="AP120" s="422"/>
      <c r="AQ120" s="422"/>
      <c r="AR120" s="422"/>
      <c r="AS120" s="422"/>
      <c r="AT120" s="422"/>
      <c r="AU120" s="422"/>
      <c r="AV120" s="422"/>
      <c r="AW120" s="422"/>
      <c r="AX120" s="422"/>
      <c r="AY120" s="422"/>
      <c r="AZ120" s="422"/>
    </row>
    <row r="121" spans="1:52" s="397" customFormat="1" ht="14.25" customHeight="1" x14ac:dyDescent="0.3">
      <c r="A121" s="422"/>
      <c r="B121" s="488" t="s">
        <v>238</v>
      </c>
      <c r="C121" s="422"/>
      <c r="D121" s="483">
        <f>+_xlfn.XLOOKUP($B121,Inputs!$B:$B,Inputs!Q:Q,,,-1)</f>
        <v>0</v>
      </c>
      <c r="E121" s="487"/>
      <c r="F121" s="493"/>
      <c r="G121" s="703"/>
      <c r="H121" s="696"/>
      <c r="I121" s="696"/>
      <c r="J121" s="696"/>
      <c r="K121" s="696"/>
      <c r="L121" s="696"/>
      <c r="M121" s="696"/>
      <c r="N121" s="486"/>
      <c r="O121" s="422"/>
      <c r="P121" s="422"/>
      <c r="Q121" s="422"/>
      <c r="R121" s="422"/>
      <c r="S121" s="422"/>
      <c r="T121" s="422"/>
      <c r="U121" s="422"/>
      <c r="V121" s="422"/>
      <c r="W121" s="422"/>
      <c r="X121" s="422"/>
      <c r="Y121" s="422"/>
      <c r="Z121" s="422"/>
      <c r="AA121" s="422"/>
      <c r="AB121" s="422"/>
      <c r="AC121" s="422"/>
      <c r="AD121" s="422"/>
      <c r="AE121" s="422"/>
      <c r="AF121" s="422"/>
      <c r="AG121" s="422"/>
      <c r="AH121" s="422"/>
      <c r="AI121" s="422"/>
      <c r="AJ121" s="422"/>
      <c r="AK121" s="422"/>
      <c r="AL121" s="422"/>
      <c r="AM121" s="422"/>
      <c r="AN121" s="422"/>
      <c r="AO121" s="422"/>
      <c r="AP121" s="422"/>
      <c r="AQ121" s="422"/>
      <c r="AR121" s="422"/>
      <c r="AS121" s="422"/>
      <c r="AT121" s="422"/>
      <c r="AU121" s="422"/>
      <c r="AV121" s="422"/>
      <c r="AW121" s="422"/>
      <c r="AX121" s="422"/>
      <c r="AY121" s="422"/>
      <c r="AZ121" s="422"/>
    </row>
    <row r="122" spans="1:52" s="397" customFormat="1" ht="14.25" customHeight="1" x14ac:dyDescent="0.3">
      <c r="A122" s="422"/>
      <c r="B122" s="488" t="s">
        <v>239</v>
      </c>
      <c r="C122" s="422"/>
      <c r="D122" s="483">
        <f>+_xlfn.XLOOKUP($B122,Inputs!$B:$B,Inputs!Q:Q)</f>
        <v>0</v>
      </c>
      <c r="E122" s="487"/>
      <c r="F122" s="493"/>
      <c r="G122" s="703"/>
      <c r="H122" s="696"/>
      <c r="I122" s="696"/>
      <c r="J122" s="696"/>
      <c r="K122" s="696"/>
      <c r="L122" s="696"/>
      <c r="M122" s="696"/>
      <c r="N122" s="486"/>
      <c r="O122" s="422"/>
      <c r="P122" s="422"/>
      <c r="Q122" s="422"/>
      <c r="R122" s="422"/>
      <c r="S122" s="422"/>
      <c r="T122" s="422"/>
      <c r="U122" s="422"/>
      <c r="V122" s="422"/>
      <c r="W122" s="422"/>
      <c r="X122" s="422"/>
      <c r="Y122" s="422"/>
      <c r="Z122" s="422"/>
      <c r="AA122" s="422"/>
      <c r="AB122" s="422"/>
      <c r="AC122" s="422"/>
      <c r="AD122" s="422"/>
      <c r="AE122" s="422"/>
      <c r="AF122" s="422"/>
      <c r="AG122" s="422"/>
      <c r="AH122" s="422"/>
      <c r="AI122" s="422"/>
      <c r="AJ122" s="422"/>
      <c r="AK122" s="422"/>
      <c r="AL122" s="422"/>
      <c r="AM122" s="422"/>
      <c r="AN122" s="422"/>
      <c r="AO122" s="422"/>
      <c r="AP122" s="422"/>
      <c r="AQ122" s="422"/>
      <c r="AR122" s="422"/>
      <c r="AS122" s="422"/>
      <c r="AT122" s="422"/>
      <c r="AU122" s="422"/>
      <c r="AV122" s="422"/>
      <c r="AW122" s="422"/>
      <c r="AX122" s="422"/>
      <c r="AY122" s="422"/>
      <c r="AZ122" s="422"/>
    </row>
    <row r="123" spans="1:52" s="397" customFormat="1" ht="4" customHeight="1" x14ac:dyDescent="0.3">
      <c r="A123" s="422"/>
      <c r="B123" s="488"/>
      <c r="C123" s="422"/>
      <c r="D123" s="693"/>
      <c r="E123" s="696"/>
      <c r="F123" s="696"/>
      <c r="G123" s="703"/>
      <c r="H123" s="696"/>
      <c r="I123" s="696"/>
      <c r="J123" s="696"/>
      <c r="K123" s="696"/>
      <c r="L123" s="696"/>
      <c r="M123" s="696"/>
      <c r="N123" s="486"/>
      <c r="O123" s="422"/>
      <c r="P123" s="422"/>
      <c r="Q123" s="422"/>
      <c r="R123" s="422"/>
      <c r="S123" s="422"/>
      <c r="T123" s="422"/>
      <c r="U123" s="422"/>
      <c r="V123" s="422"/>
      <c r="W123" s="422"/>
      <c r="X123" s="422"/>
      <c r="Y123" s="422"/>
      <c r="Z123" s="422"/>
      <c r="AA123" s="422"/>
      <c r="AB123" s="422"/>
      <c r="AC123" s="422"/>
      <c r="AD123" s="422"/>
      <c r="AE123" s="422"/>
      <c r="AF123" s="422"/>
      <c r="AG123" s="422"/>
      <c r="AH123" s="422"/>
      <c r="AI123" s="422"/>
      <c r="AJ123" s="422"/>
      <c r="AK123" s="422"/>
      <c r="AL123" s="422"/>
      <c r="AM123" s="422"/>
      <c r="AN123" s="422"/>
      <c r="AO123" s="422"/>
      <c r="AP123" s="422"/>
      <c r="AQ123" s="422"/>
      <c r="AR123" s="422"/>
      <c r="AS123" s="422"/>
      <c r="AT123" s="422"/>
      <c r="AU123" s="422"/>
      <c r="AV123" s="422"/>
      <c r="AW123" s="422"/>
      <c r="AX123" s="422"/>
      <c r="AY123" s="422"/>
      <c r="AZ123" s="422"/>
    </row>
    <row r="124" spans="1:52" s="397" customFormat="1" ht="14.25" customHeight="1" x14ac:dyDescent="0.3">
      <c r="A124" s="422"/>
      <c r="B124" s="474" t="s">
        <v>240</v>
      </c>
      <c r="C124" s="459"/>
      <c r="D124" s="694"/>
      <c r="E124" s="697"/>
      <c r="F124" s="697"/>
      <c r="G124" s="707"/>
      <c r="H124" s="697"/>
      <c r="I124" s="697"/>
      <c r="J124" s="697"/>
      <c r="K124" s="697"/>
      <c r="L124" s="697"/>
      <c r="M124" s="697"/>
      <c r="N124" s="504"/>
      <c r="O124" s="422"/>
      <c r="P124" s="422"/>
      <c r="Q124" s="422"/>
      <c r="R124" s="422"/>
      <c r="S124" s="422"/>
      <c r="T124" s="422"/>
      <c r="U124" s="422"/>
      <c r="V124" s="422"/>
      <c r="W124" s="422"/>
      <c r="X124" s="422"/>
      <c r="Y124" s="422"/>
      <c r="Z124" s="422"/>
      <c r="AA124" s="422"/>
      <c r="AB124" s="422"/>
      <c r="AC124" s="422"/>
      <c r="AD124" s="422"/>
      <c r="AE124" s="422"/>
      <c r="AF124" s="422"/>
      <c r="AG124" s="422"/>
      <c r="AH124" s="422"/>
      <c r="AI124" s="422"/>
      <c r="AJ124" s="422"/>
      <c r="AK124" s="422"/>
      <c r="AL124" s="422"/>
      <c r="AM124" s="422"/>
      <c r="AN124" s="422"/>
      <c r="AO124" s="422"/>
      <c r="AP124" s="422"/>
      <c r="AQ124" s="422"/>
      <c r="AR124" s="422"/>
      <c r="AS124" s="422"/>
      <c r="AT124" s="422"/>
      <c r="AU124" s="422"/>
      <c r="AV124" s="422"/>
      <c r="AW124" s="422"/>
      <c r="AX124" s="422"/>
      <c r="AY124" s="422"/>
      <c r="AZ124" s="422"/>
    </row>
    <row r="125" spans="1:52" s="397" customFormat="1" ht="4" customHeight="1" x14ac:dyDescent="0.3">
      <c r="A125" s="422"/>
      <c r="B125" s="475"/>
      <c r="C125" s="463"/>
      <c r="D125" s="695"/>
      <c r="E125" s="695"/>
      <c r="F125" s="698"/>
      <c r="G125" s="695"/>
      <c r="H125" s="698"/>
      <c r="I125" s="698"/>
      <c r="J125" s="698"/>
      <c r="K125" s="698"/>
      <c r="L125" s="698"/>
      <c r="M125" s="698"/>
      <c r="N125" s="468"/>
      <c r="O125" s="422"/>
      <c r="P125" s="422"/>
      <c r="Q125" s="422"/>
      <c r="R125" s="422"/>
      <c r="S125" s="422"/>
      <c r="T125" s="422"/>
      <c r="U125" s="422"/>
      <c r="V125" s="422"/>
      <c r="W125" s="422"/>
      <c r="X125" s="422"/>
      <c r="Y125" s="422"/>
      <c r="Z125" s="422"/>
      <c r="AA125" s="422"/>
      <c r="AB125" s="422"/>
      <c r="AC125" s="422"/>
      <c r="AD125" s="422"/>
      <c r="AE125" s="422"/>
      <c r="AF125" s="422"/>
      <c r="AG125" s="422"/>
      <c r="AH125" s="422"/>
      <c r="AI125" s="422"/>
      <c r="AJ125" s="422"/>
      <c r="AK125" s="422"/>
      <c r="AL125" s="422"/>
      <c r="AM125" s="422"/>
      <c r="AN125" s="422"/>
      <c r="AO125" s="422"/>
      <c r="AP125" s="422"/>
      <c r="AQ125" s="422"/>
      <c r="AR125" s="422"/>
      <c r="AS125" s="422"/>
      <c r="AT125" s="422"/>
      <c r="AU125" s="422"/>
      <c r="AV125" s="422"/>
      <c r="AW125" s="422"/>
      <c r="AX125" s="422"/>
      <c r="AY125" s="422"/>
      <c r="AZ125" s="422"/>
    </row>
    <row r="126" spans="1:52" s="397" customFormat="1" ht="14.25" customHeight="1" x14ac:dyDescent="0.3">
      <c r="A126" s="422"/>
      <c r="B126" s="488" t="s">
        <v>241</v>
      </c>
      <c r="C126" s="422"/>
      <c r="D126" s="483">
        <f>+_xlfn.XLOOKUP($B126,Inputs!$B:$B,Inputs!Q:Q)</f>
        <v>0</v>
      </c>
      <c r="E126" s="696"/>
      <c r="F126" s="696"/>
      <c r="G126" s="703"/>
      <c r="H126" s="696"/>
      <c r="I126" s="696"/>
      <c r="J126" s="696"/>
      <c r="K126" s="696"/>
      <c r="L126" s="696"/>
      <c r="M126" s="696"/>
      <c r="N126" s="486"/>
      <c r="O126" s="422"/>
      <c r="P126" s="422"/>
      <c r="Q126" s="422"/>
      <c r="R126" s="422"/>
      <c r="S126" s="422"/>
      <c r="T126" s="422"/>
      <c r="U126" s="422"/>
      <c r="V126" s="422"/>
      <c r="W126" s="422"/>
      <c r="X126" s="422"/>
      <c r="Y126" s="422"/>
      <c r="Z126" s="422"/>
      <c r="AA126" s="422"/>
      <c r="AB126" s="422"/>
      <c r="AC126" s="422"/>
      <c r="AD126" s="422"/>
      <c r="AE126" s="422"/>
      <c r="AF126" s="422"/>
      <c r="AG126" s="422"/>
      <c r="AH126" s="422"/>
      <c r="AI126" s="422"/>
      <c r="AJ126" s="422"/>
      <c r="AK126" s="422"/>
      <c r="AL126" s="422"/>
      <c r="AM126" s="422"/>
      <c r="AN126" s="422"/>
      <c r="AO126" s="422"/>
      <c r="AP126" s="422"/>
      <c r="AQ126" s="422"/>
      <c r="AR126" s="422"/>
      <c r="AS126" s="422"/>
      <c r="AT126" s="422"/>
      <c r="AU126" s="422"/>
      <c r="AV126" s="422"/>
      <c r="AW126" s="422"/>
      <c r="AX126" s="422"/>
      <c r="AY126" s="422"/>
      <c r="AZ126" s="422"/>
    </row>
    <row r="127" spans="1:52" s="397" customFormat="1" ht="14.25" customHeight="1" x14ac:dyDescent="0.3">
      <c r="A127" s="422"/>
      <c r="B127" s="488" t="s">
        <v>23</v>
      </c>
      <c r="C127" s="422"/>
      <c r="D127" s="483">
        <f>+_xlfn.XLOOKUP($B127,Inputs!$B:$B,Inputs!Q:Q)</f>
        <v>0</v>
      </c>
      <c r="E127" s="696"/>
      <c r="F127" s="696"/>
      <c r="G127" s="703"/>
      <c r="H127" s="696"/>
      <c r="I127" s="696"/>
      <c r="J127" s="696"/>
      <c r="K127" s="696"/>
      <c r="L127" s="696"/>
      <c r="M127" s="696"/>
      <c r="N127" s="486"/>
      <c r="O127" s="422"/>
      <c r="P127" s="422"/>
      <c r="Q127" s="422"/>
      <c r="R127" s="422"/>
      <c r="S127" s="422"/>
      <c r="T127" s="422"/>
      <c r="U127" s="422"/>
      <c r="V127" s="422"/>
      <c r="W127" s="422"/>
      <c r="X127" s="422"/>
      <c r="Y127" s="422"/>
      <c r="Z127" s="422"/>
      <c r="AA127" s="422"/>
      <c r="AB127" s="422"/>
      <c r="AC127" s="422"/>
      <c r="AD127" s="422"/>
      <c r="AE127" s="422"/>
      <c r="AF127" s="422"/>
      <c r="AG127" s="422"/>
      <c r="AH127" s="422"/>
      <c r="AI127" s="422"/>
      <c r="AJ127" s="422"/>
      <c r="AK127" s="422"/>
      <c r="AL127" s="422"/>
      <c r="AM127" s="422"/>
      <c r="AN127" s="422"/>
      <c r="AO127" s="422"/>
      <c r="AP127" s="422"/>
      <c r="AQ127" s="422"/>
      <c r="AR127" s="422"/>
      <c r="AS127" s="422"/>
      <c r="AT127" s="422"/>
      <c r="AU127" s="422"/>
      <c r="AV127" s="422"/>
      <c r="AW127" s="422"/>
      <c r="AX127" s="422"/>
      <c r="AY127" s="422"/>
      <c r="AZ127" s="422"/>
    </row>
    <row r="128" spans="1:52" s="397" customFormat="1" ht="14.25" customHeight="1" x14ac:dyDescent="0.3">
      <c r="A128" s="422"/>
      <c r="B128" s="488" t="s">
        <v>242</v>
      </c>
      <c r="C128" s="422"/>
      <c r="D128" s="483">
        <f>+_xlfn.XLOOKUP($B128,Inputs!$B:$B,Inputs!Q:Q)</f>
        <v>0</v>
      </c>
      <c r="E128" s="696"/>
      <c r="F128" s="696"/>
      <c r="G128" s="703"/>
      <c r="H128" s="696"/>
      <c r="I128" s="696"/>
      <c r="J128" s="696"/>
      <c r="K128" s="696"/>
      <c r="L128" s="696"/>
      <c r="M128" s="696"/>
      <c r="N128" s="486"/>
      <c r="O128" s="422"/>
      <c r="P128" s="422"/>
      <c r="Q128" s="422"/>
      <c r="R128" s="422"/>
      <c r="S128" s="422"/>
      <c r="T128" s="422"/>
      <c r="U128" s="422"/>
      <c r="V128" s="422"/>
      <c r="W128" s="422"/>
      <c r="X128" s="422"/>
      <c r="Y128" s="422"/>
      <c r="Z128" s="422"/>
      <c r="AA128" s="422"/>
      <c r="AB128" s="422"/>
      <c r="AC128" s="422"/>
      <c r="AD128" s="422"/>
      <c r="AE128" s="422"/>
      <c r="AF128" s="422"/>
      <c r="AG128" s="422"/>
      <c r="AH128" s="422"/>
      <c r="AI128" s="422"/>
      <c r="AJ128" s="422"/>
      <c r="AK128" s="422"/>
      <c r="AL128" s="422"/>
      <c r="AM128" s="422"/>
      <c r="AN128" s="422"/>
      <c r="AO128" s="422"/>
      <c r="AP128" s="422"/>
      <c r="AQ128" s="422"/>
      <c r="AR128" s="422"/>
      <c r="AS128" s="422"/>
      <c r="AT128" s="422"/>
      <c r="AU128" s="422"/>
      <c r="AV128" s="422"/>
      <c r="AW128" s="422"/>
      <c r="AX128" s="422"/>
      <c r="AY128" s="422"/>
      <c r="AZ128" s="422"/>
    </row>
    <row r="129" spans="1:52" s="397" customFormat="1" ht="14.25" customHeight="1" x14ac:dyDescent="0.3">
      <c r="A129" s="422"/>
      <c r="B129" s="488" t="s">
        <v>243</v>
      </c>
      <c r="C129" s="422"/>
      <c r="D129" s="483">
        <f>+_xlfn.XLOOKUP($B129,Inputs!$B:$B,Inputs!Q:Q)</f>
        <v>0</v>
      </c>
      <c r="E129" s="696"/>
      <c r="F129" s="696"/>
      <c r="G129" s="703"/>
      <c r="H129" s="696"/>
      <c r="I129" s="696"/>
      <c r="J129" s="696"/>
      <c r="K129" s="696"/>
      <c r="L129" s="696"/>
      <c r="M129" s="696"/>
      <c r="N129" s="486"/>
      <c r="O129" s="422"/>
      <c r="P129" s="422"/>
      <c r="Q129" s="422"/>
      <c r="R129" s="422"/>
      <c r="S129" s="422"/>
      <c r="T129" s="422"/>
      <c r="U129" s="422"/>
      <c r="V129" s="422"/>
      <c r="W129" s="422"/>
      <c r="X129" s="422"/>
      <c r="Y129" s="422"/>
      <c r="Z129" s="422"/>
      <c r="AA129" s="422"/>
      <c r="AB129" s="422"/>
      <c r="AC129" s="422"/>
      <c r="AD129" s="422"/>
      <c r="AE129" s="422"/>
      <c r="AF129" s="422"/>
      <c r="AG129" s="422"/>
      <c r="AH129" s="422"/>
      <c r="AI129" s="422"/>
      <c r="AJ129" s="422"/>
      <c r="AK129" s="422"/>
      <c r="AL129" s="422"/>
      <c r="AM129" s="422"/>
      <c r="AN129" s="422"/>
      <c r="AO129" s="422"/>
      <c r="AP129" s="422"/>
      <c r="AQ129" s="422"/>
      <c r="AR129" s="422"/>
      <c r="AS129" s="422"/>
      <c r="AT129" s="422"/>
      <c r="AU129" s="422"/>
      <c r="AV129" s="422"/>
      <c r="AW129" s="422"/>
      <c r="AX129" s="422"/>
      <c r="AY129" s="422"/>
      <c r="AZ129" s="422"/>
    </row>
    <row r="130" spans="1:52" s="397" customFormat="1" ht="14.25" customHeight="1" x14ac:dyDescent="0.3">
      <c r="A130" s="422"/>
      <c r="B130" s="488" t="s">
        <v>244</v>
      </c>
      <c r="C130" s="422"/>
      <c r="D130" s="483">
        <f>+_xlfn.XLOOKUP($B130,Inputs!$B:$B,Inputs!Q:Q)</f>
        <v>0</v>
      </c>
      <c r="E130" s="696"/>
      <c r="F130" s="696"/>
      <c r="G130" s="703"/>
      <c r="H130" s="696"/>
      <c r="I130" s="696"/>
      <c r="J130" s="696"/>
      <c r="K130" s="696"/>
      <c r="L130" s="696"/>
      <c r="M130" s="696"/>
      <c r="N130" s="486"/>
      <c r="O130" s="422"/>
      <c r="P130" s="422"/>
      <c r="Q130" s="422"/>
      <c r="R130" s="422"/>
      <c r="S130" s="422"/>
      <c r="T130" s="422"/>
      <c r="U130" s="422"/>
      <c r="V130" s="422"/>
      <c r="W130" s="422"/>
      <c r="X130" s="422"/>
      <c r="Y130" s="422"/>
      <c r="Z130" s="422"/>
      <c r="AA130" s="422"/>
      <c r="AB130" s="422"/>
      <c r="AC130" s="422"/>
      <c r="AD130" s="422"/>
      <c r="AE130" s="422"/>
      <c r="AF130" s="422"/>
      <c r="AG130" s="422"/>
      <c r="AH130" s="422"/>
      <c r="AI130" s="422"/>
      <c r="AJ130" s="422"/>
      <c r="AK130" s="422"/>
      <c r="AL130" s="422"/>
      <c r="AM130" s="422"/>
      <c r="AN130" s="422"/>
      <c r="AO130" s="422"/>
      <c r="AP130" s="422"/>
      <c r="AQ130" s="422"/>
      <c r="AR130" s="422"/>
      <c r="AS130" s="422"/>
      <c r="AT130" s="422"/>
      <c r="AU130" s="422"/>
      <c r="AV130" s="422"/>
      <c r="AW130" s="422"/>
      <c r="AX130" s="422"/>
      <c r="AY130" s="422"/>
      <c r="AZ130" s="422"/>
    </row>
    <row r="131" spans="1:52" s="397" customFormat="1" ht="14.25" customHeight="1" x14ac:dyDescent="0.3">
      <c r="A131" s="422"/>
      <c r="B131" s="488" t="s">
        <v>245</v>
      </c>
      <c r="C131" s="422"/>
      <c r="D131" s="483">
        <f>+_xlfn.XLOOKUP($B131,Inputs!$B:$B,Inputs!Q:Q)</f>
        <v>0</v>
      </c>
      <c r="E131" s="696"/>
      <c r="F131" s="696"/>
      <c r="G131" s="703"/>
      <c r="H131" s="696"/>
      <c r="I131" s="696"/>
      <c r="J131" s="696"/>
      <c r="K131" s="696"/>
      <c r="L131" s="696"/>
      <c r="M131" s="696"/>
      <c r="N131" s="486"/>
      <c r="O131" s="422"/>
      <c r="P131" s="422"/>
      <c r="Q131" s="422"/>
      <c r="R131" s="422"/>
      <c r="S131" s="422"/>
      <c r="T131" s="422"/>
      <c r="U131" s="422"/>
      <c r="V131" s="422"/>
      <c r="W131" s="422"/>
      <c r="X131" s="422"/>
      <c r="Y131" s="422"/>
      <c r="Z131" s="422"/>
      <c r="AA131" s="422"/>
      <c r="AB131" s="422"/>
      <c r="AC131" s="422"/>
      <c r="AD131" s="422"/>
      <c r="AE131" s="422"/>
      <c r="AF131" s="422"/>
      <c r="AG131" s="422"/>
      <c r="AH131" s="422"/>
      <c r="AI131" s="422"/>
      <c r="AJ131" s="422"/>
      <c r="AK131" s="422"/>
      <c r="AL131" s="422"/>
      <c r="AM131" s="422"/>
      <c r="AN131" s="422"/>
      <c r="AO131" s="422"/>
      <c r="AP131" s="422"/>
      <c r="AQ131" s="422"/>
      <c r="AR131" s="422"/>
      <c r="AS131" s="422"/>
      <c r="AT131" s="422"/>
      <c r="AU131" s="422"/>
      <c r="AV131" s="422"/>
      <c r="AW131" s="422"/>
      <c r="AX131" s="422"/>
      <c r="AY131" s="422"/>
      <c r="AZ131" s="422"/>
    </row>
    <row r="132" spans="1:52" s="397" customFormat="1" ht="14.25" customHeight="1" x14ac:dyDescent="0.3">
      <c r="A132" s="422"/>
      <c r="B132" s="488" t="s">
        <v>246</v>
      </c>
      <c r="C132" s="422"/>
      <c r="D132" s="483">
        <f>+_xlfn.XLOOKUP($B132,Inputs!$B:$B,Inputs!Q:Q)</f>
        <v>0</v>
      </c>
      <c r="E132" s="696"/>
      <c r="F132" s="696"/>
      <c r="G132" s="703"/>
      <c r="H132" s="696"/>
      <c r="I132" s="696"/>
      <c r="J132" s="696"/>
      <c r="K132" s="696"/>
      <c r="L132" s="696"/>
      <c r="M132" s="696"/>
      <c r="N132" s="486"/>
      <c r="O132" s="422"/>
      <c r="P132" s="422"/>
      <c r="Q132" s="422"/>
      <c r="R132" s="422"/>
      <c r="S132" s="422"/>
      <c r="T132" s="422"/>
      <c r="U132" s="422"/>
      <c r="V132" s="422"/>
      <c r="W132" s="422"/>
      <c r="X132" s="422"/>
      <c r="Y132" s="422"/>
      <c r="Z132" s="422"/>
      <c r="AA132" s="422"/>
      <c r="AB132" s="422"/>
      <c r="AC132" s="422"/>
      <c r="AD132" s="422"/>
      <c r="AE132" s="422"/>
      <c r="AF132" s="422"/>
      <c r="AG132" s="422"/>
      <c r="AH132" s="422"/>
      <c r="AI132" s="422"/>
      <c r="AJ132" s="422"/>
      <c r="AK132" s="422"/>
      <c r="AL132" s="422"/>
      <c r="AM132" s="422"/>
      <c r="AN132" s="422"/>
      <c r="AO132" s="422"/>
      <c r="AP132" s="422"/>
      <c r="AQ132" s="422"/>
      <c r="AR132" s="422"/>
      <c r="AS132" s="422"/>
      <c r="AT132" s="422"/>
      <c r="AU132" s="422"/>
      <c r="AV132" s="422"/>
      <c r="AW132" s="422"/>
      <c r="AX132" s="422"/>
      <c r="AY132" s="422"/>
      <c r="AZ132" s="422"/>
    </row>
    <row r="133" spans="1:52" s="397" customFormat="1" ht="4" customHeight="1" x14ac:dyDescent="0.3">
      <c r="A133" s="422"/>
      <c r="B133" s="489"/>
      <c r="C133" s="422"/>
      <c r="D133" s="690"/>
      <c r="E133" s="691"/>
      <c r="F133" s="691"/>
      <c r="G133" s="691"/>
      <c r="H133" s="691"/>
      <c r="I133" s="691"/>
      <c r="J133" s="691"/>
      <c r="K133" s="691"/>
      <c r="L133" s="691"/>
      <c r="M133" s="691"/>
      <c r="N133" s="692"/>
      <c r="O133" s="422"/>
      <c r="P133" s="422"/>
      <c r="Q133" s="422"/>
      <c r="R133" s="422"/>
      <c r="S133" s="422"/>
      <c r="T133" s="422"/>
      <c r="U133" s="422"/>
      <c r="V133" s="422"/>
      <c r="W133" s="422"/>
      <c r="X133" s="422"/>
      <c r="Y133" s="422"/>
      <c r="Z133" s="422"/>
      <c r="AA133" s="422"/>
      <c r="AB133" s="422"/>
      <c r="AC133" s="422"/>
      <c r="AD133" s="422"/>
      <c r="AE133" s="422"/>
      <c r="AF133" s="422"/>
      <c r="AG133" s="422"/>
      <c r="AH133" s="422"/>
      <c r="AI133" s="422"/>
      <c r="AJ133" s="422"/>
      <c r="AK133" s="422"/>
      <c r="AL133" s="422"/>
      <c r="AM133" s="422"/>
      <c r="AN133" s="422"/>
      <c r="AO133" s="422"/>
      <c r="AP133" s="422"/>
      <c r="AQ133" s="422"/>
      <c r="AR133" s="422"/>
      <c r="AS133" s="422"/>
      <c r="AT133" s="422"/>
      <c r="AU133" s="422"/>
      <c r="AV133" s="422"/>
      <c r="AW133" s="422"/>
      <c r="AX133" s="422"/>
      <c r="AY133" s="422"/>
      <c r="AZ133" s="422"/>
    </row>
    <row r="134" spans="1:52" ht="14.25" customHeight="1" x14ac:dyDescent="0.35">
      <c r="B134" s="69" t="s">
        <v>84</v>
      </c>
      <c r="C134" s="70"/>
      <c r="D134" s="69"/>
      <c r="E134" s="70"/>
      <c r="F134" s="70"/>
      <c r="G134" s="70"/>
      <c r="H134" s="70"/>
      <c r="I134" s="70"/>
      <c r="J134" s="100"/>
      <c r="K134" s="101"/>
      <c r="L134" s="101"/>
      <c r="M134" s="101"/>
      <c r="N134" s="101"/>
      <c r="O134" s="101"/>
    </row>
    <row r="135" spans="1:52" ht="3.75" customHeight="1" x14ac:dyDescent="0.35">
      <c r="B135" s="71"/>
      <c r="C135" s="71"/>
      <c r="D135" s="71"/>
      <c r="E135" s="71"/>
      <c r="F135" s="71"/>
      <c r="G135" s="71"/>
      <c r="H135" s="71"/>
      <c r="I135" s="71"/>
      <c r="J135" s="102"/>
      <c r="K135" s="102"/>
      <c r="L135" s="102"/>
      <c r="M135" s="102"/>
      <c r="N135" s="102"/>
      <c r="O135" s="102"/>
    </row>
    <row r="142" spans="1:52" ht="14.25" customHeight="1" x14ac:dyDescent="0.35">
      <c r="B142" s="69" t="s">
        <v>91</v>
      </c>
      <c r="C142" s="70"/>
      <c r="D142" s="69"/>
      <c r="E142" s="70"/>
      <c r="F142" s="70"/>
      <c r="G142" s="70"/>
      <c r="H142" s="70"/>
      <c r="I142" s="70"/>
      <c r="J142" s="100"/>
      <c r="K142" s="101"/>
      <c r="L142" s="101"/>
      <c r="M142" s="101"/>
      <c r="N142" s="101"/>
      <c r="O142" s="101"/>
    </row>
    <row r="143" spans="1:52" ht="4.4000000000000004" customHeight="1" x14ac:dyDescent="0.3">
      <c r="B143" s="753"/>
      <c r="C143" s="753"/>
      <c r="D143" s="753"/>
      <c r="E143" s="753"/>
      <c r="F143" s="753"/>
      <c r="G143" s="753"/>
      <c r="H143" s="753"/>
      <c r="I143" s="753"/>
      <c r="J143" s="753"/>
      <c r="K143" s="753"/>
      <c r="L143" s="753"/>
      <c r="M143" s="753"/>
      <c r="N143" s="753"/>
      <c r="O143" s="753"/>
    </row>
  </sheetData>
  <mergeCells count="10">
    <mergeCell ref="D21:F21"/>
    <mergeCell ref="J21:L21"/>
    <mergeCell ref="M21:O21"/>
    <mergeCell ref="D2:E2"/>
    <mergeCell ref="H3:I3"/>
    <mergeCell ref="J3:K3"/>
    <mergeCell ref="F3:G3"/>
    <mergeCell ref="N3:O3"/>
    <mergeCell ref="D3:E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8:K17 J6:K6">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opLeftCell="B8" zoomScale="70" zoomScaleNormal="70" workbookViewId="0">
      <selection activeCell="K36" sqref="K36:N37"/>
    </sheetView>
  </sheetViews>
  <sheetFormatPr defaultColWidth="7.58203125" defaultRowHeight="12.75" customHeight="1" x14ac:dyDescent="0.3"/>
  <cols>
    <col min="1" max="1" width="2" style="44" customWidth="1"/>
    <col min="2" max="2" width="26.33203125" style="44" customWidth="1"/>
    <col min="3" max="3" width="21.08203125" style="43" customWidth="1"/>
    <col min="4" max="4" width="4.08203125" style="44" customWidth="1"/>
    <col min="5" max="5" width="44.5" style="44" customWidth="1"/>
    <col min="6" max="6" width="3.33203125" style="44" customWidth="1"/>
    <col min="7" max="12" width="11.08203125" style="44" customWidth="1"/>
    <col min="13" max="13" width="4.08203125" style="44" customWidth="1"/>
    <col min="14" max="21" width="11.08203125" style="44" customWidth="1"/>
    <col min="22" max="22" width="12.5" style="44" customWidth="1"/>
    <col min="23" max="23" width="9.83203125" style="44" customWidth="1"/>
    <col min="24" max="24" width="14" style="44" customWidth="1"/>
    <col min="25" max="25" width="11.33203125" style="44" customWidth="1"/>
    <col min="26" max="26" width="14.08203125" style="44" customWidth="1"/>
    <col min="27" max="27" width="8" style="44" customWidth="1"/>
    <col min="28" max="28" width="8.58203125" style="44" bestFit="1" customWidth="1"/>
    <col min="29" max="29" width="6.33203125" style="44" customWidth="1"/>
    <col min="30" max="30" width="7.08203125" style="44" customWidth="1"/>
    <col min="31" max="31" width="8.58203125" style="44" customWidth="1"/>
    <col min="32" max="32" width="8.5" style="44" customWidth="1"/>
    <col min="33" max="33" width="9.58203125" style="44" customWidth="1"/>
    <col min="34" max="34" width="8.83203125" style="44" customWidth="1"/>
    <col min="35" max="35" width="7.58203125" style="44" customWidth="1"/>
    <col min="36" max="37" width="7.08203125" style="44" customWidth="1"/>
    <col min="38" max="38" width="8.08203125" style="44" customWidth="1"/>
    <col min="39" max="39" width="7.58203125" style="44" customWidth="1"/>
    <col min="40" max="16384" width="7.58203125" style="44"/>
  </cols>
  <sheetData>
    <row r="1" spans="2:30" customFormat="1" ht="14" x14ac:dyDescent="0.3">
      <c r="Q1" s="6"/>
    </row>
    <row r="2" spans="2:30" s="41" customFormat="1" ht="20.149999999999999" customHeight="1" x14ac:dyDescent="0.4">
      <c r="B2" s="40" t="s">
        <v>247</v>
      </c>
      <c r="Q2" s="42"/>
    </row>
    <row r="3" spans="2:30" customFormat="1" ht="14" x14ac:dyDescent="0.3">
      <c r="Q3" s="6"/>
      <c r="Z3" s="44"/>
      <c r="AA3" s="44"/>
      <c r="AB3" s="44"/>
      <c r="AC3" s="44"/>
      <c r="AD3" s="44"/>
    </row>
    <row r="4" spans="2:30" ht="14.5" thickBot="1" x14ac:dyDescent="0.35">
      <c r="B4" s="1" t="s">
        <v>248</v>
      </c>
      <c r="E4" s="1" t="s">
        <v>249</v>
      </c>
      <c r="F4" s="1"/>
      <c r="G4" s="1"/>
      <c r="H4" s="1"/>
      <c r="I4" s="1"/>
      <c r="J4" s="1"/>
      <c r="N4" s="1" t="s">
        <v>250</v>
      </c>
      <c r="O4" s="1"/>
      <c r="P4" s="1"/>
      <c r="Q4" s="1"/>
      <c r="R4" s="1"/>
      <c r="S4" s="1"/>
    </row>
    <row r="5" spans="2:30" ht="14" x14ac:dyDescent="0.3">
      <c r="B5" s="45"/>
      <c r="C5" s="46"/>
      <c r="E5" s="47"/>
      <c r="F5" s="47"/>
      <c r="G5" s="815"/>
      <c r="H5" s="815"/>
      <c r="I5" s="815"/>
      <c r="J5" s="815"/>
      <c r="K5" s="815"/>
      <c r="L5" s="815"/>
      <c r="N5" s="816"/>
      <c r="O5" s="816"/>
      <c r="P5" s="816"/>
      <c r="Q5" s="816"/>
      <c r="R5" s="816"/>
      <c r="S5" s="816"/>
      <c r="T5" s="816"/>
      <c r="U5" s="816"/>
    </row>
    <row r="6" spans="2:30" ht="14.5" thickBot="1" x14ac:dyDescent="0.35">
      <c r="B6" s="1" t="s">
        <v>251</v>
      </c>
      <c r="C6" s="44"/>
      <c r="D6" s="44" t="s">
        <v>252</v>
      </c>
      <c r="G6" s="805"/>
      <c r="H6" s="805"/>
      <c r="I6" s="805"/>
      <c r="J6" s="805"/>
      <c r="K6" s="805"/>
      <c r="L6" s="805"/>
      <c r="N6" s="817"/>
      <c r="O6" s="817"/>
      <c r="P6" s="817"/>
      <c r="Q6" s="817"/>
      <c r="R6" s="817"/>
      <c r="S6" s="817"/>
      <c r="T6" s="817"/>
      <c r="U6" s="817"/>
    </row>
    <row r="7" spans="2:30" ht="14" x14ac:dyDescent="0.3">
      <c r="B7" s="45" t="s">
        <v>253</v>
      </c>
      <c r="C7" s="48"/>
      <c r="D7" s="44" t="s">
        <v>252</v>
      </c>
      <c r="E7" s="23"/>
      <c r="G7" s="805"/>
      <c r="H7" s="805"/>
      <c r="I7" s="805"/>
      <c r="J7" s="805"/>
      <c r="K7" s="805"/>
      <c r="L7" s="805"/>
      <c r="N7" s="817"/>
      <c r="O7" s="817"/>
      <c r="P7" s="817"/>
      <c r="Q7" s="817"/>
      <c r="R7" s="817"/>
      <c r="S7" s="817"/>
      <c r="T7" s="817"/>
      <c r="U7" s="817"/>
    </row>
    <row r="8" spans="2:30" ht="14" x14ac:dyDescent="0.3">
      <c r="B8" s="25" t="s">
        <v>254</v>
      </c>
      <c r="C8" s="39"/>
      <c r="G8" s="805"/>
      <c r="H8" s="805"/>
      <c r="I8" s="805"/>
      <c r="J8" s="805"/>
      <c r="K8" s="805"/>
      <c r="L8" s="805"/>
      <c r="N8" s="817"/>
      <c r="O8" s="817"/>
      <c r="P8" s="817"/>
      <c r="Q8" s="817"/>
      <c r="R8" s="817"/>
      <c r="S8" s="817"/>
      <c r="T8" s="817"/>
      <c r="U8" s="817"/>
    </row>
    <row r="9" spans="2:30" ht="15" customHeight="1" x14ac:dyDescent="0.3">
      <c r="B9" s="25" t="s">
        <v>255</v>
      </c>
      <c r="C9" s="26"/>
      <c r="E9" s="23"/>
      <c r="G9" s="805"/>
      <c r="H9" s="805"/>
      <c r="I9" s="805"/>
      <c r="J9" s="805"/>
      <c r="K9" s="805"/>
      <c r="L9" s="805"/>
      <c r="N9" s="817"/>
      <c r="O9" s="817"/>
      <c r="P9" s="817"/>
      <c r="Q9" s="817"/>
      <c r="R9" s="817"/>
      <c r="S9" s="817"/>
      <c r="T9" s="817"/>
      <c r="U9" s="817"/>
    </row>
    <row r="10" spans="2:30" ht="14.15" customHeight="1" x14ac:dyDescent="0.3">
      <c r="B10" s="25" t="s">
        <v>256</v>
      </c>
      <c r="C10" s="26"/>
      <c r="G10" s="805"/>
      <c r="H10" s="805"/>
      <c r="I10" s="805"/>
      <c r="J10" s="805"/>
      <c r="K10" s="805"/>
      <c r="L10" s="805"/>
      <c r="N10" s="817"/>
      <c r="O10" s="817"/>
      <c r="P10" s="817"/>
      <c r="Q10" s="817"/>
      <c r="R10" s="817"/>
      <c r="S10" s="817"/>
      <c r="T10" s="817"/>
      <c r="U10" s="817"/>
    </row>
    <row r="11" spans="2:30" ht="15" customHeight="1" x14ac:dyDescent="0.3">
      <c r="B11" s="23" t="s">
        <v>257</v>
      </c>
      <c r="C11" s="725"/>
      <c r="E11" s="23"/>
      <c r="G11" s="805"/>
      <c r="H11" s="805"/>
      <c r="I11" s="805"/>
      <c r="J11" s="805"/>
      <c r="K11" s="805"/>
      <c r="L11" s="805"/>
      <c r="N11" s="817"/>
      <c r="O11" s="817"/>
      <c r="P11" s="817"/>
      <c r="Q11" s="817"/>
      <c r="R11" s="817"/>
      <c r="S11" s="817"/>
      <c r="T11" s="817"/>
      <c r="U11" s="817"/>
    </row>
    <row r="12" spans="2:30" ht="14.15" customHeight="1" x14ac:dyDescent="0.3">
      <c r="B12" s="25"/>
      <c r="G12" s="805"/>
      <c r="H12" s="805"/>
      <c r="I12" s="805"/>
      <c r="J12" s="805"/>
      <c r="K12" s="805"/>
      <c r="L12" s="805"/>
      <c r="N12" s="817"/>
      <c r="O12" s="817"/>
      <c r="P12" s="817"/>
      <c r="Q12" s="817"/>
      <c r="R12" s="817"/>
      <c r="S12" s="817"/>
      <c r="T12" s="817"/>
      <c r="U12" s="817"/>
    </row>
    <row r="13" spans="2:30" ht="14" x14ac:dyDescent="0.3">
      <c r="B13" s="1" t="s">
        <v>258</v>
      </c>
      <c r="C13" s="44"/>
      <c r="E13" s="23"/>
      <c r="G13" s="805"/>
      <c r="H13" s="805"/>
      <c r="I13" s="805"/>
      <c r="J13" s="805"/>
      <c r="K13" s="805"/>
      <c r="L13" s="805"/>
      <c r="N13" s="817"/>
      <c r="O13" s="817"/>
      <c r="P13" s="817"/>
      <c r="Q13" s="817"/>
      <c r="R13" s="817"/>
      <c r="S13" s="817"/>
      <c r="T13" s="817"/>
      <c r="U13" s="817"/>
    </row>
    <row r="14" spans="2:30" ht="14" x14ac:dyDescent="0.3">
      <c r="B14" s="47" t="s">
        <v>70</v>
      </c>
      <c r="C14" s="755"/>
      <c r="G14" s="805"/>
      <c r="H14" s="805"/>
      <c r="I14" s="805"/>
      <c r="J14" s="805"/>
      <c r="K14" s="805"/>
      <c r="L14" s="805"/>
      <c r="N14" s="817"/>
      <c r="O14" s="817"/>
      <c r="P14" s="817"/>
      <c r="Q14" s="817"/>
      <c r="R14" s="817"/>
      <c r="S14" s="817"/>
      <c r="T14" s="817"/>
      <c r="U14" s="817"/>
    </row>
    <row r="15" spans="2:30" ht="14" x14ac:dyDescent="0.3">
      <c r="B15" s="25" t="s">
        <v>71</v>
      </c>
      <c r="C15" s="754"/>
    </row>
    <row r="16" spans="2:30" ht="14" x14ac:dyDescent="0.3">
      <c r="B16" s="25" t="s">
        <v>72</v>
      </c>
      <c r="C16" s="754"/>
      <c r="E16" s="1" t="s">
        <v>259</v>
      </c>
      <c r="F16" s="1"/>
      <c r="G16" s="1"/>
      <c r="H16" s="1"/>
      <c r="I16" s="1"/>
      <c r="J16" s="1"/>
      <c r="N16" s="1" t="s">
        <v>260</v>
      </c>
      <c r="O16" s="1"/>
      <c r="P16" s="1"/>
      <c r="Q16" s="1"/>
      <c r="R16" s="1"/>
      <c r="S16" s="1"/>
    </row>
    <row r="17" spans="2:22" ht="14" x14ac:dyDescent="0.3">
      <c r="B17" s="25" t="s">
        <v>73</v>
      </c>
      <c r="C17" s="754"/>
      <c r="E17" s="47"/>
      <c r="F17" s="47"/>
      <c r="G17" s="815"/>
      <c r="H17" s="815"/>
      <c r="I17" s="815"/>
      <c r="J17" s="815"/>
      <c r="K17" s="815"/>
      <c r="L17" s="815"/>
      <c r="N17" s="47"/>
      <c r="O17" s="47"/>
      <c r="P17" s="47"/>
      <c r="Q17" s="47"/>
      <c r="R17" s="47"/>
      <c r="S17" s="47"/>
      <c r="T17" s="47"/>
      <c r="U17" s="47"/>
      <c r="V17" s="47"/>
    </row>
    <row r="18" spans="2:22" ht="14" x14ac:dyDescent="0.3">
      <c r="B18" s="23" t="s">
        <v>74</v>
      </c>
      <c r="C18" s="756"/>
      <c r="G18" s="805"/>
      <c r="H18" s="805"/>
      <c r="I18" s="805"/>
      <c r="J18" s="805"/>
      <c r="K18" s="805"/>
      <c r="L18" s="805"/>
      <c r="O18" s="679"/>
      <c r="P18" s="679"/>
      <c r="Q18" s="679"/>
      <c r="R18" s="679"/>
      <c r="S18" s="679"/>
      <c r="T18" s="679"/>
      <c r="U18" s="679"/>
      <c r="V18" s="679"/>
    </row>
    <row r="19" spans="2:22" ht="14" x14ac:dyDescent="0.3">
      <c r="B19" s="25" t="s">
        <v>75</v>
      </c>
      <c r="C19" s="44"/>
      <c r="E19" s="23"/>
      <c r="G19" s="805"/>
      <c r="H19" s="805"/>
      <c r="I19" s="805"/>
      <c r="J19" s="805"/>
      <c r="K19" s="805"/>
      <c r="L19" s="805"/>
      <c r="N19" s="23"/>
      <c r="P19" s="679"/>
      <c r="Q19" s="679"/>
      <c r="R19" s="679"/>
      <c r="S19" s="679"/>
      <c r="T19" s="679"/>
      <c r="U19" s="679"/>
      <c r="V19" s="679"/>
    </row>
    <row r="20" spans="2:22" ht="14" x14ac:dyDescent="0.3">
      <c r="B20" s="25" t="s">
        <v>76</v>
      </c>
      <c r="C20" s="44"/>
      <c r="G20" s="805"/>
      <c r="H20" s="805"/>
      <c r="I20" s="805"/>
      <c r="J20" s="805"/>
      <c r="K20" s="805"/>
      <c r="L20" s="805"/>
      <c r="P20" s="679"/>
      <c r="Q20" s="679"/>
      <c r="R20" s="679"/>
      <c r="S20" s="679"/>
      <c r="T20" s="679"/>
      <c r="U20" s="679"/>
    </row>
    <row r="21" spans="2:22" ht="14" x14ac:dyDescent="0.3">
      <c r="B21" s="25" t="s">
        <v>77</v>
      </c>
      <c r="C21" s="44"/>
      <c r="E21" s="23"/>
      <c r="G21" s="805"/>
      <c r="H21" s="805"/>
      <c r="I21" s="805"/>
      <c r="J21" s="805"/>
      <c r="K21" s="805"/>
      <c r="L21" s="805"/>
      <c r="N21" s="23"/>
      <c r="P21" s="805"/>
      <c r="Q21" s="805"/>
      <c r="R21" s="805"/>
      <c r="S21" s="805"/>
      <c r="T21" s="805"/>
      <c r="U21" s="805"/>
    </row>
    <row r="22" spans="2:22" ht="14" x14ac:dyDescent="0.3">
      <c r="B22" s="23" t="s">
        <v>78</v>
      </c>
      <c r="C22" s="49"/>
      <c r="G22" s="805"/>
      <c r="H22" s="805"/>
      <c r="I22" s="805"/>
      <c r="J22" s="805"/>
      <c r="K22" s="805"/>
      <c r="L22" s="805"/>
      <c r="P22" s="805"/>
      <c r="Q22" s="805"/>
      <c r="R22" s="805"/>
      <c r="S22" s="805"/>
      <c r="T22" s="805"/>
      <c r="U22" s="805"/>
    </row>
    <row r="23" spans="2:22" ht="14" x14ac:dyDescent="0.3">
      <c r="B23" s="23" t="s">
        <v>79</v>
      </c>
      <c r="C23" s="50"/>
      <c r="E23" s="23"/>
      <c r="G23" s="805"/>
      <c r="H23" s="805"/>
      <c r="I23" s="805"/>
      <c r="J23" s="805"/>
      <c r="K23" s="805"/>
      <c r="L23" s="805"/>
      <c r="N23" s="23"/>
      <c r="P23" s="805"/>
      <c r="Q23" s="805"/>
      <c r="R23" s="805"/>
      <c r="S23" s="805"/>
      <c r="T23" s="805"/>
      <c r="U23" s="805"/>
    </row>
    <row r="24" spans="2:22" ht="14" x14ac:dyDescent="0.3">
      <c r="B24" s="25" t="s">
        <v>80</v>
      </c>
      <c r="C24" s="44"/>
    </row>
    <row r="25" spans="2:22" ht="14" x14ac:dyDescent="0.3">
      <c r="B25" s="25" t="s">
        <v>81</v>
      </c>
    </row>
    <row r="26" spans="2:22" ht="14" x14ac:dyDescent="0.3">
      <c r="B26" s="23" t="s">
        <v>82</v>
      </c>
      <c r="C26" s="778"/>
    </row>
    <row r="29" spans="2:22" ht="14.5" thickBot="1" x14ac:dyDescent="0.35">
      <c r="B29" s="1" t="s">
        <v>261</v>
      </c>
    </row>
    <row r="30" spans="2:22" ht="14.5" customHeight="1" x14ac:dyDescent="0.3">
      <c r="B30" s="818"/>
      <c r="C30" s="818"/>
    </row>
    <row r="31" spans="2:22" ht="12.5" x14ac:dyDescent="0.3">
      <c r="B31" s="819"/>
      <c r="C31" s="819"/>
    </row>
    <row r="32" spans="2:22" ht="12.5" x14ac:dyDescent="0.3">
      <c r="B32" s="819"/>
      <c r="C32" s="819"/>
    </row>
    <row r="33" spans="2:22" ht="15.5" x14ac:dyDescent="0.35">
      <c r="B33" s="819"/>
      <c r="C33" s="819"/>
      <c r="E33" s="52" t="s">
        <v>262</v>
      </c>
      <c r="F33" s="52"/>
      <c r="G33" s="52"/>
      <c r="H33" s="52"/>
      <c r="I33" s="52"/>
      <c r="J33" s="52"/>
      <c r="K33" s="52"/>
      <c r="L33" s="52"/>
      <c r="M33" s="52"/>
      <c r="N33" s="52"/>
      <c r="O33" s="52"/>
      <c r="P33" s="52"/>
      <c r="Q33" s="52"/>
      <c r="R33" s="52"/>
      <c r="S33" s="52"/>
      <c r="T33" s="52"/>
      <c r="U33" s="52"/>
      <c r="V33" s="52"/>
    </row>
    <row r="34" spans="2:22" customFormat="1" ht="4" customHeight="1" x14ac:dyDescent="0.35">
      <c r="B34" s="819"/>
      <c r="C34" s="819"/>
      <c r="D34" s="44"/>
      <c r="E34" s="53"/>
      <c r="F34" s="53"/>
      <c r="G34" s="53"/>
      <c r="H34" s="53"/>
      <c r="I34" s="53"/>
      <c r="J34" s="53"/>
      <c r="K34" s="53"/>
      <c r="L34" s="53"/>
      <c r="M34" s="53"/>
      <c r="N34" s="53"/>
      <c r="O34" s="53"/>
      <c r="P34" s="53"/>
      <c r="Q34" s="53"/>
      <c r="R34" s="53"/>
      <c r="S34" s="53"/>
      <c r="T34" s="53"/>
      <c r="U34" s="53"/>
      <c r="V34" s="53"/>
    </row>
    <row r="35" spans="2:22" ht="13" x14ac:dyDescent="0.3">
      <c r="B35" s="819"/>
      <c r="C35" s="819"/>
      <c r="E35" s="54"/>
      <c r="F35" s="54"/>
      <c r="G35" s="55" t="s">
        <v>251</v>
      </c>
      <c r="H35" s="55" t="s">
        <v>263</v>
      </c>
      <c r="I35" s="55"/>
      <c r="J35" s="55"/>
      <c r="K35" s="55" t="s">
        <v>264</v>
      </c>
      <c r="L35" s="55"/>
      <c r="M35" s="55"/>
      <c r="N35" s="55"/>
      <c r="O35" s="55" t="s">
        <v>265</v>
      </c>
      <c r="P35" s="54"/>
      <c r="Q35" s="54"/>
      <c r="R35" s="54"/>
      <c r="S35" s="54"/>
      <c r="T35" s="54"/>
      <c r="U35" s="54"/>
      <c r="V35" s="54"/>
    </row>
    <row r="36" spans="2:22" ht="20.25" customHeight="1" x14ac:dyDescent="0.3">
      <c r="B36" s="819"/>
      <c r="C36" s="819"/>
      <c r="E36" s="23" t="s">
        <v>266</v>
      </c>
      <c r="G36" s="820"/>
      <c r="H36" s="821"/>
      <c r="I36" s="821"/>
      <c r="J36" s="821"/>
      <c r="K36" s="821"/>
      <c r="L36" s="821"/>
      <c r="M36" s="821"/>
      <c r="N36" s="821"/>
      <c r="O36" s="820"/>
      <c r="P36" s="820"/>
      <c r="Q36" s="820"/>
      <c r="R36" s="820"/>
      <c r="S36" s="820"/>
      <c r="T36" s="820"/>
      <c r="U36" s="820"/>
      <c r="V36" s="820"/>
    </row>
    <row r="37" spans="2:22" ht="20.25" customHeight="1" x14ac:dyDescent="0.3">
      <c r="B37" s="819"/>
      <c r="C37" s="819"/>
      <c r="G37" s="820"/>
      <c r="H37" s="821"/>
      <c r="I37" s="821"/>
      <c r="J37" s="821"/>
      <c r="K37" s="821"/>
      <c r="L37" s="821"/>
      <c r="M37" s="821"/>
      <c r="N37" s="821"/>
      <c r="O37" s="820"/>
      <c r="P37" s="820"/>
      <c r="Q37" s="820"/>
      <c r="R37" s="820"/>
      <c r="S37" s="820"/>
      <c r="T37" s="820"/>
      <c r="U37" s="820"/>
      <c r="V37" s="820"/>
    </row>
    <row r="38" spans="2:22" ht="22.5" customHeight="1" x14ac:dyDescent="0.3">
      <c r="B38" s="819"/>
      <c r="C38" s="819"/>
      <c r="E38" s="23" t="s">
        <v>267</v>
      </c>
      <c r="G38" s="820"/>
      <c r="H38" s="821"/>
      <c r="I38" s="821"/>
      <c r="J38" s="821"/>
      <c r="K38" s="821"/>
      <c r="L38" s="821"/>
      <c r="M38" s="821"/>
      <c r="N38" s="821"/>
      <c r="O38" s="820"/>
      <c r="P38" s="820"/>
      <c r="Q38" s="820"/>
      <c r="R38" s="820"/>
      <c r="S38" s="820"/>
      <c r="T38" s="820"/>
      <c r="U38" s="820"/>
      <c r="V38" s="820"/>
    </row>
    <row r="39" spans="2:22" ht="19.5" customHeight="1" x14ac:dyDescent="0.3">
      <c r="B39" s="819"/>
      <c r="C39" s="819"/>
      <c r="G39" s="820"/>
      <c r="H39" s="821"/>
      <c r="I39" s="821"/>
      <c r="J39" s="821"/>
      <c r="K39" s="821"/>
      <c r="L39" s="821"/>
      <c r="M39" s="821"/>
      <c r="N39" s="821"/>
      <c r="O39" s="820"/>
      <c r="P39" s="820"/>
      <c r="Q39" s="820"/>
      <c r="R39" s="820"/>
      <c r="S39" s="820"/>
      <c r="T39" s="820"/>
      <c r="U39" s="820"/>
      <c r="V39" s="820"/>
    </row>
    <row r="40" spans="2:22" ht="14" x14ac:dyDescent="0.3">
      <c r="B40" s="819"/>
      <c r="C40" s="819"/>
      <c r="E40" s="23" t="s">
        <v>268</v>
      </c>
      <c r="G40" s="820"/>
      <c r="H40" s="821"/>
      <c r="I40" s="821"/>
      <c r="J40" s="821"/>
      <c r="K40" s="821"/>
      <c r="L40" s="821"/>
      <c r="M40" s="821"/>
      <c r="N40" s="821"/>
      <c r="O40" s="820"/>
      <c r="P40" s="820"/>
      <c r="Q40" s="820"/>
      <c r="R40" s="820"/>
      <c r="S40" s="820"/>
      <c r="T40" s="820"/>
      <c r="U40" s="820"/>
      <c r="V40" s="820"/>
    </row>
    <row r="41" spans="2:22" ht="12.5" x14ac:dyDescent="0.3">
      <c r="B41" s="819"/>
      <c r="C41" s="819"/>
      <c r="G41" s="820"/>
      <c r="H41" s="821"/>
      <c r="I41" s="821"/>
      <c r="J41" s="821"/>
      <c r="K41" s="821"/>
      <c r="L41" s="821"/>
      <c r="M41" s="821"/>
      <c r="N41" s="821"/>
      <c r="O41" s="820"/>
      <c r="P41" s="820"/>
      <c r="Q41" s="820"/>
      <c r="R41" s="820"/>
      <c r="S41" s="820"/>
      <c r="T41" s="820"/>
      <c r="U41" s="820"/>
      <c r="V41" s="820"/>
    </row>
    <row r="42" spans="2:22" ht="14" x14ac:dyDescent="0.3">
      <c r="B42" s="819"/>
      <c r="C42" s="819"/>
      <c r="E42" s="23" t="s">
        <v>269</v>
      </c>
      <c r="G42" s="820"/>
      <c r="H42" s="821"/>
      <c r="I42" s="821"/>
      <c r="J42" s="821"/>
      <c r="K42" s="821"/>
      <c r="L42" s="821"/>
      <c r="M42" s="821"/>
      <c r="N42" s="821"/>
      <c r="O42" s="820"/>
      <c r="P42" s="820"/>
      <c r="Q42" s="820"/>
      <c r="R42" s="820"/>
      <c r="S42" s="820"/>
      <c r="T42" s="820"/>
      <c r="U42" s="820"/>
      <c r="V42" s="820"/>
    </row>
    <row r="43" spans="2:22" ht="12.5" x14ac:dyDescent="0.3">
      <c r="B43" s="819"/>
      <c r="C43" s="819"/>
      <c r="G43" s="820"/>
      <c r="H43" s="821"/>
      <c r="I43" s="821"/>
      <c r="J43" s="821"/>
      <c r="K43" s="821"/>
      <c r="L43" s="821"/>
      <c r="M43" s="821"/>
      <c r="N43" s="821"/>
      <c r="O43" s="820"/>
      <c r="P43" s="820"/>
      <c r="Q43" s="820"/>
      <c r="R43" s="820"/>
      <c r="S43" s="820"/>
      <c r="T43" s="820"/>
      <c r="U43" s="820"/>
      <c r="V43" s="820"/>
    </row>
    <row r="44" spans="2:22" ht="14" x14ac:dyDescent="0.3">
      <c r="B44" s="819"/>
      <c r="C44" s="819"/>
      <c r="E44" s="23" t="s">
        <v>270</v>
      </c>
      <c r="G44" s="820"/>
      <c r="H44" s="821"/>
      <c r="I44" s="821"/>
      <c r="J44" s="821"/>
      <c r="K44" s="821"/>
      <c r="L44" s="821"/>
      <c r="M44" s="821"/>
      <c r="N44" s="821"/>
      <c r="O44" s="821"/>
      <c r="P44" s="821"/>
      <c r="Q44" s="821"/>
      <c r="R44" s="821"/>
      <c r="S44" s="821"/>
      <c r="T44" s="821"/>
      <c r="U44" s="821"/>
      <c r="V44" s="821"/>
    </row>
    <row r="45" spans="2:22" ht="12.5" x14ac:dyDescent="0.3">
      <c r="B45" s="819"/>
      <c r="C45" s="819"/>
      <c r="G45" s="820"/>
      <c r="H45" s="821"/>
      <c r="I45" s="821"/>
      <c r="J45" s="821"/>
      <c r="K45" s="821"/>
      <c r="L45" s="821"/>
      <c r="M45" s="821"/>
      <c r="N45" s="821"/>
      <c r="O45" s="821"/>
      <c r="P45" s="821"/>
      <c r="Q45" s="821"/>
      <c r="R45" s="821"/>
      <c r="S45" s="821"/>
      <c r="T45" s="821"/>
      <c r="U45" s="821"/>
      <c r="V45" s="821"/>
    </row>
    <row r="46" spans="2:22" ht="15.5" x14ac:dyDescent="0.35">
      <c r="E46" s="52" t="s">
        <v>271</v>
      </c>
      <c r="F46" s="52"/>
      <c r="G46" s="52"/>
      <c r="H46" s="52"/>
      <c r="I46" s="52"/>
      <c r="J46" s="52"/>
      <c r="K46" s="52"/>
      <c r="L46" s="52"/>
      <c r="M46" s="52"/>
      <c r="N46" s="52"/>
      <c r="O46" s="52"/>
      <c r="P46" s="52"/>
      <c r="Q46" s="52"/>
      <c r="R46" s="52"/>
      <c r="S46" s="52"/>
      <c r="T46" s="52"/>
      <c r="U46" s="52"/>
      <c r="V46" s="52"/>
    </row>
    <row r="47" spans="2:22" customFormat="1" ht="4" customHeight="1" x14ac:dyDescent="0.35">
      <c r="B47" s="44"/>
      <c r="C47" s="43"/>
      <c r="D47" s="44"/>
      <c r="E47" s="53"/>
      <c r="F47" s="53"/>
      <c r="G47" s="53"/>
      <c r="H47" s="53"/>
      <c r="I47" s="53"/>
      <c r="J47" s="53"/>
      <c r="K47" s="53"/>
      <c r="L47" s="53"/>
      <c r="M47" s="53"/>
      <c r="N47" s="53"/>
      <c r="O47" s="53"/>
      <c r="P47" s="53"/>
      <c r="Q47" s="53"/>
      <c r="R47" s="53"/>
      <c r="S47" s="53"/>
      <c r="T47" s="53"/>
      <c r="U47" s="53"/>
      <c r="V47" s="53"/>
    </row>
    <row r="48" spans="2:22" ht="14.5" thickBot="1" x14ac:dyDescent="0.35">
      <c r="B48" s="1" t="s">
        <v>272</v>
      </c>
      <c r="C48" s="44"/>
      <c r="E48" s="54"/>
      <c r="F48" s="54"/>
      <c r="G48" s="55" t="s">
        <v>251</v>
      </c>
      <c r="H48" s="55" t="s">
        <v>263</v>
      </c>
      <c r="I48" s="55"/>
      <c r="J48" s="55"/>
      <c r="K48" s="55" t="s">
        <v>264</v>
      </c>
      <c r="L48" s="55"/>
      <c r="M48" s="55"/>
      <c r="N48" s="55"/>
      <c r="O48" s="55" t="s">
        <v>265</v>
      </c>
      <c r="P48" s="54"/>
      <c r="Q48" s="54"/>
      <c r="R48" s="54"/>
      <c r="S48" s="54"/>
      <c r="T48" s="54"/>
      <c r="U48" s="54"/>
      <c r="V48" s="54"/>
    </row>
    <row r="49" spans="2:22" ht="14" x14ac:dyDescent="0.3">
      <c r="B49" s="45" t="s">
        <v>273</v>
      </c>
      <c r="C49" s="46"/>
      <c r="E49" s="23" t="s">
        <v>274</v>
      </c>
      <c r="G49" s="822"/>
      <c r="H49" s="823"/>
      <c r="I49" s="823"/>
      <c r="J49" s="823"/>
      <c r="K49" s="823"/>
      <c r="L49" s="823"/>
      <c r="M49" s="823"/>
      <c r="N49" s="823"/>
      <c r="O49" s="823"/>
      <c r="P49" s="823"/>
      <c r="Q49" s="823"/>
      <c r="R49" s="823"/>
      <c r="S49" s="823"/>
      <c r="T49" s="823"/>
      <c r="U49" s="823"/>
      <c r="V49" s="823"/>
    </row>
    <row r="50" spans="2:22" ht="14" x14ac:dyDescent="0.3">
      <c r="B50" s="25" t="s">
        <v>275</v>
      </c>
      <c r="C50" s="61"/>
      <c r="D50" s="44" t="s">
        <v>252</v>
      </c>
      <c r="G50" s="820"/>
      <c r="H50" s="821"/>
      <c r="I50" s="821"/>
      <c r="J50" s="821"/>
      <c r="K50" s="821"/>
      <c r="L50" s="821"/>
      <c r="M50" s="821"/>
      <c r="N50" s="821"/>
      <c r="O50" s="821"/>
      <c r="P50" s="821"/>
      <c r="Q50" s="821"/>
      <c r="R50" s="821"/>
      <c r="S50" s="821"/>
      <c r="T50" s="821"/>
      <c r="U50" s="821"/>
      <c r="V50" s="821"/>
    </row>
    <row r="51" spans="2:22" ht="14" x14ac:dyDescent="0.3">
      <c r="B51" s="25" t="s">
        <v>276</v>
      </c>
      <c r="C51" s="61"/>
      <c r="D51" s="44" t="s">
        <v>252</v>
      </c>
      <c r="E51" s="23" t="s">
        <v>277</v>
      </c>
      <c r="G51" s="820"/>
      <c r="H51" s="821"/>
      <c r="I51" s="821"/>
      <c r="J51" s="821"/>
      <c r="K51" s="821"/>
      <c r="L51" s="821"/>
      <c r="M51" s="821"/>
      <c r="N51" s="821"/>
      <c r="O51" s="821"/>
      <c r="P51" s="821"/>
      <c r="Q51" s="821"/>
      <c r="R51" s="821"/>
      <c r="S51" s="821"/>
      <c r="T51" s="821"/>
      <c r="U51" s="821"/>
      <c r="V51" s="821"/>
    </row>
    <row r="52" spans="2:22" ht="13" x14ac:dyDescent="0.3">
      <c r="G52" s="820"/>
      <c r="H52" s="821"/>
      <c r="I52" s="821"/>
      <c r="J52" s="821"/>
      <c r="K52" s="821"/>
      <c r="L52" s="821"/>
      <c r="M52" s="821"/>
      <c r="N52" s="821"/>
      <c r="O52" s="821"/>
      <c r="P52" s="821"/>
      <c r="Q52" s="821"/>
      <c r="R52" s="821"/>
      <c r="S52" s="821"/>
      <c r="T52" s="821"/>
      <c r="U52" s="821"/>
      <c r="V52" s="821"/>
    </row>
    <row r="53" spans="2:22" ht="14" x14ac:dyDescent="0.3">
      <c r="E53" s="23" t="s">
        <v>278</v>
      </c>
      <c r="G53" s="820"/>
      <c r="H53" s="821"/>
      <c r="I53" s="821"/>
      <c r="J53" s="821"/>
      <c r="K53" s="821"/>
      <c r="L53" s="821"/>
      <c r="M53" s="821"/>
      <c r="N53" s="821"/>
      <c r="O53" s="821"/>
      <c r="P53" s="821"/>
      <c r="Q53" s="821"/>
      <c r="R53" s="821"/>
      <c r="S53" s="821"/>
      <c r="T53" s="821"/>
      <c r="U53" s="821"/>
      <c r="V53" s="821"/>
    </row>
    <row r="54" spans="2:22" ht="13" x14ac:dyDescent="0.3">
      <c r="G54" s="820"/>
      <c r="H54" s="821"/>
      <c r="I54" s="821"/>
      <c r="J54" s="821"/>
      <c r="K54" s="821"/>
      <c r="L54" s="821"/>
      <c r="M54" s="821"/>
      <c r="N54" s="821"/>
      <c r="O54" s="821"/>
      <c r="P54" s="821"/>
      <c r="Q54" s="821"/>
      <c r="R54" s="821"/>
      <c r="S54" s="821"/>
      <c r="T54" s="821"/>
      <c r="U54" s="821"/>
      <c r="V54" s="821"/>
    </row>
    <row r="55" spans="2:22" ht="14" x14ac:dyDescent="0.3">
      <c r="E55" s="23" t="s">
        <v>279</v>
      </c>
      <c r="G55" s="820"/>
      <c r="H55" s="821"/>
      <c r="I55" s="821"/>
      <c r="J55" s="821"/>
      <c r="K55" s="821"/>
      <c r="L55" s="821"/>
      <c r="M55" s="821"/>
      <c r="N55" s="821"/>
      <c r="O55" s="821"/>
      <c r="P55" s="821"/>
      <c r="Q55" s="821"/>
      <c r="R55" s="821"/>
      <c r="S55" s="821"/>
      <c r="T55" s="821"/>
      <c r="U55" s="821"/>
      <c r="V55" s="821"/>
    </row>
    <row r="56" spans="2:22" ht="13" x14ac:dyDescent="0.3">
      <c r="G56" s="820"/>
      <c r="H56" s="821"/>
      <c r="I56" s="821"/>
      <c r="J56" s="821"/>
      <c r="K56" s="821"/>
      <c r="L56" s="821"/>
      <c r="M56" s="821"/>
      <c r="N56" s="821"/>
      <c r="O56" s="821"/>
      <c r="P56" s="821"/>
      <c r="Q56" s="821"/>
      <c r="R56" s="821"/>
      <c r="S56" s="821"/>
      <c r="T56" s="821"/>
      <c r="U56" s="821"/>
      <c r="V56" s="821"/>
    </row>
    <row r="57" spans="2:22" ht="32.25" customHeight="1" x14ac:dyDescent="0.3">
      <c r="E57" s="23" t="s">
        <v>280</v>
      </c>
      <c r="G57" s="820"/>
      <c r="H57" s="821"/>
      <c r="I57" s="821"/>
      <c r="J57" s="821"/>
      <c r="K57" s="821"/>
      <c r="L57" s="821"/>
      <c r="M57" s="821"/>
      <c r="N57" s="821"/>
      <c r="O57" s="821"/>
      <c r="P57" s="821"/>
      <c r="Q57" s="821"/>
      <c r="R57" s="821"/>
      <c r="S57" s="821"/>
      <c r="T57" s="821"/>
      <c r="U57" s="821"/>
      <c r="V57" s="821"/>
    </row>
    <row r="58" spans="2:22" ht="13" x14ac:dyDescent="0.3">
      <c r="G58" s="820"/>
      <c r="H58" s="821"/>
      <c r="I58" s="821"/>
      <c r="J58" s="821"/>
      <c r="K58" s="821"/>
      <c r="L58" s="821"/>
      <c r="M58" s="821"/>
      <c r="N58" s="821"/>
      <c r="O58" s="821"/>
      <c r="P58" s="821"/>
      <c r="Q58" s="821"/>
      <c r="R58" s="821"/>
      <c r="S58" s="821"/>
      <c r="T58" s="821"/>
      <c r="U58" s="821"/>
      <c r="V58" s="821"/>
    </row>
    <row r="59" spans="2:22" ht="20.25" customHeight="1" x14ac:dyDescent="0.3">
      <c r="E59" s="23" t="s">
        <v>281</v>
      </c>
      <c r="G59" s="820"/>
      <c r="H59" s="821"/>
      <c r="I59" s="821"/>
      <c r="J59" s="821"/>
      <c r="K59" s="821"/>
      <c r="L59" s="821"/>
      <c r="M59" s="821"/>
      <c r="N59" s="821"/>
      <c r="O59" s="821"/>
      <c r="P59" s="821"/>
      <c r="Q59" s="821"/>
      <c r="R59" s="821"/>
      <c r="S59" s="821"/>
      <c r="T59" s="821"/>
      <c r="U59" s="821"/>
      <c r="V59" s="821"/>
    </row>
    <row r="60" spans="2:22" ht="20.25" customHeight="1" x14ac:dyDescent="0.3">
      <c r="G60" s="820"/>
      <c r="H60" s="821"/>
      <c r="I60" s="821"/>
      <c r="J60" s="821"/>
      <c r="K60" s="821"/>
      <c r="L60" s="821"/>
      <c r="M60" s="821"/>
      <c r="N60" s="821"/>
      <c r="O60" s="821"/>
      <c r="P60" s="821"/>
      <c r="Q60" s="821"/>
      <c r="R60" s="821"/>
      <c r="S60" s="821"/>
      <c r="T60" s="821"/>
      <c r="U60" s="821"/>
      <c r="V60" s="821"/>
    </row>
    <row r="61" spans="2:22" ht="15" customHeight="1" x14ac:dyDescent="0.3">
      <c r="E61" s="23" t="s">
        <v>282</v>
      </c>
      <c r="G61" s="820"/>
      <c r="H61" s="821"/>
      <c r="I61" s="821"/>
      <c r="J61" s="821"/>
      <c r="K61" s="821"/>
      <c r="L61" s="821"/>
      <c r="M61" s="821"/>
      <c r="N61" s="821"/>
      <c r="O61" s="820"/>
      <c r="P61" s="820"/>
      <c r="Q61" s="820"/>
      <c r="R61" s="820"/>
      <c r="S61" s="820"/>
      <c r="T61" s="820"/>
      <c r="U61" s="820"/>
      <c r="V61" s="820"/>
    </row>
    <row r="62" spans="2:22" ht="13" x14ac:dyDescent="0.3">
      <c r="G62" s="820"/>
      <c r="H62" s="821"/>
      <c r="I62" s="821"/>
      <c r="J62" s="821"/>
      <c r="K62" s="821"/>
      <c r="L62" s="821"/>
      <c r="M62" s="821"/>
      <c r="N62" s="821"/>
      <c r="O62" s="820"/>
      <c r="P62" s="820"/>
      <c r="Q62" s="820"/>
      <c r="R62" s="820"/>
      <c r="S62" s="820"/>
      <c r="T62" s="820"/>
      <c r="U62" s="820"/>
      <c r="V62" s="820"/>
    </row>
    <row r="63" spans="2:22" ht="27.75" customHeight="1" x14ac:dyDescent="0.3">
      <c r="E63" s="23" t="s">
        <v>283</v>
      </c>
      <c r="G63" s="820"/>
      <c r="H63" s="821"/>
      <c r="I63" s="821"/>
      <c r="J63" s="821"/>
      <c r="K63" s="821"/>
      <c r="L63" s="821"/>
      <c r="M63" s="821"/>
      <c r="N63" s="821"/>
      <c r="O63" s="821"/>
      <c r="P63" s="821"/>
      <c r="Q63" s="821"/>
      <c r="R63" s="821"/>
      <c r="S63" s="821"/>
      <c r="T63" s="821"/>
      <c r="U63" s="821"/>
      <c r="V63" s="821"/>
    </row>
    <row r="64" spans="2:22" ht="27.75" customHeight="1" x14ac:dyDescent="0.3">
      <c r="G64" s="820"/>
      <c r="H64" s="821"/>
      <c r="I64" s="821"/>
      <c r="J64" s="821"/>
      <c r="K64" s="821"/>
      <c r="L64" s="821"/>
      <c r="M64" s="821"/>
      <c r="N64" s="821"/>
      <c r="O64" s="821"/>
      <c r="P64" s="821"/>
      <c r="Q64" s="821"/>
      <c r="R64" s="821"/>
      <c r="S64" s="821"/>
      <c r="T64" s="821"/>
      <c r="U64" s="821"/>
      <c r="V64" s="821"/>
    </row>
    <row r="65" spans="2:22" ht="24" customHeight="1" x14ac:dyDescent="0.3">
      <c r="E65" s="23" t="s">
        <v>284</v>
      </c>
      <c r="G65" s="820"/>
      <c r="H65" s="821"/>
      <c r="I65" s="821"/>
      <c r="J65" s="821"/>
      <c r="K65" s="821"/>
      <c r="L65" s="821"/>
      <c r="M65" s="821"/>
      <c r="N65" s="821"/>
      <c r="O65" s="821"/>
      <c r="P65" s="821"/>
      <c r="Q65" s="821"/>
      <c r="R65" s="821"/>
      <c r="S65" s="821"/>
      <c r="T65" s="821"/>
      <c r="U65" s="821"/>
      <c r="V65" s="821"/>
    </row>
    <row r="66" spans="2:22" ht="32.25" customHeight="1" x14ac:dyDescent="0.3">
      <c r="G66" s="820"/>
      <c r="H66" s="821"/>
      <c r="I66" s="821"/>
      <c r="J66" s="821"/>
      <c r="K66" s="821"/>
      <c r="L66" s="821"/>
      <c r="M66" s="821"/>
      <c r="N66" s="821"/>
      <c r="O66" s="821"/>
      <c r="P66" s="821"/>
      <c r="Q66" s="821"/>
      <c r="R66" s="821"/>
      <c r="S66" s="821"/>
      <c r="T66" s="821"/>
      <c r="U66" s="821"/>
      <c r="V66" s="821"/>
    </row>
    <row r="67" spans="2:22" ht="14" x14ac:dyDescent="0.3">
      <c r="E67" s="23" t="s">
        <v>285</v>
      </c>
      <c r="G67" s="820"/>
      <c r="H67" s="821"/>
      <c r="I67" s="821"/>
      <c r="J67" s="821"/>
      <c r="K67" s="821"/>
      <c r="L67" s="821"/>
      <c r="M67" s="821"/>
      <c r="N67" s="821"/>
      <c r="O67" s="821"/>
      <c r="P67" s="821"/>
      <c r="Q67" s="821"/>
      <c r="R67" s="821"/>
      <c r="S67" s="821"/>
      <c r="T67" s="821"/>
      <c r="U67" s="821"/>
      <c r="V67" s="821"/>
    </row>
    <row r="68" spans="2:22" ht="14" x14ac:dyDescent="0.3">
      <c r="E68" s="23"/>
      <c r="G68" s="820"/>
      <c r="H68" s="821"/>
      <c r="I68" s="821"/>
      <c r="J68" s="821"/>
      <c r="K68" s="821"/>
      <c r="L68" s="821"/>
      <c r="M68" s="821"/>
      <c r="N68" s="821"/>
      <c r="O68" s="821"/>
      <c r="P68" s="821"/>
      <c r="Q68" s="821"/>
      <c r="R68" s="821"/>
      <c r="S68" s="821"/>
      <c r="T68" s="821"/>
      <c r="U68" s="821"/>
      <c r="V68" s="821"/>
    </row>
    <row r="69" spans="2:22" ht="33" customHeight="1" x14ac:dyDescent="0.3">
      <c r="E69" s="23" t="s">
        <v>286</v>
      </c>
      <c r="G69" s="820"/>
      <c r="H69" s="821"/>
      <c r="I69" s="821"/>
      <c r="J69" s="821"/>
      <c r="K69" s="821"/>
      <c r="L69" s="821"/>
      <c r="M69" s="821"/>
      <c r="N69" s="821"/>
      <c r="O69" s="821"/>
      <c r="P69" s="821"/>
      <c r="Q69" s="821"/>
      <c r="R69" s="821"/>
      <c r="S69" s="821"/>
      <c r="T69" s="821"/>
      <c r="U69" s="821"/>
      <c r="V69" s="821"/>
    </row>
    <row r="70" spans="2:22" ht="13" x14ac:dyDescent="0.3">
      <c r="G70" s="820"/>
      <c r="H70" s="821"/>
      <c r="I70" s="821"/>
      <c r="J70" s="821"/>
      <c r="K70" s="821"/>
      <c r="L70" s="821"/>
      <c r="M70" s="821"/>
      <c r="N70" s="821"/>
      <c r="O70" s="821"/>
      <c r="P70" s="821"/>
      <c r="Q70" s="821"/>
      <c r="R70" s="821"/>
      <c r="S70" s="821"/>
      <c r="T70" s="821"/>
      <c r="U70" s="821"/>
      <c r="V70" s="821"/>
    </row>
    <row r="71" spans="2:22" ht="15.5" x14ac:dyDescent="0.35">
      <c r="E71" s="52" t="s">
        <v>287</v>
      </c>
      <c r="F71" s="52"/>
      <c r="G71" s="52"/>
      <c r="H71" s="52"/>
      <c r="I71" s="52"/>
      <c r="J71" s="52"/>
      <c r="K71" s="52"/>
      <c r="L71" s="52"/>
      <c r="M71" s="52"/>
      <c r="N71" s="52"/>
      <c r="O71" s="52"/>
      <c r="P71" s="52"/>
      <c r="Q71" s="52"/>
      <c r="R71" s="52"/>
      <c r="S71" s="52"/>
      <c r="T71" s="52"/>
      <c r="U71" s="52"/>
      <c r="V71" s="52"/>
    </row>
    <row r="72" spans="2:22" customFormat="1" ht="4" customHeight="1" x14ac:dyDescent="0.35">
      <c r="B72" s="44"/>
      <c r="C72" s="43"/>
      <c r="D72" s="44"/>
      <c r="E72" s="53"/>
      <c r="F72" s="53"/>
      <c r="G72" s="53"/>
      <c r="H72" s="53"/>
      <c r="I72" s="53"/>
      <c r="J72" s="53"/>
      <c r="K72" s="53"/>
      <c r="L72" s="53"/>
      <c r="M72" s="53"/>
      <c r="N72" s="53"/>
      <c r="O72" s="53"/>
      <c r="P72" s="53"/>
      <c r="Q72" s="53"/>
      <c r="R72" s="53"/>
      <c r="S72" s="53"/>
      <c r="T72" s="53"/>
      <c r="U72" s="53"/>
      <c r="V72" s="53"/>
    </row>
    <row r="73" spans="2:22" ht="13.5" thickBot="1" x14ac:dyDescent="0.35">
      <c r="E73" s="54"/>
      <c r="F73" s="54"/>
      <c r="G73" s="55" t="s">
        <v>251</v>
      </c>
      <c r="H73" s="55" t="s">
        <v>263</v>
      </c>
      <c r="I73" s="55"/>
      <c r="J73" s="55"/>
      <c r="K73" s="55" t="s">
        <v>264</v>
      </c>
      <c r="L73" s="55"/>
      <c r="M73" s="55"/>
      <c r="N73" s="55"/>
      <c r="O73" s="55" t="s">
        <v>265</v>
      </c>
      <c r="P73" s="54"/>
      <c r="Q73" s="54"/>
      <c r="R73" s="54"/>
      <c r="S73" s="54"/>
      <c r="T73" s="54"/>
      <c r="U73" s="54"/>
      <c r="V73" s="54"/>
    </row>
    <row r="74" spans="2:22" ht="25.5" customHeight="1" x14ac:dyDescent="0.3">
      <c r="E74" s="23" t="s">
        <v>288</v>
      </c>
      <c r="G74" s="822"/>
      <c r="H74" s="823"/>
      <c r="I74" s="823"/>
      <c r="J74" s="823"/>
      <c r="K74" s="823"/>
      <c r="L74" s="823"/>
      <c r="M74" s="823"/>
      <c r="N74" s="823"/>
      <c r="O74" s="823"/>
      <c r="P74" s="823"/>
      <c r="Q74" s="823"/>
      <c r="R74" s="823"/>
      <c r="S74" s="823"/>
      <c r="T74" s="823"/>
      <c r="U74" s="823"/>
      <c r="V74" s="823"/>
    </row>
    <row r="75" spans="2:22" ht="25.5" customHeight="1" x14ac:dyDescent="0.3">
      <c r="G75" s="820"/>
      <c r="H75" s="821"/>
      <c r="I75" s="821"/>
      <c r="J75" s="821"/>
      <c r="K75" s="821"/>
      <c r="L75" s="821"/>
      <c r="M75" s="821"/>
      <c r="N75" s="821"/>
      <c r="O75" s="821"/>
      <c r="P75" s="821"/>
      <c r="Q75" s="821"/>
      <c r="R75" s="821"/>
      <c r="S75" s="821"/>
      <c r="T75" s="821"/>
      <c r="U75" s="821"/>
      <c r="V75" s="821"/>
    </row>
    <row r="76" spans="2:22" ht="14.15" customHeight="1" x14ac:dyDescent="0.3">
      <c r="E76" s="23" t="s">
        <v>289</v>
      </c>
      <c r="G76" s="820"/>
      <c r="H76" s="821"/>
      <c r="I76" s="821"/>
      <c r="J76" s="821"/>
      <c r="K76" s="821"/>
      <c r="L76" s="821"/>
      <c r="M76" s="821"/>
      <c r="N76" s="821"/>
      <c r="O76" s="820"/>
      <c r="P76" s="820"/>
      <c r="Q76" s="820"/>
      <c r="R76" s="820"/>
      <c r="S76" s="820"/>
      <c r="T76" s="820"/>
      <c r="U76" s="820"/>
      <c r="V76" s="820"/>
    </row>
    <row r="77" spans="2:22" ht="12.65" customHeight="1" x14ac:dyDescent="0.3">
      <c r="G77" s="820"/>
      <c r="H77" s="821"/>
      <c r="I77" s="821"/>
      <c r="J77" s="821"/>
      <c r="K77" s="821"/>
      <c r="L77" s="821"/>
      <c r="M77" s="821"/>
      <c r="N77" s="821"/>
      <c r="O77" s="820"/>
      <c r="P77" s="820"/>
      <c r="Q77" s="820"/>
      <c r="R77" s="820"/>
      <c r="S77" s="820"/>
      <c r="T77" s="820"/>
      <c r="U77" s="820"/>
      <c r="V77" s="820"/>
    </row>
    <row r="78" spans="2:22" ht="14.15" customHeight="1" x14ac:dyDescent="0.3">
      <c r="E78" s="23" t="s">
        <v>290</v>
      </c>
      <c r="G78" s="820"/>
      <c r="H78" s="821"/>
      <c r="I78" s="821"/>
      <c r="J78" s="821"/>
      <c r="K78" s="821"/>
      <c r="L78" s="821"/>
      <c r="M78" s="821"/>
      <c r="N78" s="821"/>
      <c r="O78" s="820"/>
      <c r="P78" s="820"/>
      <c r="Q78" s="820"/>
      <c r="R78" s="820"/>
      <c r="S78" s="820"/>
      <c r="T78" s="820"/>
      <c r="U78" s="820"/>
      <c r="V78" s="820"/>
    </row>
    <row r="79" spans="2:22" ht="12.65" customHeight="1" x14ac:dyDescent="0.3">
      <c r="G79" s="820"/>
      <c r="H79" s="821"/>
      <c r="I79" s="821"/>
      <c r="J79" s="821"/>
      <c r="K79" s="821"/>
      <c r="L79" s="821"/>
      <c r="M79" s="821"/>
      <c r="N79" s="821"/>
      <c r="O79" s="820"/>
      <c r="P79" s="820"/>
      <c r="Q79" s="820"/>
      <c r="R79" s="820"/>
      <c r="S79" s="820"/>
      <c r="T79" s="820"/>
      <c r="U79" s="820"/>
      <c r="V79" s="820"/>
    </row>
    <row r="80" spans="2:22" ht="14.15" customHeight="1" x14ac:dyDescent="0.3">
      <c r="E80" s="23" t="s">
        <v>291</v>
      </c>
      <c r="G80" s="820"/>
      <c r="H80" s="821"/>
      <c r="I80" s="821"/>
      <c r="J80" s="821"/>
      <c r="K80" s="821"/>
      <c r="L80" s="821"/>
      <c r="M80" s="821"/>
      <c r="N80" s="821"/>
      <c r="O80" s="820"/>
      <c r="P80" s="820"/>
      <c r="Q80" s="820"/>
      <c r="R80" s="820"/>
      <c r="S80" s="820"/>
      <c r="T80" s="820"/>
      <c r="U80" s="820"/>
      <c r="V80" s="820"/>
    </row>
    <row r="81" spans="5:22" ht="12.65" customHeight="1" x14ac:dyDescent="0.3">
      <c r="G81" s="820"/>
      <c r="H81" s="821"/>
      <c r="I81" s="821"/>
      <c r="J81" s="821"/>
      <c r="K81" s="821"/>
      <c r="L81" s="821"/>
      <c r="M81" s="821"/>
      <c r="N81" s="821"/>
      <c r="O81" s="820"/>
      <c r="P81" s="820"/>
      <c r="Q81" s="820"/>
      <c r="R81" s="820"/>
      <c r="S81" s="820"/>
      <c r="T81" s="820"/>
      <c r="U81" s="820"/>
      <c r="V81" s="820"/>
    </row>
    <row r="82" spans="5:22" ht="14" x14ac:dyDescent="0.3">
      <c r="E82" s="23" t="s">
        <v>292</v>
      </c>
      <c r="G82" s="824"/>
      <c r="H82" s="821"/>
      <c r="I82" s="821"/>
      <c r="J82" s="821"/>
      <c r="K82" s="821"/>
      <c r="L82" s="821"/>
      <c r="M82" s="821"/>
      <c r="N82" s="821"/>
      <c r="O82" s="820"/>
      <c r="P82" s="820"/>
      <c r="Q82" s="820"/>
      <c r="R82" s="820"/>
      <c r="S82" s="820"/>
      <c r="T82" s="820"/>
      <c r="U82" s="820"/>
      <c r="V82" s="820"/>
    </row>
    <row r="83" spans="5:22" ht="13" x14ac:dyDescent="0.3">
      <c r="G83" s="824"/>
      <c r="H83" s="821"/>
      <c r="I83" s="821"/>
      <c r="J83" s="821"/>
      <c r="K83" s="821"/>
      <c r="L83" s="821"/>
      <c r="M83" s="821"/>
      <c r="N83" s="821"/>
      <c r="O83" s="820"/>
      <c r="P83" s="820"/>
      <c r="Q83" s="820"/>
      <c r="R83" s="820"/>
      <c r="S83" s="820"/>
      <c r="T83" s="820"/>
      <c r="U83" s="820"/>
      <c r="V83" s="820"/>
    </row>
    <row r="84" spans="5:22" ht="14.15" customHeight="1" x14ac:dyDescent="0.3">
      <c r="E84" s="23" t="s">
        <v>293</v>
      </c>
      <c r="G84" s="820"/>
      <c r="H84" s="821"/>
      <c r="I84" s="821"/>
      <c r="J84" s="821"/>
      <c r="K84" s="821"/>
      <c r="L84" s="821"/>
      <c r="M84" s="821"/>
      <c r="N84" s="821"/>
      <c r="O84" s="820"/>
      <c r="P84" s="820"/>
      <c r="Q84" s="820"/>
      <c r="R84" s="820"/>
      <c r="S84" s="820"/>
      <c r="T84" s="820"/>
      <c r="U84" s="820"/>
      <c r="V84" s="820"/>
    </row>
    <row r="85" spans="5:22" ht="12.65" customHeight="1" x14ac:dyDescent="0.3">
      <c r="G85" s="820"/>
      <c r="H85" s="821"/>
      <c r="I85" s="821"/>
      <c r="J85" s="821"/>
      <c r="K85" s="821"/>
      <c r="L85" s="821"/>
      <c r="M85" s="821"/>
      <c r="N85" s="821"/>
      <c r="O85" s="820"/>
      <c r="P85" s="820"/>
      <c r="Q85" s="820"/>
      <c r="R85" s="820"/>
      <c r="S85" s="820"/>
      <c r="T85" s="820"/>
      <c r="U85" s="820"/>
      <c r="V85" s="820"/>
    </row>
    <row r="86" spans="5:22" ht="14.15" customHeight="1" x14ac:dyDescent="0.3">
      <c r="E86" s="23" t="s">
        <v>294</v>
      </c>
      <c r="G86" s="820"/>
      <c r="H86" s="821"/>
      <c r="I86" s="821"/>
      <c r="J86" s="821"/>
      <c r="K86" s="821"/>
      <c r="L86" s="821"/>
      <c r="M86" s="821"/>
      <c r="N86" s="821"/>
      <c r="O86" s="820"/>
      <c r="P86" s="820"/>
      <c r="Q86" s="820"/>
      <c r="R86" s="820"/>
      <c r="S86" s="820"/>
      <c r="T86" s="820"/>
      <c r="U86" s="820"/>
      <c r="V86" s="820"/>
    </row>
    <row r="87" spans="5:22" ht="12.65" customHeight="1" x14ac:dyDescent="0.3">
      <c r="G87" s="820"/>
      <c r="H87" s="821"/>
      <c r="I87" s="821"/>
      <c r="J87" s="821"/>
      <c r="K87" s="821"/>
      <c r="L87" s="821"/>
      <c r="M87" s="821"/>
      <c r="N87" s="821"/>
      <c r="O87" s="820"/>
      <c r="P87" s="820"/>
      <c r="Q87" s="820"/>
      <c r="R87" s="820"/>
      <c r="S87" s="820"/>
      <c r="T87" s="820"/>
      <c r="U87" s="820"/>
      <c r="V87" s="820"/>
    </row>
    <row r="88" spans="5:22" ht="14.15" customHeight="1" x14ac:dyDescent="0.3">
      <c r="E88" s="23" t="s">
        <v>295</v>
      </c>
      <c r="G88" s="820"/>
      <c r="H88" s="821"/>
      <c r="I88" s="821"/>
      <c r="J88" s="821"/>
      <c r="K88" s="821"/>
      <c r="L88" s="821"/>
      <c r="M88" s="821"/>
      <c r="N88" s="821"/>
      <c r="O88" s="820"/>
      <c r="P88" s="820"/>
      <c r="Q88" s="820"/>
      <c r="R88" s="820"/>
      <c r="S88" s="820"/>
      <c r="T88" s="820"/>
      <c r="U88" s="820"/>
      <c r="V88" s="820"/>
    </row>
    <row r="89" spans="5:22" ht="13.4" customHeight="1" x14ac:dyDescent="0.3">
      <c r="E89" s="23"/>
      <c r="G89" s="820"/>
      <c r="H89" s="821"/>
      <c r="I89" s="821"/>
      <c r="J89" s="821"/>
      <c r="K89" s="821"/>
      <c r="L89" s="821"/>
      <c r="M89" s="821"/>
      <c r="N89" s="821"/>
      <c r="O89" s="820"/>
      <c r="P89" s="820"/>
      <c r="Q89" s="820"/>
      <c r="R89" s="820"/>
      <c r="S89" s="820"/>
      <c r="T89" s="820"/>
      <c r="U89" s="820"/>
      <c r="V89" s="820"/>
    </row>
    <row r="90" spans="5:22" ht="14.15" customHeight="1" x14ac:dyDescent="0.3">
      <c r="E90" s="23" t="s">
        <v>296</v>
      </c>
      <c r="G90" s="820"/>
      <c r="H90" s="821"/>
      <c r="I90" s="821"/>
      <c r="J90" s="821"/>
      <c r="K90" s="821"/>
      <c r="L90" s="821"/>
      <c r="M90" s="821"/>
      <c r="N90" s="821"/>
      <c r="O90" s="820"/>
      <c r="P90" s="820"/>
      <c r="Q90" s="820"/>
      <c r="R90" s="820"/>
      <c r="S90" s="820"/>
      <c r="T90" s="820"/>
      <c r="U90" s="820"/>
      <c r="V90" s="820"/>
    </row>
    <row r="91" spans="5:22" ht="14.15" customHeight="1" x14ac:dyDescent="0.3">
      <c r="E91" s="23"/>
      <c r="G91" s="820"/>
      <c r="H91" s="821"/>
      <c r="I91" s="821"/>
      <c r="J91" s="821"/>
      <c r="K91" s="821"/>
      <c r="L91" s="821"/>
      <c r="M91" s="821"/>
      <c r="N91" s="821"/>
      <c r="O91" s="820"/>
      <c r="P91" s="820"/>
      <c r="Q91" s="820"/>
      <c r="R91" s="820"/>
      <c r="S91" s="820"/>
      <c r="T91" s="820"/>
      <c r="U91" s="820"/>
      <c r="V91" s="820"/>
    </row>
    <row r="92" spans="5:22" ht="14.15" customHeight="1" x14ac:dyDescent="0.3">
      <c r="E92" s="23" t="s">
        <v>297</v>
      </c>
      <c r="G92" s="820"/>
      <c r="H92" s="821"/>
      <c r="I92" s="821"/>
      <c r="J92" s="821"/>
      <c r="K92" s="821"/>
      <c r="L92" s="821"/>
      <c r="M92" s="821"/>
      <c r="N92" s="821"/>
      <c r="O92" s="820"/>
      <c r="P92" s="820"/>
      <c r="Q92" s="820"/>
      <c r="R92" s="820"/>
      <c r="S92" s="820"/>
      <c r="T92" s="820"/>
      <c r="U92" s="820"/>
      <c r="V92" s="820"/>
    </row>
    <row r="93" spans="5:22" ht="12.65" customHeight="1" x14ac:dyDescent="0.3">
      <c r="G93" s="820"/>
      <c r="H93" s="821"/>
      <c r="I93" s="821"/>
      <c r="J93" s="821"/>
      <c r="K93" s="821"/>
      <c r="L93" s="821"/>
      <c r="M93" s="821"/>
      <c r="N93" s="821"/>
      <c r="O93" s="820"/>
      <c r="P93" s="820"/>
      <c r="Q93" s="820"/>
      <c r="R93" s="820"/>
      <c r="S93" s="820"/>
      <c r="T93" s="820"/>
      <c r="U93" s="820"/>
      <c r="V93" s="820"/>
    </row>
    <row r="94" spans="5:22" ht="14.15" customHeight="1" x14ac:dyDescent="0.3">
      <c r="E94" s="23" t="s">
        <v>298</v>
      </c>
      <c r="G94" s="820"/>
      <c r="H94" s="821"/>
      <c r="I94" s="821"/>
      <c r="J94" s="821"/>
      <c r="K94" s="821"/>
      <c r="L94" s="821"/>
      <c r="M94" s="821"/>
      <c r="N94" s="821"/>
      <c r="O94" s="820"/>
      <c r="P94" s="820"/>
      <c r="Q94" s="820"/>
      <c r="R94" s="820"/>
      <c r="S94" s="820"/>
      <c r="T94" s="820"/>
      <c r="U94" s="820"/>
      <c r="V94" s="820"/>
    </row>
    <row r="95" spans="5:22" ht="12.65" customHeight="1" x14ac:dyDescent="0.3">
      <c r="G95" s="820"/>
      <c r="H95" s="821"/>
      <c r="I95" s="821"/>
      <c r="J95" s="821"/>
      <c r="K95" s="821"/>
      <c r="L95" s="821"/>
      <c r="M95" s="821"/>
      <c r="N95" s="821"/>
      <c r="O95" s="820"/>
      <c r="P95" s="820"/>
      <c r="Q95" s="820"/>
      <c r="R95" s="820"/>
      <c r="S95" s="820"/>
      <c r="T95" s="820"/>
      <c r="U95" s="820"/>
      <c r="V95" s="820"/>
    </row>
  </sheetData>
  <mergeCells count="122">
    <mergeCell ref="G94:G95"/>
    <mergeCell ref="H94:J95"/>
    <mergeCell ref="K94:N95"/>
    <mergeCell ref="O94:V95"/>
    <mergeCell ref="G90:G91"/>
    <mergeCell ref="H90:J91"/>
    <mergeCell ref="K90:N91"/>
    <mergeCell ref="O90:V91"/>
    <mergeCell ref="G92:G93"/>
    <mergeCell ref="H92:J93"/>
    <mergeCell ref="K92:N93"/>
    <mergeCell ref="O92:V93"/>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dataValidations count="1">
    <dataValidation type="list" allowBlank="1" showInputMessage="1" showErrorMessage="1" sqref="F6" xr:uid="{00000000-0002-0000-0400-000000000000}">
      <formula1>#REF!</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zoomScale="65" zoomScaleNormal="85" workbookViewId="0">
      <selection activeCell="G78" sqref="G78"/>
    </sheetView>
  </sheetViews>
  <sheetFormatPr defaultColWidth="8.83203125" defaultRowHeight="14" x14ac:dyDescent="0.3"/>
  <cols>
    <col min="1" max="1" width="2.58203125" customWidth="1"/>
    <col min="5" max="5" width="30.58203125" customWidth="1"/>
    <col min="6" max="6" width="13.08203125" customWidth="1"/>
    <col min="7" max="17" width="11.08203125" customWidth="1"/>
    <col min="18" max="18" width="20.58203125" style="6" customWidth="1"/>
  </cols>
  <sheetData>
    <row r="2" spans="1:18" s="38" customFormat="1" ht="20.25" customHeight="1" x14ac:dyDescent="0.4">
      <c r="B2" s="680" t="s">
        <v>299</v>
      </c>
      <c r="R2" s="721"/>
    </row>
    <row r="4" spans="1:18" ht="15.5" x14ac:dyDescent="0.35">
      <c r="A4" t="s">
        <v>300</v>
      </c>
      <c r="B4" s="234" t="s">
        <v>301</v>
      </c>
      <c r="C4" s="56"/>
      <c r="D4" s="56"/>
      <c r="E4" s="56"/>
      <c r="F4" s="56"/>
      <c r="G4" s="235">
        <v>2014</v>
      </c>
      <c r="H4" s="235">
        <f>+G4+1</f>
        <v>2015</v>
      </c>
      <c r="I4" s="235">
        <f t="shared" ref="I4:M4" si="0">+H4+1</f>
        <v>2016</v>
      </c>
      <c r="J4" s="235">
        <f t="shared" si="0"/>
        <v>2017</v>
      </c>
      <c r="K4" s="235">
        <f t="shared" si="0"/>
        <v>2018</v>
      </c>
      <c r="L4" s="235">
        <f t="shared" si="0"/>
        <v>2019</v>
      </c>
      <c r="M4" s="235">
        <f t="shared" si="0"/>
        <v>2020</v>
      </c>
      <c r="N4" s="235">
        <f>+M4+1</f>
        <v>2021</v>
      </c>
      <c r="O4" s="235">
        <f>+N4+1</f>
        <v>2022</v>
      </c>
      <c r="P4" s="235">
        <f t="shared" ref="P4" si="1">+O4+1</f>
        <v>2023</v>
      </c>
      <c r="Q4" s="235">
        <f>+P4+1</f>
        <v>2024</v>
      </c>
      <c r="R4" s="58" t="str">
        <f>"CAGR "&amp;$G$4&amp;" - "&amp;$Q$4</f>
        <v>CAGR 2014 - 2024</v>
      </c>
    </row>
    <row r="5" spans="1:18" ht="3.75" customHeight="1" x14ac:dyDescent="0.35">
      <c r="B5" s="53"/>
      <c r="C5" s="53"/>
      <c r="D5" s="53"/>
      <c r="E5" s="53"/>
      <c r="F5" s="53"/>
      <c r="G5" s="236"/>
      <c r="H5" s="236"/>
      <c r="I5" s="236"/>
      <c r="J5" s="236"/>
      <c r="K5" s="236"/>
      <c r="L5" s="236"/>
      <c r="M5" s="236"/>
      <c r="N5" s="236"/>
      <c r="O5" s="236"/>
      <c r="P5" s="236"/>
      <c r="Q5" s="236"/>
      <c r="R5" s="60"/>
    </row>
    <row r="6" spans="1:18" x14ac:dyDescent="0.3">
      <c r="B6" t="str">
        <f ca="1">+Peers!B6</f>
        <v>ADVANCED MICRO DEVICES, INC.</v>
      </c>
      <c r="G6" s="214"/>
      <c r="H6" s="214"/>
      <c r="I6" s="214"/>
      <c r="J6" s="214"/>
      <c r="K6" s="214"/>
      <c r="L6" s="214"/>
      <c r="M6" s="214"/>
      <c r="N6" s="214"/>
      <c r="O6" s="214"/>
      <c r="P6" s="214"/>
      <c r="Q6" s="214"/>
      <c r="R6" s="722" t="str">
        <f t="shared" ref="R6:R16" si="2">IFERROR((Q6/G6)^(1/COUNT($G$4:$Q$4))-1,"")</f>
        <v/>
      </c>
    </row>
    <row r="7" spans="1:18" x14ac:dyDescent="0.3">
      <c r="B7" s="685" t="str">
        <f>+Peers!B8</f>
        <v/>
      </c>
      <c r="C7" s="685"/>
      <c r="D7" s="685"/>
      <c r="E7" s="685"/>
      <c r="F7" s="685"/>
      <c r="G7" s="686"/>
      <c r="H7" s="686"/>
      <c r="I7" s="686"/>
      <c r="J7" s="686"/>
      <c r="K7" s="686"/>
      <c r="L7" s="686"/>
      <c r="M7" s="686"/>
      <c r="N7" s="686"/>
      <c r="O7" s="686"/>
      <c r="P7" s="686"/>
      <c r="Q7" s="686"/>
      <c r="R7" s="723" t="str">
        <f t="shared" si="2"/>
        <v/>
      </c>
    </row>
    <row r="8" spans="1:18" x14ac:dyDescent="0.3">
      <c r="B8" t="str">
        <f>+Peers!B9</f>
        <v/>
      </c>
      <c r="G8" s="214"/>
      <c r="H8" s="214"/>
      <c r="I8" s="214"/>
      <c r="J8" s="214"/>
      <c r="K8" s="214"/>
      <c r="L8" s="214"/>
      <c r="M8" s="214"/>
      <c r="N8" s="214"/>
      <c r="O8" s="214"/>
      <c r="P8" s="214"/>
      <c r="Q8" s="214"/>
      <c r="R8" s="722" t="str">
        <f t="shared" si="2"/>
        <v/>
      </c>
    </row>
    <row r="9" spans="1:18" x14ac:dyDescent="0.3">
      <c r="B9" s="685" t="str">
        <f>+Peers!B10</f>
        <v/>
      </c>
      <c r="C9" s="685"/>
      <c r="D9" s="685"/>
      <c r="E9" s="685"/>
      <c r="F9" s="685"/>
      <c r="G9" s="686"/>
      <c r="H9" s="686"/>
      <c r="I9" s="686"/>
      <c r="J9" s="686"/>
      <c r="K9" s="686"/>
      <c r="L9" s="686"/>
      <c r="M9" s="686"/>
      <c r="N9" s="686"/>
      <c r="O9" s="686"/>
      <c r="P9" s="686"/>
      <c r="Q9" s="685"/>
      <c r="R9" s="723" t="str">
        <f t="shared" si="2"/>
        <v/>
      </c>
    </row>
    <row r="10" spans="1:18" x14ac:dyDescent="0.3">
      <c r="B10" t="str">
        <f>+Peers!B11</f>
        <v/>
      </c>
      <c r="G10" s="214"/>
      <c r="H10" s="214"/>
      <c r="I10" s="214"/>
      <c r="J10" s="214"/>
      <c r="K10" s="214"/>
      <c r="L10" s="214"/>
      <c r="M10" s="214"/>
      <c r="N10" s="214"/>
      <c r="O10" s="214"/>
      <c r="P10" s="214"/>
      <c r="Q10" s="214"/>
      <c r="R10" s="722" t="str">
        <f t="shared" si="2"/>
        <v/>
      </c>
    </row>
    <row r="11" spans="1:18" x14ac:dyDescent="0.3">
      <c r="B11" s="685" t="str">
        <f>+Peers!B12</f>
        <v/>
      </c>
      <c r="C11" s="685"/>
      <c r="D11" s="685"/>
      <c r="E11" s="685"/>
      <c r="F11" s="685"/>
      <c r="G11" s="686"/>
      <c r="H11" s="686"/>
      <c r="I11" s="686"/>
      <c r="J11" s="686"/>
      <c r="K11" s="686"/>
      <c r="L11" s="686"/>
      <c r="M11" s="686"/>
      <c r="N11" s="686"/>
      <c r="O11" s="686"/>
      <c r="P11" s="686"/>
      <c r="Q11" s="686"/>
      <c r="R11" s="723" t="str">
        <f t="shared" si="2"/>
        <v/>
      </c>
    </row>
    <row r="12" spans="1:18" x14ac:dyDescent="0.3">
      <c r="B12" t="str">
        <f>+Peers!B13</f>
        <v/>
      </c>
      <c r="G12" s="214"/>
      <c r="H12" s="214"/>
      <c r="I12" s="214"/>
      <c r="J12" s="214"/>
      <c r="K12" s="214"/>
      <c r="L12" s="214"/>
      <c r="M12" s="214"/>
      <c r="N12" s="214"/>
      <c r="O12" s="214"/>
      <c r="P12" s="214"/>
      <c r="Q12" s="214"/>
      <c r="R12" s="722" t="str">
        <f t="shared" si="2"/>
        <v/>
      </c>
    </row>
    <row r="13" spans="1:18" x14ac:dyDescent="0.3">
      <c r="B13" s="685" t="str">
        <f>+Peers!B14</f>
        <v/>
      </c>
      <c r="C13" s="685"/>
      <c r="D13" s="685"/>
      <c r="E13" s="685"/>
      <c r="F13" s="685"/>
      <c r="G13" s="686"/>
      <c r="H13" s="686"/>
      <c r="I13" s="686"/>
      <c r="J13" s="686"/>
      <c r="K13" s="686"/>
      <c r="L13" s="686"/>
      <c r="M13" s="686"/>
      <c r="N13" s="686"/>
      <c r="O13" s="686"/>
      <c r="P13" s="686"/>
      <c r="Q13" s="686"/>
      <c r="R13" s="723" t="str">
        <f t="shared" si="2"/>
        <v/>
      </c>
    </row>
    <row r="14" spans="1:18" x14ac:dyDescent="0.3">
      <c r="B14" t="str">
        <f>+Peers!B15</f>
        <v/>
      </c>
      <c r="G14" s="214"/>
      <c r="H14" s="214"/>
      <c r="I14" s="214"/>
      <c r="J14" s="214"/>
      <c r="K14" s="214"/>
      <c r="L14" s="214"/>
      <c r="M14" s="214"/>
      <c r="N14" s="214"/>
      <c r="O14" s="214"/>
      <c r="P14" s="214"/>
      <c r="Q14" s="214"/>
      <c r="R14" s="722" t="str">
        <f t="shared" si="2"/>
        <v/>
      </c>
    </row>
    <row r="15" spans="1:18" x14ac:dyDescent="0.3">
      <c r="B15" s="685" t="str">
        <f>+Peers!B16</f>
        <v/>
      </c>
      <c r="C15" s="685"/>
      <c r="D15" s="685"/>
      <c r="E15" s="685"/>
      <c r="F15" s="685"/>
      <c r="G15" s="686"/>
      <c r="H15" s="686"/>
      <c r="I15" s="686"/>
      <c r="J15" s="686"/>
      <c r="K15" s="686"/>
      <c r="L15" s="686"/>
      <c r="M15" s="686"/>
      <c r="N15" s="686"/>
      <c r="O15" s="686"/>
      <c r="P15" s="686"/>
      <c r="Q15" s="686"/>
      <c r="R15" s="723" t="str">
        <f t="shared" si="2"/>
        <v/>
      </c>
    </row>
    <row r="16" spans="1:18" x14ac:dyDescent="0.3">
      <c r="B16" t="str">
        <f>+Peers!B17</f>
        <v/>
      </c>
      <c r="G16" s="214"/>
      <c r="H16" s="214"/>
      <c r="I16" s="214"/>
      <c r="J16" s="214"/>
      <c r="K16" s="214"/>
      <c r="L16" s="214"/>
      <c r="M16" s="214"/>
      <c r="N16" s="214"/>
      <c r="O16" s="214"/>
      <c r="P16" s="214"/>
      <c r="Q16" s="214"/>
      <c r="R16" s="722" t="str">
        <f t="shared" si="2"/>
        <v/>
      </c>
    </row>
    <row r="17" spans="1:18" x14ac:dyDescent="0.3">
      <c r="G17" s="214"/>
      <c r="H17" s="214"/>
      <c r="I17" s="214"/>
      <c r="J17" s="214"/>
      <c r="K17" s="214"/>
      <c r="L17" s="214"/>
      <c r="M17" s="214"/>
      <c r="N17" s="214"/>
      <c r="O17" s="214"/>
      <c r="P17" s="214"/>
      <c r="Q17" s="214"/>
    </row>
    <row r="18" spans="1:18" ht="15.5" x14ac:dyDescent="0.35">
      <c r="A18" t="s">
        <v>300</v>
      </c>
      <c r="B18" s="234" t="s">
        <v>302</v>
      </c>
      <c r="C18" s="56"/>
      <c r="D18" s="56"/>
      <c r="E18" s="56"/>
      <c r="F18" s="56"/>
      <c r="G18" s="235">
        <v>2014</v>
      </c>
      <c r="H18" s="235">
        <f t="shared" ref="H18:Q18" si="3">+G18+1</f>
        <v>2015</v>
      </c>
      <c r="I18" s="235">
        <f t="shared" si="3"/>
        <v>2016</v>
      </c>
      <c r="J18" s="235">
        <f t="shared" si="3"/>
        <v>2017</v>
      </c>
      <c r="K18" s="235">
        <f t="shared" si="3"/>
        <v>2018</v>
      </c>
      <c r="L18" s="235">
        <f t="shared" si="3"/>
        <v>2019</v>
      </c>
      <c r="M18" s="235">
        <f t="shared" si="3"/>
        <v>2020</v>
      </c>
      <c r="N18" s="235">
        <f t="shared" si="3"/>
        <v>2021</v>
      </c>
      <c r="O18" s="235">
        <f t="shared" si="3"/>
        <v>2022</v>
      </c>
      <c r="P18" s="235">
        <f t="shared" si="3"/>
        <v>2023</v>
      </c>
      <c r="Q18" s="235">
        <f t="shared" si="3"/>
        <v>2024</v>
      </c>
      <c r="R18" s="58" t="str">
        <f>"CAGR "&amp;$G$4&amp;" - "&amp;$Q$4</f>
        <v>CAGR 2014 - 2024</v>
      </c>
    </row>
    <row r="19" spans="1:18" s="98" customFormat="1" ht="3.75" customHeight="1" x14ac:dyDescent="0.35">
      <c r="B19" s="681"/>
      <c r="C19" s="681"/>
      <c r="D19" s="681"/>
      <c r="E19" s="681"/>
      <c r="F19" s="681"/>
      <c r="G19" s="682"/>
      <c r="H19" s="682"/>
      <c r="I19" s="682"/>
      <c r="J19" s="682"/>
      <c r="K19" s="682"/>
      <c r="L19" s="682"/>
      <c r="M19" s="682"/>
      <c r="N19" s="682"/>
      <c r="O19" s="682"/>
      <c r="P19" s="682"/>
      <c r="Q19" s="682"/>
      <c r="R19" s="683"/>
    </row>
    <row r="20" spans="1:18" x14ac:dyDescent="0.3">
      <c r="B20" t="str">
        <f ca="1">+$B$6</f>
        <v>ADVANCED MICRO DEVICES, INC.</v>
      </c>
      <c r="G20" s="214"/>
      <c r="H20" s="214"/>
      <c r="I20" s="214"/>
      <c r="J20" s="214"/>
      <c r="K20" s="214"/>
      <c r="L20" s="214"/>
      <c r="M20" s="214"/>
      <c r="N20" s="214"/>
      <c r="O20" s="214"/>
      <c r="P20" s="214"/>
      <c r="Q20" s="214"/>
      <c r="R20" s="722" t="str">
        <f t="shared" ref="R20:R30" si="4">IFERROR((Q20/G20)^(1/COUNT($G$4:$Q$4))-1,"")</f>
        <v/>
      </c>
    </row>
    <row r="21" spans="1:18" x14ac:dyDescent="0.3">
      <c r="B21" s="685" t="str">
        <f>+$B$7</f>
        <v/>
      </c>
      <c r="C21" s="685"/>
      <c r="D21" s="685"/>
      <c r="E21" s="685"/>
      <c r="F21" s="685"/>
      <c r="G21" s="686"/>
      <c r="H21" s="686"/>
      <c r="I21" s="686"/>
      <c r="J21" s="686"/>
      <c r="K21" s="686"/>
      <c r="L21" s="686"/>
      <c r="M21" s="686"/>
      <c r="N21" s="686"/>
      <c r="O21" s="686"/>
      <c r="P21" s="686"/>
      <c r="Q21" s="686"/>
      <c r="R21" s="723" t="str">
        <f t="shared" si="4"/>
        <v/>
      </c>
    </row>
    <row r="22" spans="1:18" x14ac:dyDescent="0.3">
      <c r="B22" t="str">
        <f>+$B$8</f>
        <v/>
      </c>
      <c r="G22" s="214"/>
      <c r="H22" s="214"/>
      <c r="I22" s="214"/>
      <c r="J22" s="214"/>
      <c r="K22" s="214"/>
      <c r="L22" s="214"/>
      <c r="M22" s="214"/>
      <c r="N22" s="214"/>
      <c r="O22" s="214"/>
      <c r="P22" s="214"/>
      <c r="Q22" s="214"/>
      <c r="R22" s="722" t="str">
        <f t="shared" si="4"/>
        <v/>
      </c>
    </row>
    <row r="23" spans="1:18" x14ac:dyDescent="0.3">
      <c r="B23" s="685" t="str">
        <f>+$B$9</f>
        <v/>
      </c>
      <c r="C23" s="685"/>
      <c r="D23" s="685"/>
      <c r="E23" s="685"/>
      <c r="F23" s="685"/>
      <c r="G23" s="687"/>
      <c r="H23" s="687"/>
      <c r="I23" s="687"/>
      <c r="J23" s="686"/>
      <c r="K23" s="686"/>
      <c r="L23" s="686"/>
      <c r="M23" s="686"/>
      <c r="N23" s="686"/>
      <c r="O23" s="686"/>
      <c r="P23" s="686"/>
      <c r="Q23" s="685"/>
      <c r="R23" s="723" t="str">
        <f t="shared" si="4"/>
        <v/>
      </c>
    </row>
    <row r="24" spans="1:18" x14ac:dyDescent="0.3">
      <c r="B24" t="str">
        <f>+$B$10</f>
        <v/>
      </c>
      <c r="G24" s="214"/>
      <c r="H24" s="214"/>
      <c r="I24" s="214"/>
      <c r="J24" s="214"/>
      <c r="K24" s="214"/>
      <c r="L24" s="214"/>
      <c r="M24" s="214"/>
      <c r="N24" s="214"/>
      <c r="O24" s="214"/>
      <c r="P24" s="214"/>
      <c r="Q24" s="214"/>
      <c r="R24" s="722" t="str">
        <f t="shared" si="4"/>
        <v/>
      </c>
    </row>
    <row r="25" spans="1:18" x14ac:dyDescent="0.3">
      <c r="B25" s="685" t="str">
        <f>+$B$11</f>
        <v/>
      </c>
      <c r="C25" s="685"/>
      <c r="D25" s="685"/>
      <c r="E25" s="685"/>
      <c r="F25" s="685"/>
      <c r="G25" s="686"/>
      <c r="H25" s="686"/>
      <c r="I25" s="686"/>
      <c r="J25" s="686"/>
      <c r="K25" s="686"/>
      <c r="L25" s="686"/>
      <c r="M25" s="686"/>
      <c r="N25" s="686"/>
      <c r="O25" s="686"/>
      <c r="P25" s="686"/>
      <c r="Q25" s="686"/>
      <c r="R25" s="723" t="str">
        <f t="shared" si="4"/>
        <v/>
      </c>
    </row>
    <row r="26" spans="1:18" x14ac:dyDescent="0.3">
      <c r="B26" t="str">
        <f>+$B$12</f>
        <v/>
      </c>
      <c r="G26" s="214"/>
      <c r="H26" s="214"/>
      <c r="I26" s="214"/>
      <c r="J26" s="214"/>
      <c r="K26" s="214"/>
      <c r="L26" s="214"/>
      <c r="M26" s="214"/>
      <c r="N26" s="214"/>
      <c r="O26" s="214"/>
      <c r="P26" s="214"/>
      <c r="Q26" s="214"/>
      <c r="R26" s="722" t="str">
        <f t="shared" si="4"/>
        <v/>
      </c>
    </row>
    <row r="27" spans="1:18" x14ac:dyDescent="0.3">
      <c r="B27" s="685" t="str">
        <f>+$B$13</f>
        <v/>
      </c>
      <c r="C27" s="685"/>
      <c r="D27" s="685"/>
      <c r="E27" s="685"/>
      <c r="F27" s="685"/>
      <c r="G27" s="686"/>
      <c r="H27" s="686"/>
      <c r="I27" s="686"/>
      <c r="J27" s="686"/>
      <c r="K27" s="686"/>
      <c r="L27" s="686"/>
      <c r="M27" s="686"/>
      <c r="N27" s="686"/>
      <c r="O27" s="686"/>
      <c r="P27" s="686"/>
      <c r="Q27" s="686"/>
      <c r="R27" s="723" t="str">
        <f t="shared" si="4"/>
        <v/>
      </c>
    </row>
    <row r="28" spans="1:18" x14ac:dyDescent="0.3">
      <c r="B28" t="str">
        <f>+$B$14</f>
        <v/>
      </c>
      <c r="G28" s="214"/>
      <c r="H28" s="214"/>
      <c r="I28" s="214"/>
      <c r="J28" s="214"/>
      <c r="K28" s="214"/>
      <c r="L28" s="214"/>
      <c r="M28" s="214"/>
      <c r="N28" s="214"/>
      <c r="O28" s="214"/>
      <c r="P28" s="214"/>
      <c r="Q28" s="214"/>
      <c r="R28" s="722" t="str">
        <f t="shared" si="4"/>
        <v/>
      </c>
    </row>
    <row r="29" spans="1:18" x14ac:dyDescent="0.3">
      <c r="B29" s="685" t="str">
        <f>+$B$15</f>
        <v/>
      </c>
      <c r="C29" s="685"/>
      <c r="D29" s="685"/>
      <c r="E29" s="685"/>
      <c r="F29" s="685"/>
      <c r="G29" s="686"/>
      <c r="H29" s="686"/>
      <c r="I29" s="686"/>
      <c r="J29" s="686"/>
      <c r="K29" s="686"/>
      <c r="L29" s="686"/>
      <c r="M29" s="686"/>
      <c r="N29" s="686"/>
      <c r="O29" s="686"/>
      <c r="P29" s="686"/>
      <c r="Q29" s="686"/>
      <c r="R29" s="723" t="str">
        <f t="shared" si="4"/>
        <v/>
      </c>
    </row>
    <row r="30" spans="1:18" x14ac:dyDescent="0.3">
      <c r="B30" t="str">
        <f>+$B$16</f>
        <v/>
      </c>
      <c r="G30" s="214"/>
      <c r="H30" s="214"/>
      <c r="I30" s="214"/>
      <c r="J30" s="214"/>
      <c r="K30" s="214"/>
      <c r="L30" s="214"/>
      <c r="M30" s="214"/>
      <c r="N30" s="214"/>
      <c r="O30" s="214"/>
      <c r="P30" s="214"/>
      <c r="Q30" s="214"/>
      <c r="R30" s="722" t="str">
        <f t="shared" si="4"/>
        <v/>
      </c>
    </row>
    <row r="31" spans="1:18" x14ac:dyDescent="0.3">
      <c r="G31" s="214"/>
      <c r="H31" s="214"/>
      <c r="I31" s="214"/>
      <c r="J31" s="214"/>
      <c r="K31" s="214"/>
      <c r="L31" s="214"/>
      <c r="M31" s="214"/>
      <c r="N31" s="214"/>
      <c r="O31" s="214"/>
      <c r="P31" s="214"/>
      <c r="Q31" s="214"/>
    </row>
    <row r="32" spans="1:18" ht="15.5" x14ac:dyDescent="0.35">
      <c r="A32" t="s">
        <v>300</v>
      </c>
      <c r="B32" s="234" t="s">
        <v>303</v>
      </c>
      <c r="C32" s="56"/>
      <c r="D32" s="56"/>
      <c r="E32" s="56"/>
      <c r="F32" s="56"/>
      <c r="G32" s="235">
        <v>2014</v>
      </c>
      <c r="H32" s="235">
        <f t="shared" ref="H32:Q32" si="5">+G32+1</f>
        <v>2015</v>
      </c>
      <c r="I32" s="235">
        <f t="shared" si="5"/>
        <v>2016</v>
      </c>
      <c r="J32" s="235">
        <f t="shared" si="5"/>
        <v>2017</v>
      </c>
      <c r="K32" s="235">
        <f t="shared" si="5"/>
        <v>2018</v>
      </c>
      <c r="L32" s="235">
        <f t="shared" si="5"/>
        <v>2019</v>
      </c>
      <c r="M32" s="235">
        <f t="shared" si="5"/>
        <v>2020</v>
      </c>
      <c r="N32" s="235">
        <f t="shared" si="5"/>
        <v>2021</v>
      </c>
      <c r="O32" s="235">
        <f t="shared" si="5"/>
        <v>2022</v>
      </c>
      <c r="P32" s="235">
        <f t="shared" si="5"/>
        <v>2023</v>
      </c>
      <c r="Q32" s="235">
        <f t="shared" si="5"/>
        <v>2024</v>
      </c>
      <c r="R32" s="58" t="str">
        <f>"CAGR "&amp;$G$4&amp;" - "&amp;$Q$4</f>
        <v>CAGR 2014 - 2024</v>
      </c>
    </row>
    <row r="33" spans="1:18" ht="3.75" customHeight="1" x14ac:dyDescent="0.35">
      <c r="B33" s="53"/>
      <c r="C33" s="53"/>
      <c r="D33" s="53"/>
      <c r="E33" s="53"/>
      <c r="F33" s="53"/>
      <c r="G33" s="236"/>
      <c r="H33" s="236"/>
      <c r="I33" s="236"/>
      <c r="J33" s="236"/>
      <c r="K33" s="236"/>
      <c r="L33" s="236"/>
      <c r="M33" s="236"/>
      <c r="N33" s="236"/>
      <c r="O33" s="236"/>
      <c r="P33" s="236"/>
      <c r="Q33" s="236"/>
      <c r="R33" s="60"/>
    </row>
    <row r="34" spans="1:18" x14ac:dyDescent="0.3">
      <c r="B34" t="str">
        <f ca="1">+$B$6</f>
        <v>ADVANCED MICRO DEVICES, INC.</v>
      </c>
      <c r="G34" s="214"/>
      <c r="H34" s="214"/>
      <c r="I34" s="214"/>
      <c r="J34" s="214"/>
      <c r="K34" s="214"/>
      <c r="L34" s="214"/>
      <c r="M34" s="214"/>
      <c r="N34" s="214"/>
      <c r="O34" s="214"/>
      <c r="P34" s="214"/>
      <c r="Q34" s="214"/>
      <c r="R34" s="722" t="str">
        <f t="shared" ref="R34:R44" si="6">IFERROR((Q34/G34)^(1/COUNT($G$4:$Q$4))-1,"")</f>
        <v/>
      </c>
    </row>
    <row r="35" spans="1:18" x14ac:dyDescent="0.3">
      <c r="B35" s="685" t="str">
        <f>+$B$7</f>
        <v/>
      </c>
      <c r="C35" s="685"/>
      <c r="D35" s="685"/>
      <c r="E35" s="685"/>
      <c r="F35" s="685"/>
      <c r="G35" s="686"/>
      <c r="H35" s="686"/>
      <c r="I35" s="686"/>
      <c r="J35" s="686"/>
      <c r="K35" s="686"/>
      <c r="L35" s="686"/>
      <c r="M35" s="686"/>
      <c r="N35" s="686"/>
      <c r="O35" s="686"/>
      <c r="P35" s="686"/>
      <c r="Q35" s="686"/>
      <c r="R35" s="723" t="str">
        <f t="shared" si="6"/>
        <v/>
      </c>
    </row>
    <row r="36" spans="1:18" x14ac:dyDescent="0.3">
      <c r="B36" t="str">
        <f>+$B$8</f>
        <v/>
      </c>
      <c r="G36" s="214"/>
      <c r="H36" s="214"/>
      <c r="I36" s="214"/>
      <c r="J36" s="214"/>
      <c r="K36" s="214"/>
      <c r="L36" s="214"/>
      <c r="M36" s="214"/>
      <c r="N36" s="214"/>
      <c r="O36" s="214"/>
      <c r="P36" s="214"/>
      <c r="Q36" s="214"/>
      <c r="R36" s="722" t="str">
        <f t="shared" si="6"/>
        <v/>
      </c>
    </row>
    <row r="37" spans="1:18" x14ac:dyDescent="0.3">
      <c r="B37" s="685" t="str">
        <f>+$B$9</f>
        <v/>
      </c>
      <c r="C37" s="685"/>
      <c r="D37" s="685"/>
      <c r="E37" s="685"/>
      <c r="F37" s="685"/>
      <c r="G37" s="687"/>
      <c r="H37" s="687"/>
      <c r="I37" s="687"/>
      <c r="J37" s="687"/>
      <c r="K37" s="686"/>
      <c r="L37" s="686"/>
      <c r="M37" s="686"/>
      <c r="N37" s="686"/>
      <c r="O37" s="686"/>
      <c r="P37" s="686"/>
      <c r="Q37" s="685"/>
      <c r="R37" s="723" t="str">
        <f t="shared" si="6"/>
        <v/>
      </c>
    </row>
    <row r="38" spans="1:18" x14ac:dyDescent="0.3">
      <c r="B38" t="str">
        <f>+$B$10</f>
        <v/>
      </c>
      <c r="G38" s="214"/>
      <c r="H38" s="214"/>
      <c r="I38" s="214"/>
      <c r="J38" s="214"/>
      <c r="K38" s="214"/>
      <c r="L38" s="214"/>
      <c r="M38" s="214"/>
      <c r="N38" s="214"/>
      <c r="O38" s="214"/>
      <c r="P38" s="214"/>
      <c r="Q38" s="214"/>
      <c r="R38" s="722" t="str">
        <f t="shared" si="6"/>
        <v/>
      </c>
    </row>
    <row r="39" spans="1:18" x14ac:dyDescent="0.3">
      <c r="B39" s="685" t="str">
        <f>+$B$11</f>
        <v/>
      </c>
      <c r="C39" s="685"/>
      <c r="D39" s="685"/>
      <c r="E39" s="685"/>
      <c r="F39" s="685"/>
      <c r="G39" s="686"/>
      <c r="H39" s="686"/>
      <c r="I39" s="686"/>
      <c r="J39" s="686"/>
      <c r="K39" s="686"/>
      <c r="L39" s="686"/>
      <c r="M39" s="686"/>
      <c r="N39" s="686"/>
      <c r="O39" s="686"/>
      <c r="P39" s="686"/>
      <c r="Q39" s="686"/>
      <c r="R39" s="723" t="str">
        <f t="shared" si="6"/>
        <v/>
      </c>
    </row>
    <row r="40" spans="1:18" x14ac:dyDescent="0.3">
      <c r="B40" t="str">
        <f>+$B$12</f>
        <v/>
      </c>
      <c r="G40" s="214"/>
      <c r="H40" s="214"/>
      <c r="I40" s="214"/>
      <c r="J40" s="214"/>
      <c r="K40" s="214"/>
      <c r="L40" s="214"/>
      <c r="M40" s="214"/>
      <c r="N40" s="214"/>
      <c r="O40" s="214"/>
      <c r="P40" s="214"/>
      <c r="Q40" s="214"/>
      <c r="R40" s="722" t="str">
        <f t="shared" si="6"/>
        <v/>
      </c>
    </row>
    <row r="41" spans="1:18" x14ac:dyDescent="0.3">
      <c r="B41" s="685" t="str">
        <f>+$B$13</f>
        <v/>
      </c>
      <c r="C41" s="685"/>
      <c r="D41" s="685"/>
      <c r="E41" s="685"/>
      <c r="F41" s="685"/>
      <c r="G41" s="686"/>
      <c r="H41" s="686"/>
      <c r="I41" s="686"/>
      <c r="J41" s="686"/>
      <c r="K41" s="686"/>
      <c r="L41" s="686"/>
      <c r="M41" s="686"/>
      <c r="N41" s="686"/>
      <c r="O41" s="686"/>
      <c r="P41" s="686"/>
      <c r="Q41" s="686"/>
      <c r="R41" s="723" t="str">
        <f t="shared" si="6"/>
        <v/>
      </c>
    </row>
    <row r="42" spans="1:18" x14ac:dyDescent="0.3">
      <c r="B42" t="str">
        <f>+$B$14</f>
        <v/>
      </c>
      <c r="G42" s="214"/>
      <c r="H42" s="214"/>
      <c r="I42" s="214"/>
      <c r="J42" s="214"/>
      <c r="K42" s="214"/>
      <c r="L42" s="214"/>
      <c r="M42" s="214"/>
      <c r="N42" s="214"/>
      <c r="O42" s="214"/>
      <c r="P42" s="214"/>
      <c r="Q42" s="214"/>
      <c r="R42" s="722" t="str">
        <f t="shared" si="6"/>
        <v/>
      </c>
    </row>
    <row r="43" spans="1:18" x14ac:dyDescent="0.3">
      <c r="B43" s="685" t="str">
        <f>+$B$15</f>
        <v/>
      </c>
      <c r="C43" s="685"/>
      <c r="D43" s="685"/>
      <c r="E43" s="685"/>
      <c r="F43" s="685"/>
      <c r="G43" s="686"/>
      <c r="H43" s="686"/>
      <c r="I43" s="686"/>
      <c r="J43" s="686"/>
      <c r="K43" s="686"/>
      <c r="L43" s="686"/>
      <c r="M43" s="686"/>
      <c r="N43" s="686"/>
      <c r="O43" s="686"/>
      <c r="P43" s="686"/>
      <c r="Q43" s="686"/>
      <c r="R43" s="723" t="str">
        <f t="shared" si="6"/>
        <v/>
      </c>
    </row>
    <row r="44" spans="1:18" x14ac:dyDescent="0.3">
      <c r="B44" t="str">
        <f>+$B$16</f>
        <v/>
      </c>
      <c r="G44" s="214"/>
      <c r="H44" s="214"/>
      <c r="I44" s="214"/>
      <c r="J44" s="214"/>
      <c r="K44" s="214"/>
      <c r="L44" s="214"/>
      <c r="M44" s="214"/>
      <c r="N44" s="214"/>
      <c r="O44" s="214"/>
      <c r="P44" s="214"/>
      <c r="Q44" s="214"/>
      <c r="R44" s="722" t="str">
        <f t="shared" si="6"/>
        <v/>
      </c>
    </row>
    <row r="45" spans="1:18" x14ac:dyDescent="0.3">
      <c r="G45" s="214"/>
      <c r="H45" s="214"/>
      <c r="I45" s="214"/>
      <c r="J45" s="214"/>
      <c r="K45" s="214"/>
      <c r="L45" s="214"/>
      <c r="M45" s="214"/>
      <c r="N45" s="214"/>
      <c r="O45" s="214"/>
      <c r="P45" s="214"/>
      <c r="Q45" s="214"/>
    </row>
    <row r="46" spans="1:18" ht="15.5" x14ac:dyDescent="0.35">
      <c r="A46" t="s">
        <v>300</v>
      </c>
      <c r="B46" s="234" t="s">
        <v>304</v>
      </c>
      <c r="C46" s="56"/>
      <c r="D46" s="56"/>
      <c r="E46" s="56"/>
      <c r="F46" s="56"/>
      <c r="G46" s="235">
        <v>2014</v>
      </c>
      <c r="H46" s="235">
        <f t="shared" ref="H46:Q46" si="7">+G46+1</f>
        <v>2015</v>
      </c>
      <c r="I46" s="235">
        <f t="shared" si="7"/>
        <v>2016</v>
      </c>
      <c r="J46" s="235">
        <f t="shared" si="7"/>
        <v>2017</v>
      </c>
      <c r="K46" s="235">
        <f t="shared" si="7"/>
        <v>2018</v>
      </c>
      <c r="L46" s="235">
        <f t="shared" si="7"/>
        <v>2019</v>
      </c>
      <c r="M46" s="235">
        <f t="shared" si="7"/>
        <v>2020</v>
      </c>
      <c r="N46" s="235">
        <f t="shared" si="7"/>
        <v>2021</v>
      </c>
      <c r="O46" s="235">
        <f t="shared" si="7"/>
        <v>2022</v>
      </c>
      <c r="P46" s="235">
        <f t="shared" si="7"/>
        <v>2023</v>
      </c>
      <c r="Q46" s="235">
        <f t="shared" si="7"/>
        <v>2024</v>
      </c>
      <c r="R46" s="58" t="str">
        <f>"CAGR "&amp;$G$4&amp;" - "&amp;$Q$4</f>
        <v>CAGR 2014 - 2024</v>
      </c>
    </row>
    <row r="47" spans="1:18" ht="3.75" customHeight="1" x14ac:dyDescent="0.35">
      <c r="B47" s="53"/>
      <c r="C47" s="53"/>
      <c r="D47" s="53"/>
      <c r="E47" s="53"/>
      <c r="F47" s="53"/>
      <c r="G47" s="236"/>
      <c r="H47" s="236"/>
      <c r="I47" s="236"/>
      <c r="J47" s="236"/>
      <c r="K47" s="236"/>
      <c r="L47" s="236"/>
      <c r="M47" s="236"/>
      <c r="N47" s="236"/>
      <c r="O47" s="236"/>
      <c r="P47" s="236"/>
      <c r="Q47" s="236"/>
      <c r="R47" s="60"/>
    </row>
    <row r="48" spans="1:18" x14ac:dyDescent="0.3">
      <c r="B48" t="str">
        <f ca="1">+$B$6</f>
        <v>ADVANCED MICRO DEVICES, INC.</v>
      </c>
      <c r="G48" s="214"/>
      <c r="H48" s="214"/>
      <c r="I48" s="214"/>
      <c r="J48" s="214"/>
      <c r="K48" s="214"/>
      <c r="L48" s="214"/>
      <c r="M48" s="214"/>
      <c r="N48" s="214"/>
      <c r="O48" s="214"/>
      <c r="P48" s="214"/>
      <c r="Q48" s="214"/>
      <c r="R48" s="722" t="str">
        <f t="shared" ref="R48:R58" si="8">IFERROR((Q48/G48)^(1/COUNT($G$4:$Q$4))-1,"")</f>
        <v/>
      </c>
    </row>
    <row r="49" spans="1:18" x14ac:dyDescent="0.3">
      <c r="B49" s="685" t="str">
        <f>+$B$7</f>
        <v/>
      </c>
      <c r="C49" s="685"/>
      <c r="D49" s="685"/>
      <c r="E49" s="685"/>
      <c r="F49" s="685"/>
      <c r="G49" s="686"/>
      <c r="H49" s="686"/>
      <c r="I49" s="686"/>
      <c r="J49" s="686"/>
      <c r="K49" s="686"/>
      <c r="L49" s="686"/>
      <c r="M49" s="686"/>
      <c r="N49" s="686"/>
      <c r="O49" s="686"/>
      <c r="P49" s="686"/>
      <c r="Q49" s="686"/>
      <c r="R49" s="723" t="str">
        <f t="shared" si="8"/>
        <v/>
      </c>
    </row>
    <row r="50" spans="1:18" x14ac:dyDescent="0.3">
      <c r="B50" t="str">
        <f>+$B$8</f>
        <v/>
      </c>
      <c r="G50" s="214"/>
      <c r="H50" s="214"/>
      <c r="I50" s="214"/>
      <c r="J50" s="214"/>
      <c r="K50" s="214"/>
      <c r="L50" s="214"/>
      <c r="M50" s="214"/>
      <c r="N50" s="214"/>
      <c r="O50" s="214"/>
      <c r="P50" s="214"/>
      <c r="Q50" s="214"/>
      <c r="R50" s="722" t="str">
        <f t="shared" si="8"/>
        <v/>
      </c>
    </row>
    <row r="51" spans="1:18" x14ac:dyDescent="0.3">
      <c r="B51" s="685" t="str">
        <f>+$B$9</f>
        <v/>
      </c>
      <c r="C51" s="685"/>
      <c r="D51" s="685"/>
      <c r="E51" s="685"/>
      <c r="F51" s="685"/>
      <c r="G51" s="686"/>
      <c r="H51" s="686"/>
      <c r="I51" s="686"/>
      <c r="J51" s="686"/>
      <c r="K51" s="686"/>
      <c r="L51" s="686"/>
      <c r="M51" s="686"/>
      <c r="N51" s="686"/>
      <c r="O51" s="686"/>
      <c r="P51" s="686"/>
      <c r="Q51" s="686"/>
      <c r="R51" s="723" t="str">
        <f t="shared" si="8"/>
        <v/>
      </c>
    </row>
    <row r="52" spans="1:18" x14ac:dyDescent="0.3">
      <c r="B52" t="str">
        <f>+$B$10</f>
        <v/>
      </c>
      <c r="G52" s="214"/>
      <c r="H52" s="214"/>
      <c r="I52" s="214"/>
      <c r="J52" s="214"/>
      <c r="K52" s="214"/>
      <c r="L52" s="214"/>
      <c r="M52" s="214"/>
      <c r="N52" s="214"/>
      <c r="O52" s="214"/>
      <c r="P52" s="214"/>
      <c r="Q52" s="214"/>
      <c r="R52" s="722" t="str">
        <f t="shared" si="8"/>
        <v/>
      </c>
    </row>
    <row r="53" spans="1:18" x14ac:dyDescent="0.3">
      <c r="B53" s="685" t="str">
        <f>+$B$11</f>
        <v/>
      </c>
      <c r="C53" s="685"/>
      <c r="D53" s="685"/>
      <c r="E53" s="685"/>
      <c r="F53" s="685"/>
      <c r="G53" s="686"/>
      <c r="H53" s="686"/>
      <c r="I53" s="686"/>
      <c r="J53" s="686"/>
      <c r="K53" s="686"/>
      <c r="L53" s="687"/>
      <c r="M53" s="687"/>
      <c r="N53" s="687"/>
      <c r="O53" s="687"/>
      <c r="P53" s="686"/>
      <c r="Q53" s="686"/>
      <c r="R53" s="723" t="str">
        <f t="shared" si="8"/>
        <v/>
      </c>
    </row>
    <row r="54" spans="1:18" x14ac:dyDescent="0.3">
      <c r="B54" t="str">
        <f>+$B$12</f>
        <v/>
      </c>
      <c r="G54" s="214"/>
      <c r="H54" s="214"/>
      <c r="I54" s="214"/>
      <c r="J54" s="214"/>
      <c r="K54" s="214"/>
      <c r="L54" s="214"/>
      <c r="M54" s="214"/>
      <c r="N54" s="214"/>
      <c r="O54" s="214"/>
      <c r="P54" s="214"/>
      <c r="Q54" s="214"/>
      <c r="R54" s="722" t="str">
        <f t="shared" si="8"/>
        <v/>
      </c>
    </row>
    <row r="55" spans="1:18" x14ac:dyDescent="0.3">
      <c r="B55" s="685" t="str">
        <f>+$B$13</f>
        <v/>
      </c>
      <c r="C55" s="685"/>
      <c r="D55" s="685"/>
      <c r="E55" s="685"/>
      <c r="F55" s="685"/>
      <c r="G55" s="686"/>
      <c r="H55" s="686"/>
      <c r="I55" s="686"/>
      <c r="J55" s="686"/>
      <c r="K55" s="686"/>
      <c r="L55" s="686"/>
      <c r="M55" s="686"/>
      <c r="N55" s="686"/>
      <c r="O55" s="686"/>
      <c r="P55" s="686"/>
      <c r="Q55" s="686"/>
      <c r="R55" s="723" t="str">
        <f t="shared" si="8"/>
        <v/>
      </c>
    </row>
    <row r="56" spans="1:18" x14ac:dyDescent="0.3">
      <c r="B56" t="str">
        <f>+$B$14</f>
        <v/>
      </c>
      <c r="G56" s="214"/>
      <c r="H56" s="214"/>
      <c r="I56" s="214"/>
      <c r="J56" s="214"/>
      <c r="K56" s="214"/>
      <c r="L56" s="214"/>
      <c r="M56" s="214"/>
      <c r="N56" s="214"/>
      <c r="O56" s="214"/>
      <c r="P56" s="214"/>
      <c r="Q56" s="214"/>
      <c r="R56" s="722" t="str">
        <f t="shared" si="8"/>
        <v/>
      </c>
    </row>
    <row r="57" spans="1:18" x14ac:dyDescent="0.3">
      <c r="B57" s="685" t="str">
        <f>+$B$15</f>
        <v/>
      </c>
      <c r="C57" s="685"/>
      <c r="D57" s="685"/>
      <c r="E57" s="685"/>
      <c r="F57" s="685"/>
      <c r="G57" s="686"/>
      <c r="H57" s="686"/>
      <c r="I57" s="686"/>
      <c r="J57" s="686"/>
      <c r="K57" s="686"/>
      <c r="L57" s="686"/>
      <c r="M57" s="686"/>
      <c r="N57" s="686"/>
      <c r="O57" s="686"/>
      <c r="P57" s="686"/>
      <c r="Q57" s="686"/>
      <c r="R57" s="723" t="str">
        <f t="shared" si="8"/>
        <v/>
      </c>
    </row>
    <row r="58" spans="1:18" x14ac:dyDescent="0.3">
      <c r="B58" t="str">
        <f>+$B$16</f>
        <v/>
      </c>
      <c r="G58" s="214"/>
      <c r="H58" s="214"/>
      <c r="I58" s="214"/>
      <c r="J58" s="214"/>
      <c r="K58" s="214"/>
      <c r="L58" s="214"/>
      <c r="M58" s="214"/>
      <c r="N58" s="214"/>
      <c r="O58" s="214"/>
      <c r="P58" s="214"/>
      <c r="Q58" s="214"/>
      <c r="R58" s="722" t="str">
        <f t="shared" si="8"/>
        <v/>
      </c>
    </row>
    <row r="60" spans="1:18" ht="15.5" x14ac:dyDescent="0.35">
      <c r="A60" t="s">
        <v>300</v>
      </c>
      <c r="B60" s="234" t="s">
        <v>305</v>
      </c>
      <c r="C60" s="56"/>
      <c r="D60" s="56"/>
      <c r="E60" s="56"/>
      <c r="F60" s="56"/>
      <c r="G60" s="235">
        <v>2014</v>
      </c>
      <c r="H60" s="235">
        <f t="shared" ref="H60:Q60" si="9">+G60+1</f>
        <v>2015</v>
      </c>
      <c r="I60" s="235">
        <f t="shared" si="9"/>
        <v>2016</v>
      </c>
      <c r="J60" s="235">
        <f t="shared" si="9"/>
        <v>2017</v>
      </c>
      <c r="K60" s="235">
        <f t="shared" si="9"/>
        <v>2018</v>
      </c>
      <c r="L60" s="235">
        <f t="shared" si="9"/>
        <v>2019</v>
      </c>
      <c r="M60" s="235">
        <f t="shared" si="9"/>
        <v>2020</v>
      </c>
      <c r="N60" s="235">
        <f t="shared" si="9"/>
        <v>2021</v>
      </c>
      <c r="O60" s="235">
        <f t="shared" si="9"/>
        <v>2022</v>
      </c>
      <c r="P60" s="235">
        <f t="shared" si="9"/>
        <v>2023</v>
      </c>
      <c r="Q60" s="235">
        <f t="shared" si="9"/>
        <v>2024</v>
      </c>
      <c r="R60" s="58" t="str">
        <f>"CAGR "&amp;$G$4&amp;" - "&amp;$Q$4</f>
        <v>CAGR 2014 - 2024</v>
      </c>
    </row>
    <row r="61" spans="1:18" ht="3.75" customHeight="1" x14ac:dyDescent="0.35">
      <c r="B61" s="53"/>
      <c r="C61" s="53"/>
      <c r="D61" s="53"/>
      <c r="E61" s="53"/>
      <c r="F61" s="53"/>
      <c r="G61" s="236"/>
      <c r="H61" s="236"/>
      <c r="I61" s="236"/>
      <c r="J61" s="236"/>
      <c r="K61" s="236"/>
      <c r="L61" s="236"/>
      <c r="M61" s="236"/>
      <c r="N61" s="236"/>
      <c r="O61" s="236"/>
      <c r="P61" s="236"/>
      <c r="Q61" s="236"/>
      <c r="R61" s="60"/>
    </row>
    <row r="62" spans="1:18" x14ac:dyDescent="0.3">
      <c r="B62" t="str">
        <f ca="1">+$B$6</f>
        <v>ADVANCED MICRO DEVICES, INC.</v>
      </c>
      <c r="G62" s="214"/>
      <c r="H62" s="214"/>
      <c r="I62" s="214"/>
      <c r="J62" s="214"/>
      <c r="K62" s="214"/>
      <c r="L62" s="214"/>
      <c r="M62" s="214"/>
      <c r="N62" s="214"/>
      <c r="O62" s="214"/>
      <c r="P62" s="214"/>
      <c r="Q62" s="214"/>
      <c r="R62" s="722" t="str">
        <f t="shared" ref="R62:R72" si="10">IFERROR((Q62/G62)^(1/COUNT($G$4:$Q$4))-1,"")</f>
        <v/>
      </c>
    </row>
    <row r="63" spans="1:18" x14ac:dyDescent="0.3">
      <c r="B63" s="685" t="str">
        <f>+$B$7</f>
        <v/>
      </c>
      <c r="C63" s="685"/>
      <c r="D63" s="685"/>
      <c r="E63" s="685"/>
      <c r="F63" s="685"/>
      <c r="G63" s="686"/>
      <c r="H63" s="686"/>
      <c r="I63" s="686"/>
      <c r="J63" s="686"/>
      <c r="K63" s="686"/>
      <c r="L63" s="686"/>
      <c r="M63" s="686"/>
      <c r="N63" s="686"/>
      <c r="O63" s="686"/>
      <c r="P63" s="686"/>
      <c r="Q63" s="686"/>
      <c r="R63" s="723" t="str">
        <f t="shared" si="10"/>
        <v/>
      </c>
    </row>
    <row r="64" spans="1:18" x14ac:dyDescent="0.3">
      <c r="B64" t="str">
        <f>+$B$8</f>
        <v/>
      </c>
      <c r="G64" s="684"/>
      <c r="H64" s="214"/>
      <c r="I64" s="214"/>
      <c r="J64" s="214"/>
      <c r="K64" s="214"/>
      <c r="L64" s="214"/>
      <c r="M64" s="214"/>
      <c r="N64" s="214"/>
      <c r="O64" s="214"/>
      <c r="P64" s="214"/>
      <c r="Q64" s="214"/>
      <c r="R64" s="722" t="str">
        <f t="shared" si="10"/>
        <v/>
      </c>
    </row>
    <row r="65" spans="1:18" x14ac:dyDescent="0.3">
      <c r="B65" s="685" t="str">
        <f>+$B$9</f>
        <v/>
      </c>
      <c r="C65" s="685"/>
      <c r="D65" s="685"/>
      <c r="E65" s="685"/>
      <c r="F65" s="685"/>
      <c r="G65" s="686"/>
      <c r="H65" s="686"/>
      <c r="I65" s="686"/>
      <c r="J65" s="686"/>
      <c r="K65" s="686"/>
      <c r="L65" s="686"/>
      <c r="M65" s="685"/>
      <c r="N65" s="685"/>
      <c r="O65" s="685"/>
      <c r="P65" s="685"/>
      <c r="Q65" s="685"/>
      <c r="R65" s="723" t="str">
        <f t="shared" si="10"/>
        <v/>
      </c>
    </row>
    <row r="66" spans="1:18" x14ac:dyDescent="0.3">
      <c r="B66" t="str">
        <f>+$B$10</f>
        <v/>
      </c>
      <c r="G66" s="214"/>
      <c r="H66" s="214"/>
      <c r="I66" s="214"/>
      <c r="J66" s="214"/>
      <c r="K66" s="214"/>
      <c r="L66" s="214"/>
      <c r="M66" s="214"/>
      <c r="N66" s="214"/>
      <c r="O66" s="214"/>
      <c r="P66" s="214"/>
      <c r="Q66" s="214"/>
      <c r="R66" s="722" t="str">
        <f t="shared" si="10"/>
        <v/>
      </c>
    </row>
    <row r="67" spans="1:18" x14ac:dyDescent="0.3">
      <c r="B67" s="685" t="str">
        <f>+$B$11</f>
        <v/>
      </c>
      <c r="C67" s="685"/>
      <c r="D67" s="685"/>
      <c r="E67" s="685"/>
      <c r="F67" s="685"/>
      <c r="G67" s="686"/>
      <c r="H67" s="686"/>
      <c r="I67" s="686"/>
      <c r="J67" s="686"/>
      <c r="K67" s="686"/>
      <c r="L67" s="686"/>
      <c r="M67" s="686"/>
      <c r="N67" s="686"/>
      <c r="O67" s="686"/>
      <c r="P67" s="686"/>
      <c r="Q67" s="686"/>
      <c r="R67" s="723" t="str">
        <f t="shared" si="10"/>
        <v/>
      </c>
    </row>
    <row r="68" spans="1:18" x14ac:dyDescent="0.3">
      <c r="B68" t="str">
        <f>+$B$12</f>
        <v/>
      </c>
      <c r="G68" s="214"/>
      <c r="H68" s="214"/>
      <c r="I68" s="214"/>
      <c r="J68" s="214"/>
      <c r="K68" s="214"/>
      <c r="L68" s="214"/>
      <c r="M68" s="214"/>
      <c r="N68" s="214"/>
      <c r="O68" s="214"/>
      <c r="P68" s="214"/>
      <c r="Q68" s="214"/>
      <c r="R68" s="722" t="str">
        <f t="shared" si="10"/>
        <v/>
      </c>
    </row>
    <row r="69" spans="1:18" x14ac:dyDescent="0.3">
      <c r="B69" s="685" t="str">
        <f>+$B$13</f>
        <v/>
      </c>
      <c r="C69" s="685"/>
      <c r="D69" s="685"/>
      <c r="E69" s="685"/>
      <c r="F69" s="685"/>
      <c r="G69" s="686"/>
      <c r="H69" s="686"/>
      <c r="I69" s="686"/>
      <c r="J69" s="686"/>
      <c r="K69" s="686"/>
      <c r="L69" s="686"/>
      <c r="M69" s="686"/>
      <c r="N69" s="686"/>
      <c r="O69" s="686"/>
      <c r="P69" s="686"/>
      <c r="Q69" s="686"/>
      <c r="R69" s="723" t="str">
        <f t="shared" si="10"/>
        <v/>
      </c>
    </row>
    <row r="70" spans="1:18" x14ac:dyDescent="0.3">
      <c r="B70" t="str">
        <f>+$B$14</f>
        <v/>
      </c>
      <c r="G70" s="214"/>
      <c r="H70" s="214"/>
      <c r="I70" s="214"/>
      <c r="J70" s="214"/>
      <c r="K70" s="214"/>
      <c r="L70" s="214"/>
      <c r="M70" s="214"/>
      <c r="N70" s="214"/>
      <c r="O70" s="214"/>
      <c r="P70" s="214"/>
      <c r="Q70" s="214"/>
      <c r="R70" s="722" t="str">
        <f t="shared" si="10"/>
        <v/>
      </c>
    </row>
    <row r="71" spans="1:18" x14ac:dyDescent="0.3">
      <c r="B71" s="685" t="str">
        <f>+$B$15</f>
        <v/>
      </c>
      <c r="C71" s="685"/>
      <c r="D71" s="685"/>
      <c r="E71" s="685"/>
      <c r="F71" s="685"/>
      <c r="G71" s="686"/>
      <c r="H71" s="686"/>
      <c r="I71" s="686"/>
      <c r="J71" s="686"/>
      <c r="K71" s="686"/>
      <c r="L71" s="686"/>
      <c r="M71" s="686"/>
      <c r="N71" s="686"/>
      <c r="O71" s="686"/>
      <c r="P71" s="686"/>
      <c r="Q71" s="686"/>
      <c r="R71" s="723" t="str">
        <f t="shared" si="10"/>
        <v/>
      </c>
    </row>
    <row r="72" spans="1:18" x14ac:dyDescent="0.3">
      <c r="B72" t="str">
        <f>+$B$16</f>
        <v/>
      </c>
      <c r="G72" s="214"/>
      <c r="H72" s="214"/>
      <c r="I72" s="214"/>
      <c r="J72" s="214"/>
      <c r="K72" s="214"/>
      <c r="L72" s="214"/>
      <c r="M72" s="214"/>
      <c r="N72" s="214"/>
      <c r="O72" s="214"/>
      <c r="P72" s="214"/>
      <c r="Q72" s="214"/>
      <c r="R72" s="722" t="str">
        <f t="shared" si="10"/>
        <v/>
      </c>
    </row>
    <row r="73" spans="1:18" x14ac:dyDescent="0.3">
      <c r="G73" s="214"/>
      <c r="H73" s="214"/>
      <c r="I73" s="214"/>
      <c r="J73" s="214"/>
      <c r="K73" s="214"/>
      <c r="L73" s="214"/>
      <c r="M73" s="214"/>
      <c r="N73" s="214"/>
      <c r="O73" s="214"/>
      <c r="P73" s="214"/>
      <c r="Q73" s="214"/>
    </row>
    <row r="74" spans="1:18" ht="15.5" x14ac:dyDescent="0.35">
      <c r="A74" t="s">
        <v>300</v>
      </c>
      <c r="B74" s="234" t="s">
        <v>306</v>
      </c>
      <c r="C74" s="56"/>
      <c r="D74" s="56"/>
      <c r="E74" s="56"/>
      <c r="F74" s="56"/>
      <c r="G74" s="235">
        <v>2014</v>
      </c>
      <c r="H74" s="235">
        <f t="shared" ref="H74" si="11">+G74+1</f>
        <v>2015</v>
      </c>
      <c r="I74" s="235">
        <f t="shared" ref="I74" si="12">+H74+1</f>
        <v>2016</v>
      </c>
      <c r="J74" s="235">
        <f t="shared" ref="J74" si="13">+I74+1</f>
        <v>2017</v>
      </c>
      <c r="K74" s="235">
        <f t="shared" ref="K74" si="14">+J74+1</f>
        <v>2018</v>
      </c>
      <c r="L74" s="235">
        <f t="shared" ref="L74" si="15">+K74+1</f>
        <v>2019</v>
      </c>
      <c r="M74" s="235">
        <f t="shared" ref="M74" si="16">+L74+1</f>
        <v>2020</v>
      </c>
      <c r="N74" s="235">
        <f t="shared" ref="N74" si="17">+M74+1</f>
        <v>2021</v>
      </c>
      <c r="O74" s="235">
        <f t="shared" ref="O74" si="18">+N74+1</f>
        <v>2022</v>
      </c>
      <c r="P74" s="235">
        <f t="shared" ref="P74" si="19">+O74+1</f>
        <v>2023</v>
      </c>
      <c r="Q74" s="235">
        <f t="shared" ref="Q74" si="20">+P74+1</f>
        <v>2024</v>
      </c>
      <c r="R74" s="58" t="str">
        <f>"CAGR "&amp;$G$4&amp;" - "&amp;$Q$4</f>
        <v>CAGR 2014 - 2024</v>
      </c>
    </row>
    <row r="75" spans="1:18" ht="4" customHeight="1" x14ac:dyDescent="0.35">
      <c r="B75" s="53"/>
      <c r="C75" s="53"/>
      <c r="D75" s="53"/>
      <c r="E75" s="53"/>
      <c r="F75" s="53"/>
      <c r="G75" s="236"/>
      <c r="H75" s="236"/>
      <c r="I75" s="236"/>
      <c r="J75" s="236"/>
      <c r="K75" s="236"/>
      <c r="L75" s="236"/>
      <c r="M75" s="236"/>
      <c r="N75" s="236"/>
      <c r="O75" s="236"/>
      <c r="P75" s="236"/>
      <c r="Q75" s="236"/>
      <c r="R75" s="60"/>
    </row>
    <row r="76" spans="1:18" x14ac:dyDescent="0.3">
      <c r="B76" t="str">
        <f ca="1">+$B$6</f>
        <v>ADVANCED MICRO DEVICES, INC.</v>
      </c>
      <c r="G76" s="10">
        <f>+G6+G20</f>
        <v>0</v>
      </c>
      <c r="H76" s="10">
        <f t="shared" ref="H76:Q76" si="21">+H6+H20</f>
        <v>0</v>
      </c>
      <c r="I76" s="10">
        <f t="shared" si="21"/>
        <v>0</v>
      </c>
      <c r="J76" s="10">
        <f t="shared" si="21"/>
        <v>0</v>
      </c>
      <c r="K76" s="10">
        <f t="shared" si="21"/>
        <v>0</v>
      </c>
      <c r="L76" s="10">
        <f t="shared" si="21"/>
        <v>0</v>
      </c>
      <c r="M76" s="10">
        <f t="shared" si="21"/>
        <v>0</v>
      </c>
      <c r="N76" s="10">
        <f t="shared" si="21"/>
        <v>0</v>
      </c>
      <c r="O76" s="10">
        <f t="shared" si="21"/>
        <v>0</v>
      </c>
      <c r="P76" s="10">
        <f t="shared" si="21"/>
        <v>0</v>
      </c>
      <c r="Q76" s="10">
        <f t="shared" si="21"/>
        <v>0</v>
      </c>
      <c r="R76" s="722" t="str">
        <f t="shared" ref="R76:R86" si="22">IFERROR((Q76/G76)^(1/COUNT($G$4:$Q$4))-1,"")</f>
        <v/>
      </c>
    </row>
    <row r="77" spans="1:18" x14ac:dyDescent="0.3">
      <c r="B77" s="685" t="str">
        <f>+$B$7</f>
        <v/>
      </c>
      <c r="C77" s="685"/>
      <c r="D77" s="685"/>
      <c r="E77" s="685"/>
      <c r="F77" s="685"/>
      <c r="G77" s="720">
        <f t="shared" ref="G77:Q77" si="23">+G7+G21</f>
        <v>0</v>
      </c>
      <c r="H77" s="720">
        <f t="shared" si="23"/>
        <v>0</v>
      </c>
      <c r="I77" s="720">
        <f t="shared" si="23"/>
        <v>0</v>
      </c>
      <c r="J77" s="720">
        <f t="shared" si="23"/>
        <v>0</v>
      </c>
      <c r="K77" s="720">
        <f t="shared" si="23"/>
        <v>0</v>
      </c>
      <c r="L77" s="720">
        <f t="shared" si="23"/>
        <v>0</v>
      </c>
      <c r="M77" s="720">
        <f t="shared" si="23"/>
        <v>0</v>
      </c>
      <c r="N77" s="720">
        <f t="shared" si="23"/>
        <v>0</v>
      </c>
      <c r="O77" s="720">
        <f t="shared" si="23"/>
        <v>0</v>
      </c>
      <c r="P77" s="720">
        <f t="shared" si="23"/>
        <v>0</v>
      </c>
      <c r="Q77" s="720">
        <f t="shared" si="23"/>
        <v>0</v>
      </c>
      <c r="R77" s="723" t="str">
        <f t="shared" si="22"/>
        <v/>
      </c>
    </row>
    <row r="78" spans="1:18" x14ac:dyDescent="0.3">
      <c r="B78" t="str">
        <f>+$B$8</f>
        <v/>
      </c>
      <c r="G78" s="788">
        <f t="shared" ref="G78:Q78" si="24">+G8+G22</f>
        <v>0</v>
      </c>
      <c r="H78" s="10">
        <f t="shared" si="24"/>
        <v>0</v>
      </c>
      <c r="I78" s="10">
        <f t="shared" si="24"/>
        <v>0</v>
      </c>
      <c r="J78" s="10">
        <f t="shared" si="24"/>
        <v>0</v>
      </c>
      <c r="K78" s="10">
        <f t="shared" si="24"/>
        <v>0</v>
      </c>
      <c r="L78" s="10">
        <f t="shared" si="24"/>
        <v>0</v>
      </c>
      <c r="M78" s="10">
        <f t="shared" si="24"/>
        <v>0</v>
      </c>
      <c r="N78" s="10">
        <f t="shared" si="24"/>
        <v>0</v>
      </c>
      <c r="O78" s="10">
        <f t="shared" si="24"/>
        <v>0</v>
      </c>
      <c r="P78" s="10">
        <f t="shared" si="24"/>
        <v>0</v>
      </c>
      <c r="Q78" s="10">
        <f t="shared" si="24"/>
        <v>0</v>
      </c>
      <c r="R78" s="722" t="str">
        <f t="shared" si="22"/>
        <v/>
      </c>
    </row>
    <row r="79" spans="1:18" x14ac:dyDescent="0.3">
      <c r="B79" s="685" t="str">
        <f>+$B$9</f>
        <v/>
      </c>
      <c r="C79" s="685"/>
      <c r="D79" s="685"/>
      <c r="E79" s="685"/>
      <c r="F79" s="685"/>
      <c r="G79" s="720">
        <f t="shared" ref="G79:Q79" si="25">+G9+G23</f>
        <v>0</v>
      </c>
      <c r="H79" s="720">
        <f t="shared" si="25"/>
        <v>0</v>
      </c>
      <c r="I79" s="720">
        <f t="shared" si="25"/>
        <v>0</v>
      </c>
      <c r="J79" s="720">
        <f t="shared" si="25"/>
        <v>0</v>
      </c>
      <c r="K79" s="720">
        <f t="shared" si="25"/>
        <v>0</v>
      </c>
      <c r="L79" s="720">
        <f t="shared" si="25"/>
        <v>0</v>
      </c>
      <c r="M79" s="720">
        <f t="shared" si="25"/>
        <v>0</v>
      </c>
      <c r="N79" s="720">
        <f t="shared" si="25"/>
        <v>0</v>
      </c>
      <c r="O79" s="720">
        <f t="shared" si="25"/>
        <v>0</v>
      </c>
      <c r="P79" s="720">
        <f t="shared" si="25"/>
        <v>0</v>
      </c>
      <c r="Q79" s="720">
        <f t="shared" si="25"/>
        <v>0</v>
      </c>
      <c r="R79" s="723" t="str">
        <f t="shared" si="22"/>
        <v/>
      </c>
    </row>
    <row r="80" spans="1:18" x14ac:dyDescent="0.3">
      <c r="B80" t="str">
        <f>+$B$10</f>
        <v/>
      </c>
      <c r="G80" s="10">
        <f t="shared" ref="G80:Q80" si="26">+G10+G24</f>
        <v>0</v>
      </c>
      <c r="H80" s="10">
        <f t="shared" si="26"/>
        <v>0</v>
      </c>
      <c r="I80" s="10">
        <f t="shared" si="26"/>
        <v>0</v>
      </c>
      <c r="J80" s="10">
        <f t="shared" si="26"/>
        <v>0</v>
      </c>
      <c r="K80" s="10">
        <f t="shared" si="26"/>
        <v>0</v>
      </c>
      <c r="L80" s="10">
        <f t="shared" si="26"/>
        <v>0</v>
      </c>
      <c r="M80" s="10">
        <f t="shared" si="26"/>
        <v>0</v>
      </c>
      <c r="N80" s="10">
        <f t="shared" si="26"/>
        <v>0</v>
      </c>
      <c r="O80" s="10">
        <f t="shared" si="26"/>
        <v>0</v>
      </c>
      <c r="P80" s="10">
        <f t="shared" si="26"/>
        <v>0</v>
      </c>
      <c r="Q80" s="10">
        <f t="shared" si="26"/>
        <v>0</v>
      </c>
      <c r="R80" s="722" t="str">
        <f t="shared" si="22"/>
        <v/>
      </c>
    </row>
    <row r="81" spans="2:18" x14ac:dyDescent="0.3">
      <c r="B81" s="685" t="str">
        <f>+$B$11</f>
        <v/>
      </c>
      <c r="C81" s="685"/>
      <c r="D81" s="685"/>
      <c r="E81" s="685"/>
      <c r="F81" s="685"/>
      <c r="G81" s="720">
        <f t="shared" ref="G81:Q81" si="27">+G11+G25</f>
        <v>0</v>
      </c>
      <c r="H81" s="720">
        <f t="shared" si="27"/>
        <v>0</v>
      </c>
      <c r="I81" s="720">
        <f t="shared" si="27"/>
        <v>0</v>
      </c>
      <c r="J81" s="720">
        <f t="shared" si="27"/>
        <v>0</v>
      </c>
      <c r="K81" s="720">
        <f t="shared" si="27"/>
        <v>0</v>
      </c>
      <c r="L81" s="720">
        <f t="shared" si="27"/>
        <v>0</v>
      </c>
      <c r="M81" s="720">
        <f t="shared" si="27"/>
        <v>0</v>
      </c>
      <c r="N81" s="720">
        <f t="shared" si="27"/>
        <v>0</v>
      </c>
      <c r="O81" s="720">
        <f t="shared" si="27"/>
        <v>0</v>
      </c>
      <c r="P81" s="720">
        <f t="shared" si="27"/>
        <v>0</v>
      </c>
      <c r="Q81" s="720">
        <f t="shared" si="27"/>
        <v>0</v>
      </c>
      <c r="R81" s="723" t="str">
        <f t="shared" si="22"/>
        <v/>
      </c>
    </row>
    <row r="82" spans="2:18" x14ac:dyDescent="0.3">
      <c r="B82" t="str">
        <f>+$B$12</f>
        <v/>
      </c>
      <c r="G82" s="10">
        <f t="shared" ref="G82:Q82" si="28">+G12+G26</f>
        <v>0</v>
      </c>
      <c r="H82" s="10">
        <f t="shared" si="28"/>
        <v>0</v>
      </c>
      <c r="I82" s="10">
        <f t="shared" si="28"/>
        <v>0</v>
      </c>
      <c r="J82" s="10">
        <f t="shared" si="28"/>
        <v>0</v>
      </c>
      <c r="K82" s="10">
        <f t="shared" si="28"/>
        <v>0</v>
      </c>
      <c r="L82" s="10">
        <f t="shared" si="28"/>
        <v>0</v>
      </c>
      <c r="M82" s="10">
        <f t="shared" si="28"/>
        <v>0</v>
      </c>
      <c r="N82" s="10">
        <f t="shared" si="28"/>
        <v>0</v>
      </c>
      <c r="O82" s="10">
        <f t="shared" si="28"/>
        <v>0</v>
      </c>
      <c r="P82" s="10">
        <f t="shared" si="28"/>
        <v>0</v>
      </c>
      <c r="Q82" s="10">
        <f t="shared" si="28"/>
        <v>0</v>
      </c>
      <c r="R82" s="722" t="str">
        <f t="shared" si="22"/>
        <v/>
      </c>
    </row>
    <row r="83" spans="2:18" x14ac:dyDescent="0.3">
      <c r="B83" s="685" t="str">
        <f>+$B$13</f>
        <v/>
      </c>
      <c r="C83" s="685"/>
      <c r="D83" s="685"/>
      <c r="E83" s="685"/>
      <c r="F83" s="685"/>
      <c r="G83" s="720">
        <f t="shared" ref="G83:Q83" si="29">+G13+G27</f>
        <v>0</v>
      </c>
      <c r="H83" s="720">
        <f t="shared" si="29"/>
        <v>0</v>
      </c>
      <c r="I83" s="720">
        <f t="shared" si="29"/>
        <v>0</v>
      </c>
      <c r="J83" s="720">
        <f t="shared" si="29"/>
        <v>0</v>
      </c>
      <c r="K83" s="720">
        <f t="shared" si="29"/>
        <v>0</v>
      </c>
      <c r="L83" s="720">
        <f t="shared" si="29"/>
        <v>0</v>
      </c>
      <c r="M83" s="720">
        <f t="shared" si="29"/>
        <v>0</v>
      </c>
      <c r="N83" s="720">
        <f t="shared" si="29"/>
        <v>0</v>
      </c>
      <c r="O83" s="720">
        <f t="shared" si="29"/>
        <v>0</v>
      </c>
      <c r="P83" s="720">
        <f t="shared" si="29"/>
        <v>0</v>
      </c>
      <c r="Q83" s="720">
        <f t="shared" si="29"/>
        <v>0</v>
      </c>
      <c r="R83" s="723" t="str">
        <f t="shared" si="22"/>
        <v/>
      </c>
    </row>
    <row r="84" spans="2:18" x14ac:dyDescent="0.3">
      <c r="B84" t="str">
        <f>+$B$14</f>
        <v/>
      </c>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722" t="str">
        <f t="shared" si="22"/>
        <v/>
      </c>
    </row>
    <row r="85" spans="2:18" x14ac:dyDescent="0.3">
      <c r="B85" s="685" t="str">
        <f>+$B$15</f>
        <v/>
      </c>
      <c r="C85" s="685"/>
      <c r="D85" s="685"/>
      <c r="E85" s="685"/>
      <c r="F85" s="685"/>
      <c r="G85" s="720">
        <f t="shared" ref="G85:Q85" si="31">+G15+G29</f>
        <v>0</v>
      </c>
      <c r="H85" s="720">
        <f t="shared" si="31"/>
        <v>0</v>
      </c>
      <c r="I85" s="720">
        <f t="shared" si="31"/>
        <v>0</v>
      </c>
      <c r="J85" s="720">
        <f t="shared" si="31"/>
        <v>0</v>
      </c>
      <c r="K85" s="720">
        <f t="shared" si="31"/>
        <v>0</v>
      </c>
      <c r="L85" s="720">
        <f t="shared" si="31"/>
        <v>0</v>
      </c>
      <c r="M85" s="720">
        <f t="shared" si="31"/>
        <v>0</v>
      </c>
      <c r="N85" s="720">
        <f t="shared" si="31"/>
        <v>0</v>
      </c>
      <c r="O85" s="720">
        <f t="shared" si="31"/>
        <v>0</v>
      </c>
      <c r="P85" s="720">
        <f t="shared" si="31"/>
        <v>0</v>
      </c>
      <c r="Q85" s="720">
        <f t="shared" si="31"/>
        <v>0</v>
      </c>
      <c r="R85" s="723" t="str">
        <f t="shared" si="22"/>
        <v/>
      </c>
    </row>
    <row r="86" spans="2:18" x14ac:dyDescent="0.3">
      <c r="B86" t="str">
        <f>+$B$16</f>
        <v/>
      </c>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722" t="str">
        <f t="shared" si="22"/>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W1773"/>
  <sheetViews>
    <sheetView showGridLines="0" zoomScale="70" zoomScaleNormal="70" workbookViewId="0">
      <selection activeCell="AJ21" sqref="AJ21"/>
    </sheetView>
  </sheetViews>
  <sheetFormatPr defaultColWidth="9" defaultRowHeight="15" customHeight="1" x14ac:dyDescent="0.35"/>
  <cols>
    <col min="1" max="1" width="2.33203125" style="132" customWidth="1"/>
    <col min="2" max="2" width="45" style="132" customWidth="1"/>
    <col min="3" max="3" width="14" style="132" customWidth="1"/>
    <col min="4" max="4" width="3.5" style="132" customWidth="1"/>
    <col min="5" max="7" width="13.33203125" style="132" customWidth="1"/>
    <col min="8" max="17" width="12.83203125" style="132" customWidth="1"/>
    <col min="18" max="18" width="11.58203125" style="132" customWidth="1"/>
    <col min="19" max="19" width="29.08203125" style="132" customWidth="1"/>
    <col min="20" max="20" width="16.58203125" style="132" customWidth="1"/>
    <col min="21" max="21" width="32.08203125" style="132" hidden="1" customWidth="1"/>
    <col min="22" max="22" width="11.08203125" style="132" hidden="1" customWidth="1"/>
    <col min="23" max="35" width="9" style="132" hidden="1" customWidth="1"/>
    <col min="36" max="37" width="9" style="132" customWidth="1"/>
    <col min="38" max="38" width="8.58203125" style="132" customWidth="1"/>
    <col min="39" max="39" width="2.58203125" style="132" customWidth="1"/>
    <col min="40" max="16384" width="9" style="132"/>
  </cols>
  <sheetData>
    <row r="2" spans="1:36" s="41" customFormat="1" ht="20.149999999999999" customHeight="1" x14ac:dyDescent="0.4">
      <c r="B2" s="40" t="s">
        <v>307</v>
      </c>
    </row>
    <row r="4" spans="1:36" ht="15.5" x14ac:dyDescent="0.35">
      <c r="A4" s="132" t="s">
        <v>300</v>
      </c>
      <c r="B4" s="52" t="s">
        <v>308</v>
      </c>
      <c r="C4" s="56"/>
      <c r="D4" s="56"/>
      <c r="E4" s="56"/>
      <c r="F4" s="56"/>
      <c r="G4" s="56"/>
      <c r="H4" s="56"/>
      <c r="I4" s="56"/>
      <c r="J4" s="56"/>
      <c r="K4" s="56"/>
      <c r="L4" s="56"/>
      <c r="M4" s="56"/>
      <c r="N4" s="56"/>
      <c r="O4" s="56"/>
      <c r="P4" s="56"/>
      <c r="Q4" s="56"/>
      <c r="R4" s="132" t="e" vm="2">
        <v>#VALUE!</v>
      </c>
      <c r="S4" s="419"/>
      <c r="T4" s="133"/>
      <c r="U4" s="133"/>
    </row>
    <row r="5" spans="1:36" ht="4" customHeight="1" x14ac:dyDescent="0.35">
      <c r="B5" s="134"/>
      <c r="C5" s="135"/>
      <c r="D5" s="135"/>
      <c r="E5" s="135"/>
      <c r="F5" s="135"/>
      <c r="G5" s="135"/>
      <c r="H5" s="135"/>
      <c r="I5" s="135"/>
      <c r="J5" s="135"/>
      <c r="K5" s="135"/>
      <c r="L5" s="135"/>
      <c r="M5" s="135"/>
      <c r="N5" s="135"/>
      <c r="O5" s="135"/>
      <c r="P5" s="135"/>
      <c r="Q5" s="135"/>
      <c r="S5" s="133"/>
      <c r="T5" s="133"/>
      <c r="U5" s="133"/>
    </row>
    <row r="6" spans="1:36" ht="15.5" x14ac:dyDescent="0.35">
      <c r="B6" s="136" t="s">
        <v>309</v>
      </c>
      <c r="C6" s="137"/>
      <c r="D6" s="137"/>
      <c r="E6" s="136" t="s">
        <v>310</v>
      </c>
      <c r="F6" s="137"/>
      <c r="G6" s="137"/>
      <c r="H6" s="136" t="s">
        <v>311</v>
      </c>
      <c r="J6" s="137"/>
      <c r="K6" s="136" t="s">
        <v>312</v>
      </c>
      <c r="L6" s="137"/>
      <c r="P6" s="137"/>
      <c r="Q6" s="137"/>
      <c r="X6" s="132" t="s">
        <v>22</v>
      </c>
      <c r="Y6" s="132" t="s">
        <v>313</v>
      </c>
      <c r="Z6" s="132" t="s">
        <v>314</v>
      </c>
      <c r="AA6" s="132" t="s">
        <v>315</v>
      </c>
      <c r="AB6" s="132" t="s">
        <v>316</v>
      </c>
      <c r="AC6" s="132" t="s">
        <v>243</v>
      </c>
      <c r="AD6" s="132" t="s">
        <v>317</v>
      </c>
      <c r="AE6" s="132" t="s">
        <v>234</v>
      </c>
      <c r="AF6" s="132" t="s">
        <v>318</v>
      </c>
      <c r="AG6" s="132" t="s">
        <v>239</v>
      </c>
      <c r="AH6" s="132" t="s">
        <v>236</v>
      </c>
      <c r="AI6" s="132" t="s">
        <v>232</v>
      </c>
    </row>
    <row r="7" spans="1:36" ht="15.5" x14ac:dyDescent="0.35">
      <c r="B7" s="137" t="s">
        <v>156</v>
      </c>
      <c r="C7" s="631">
        <v>2</v>
      </c>
      <c r="D7" s="137"/>
      <c r="E7" s="132" t="s">
        <v>156</v>
      </c>
      <c r="F7" s="635">
        <v>-0.02</v>
      </c>
      <c r="H7" s="132" t="s">
        <v>156</v>
      </c>
      <c r="K7" s="132" t="s">
        <v>156</v>
      </c>
      <c r="L7" s="635">
        <v>0.02</v>
      </c>
      <c r="P7" s="137"/>
      <c r="S7" s="132" t="s">
        <v>319</v>
      </c>
      <c r="T7" s="369"/>
      <c r="W7" s="132">
        <v>2022</v>
      </c>
      <c r="X7" s="183" t="str">
        <f>+E192</f>
        <v/>
      </c>
      <c r="Y7" s="183">
        <f>+E244</f>
        <v>0</v>
      </c>
      <c r="Z7" s="183" t="str">
        <f ca="1">+H216</f>
        <v/>
      </c>
      <c r="AA7" s="183">
        <f>+E257</f>
        <v>0</v>
      </c>
      <c r="AB7" s="183" t="str">
        <f>+E182</f>
        <v/>
      </c>
      <c r="AC7" s="222">
        <f>+E242</f>
        <v>0</v>
      </c>
      <c r="AD7" s="183">
        <f>+E88</f>
        <v>0</v>
      </c>
      <c r="AH7" s="183"/>
    </row>
    <row r="8" spans="1:36" ht="15.5" x14ac:dyDescent="0.35">
      <c r="B8" s="137" t="s">
        <v>320</v>
      </c>
      <c r="C8" s="631">
        <v>2</v>
      </c>
      <c r="D8" s="137"/>
      <c r="E8" s="132" t="s">
        <v>320</v>
      </c>
      <c r="F8" s="635">
        <v>-0.01</v>
      </c>
      <c r="H8" s="132" t="s">
        <v>320</v>
      </c>
      <c r="K8" s="132" t="s">
        <v>320</v>
      </c>
      <c r="L8" s="635">
        <v>0.01</v>
      </c>
      <c r="P8" s="137"/>
      <c r="S8" s="132" t="s">
        <v>321</v>
      </c>
      <c r="T8" s="370"/>
      <c r="W8" s="132">
        <f t="shared" ref="W8:W14" si="0">+W7+1</f>
        <v>2023</v>
      </c>
      <c r="X8" s="183" t="str">
        <f>+F192</f>
        <v/>
      </c>
      <c r="Y8" s="183">
        <f>+F244</f>
        <v>0</v>
      </c>
      <c r="Z8" s="183" t="str">
        <f ca="1">+I216</f>
        <v/>
      </c>
      <c r="AA8" s="183">
        <f>+F257</f>
        <v>0</v>
      </c>
      <c r="AB8" s="183" t="str">
        <f>+F182</f>
        <v/>
      </c>
      <c r="AC8" s="222">
        <f>+F242</f>
        <v>0</v>
      </c>
      <c r="AD8" s="183">
        <f>+F88</f>
        <v>0</v>
      </c>
    </row>
    <row r="9" spans="1:36" ht="15.5" x14ac:dyDescent="0.35">
      <c r="B9" s="137" t="s">
        <v>322</v>
      </c>
      <c r="C9" s="631">
        <v>2</v>
      </c>
      <c r="D9" s="137"/>
      <c r="E9" s="137" t="s">
        <v>322</v>
      </c>
      <c r="F9" s="633" t="str">
        <f ca="1">IFERROR(+I9+0.5%,"")</f>
        <v/>
      </c>
      <c r="H9" s="137" t="s">
        <v>322</v>
      </c>
      <c r="I9" s="634" t="str">
        <f ca="1">WACC!G25</f>
        <v/>
      </c>
      <c r="J9" s="137"/>
      <c r="K9" s="137" t="s">
        <v>322</v>
      </c>
      <c r="L9" s="636" t="str">
        <f ca="1">IFERROR(I9-0.5%,"")</f>
        <v/>
      </c>
      <c r="M9" s="137"/>
      <c r="P9" s="137"/>
      <c r="Q9" s="137"/>
      <c r="S9" s="132" t="s">
        <v>323</v>
      </c>
      <c r="T9" s="370"/>
      <c r="W9" s="132">
        <f t="shared" si="0"/>
        <v>2024</v>
      </c>
      <c r="X9" s="183" t="str">
        <f>+G192</f>
        <v/>
      </c>
      <c r="Y9" s="183">
        <f>+G244</f>
        <v>0</v>
      </c>
      <c r="Z9" s="183" t="str">
        <f ca="1">+J216</f>
        <v/>
      </c>
      <c r="AA9" s="183">
        <f>+G257</f>
        <v>0</v>
      </c>
      <c r="AB9" s="183" t="str">
        <f>+G182</f>
        <v/>
      </c>
      <c r="AC9" s="222">
        <f>+G242</f>
        <v>0</v>
      </c>
      <c r="AD9" s="183">
        <f>+G88</f>
        <v>0</v>
      </c>
      <c r="AE9" s="222">
        <f>Inputs!Q48</f>
        <v>0</v>
      </c>
      <c r="AF9" s="222">
        <f>+Inputs!Q60</f>
        <v>0</v>
      </c>
      <c r="AG9" s="222">
        <f>+AE9-AF9</f>
        <v>0</v>
      </c>
      <c r="AH9" s="222">
        <f>+Inputs!Q54</f>
        <v>0</v>
      </c>
      <c r="AI9" s="222">
        <f>+Inputs!Q38</f>
        <v>0</v>
      </c>
    </row>
    <row r="10" spans="1:36" ht="15.5" x14ac:dyDescent="0.35">
      <c r="B10" s="137" t="s">
        <v>324</v>
      </c>
      <c r="C10" s="631">
        <v>2</v>
      </c>
      <c r="D10" s="137"/>
      <c r="E10" s="137" t="s">
        <v>324</v>
      </c>
      <c r="F10" s="633">
        <f>+I10-0.5%</f>
        <v>-5.0000000000000001E-3</v>
      </c>
      <c r="H10" s="137" t="s">
        <v>324</v>
      </c>
      <c r="I10" s="635"/>
      <c r="J10" s="137"/>
      <c r="K10" s="137" t="s">
        <v>324</v>
      </c>
      <c r="L10" s="633">
        <f>+I10+0.5%</f>
        <v>5.0000000000000001E-3</v>
      </c>
      <c r="M10" s="137"/>
      <c r="P10" s="137"/>
      <c r="S10" s="132" t="s">
        <v>325</v>
      </c>
      <c r="T10" s="370"/>
      <c r="W10" s="132">
        <f t="shared" si="0"/>
        <v>2025</v>
      </c>
      <c r="X10" s="183" t="str">
        <f ca="1">+H192</f>
        <v/>
      </c>
      <c r="Y10" s="183" t="str">
        <f>+H244</f>
        <v/>
      </c>
      <c r="Z10" s="183" t="str">
        <f ca="1">+K216</f>
        <v/>
      </c>
      <c r="AA10" s="183" t="str">
        <f>+H257</f>
        <v/>
      </c>
      <c r="AB10" s="183" t="str">
        <f ca="1">+H182</f>
        <v/>
      </c>
      <c r="AC10" s="222">
        <f>+H242</f>
        <v>0</v>
      </c>
      <c r="AD10" s="183" t="str">
        <f>+H88</f>
        <v/>
      </c>
      <c r="AE10" s="222" t="e">
        <f>Inputs!Q48+DCF!H88+DCF!H90+DCF!H93+DCF!H96+DCF!H99+DCF!H105-DCF!G88-DCF!G90-DCF!G93-DCF!G96-DCF!G99-DCF!G105</f>
        <v>#VALUE!</v>
      </c>
      <c r="AF10" s="222" t="e">
        <f>+Inputs!Q60+(DCF!H110+DCF!H113+DCF!H116+DCF!H118*DCF!G110*DCF!G113*DCF!G116*DCF!G118)</f>
        <v>#VALUE!</v>
      </c>
      <c r="AG10" s="222" t="e">
        <f>+AE10-AF10</f>
        <v>#VALUE!</v>
      </c>
      <c r="AH10" s="183" t="e">
        <f>+AH9+H110+H113-G110-G113</f>
        <v>#VALUE!</v>
      </c>
      <c r="AI10" s="183" t="e">
        <f>+H88+H90+H93+H96</f>
        <v>#VALUE!</v>
      </c>
    </row>
    <row r="11" spans="1:36" ht="10" customHeight="1" x14ac:dyDescent="0.35">
      <c r="B11" s="137"/>
      <c r="C11" s="137"/>
      <c r="D11" s="137"/>
      <c r="E11" s="137"/>
      <c r="G11" s="137"/>
      <c r="K11" s="137"/>
      <c r="M11" s="137"/>
      <c r="P11" s="137"/>
      <c r="W11" s="132">
        <f t="shared" si="0"/>
        <v>2026</v>
      </c>
      <c r="X11" s="183" t="str">
        <f ca="1">+I192</f>
        <v/>
      </c>
      <c r="Y11" s="183" t="str">
        <f>+I244</f>
        <v/>
      </c>
      <c r="Z11" s="183" t="str">
        <f ca="1">+L216</f>
        <v/>
      </c>
      <c r="AA11" s="183" t="str">
        <f>+I257</f>
        <v/>
      </c>
      <c r="AB11" s="183" t="str">
        <f ca="1">+I182</f>
        <v/>
      </c>
      <c r="AC11" s="222" t="str">
        <f>+I242</f>
        <v/>
      </c>
      <c r="AD11" s="183" t="str">
        <f>+I88</f>
        <v/>
      </c>
      <c r="AE11" s="222" t="e">
        <f>AE10+DCF!I88+DCF!I90+DCF!I93+DCF!I96+DCF!I99+DCF!I105-DCF!H88-DCF!H90-DCF!H93-DCF!H96-DCF!H99-DCF!H105</f>
        <v>#VALUE!</v>
      </c>
      <c r="AF11" s="222" t="e">
        <f>AF10+(DCF!I110+DCF!I113+DCF!I116+DCF!I118*DCF!H110*DCF!H113*DCF!H116*DCF!H118)</f>
        <v>#VALUE!</v>
      </c>
      <c r="AG11" s="222" t="e">
        <f>+AE11-AF11</f>
        <v>#VALUE!</v>
      </c>
      <c r="AH11" s="183" t="e">
        <f>+AH10+I110+I113-H110-H113</f>
        <v>#VALUE!</v>
      </c>
      <c r="AI11" s="183" t="e">
        <f>+I88+I90+I93+I96</f>
        <v>#VALUE!</v>
      </c>
      <c r="AJ11" s="183"/>
    </row>
    <row r="12" spans="1:36" ht="13.5" customHeight="1" x14ac:dyDescent="0.35">
      <c r="B12" s="137" t="s">
        <v>322</v>
      </c>
      <c r="C12" s="632" t="str">
        <f ca="1">CHOOSE(C9,F9,I9,L9)</f>
        <v/>
      </c>
      <c r="D12" s="137"/>
      <c r="E12" s="137"/>
      <c r="G12" s="137"/>
      <c r="K12" s="137"/>
      <c r="P12" s="137"/>
      <c r="S12" s="138"/>
      <c r="T12" s="139"/>
      <c r="W12" s="132">
        <f t="shared" si="0"/>
        <v>2027</v>
      </c>
      <c r="X12" s="183" t="str">
        <f ca="1">+J192</f>
        <v/>
      </c>
      <c r="Y12" s="183" t="str">
        <f>+J244</f>
        <v/>
      </c>
      <c r="Z12" s="183" t="str">
        <f ca="1">+M216</f>
        <v/>
      </c>
      <c r="AA12" s="183" t="str">
        <f>+J257</f>
        <v/>
      </c>
      <c r="AB12" s="183" t="str">
        <f ca="1">+J182</f>
        <v/>
      </c>
      <c r="AC12" s="222" t="str">
        <f>+J242</f>
        <v/>
      </c>
      <c r="AD12" s="183" t="str">
        <f>+J88</f>
        <v/>
      </c>
    </row>
    <row r="13" spans="1:36" ht="15.5" x14ac:dyDescent="0.35">
      <c r="B13" s="137" t="s">
        <v>324</v>
      </c>
      <c r="C13" s="632">
        <f>CHOOSE(C10,F10,I10,L10)</f>
        <v>0</v>
      </c>
      <c r="D13" s="137"/>
      <c r="E13" s="137"/>
      <c r="G13" s="140"/>
      <c r="H13" s="137"/>
      <c r="I13" s="137"/>
      <c r="J13" s="137"/>
      <c r="K13" s="137"/>
      <c r="L13" s="137"/>
      <c r="M13" s="137"/>
      <c r="O13" s="137"/>
      <c r="P13" s="137"/>
      <c r="Q13" s="137"/>
      <c r="R13" s="137"/>
      <c r="W13" s="132">
        <f t="shared" si="0"/>
        <v>2028</v>
      </c>
      <c r="X13" s="183" t="str">
        <f ca="1">+K192</f>
        <v/>
      </c>
      <c r="Y13" s="183" t="str">
        <f>+K244</f>
        <v/>
      </c>
      <c r="Z13" s="183" t="str">
        <f ca="1">+N216</f>
        <v/>
      </c>
      <c r="AA13" s="183" t="str">
        <f>+K257</f>
        <v/>
      </c>
      <c r="AB13" s="183" t="str">
        <f ca="1">+K182</f>
        <v/>
      </c>
      <c r="AC13" s="222" t="str">
        <f>+K242</f>
        <v/>
      </c>
      <c r="AD13" s="183" t="str">
        <f>+K88</f>
        <v/>
      </c>
    </row>
    <row r="14" spans="1:36" ht="15.5" x14ac:dyDescent="0.35">
      <c r="B14" s="137"/>
      <c r="C14" s="141"/>
      <c r="D14" s="137"/>
      <c r="E14" s="142"/>
      <c r="F14" s="142"/>
      <c r="G14" s="142"/>
      <c r="H14" s="137"/>
      <c r="I14" s="137"/>
      <c r="J14" s="137"/>
      <c r="K14" s="137"/>
      <c r="L14" s="137"/>
      <c r="M14" s="137"/>
      <c r="O14" s="137"/>
      <c r="P14" s="137"/>
      <c r="Q14" s="137"/>
      <c r="R14" s="137"/>
      <c r="W14" s="132">
        <f t="shared" si="0"/>
        <v>2029</v>
      </c>
      <c r="X14" s="183" t="str">
        <f ca="1">+L192</f>
        <v/>
      </c>
      <c r="Y14" s="183" t="str">
        <f>+L244</f>
        <v/>
      </c>
      <c r="Z14" s="183" t="str">
        <f ca="1">+O216</f>
        <v/>
      </c>
      <c r="AA14" s="183" t="str">
        <f>+L257</f>
        <v/>
      </c>
      <c r="AB14" s="183" t="str">
        <f ca="1">+L182</f>
        <v/>
      </c>
      <c r="AC14" s="222" t="str">
        <f>+L242</f>
        <v/>
      </c>
      <c r="AD14" s="183" t="str">
        <f>+L88</f>
        <v/>
      </c>
    </row>
    <row r="15" spans="1:36" ht="15.5" x14ac:dyDescent="0.35">
      <c r="A15" s="132" t="s">
        <v>300</v>
      </c>
      <c r="B15" s="52" t="s">
        <v>326</v>
      </c>
      <c r="C15" s="56"/>
      <c r="D15" s="56"/>
      <c r="E15" s="143">
        <v>2022</v>
      </c>
      <c r="F15" s="143">
        <f>+E15+1</f>
        <v>2023</v>
      </c>
      <c r="G15" s="144">
        <f>+F15+1</f>
        <v>2024</v>
      </c>
      <c r="H15" s="105">
        <f t="shared" ref="H15:J15" si="1">+G15+1</f>
        <v>2025</v>
      </c>
      <c r="I15" s="105">
        <f t="shared" si="1"/>
        <v>2026</v>
      </c>
      <c r="J15" s="105">
        <f t="shared" si="1"/>
        <v>2027</v>
      </c>
      <c r="K15" s="105">
        <f>+J15+1</f>
        <v>2028</v>
      </c>
      <c r="L15" s="105">
        <f t="shared" ref="L15:Q15" si="2">+K15+1</f>
        <v>2029</v>
      </c>
      <c r="M15" s="105">
        <f t="shared" si="2"/>
        <v>2030</v>
      </c>
      <c r="N15" s="105">
        <f t="shared" si="2"/>
        <v>2031</v>
      </c>
      <c r="O15" s="105">
        <f t="shared" si="2"/>
        <v>2032</v>
      </c>
      <c r="P15" s="105">
        <f t="shared" si="2"/>
        <v>2033</v>
      </c>
      <c r="Q15" s="105">
        <f t="shared" si="2"/>
        <v>2034</v>
      </c>
      <c r="R15" s="137"/>
    </row>
    <row r="16" spans="1:36" ht="3.75" customHeight="1" x14ac:dyDescent="0.35">
      <c r="B16" s="70"/>
      <c r="C16" s="70"/>
      <c r="D16" s="70"/>
      <c r="E16" s="70"/>
      <c r="F16" s="70"/>
      <c r="G16" s="145"/>
      <c r="H16" s="70"/>
      <c r="I16" s="70"/>
      <c r="J16" s="70"/>
      <c r="K16" s="70"/>
      <c r="L16" s="70"/>
      <c r="M16" s="70"/>
      <c r="N16" s="70"/>
      <c r="O16" s="70"/>
      <c r="P16" s="70"/>
      <c r="Q16" s="70"/>
      <c r="R16" s="137"/>
    </row>
    <row r="17" spans="1:34" ht="15.5" x14ac:dyDescent="0.35">
      <c r="B17" s="137" t="s">
        <v>327</v>
      </c>
      <c r="C17" s="141"/>
      <c r="D17" s="137"/>
      <c r="E17" s="146"/>
      <c r="F17" s="146"/>
      <c r="G17" s="147"/>
      <c r="H17" s="148"/>
      <c r="I17" s="148"/>
      <c r="J17" s="148"/>
      <c r="K17" s="148"/>
      <c r="L17" s="148"/>
      <c r="M17" s="148"/>
      <c r="N17" s="148"/>
      <c r="O17" s="148"/>
      <c r="P17" s="148"/>
      <c r="Q17" s="148"/>
      <c r="R17" s="137"/>
    </row>
    <row r="18" spans="1:34" ht="15.5" x14ac:dyDescent="0.35">
      <c r="B18" s="137" t="s">
        <v>328</v>
      </c>
      <c r="C18" s="141"/>
      <c r="D18" s="137"/>
      <c r="E18" s="307"/>
      <c r="F18" s="307"/>
      <c r="G18" s="308"/>
      <c r="H18" s="149"/>
      <c r="I18" s="149"/>
      <c r="J18" s="149"/>
      <c r="K18" s="149"/>
      <c r="L18" s="149"/>
      <c r="M18" s="149"/>
      <c r="N18" s="149"/>
      <c r="O18" s="149"/>
      <c r="P18" s="149"/>
      <c r="Q18" s="149"/>
      <c r="R18" s="137"/>
      <c r="AE18" s="222"/>
      <c r="AF18" s="222"/>
      <c r="AG18" s="222"/>
      <c r="AH18" s="222"/>
    </row>
    <row r="19" spans="1:34" ht="15.5" x14ac:dyDescent="0.35">
      <c r="B19" s="150" t="s">
        <v>329</v>
      </c>
      <c r="C19" s="141"/>
      <c r="D19" s="137"/>
      <c r="E19" s="151"/>
      <c r="F19" s="151"/>
      <c r="G19" s="152"/>
      <c r="H19" s="153"/>
      <c r="I19" s="153"/>
      <c r="J19" s="153"/>
      <c r="K19" s="153"/>
      <c r="L19" s="153"/>
      <c r="M19" s="153"/>
      <c r="N19" s="153"/>
      <c r="O19" s="153"/>
      <c r="P19" s="153"/>
      <c r="Q19" s="153"/>
      <c r="R19" s="137"/>
      <c r="AD19" s="183"/>
      <c r="AE19" s="183"/>
      <c r="AF19" s="183"/>
      <c r="AG19" s="183"/>
    </row>
    <row r="20" spans="1:34" ht="15.5" x14ac:dyDescent="0.35">
      <c r="B20" s="647" t="s">
        <v>330</v>
      </c>
      <c r="C20" s="141"/>
      <c r="D20" s="137"/>
      <c r="E20" s="648"/>
      <c r="F20" s="648"/>
      <c r="G20" s="649"/>
      <c r="H20" s="137"/>
      <c r="I20" s="137"/>
      <c r="J20" s="137"/>
      <c r="K20" s="137"/>
      <c r="L20" s="137"/>
      <c r="M20" s="137"/>
      <c r="O20" s="137"/>
      <c r="P20" s="137"/>
      <c r="Q20" s="137"/>
      <c r="R20" s="137"/>
      <c r="S20" s="32"/>
      <c r="T20" s="98"/>
      <c r="U20" s="98"/>
      <c r="V20" s="98"/>
      <c r="W20" s="98"/>
      <c r="X20" s="98"/>
    </row>
    <row r="21" spans="1:34" ht="15.5" x14ac:dyDescent="0.35">
      <c r="B21" s="647" t="s">
        <v>331</v>
      </c>
      <c r="C21" s="141"/>
      <c r="D21" s="137"/>
      <c r="E21" s="648"/>
      <c r="F21" s="648"/>
      <c r="G21" s="649"/>
      <c r="H21" s="137"/>
      <c r="I21" s="137"/>
      <c r="J21" s="137"/>
      <c r="K21" s="137"/>
      <c r="L21" s="137"/>
      <c r="M21" s="137"/>
      <c r="O21" s="137"/>
      <c r="P21" s="137"/>
      <c r="Q21" s="137"/>
      <c r="R21" s="137"/>
      <c r="S21" s="98"/>
      <c r="T21"/>
      <c r="U21"/>
      <c r="V21"/>
      <c r="W21"/>
      <c r="X21"/>
    </row>
    <row r="22" spans="1:34" ht="15.5" x14ac:dyDescent="0.35">
      <c r="B22" s="137" t="s">
        <v>332</v>
      </c>
      <c r="C22" s="141"/>
      <c r="D22" s="137"/>
      <c r="E22" s="146"/>
      <c r="F22" s="146"/>
      <c r="G22" s="147"/>
      <c r="H22" s="148"/>
      <c r="I22" s="148"/>
      <c r="J22" s="148"/>
      <c r="K22" s="148"/>
      <c r="L22" s="148"/>
      <c r="N22" s="148"/>
      <c r="O22" s="148"/>
      <c r="P22" s="148"/>
      <c r="Q22" s="148"/>
      <c r="R22" s="137"/>
      <c r="S22" s="98"/>
      <c r="T22"/>
      <c r="U22"/>
      <c r="V22"/>
      <c r="W22"/>
      <c r="X22"/>
    </row>
    <row r="23" spans="1:34" ht="15.5" x14ac:dyDescent="0.35">
      <c r="B23" s="137" t="s">
        <v>333</v>
      </c>
      <c r="C23" s="141"/>
      <c r="D23" s="137"/>
      <c r="E23" s="154"/>
      <c r="F23" s="154"/>
      <c r="G23" s="155"/>
      <c r="H23" s="156"/>
      <c r="I23" s="156"/>
      <c r="J23" s="156"/>
      <c r="K23" s="156"/>
      <c r="L23" s="156"/>
      <c r="N23" s="148"/>
      <c r="O23" s="156"/>
      <c r="P23" s="156"/>
      <c r="Q23" s="156"/>
      <c r="R23" s="137"/>
      <c r="S23" s="98"/>
      <c r="T23"/>
      <c r="U23"/>
      <c r="V23"/>
      <c r="W23"/>
      <c r="X23"/>
    </row>
    <row r="24" spans="1:34" ht="15.5" x14ac:dyDescent="0.35">
      <c r="B24" s="137" t="s">
        <v>334</v>
      </c>
      <c r="C24" s="141"/>
      <c r="D24" s="137"/>
      <c r="E24" s="645"/>
      <c r="F24" s="645"/>
      <c r="G24" s="646"/>
      <c r="H24" s="325"/>
      <c r="I24" s="325"/>
      <c r="J24" s="325"/>
      <c r="K24" s="325"/>
      <c r="L24" s="325"/>
      <c r="M24" s="325"/>
      <c r="N24" s="325"/>
      <c r="O24" s="325"/>
      <c r="P24" s="325"/>
      <c r="Q24" s="325"/>
      <c r="R24" s="186"/>
      <c r="S24" s="98"/>
      <c r="T24"/>
      <c r="U24"/>
      <c r="V24"/>
      <c r="W24"/>
      <c r="X24"/>
    </row>
    <row r="25" spans="1:34" ht="15.5" x14ac:dyDescent="0.35">
      <c r="B25" s="137" t="s">
        <v>335</v>
      </c>
      <c r="C25" s="141"/>
      <c r="D25" s="137"/>
      <c r="E25" s="158"/>
      <c r="F25" s="158"/>
      <c r="G25" s="159"/>
      <c r="H25" s="148"/>
      <c r="I25" s="148"/>
      <c r="J25" s="148"/>
      <c r="K25" s="148"/>
      <c r="L25" s="148"/>
      <c r="M25" s="148"/>
      <c r="N25" s="148"/>
      <c r="O25" s="148"/>
      <c r="P25" s="148"/>
      <c r="Q25" s="148"/>
      <c r="R25" s="137"/>
      <c r="S25" s="98"/>
      <c r="T25"/>
      <c r="U25"/>
      <c r="V25"/>
      <c r="W25"/>
      <c r="X25"/>
    </row>
    <row r="26" spans="1:34" ht="15.5" x14ac:dyDescent="0.35">
      <c r="B26" s="137" t="s">
        <v>336</v>
      </c>
      <c r="C26" s="141"/>
      <c r="D26" s="137"/>
      <c r="E26" s="148"/>
      <c r="F26" s="148"/>
      <c r="G26" s="160"/>
      <c r="H26" s="148"/>
      <c r="I26" s="148"/>
      <c r="J26" s="148"/>
      <c r="K26" s="148"/>
      <c r="L26" s="148"/>
      <c r="M26" s="148"/>
      <c r="N26" s="148"/>
      <c r="O26" s="148"/>
      <c r="P26" s="148"/>
      <c r="Q26" s="148"/>
      <c r="R26" s="137"/>
      <c r="S26" s="98"/>
      <c r="T26"/>
      <c r="U26"/>
      <c r="V26"/>
      <c r="W26"/>
      <c r="X26"/>
    </row>
    <row r="27" spans="1:34" ht="15.5" x14ac:dyDescent="0.35">
      <c r="B27" s="161" t="s">
        <v>337</v>
      </c>
      <c r="G27" s="162"/>
      <c r="S27" s="98"/>
    </row>
    <row r="28" spans="1:34" ht="15.5" x14ac:dyDescent="0.35">
      <c r="A28" s="132" t="s">
        <v>300</v>
      </c>
      <c r="B28" s="52" t="s">
        <v>205</v>
      </c>
      <c r="C28" s="56"/>
      <c r="D28" s="56"/>
      <c r="E28" s="143">
        <v>2022</v>
      </c>
      <c r="F28" s="143">
        <f>+E28+1</f>
        <v>2023</v>
      </c>
      <c r="G28" s="144">
        <f>+F28+1</f>
        <v>2024</v>
      </c>
      <c r="H28" s="105">
        <f t="shared" ref="H28:Q28" si="3">+G28+1</f>
        <v>2025</v>
      </c>
      <c r="I28" s="105">
        <f t="shared" si="3"/>
        <v>2026</v>
      </c>
      <c r="J28" s="105">
        <f t="shared" si="3"/>
        <v>2027</v>
      </c>
      <c r="K28" s="105">
        <f>+J28+1</f>
        <v>2028</v>
      </c>
      <c r="L28" s="105">
        <f t="shared" si="3"/>
        <v>2029</v>
      </c>
      <c r="M28" s="105">
        <f t="shared" si="3"/>
        <v>2030</v>
      </c>
      <c r="N28" s="105">
        <f t="shared" si="3"/>
        <v>2031</v>
      </c>
      <c r="O28" s="105">
        <f t="shared" si="3"/>
        <v>2032</v>
      </c>
      <c r="P28" s="105">
        <f t="shared" si="3"/>
        <v>2033</v>
      </c>
      <c r="Q28" s="105">
        <f t="shared" si="3"/>
        <v>2034</v>
      </c>
      <c r="R28" s="163"/>
      <c r="S28" s="133"/>
      <c r="T28" s="133"/>
      <c r="U28" s="133"/>
    </row>
    <row r="29" spans="1:34" ht="4" customHeight="1" x14ac:dyDescent="0.35">
      <c r="B29" s="70"/>
      <c r="C29" s="70"/>
      <c r="D29" s="70"/>
      <c r="E29" s="70"/>
      <c r="F29" s="70"/>
      <c r="G29" s="145"/>
      <c r="H29" s="70"/>
      <c r="I29" s="70"/>
      <c r="J29" s="70"/>
      <c r="K29" s="70"/>
      <c r="L29" s="70"/>
      <c r="M29" s="70"/>
      <c r="N29" s="70"/>
      <c r="O29" s="70"/>
      <c r="P29" s="70"/>
      <c r="Q29" s="70"/>
    </row>
    <row r="30" spans="1:34" ht="15.5" x14ac:dyDescent="0.35">
      <c r="B30" s="132" t="s">
        <v>338</v>
      </c>
      <c r="D30" s="321">
        <f>+_xlfn.XLOOKUP($B30,Inputs!$B:$B,Inputs!N:N)</f>
        <v>0</v>
      </c>
      <c r="E30" s="165">
        <f>+_xlfn.XLOOKUP($B30,Inputs!$B:$B,Inputs!O:O)</f>
        <v>0</v>
      </c>
      <c r="F30" s="165">
        <f>+_xlfn.XLOOKUP($B30,Inputs!$B:$B,Inputs!P:P)</f>
        <v>0</v>
      </c>
      <c r="G30" s="285">
        <f>+_xlfn.XLOOKUP($B30,Inputs!$B:$B,Inputs!Q:Q)</f>
        <v>0</v>
      </c>
      <c r="H30" s="166">
        <f t="shared" ref="H30:Q30" si="4">+H25+H26</f>
        <v>0</v>
      </c>
      <c r="I30" s="166">
        <f t="shared" si="4"/>
        <v>0</v>
      </c>
      <c r="J30" s="166">
        <f t="shared" si="4"/>
        <v>0</v>
      </c>
      <c r="K30" s="166">
        <f t="shared" si="4"/>
        <v>0</v>
      </c>
      <c r="L30" s="166">
        <f t="shared" si="4"/>
        <v>0</v>
      </c>
      <c r="M30" s="166">
        <f t="shared" si="4"/>
        <v>0</v>
      </c>
      <c r="N30" s="166">
        <f t="shared" si="4"/>
        <v>0</v>
      </c>
      <c r="O30" s="166">
        <f t="shared" si="4"/>
        <v>0</v>
      </c>
      <c r="P30" s="166">
        <f t="shared" si="4"/>
        <v>0</v>
      </c>
      <c r="Q30" s="166">
        <f t="shared" si="4"/>
        <v>0</v>
      </c>
    </row>
    <row r="31" spans="1:34" s="293" customFormat="1" ht="14.5" x14ac:dyDescent="0.35">
      <c r="B31" s="294" t="s">
        <v>339</v>
      </c>
      <c r="E31" s="296" t="str">
        <f>IFERROR((E30-D30)/D30,"")</f>
        <v/>
      </c>
      <c r="F31" s="296" t="str">
        <f>IFERROR((F30-E30)/E30,"")</f>
        <v/>
      </c>
      <c r="G31" s="297" t="str">
        <f>IFERROR((G30-F30)/F30,"")</f>
        <v/>
      </c>
      <c r="H31" s="298" t="str">
        <f>IFERROR(H30/G30-1,"")</f>
        <v/>
      </c>
      <c r="I31" s="298" t="str">
        <f t="shared" ref="I31:Q31" si="5">IFERROR(I30/H30-1,"")</f>
        <v/>
      </c>
      <c r="J31" s="298" t="str">
        <f t="shared" si="5"/>
        <v/>
      </c>
      <c r="K31" s="298" t="str">
        <f t="shared" si="5"/>
        <v/>
      </c>
      <c r="L31" s="298" t="str">
        <f t="shared" si="5"/>
        <v/>
      </c>
      <c r="M31" s="298" t="str">
        <f t="shared" si="5"/>
        <v/>
      </c>
      <c r="N31" s="298" t="str">
        <f t="shared" si="5"/>
        <v/>
      </c>
      <c r="O31" s="298" t="str">
        <f t="shared" si="5"/>
        <v/>
      </c>
      <c r="P31" s="298" t="str">
        <f t="shared" si="5"/>
        <v/>
      </c>
      <c r="Q31" s="298" t="str">
        <f t="shared" si="5"/>
        <v/>
      </c>
    </row>
    <row r="32" spans="1:34" ht="3.75" customHeight="1" x14ac:dyDescent="0.35">
      <c r="B32" s="167"/>
      <c r="E32" s="169"/>
      <c r="F32" s="169"/>
      <c r="G32" s="170"/>
      <c r="H32" s="168"/>
      <c r="I32" s="168"/>
      <c r="J32" s="168"/>
      <c r="K32" s="168"/>
      <c r="L32" s="168"/>
      <c r="O32" s="171"/>
      <c r="P32" s="171"/>
      <c r="Q32" s="171"/>
    </row>
    <row r="33" spans="2:17" ht="15.5" x14ac:dyDescent="0.35">
      <c r="B33" s="292" t="s">
        <v>218</v>
      </c>
      <c r="E33" s="165">
        <f>+_xlfn.XLOOKUP($B33,Inputs!$B:$B,Inputs!O:O)</f>
        <v>0</v>
      </c>
      <c r="F33" s="165">
        <f>+_xlfn.XLOOKUP($B33,Inputs!$B:$B,Inputs!P:P)</f>
        <v>0</v>
      </c>
      <c r="G33" s="285">
        <f>+_xlfn.XLOOKUP($B33,Inputs!$B:$B,Inputs!Q:Q)</f>
        <v>0</v>
      </c>
      <c r="H33" s="172">
        <f t="shared" ref="H33:Q33" si="6">H34*H$30</f>
        <v>0</v>
      </c>
      <c r="I33" s="172">
        <f t="shared" si="6"/>
        <v>0</v>
      </c>
      <c r="J33" s="172">
        <f t="shared" si="6"/>
        <v>0</v>
      </c>
      <c r="K33" s="172">
        <f t="shared" si="6"/>
        <v>0</v>
      </c>
      <c r="L33" s="172">
        <f t="shared" si="6"/>
        <v>0</v>
      </c>
      <c r="M33" s="172">
        <f t="shared" si="6"/>
        <v>0</v>
      </c>
      <c r="N33" s="172">
        <f t="shared" si="6"/>
        <v>0</v>
      </c>
      <c r="O33" s="172">
        <f t="shared" si="6"/>
        <v>0</v>
      </c>
      <c r="P33" s="172">
        <f t="shared" si="6"/>
        <v>0</v>
      </c>
      <c r="Q33" s="172">
        <f t="shared" si="6"/>
        <v>0</v>
      </c>
    </row>
    <row r="34" spans="2:17" s="293" customFormat="1" ht="14.5" x14ac:dyDescent="0.35">
      <c r="B34" s="302" t="s">
        <v>340</v>
      </c>
      <c r="E34" s="295" t="str">
        <f>IFERROR(E33/E$30,"")</f>
        <v/>
      </c>
      <c r="F34" s="295" t="str">
        <f t="shared" ref="F34:G34" si="7">IFERROR(F33/F$30,"")</f>
        <v/>
      </c>
      <c r="G34" s="299" t="str">
        <f t="shared" si="7"/>
        <v/>
      </c>
      <c r="H34" s="322"/>
      <c r="I34" s="322"/>
      <c r="J34" s="322"/>
      <c r="K34" s="322"/>
      <c r="L34" s="322"/>
      <c r="M34" s="322"/>
      <c r="N34" s="322"/>
      <c r="O34" s="322"/>
      <c r="P34" s="322"/>
      <c r="Q34" s="322"/>
    </row>
    <row r="35" spans="2:17" ht="5.25" customHeight="1" x14ac:dyDescent="0.35">
      <c r="B35" s="167"/>
      <c r="E35" s="169"/>
      <c r="F35" s="169"/>
      <c r="G35" s="170"/>
      <c r="H35" s="175"/>
      <c r="I35" s="175"/>
      <c r="J35" s="175"/>
      <c r="K35" s="175"/>
      <c r="L35" s="175"/>
      <c r="M35" s="175"/>
      <c r="N35" s="175"/>
      <c r="O35" s="175"/>
      <c r="P35" s="175"/>
      <c r="Q35" s="175"/>
    </row>
    <row r="36" spans="2:17" ht="15.5" x14ac:dyDescent="0.35">
      <c r="B36" s="132" t="s">
        <v>219</v>
      </c>
      <c r="E36" s="165">
        <f>+_xlfn.XLOOKUP($B36,Inputs!$B:$B,Inputs!O:O)</f>
        <v>0</v>
      </c>
      <c r="F36" s="165">
        <f>+_xlfn.XLOOKUP($B36,Inputs!$B:$B,Inputs!P:P)</f>
        <v>0</v>
      </c>
      <c r="G36" s="285">
        <f>+_xlfn.XLOOKUP($B36,Inputs!$B:$B,Inputs!Q:Q)</f>
        <v>0</v>
      </c>
      <c r="H36" s="172">
        <f>+H30-H33</f>
        <v>0</v>
      </c>
      <c r="I36" s="172">
        <f t="shared" ref="I36:Q36" si="8">+I30-I33</f>
        <v>0</v>
      </c>
      <c r="J36" s="172">
        <f t="shared" si="8"/>
        <v>0</v>
      </c>
      <c r="K36" s="172">
        <f t="shared" si="8"/>
        <v>0</v>
      </c>
      <c r="L36" s="172">
        <f t="shared" si="8"/>
        <v>0</v>
      </c>
      <c r="M36" s="172">
        <f t="shared" si="8"/>
        <v>0</v>
      </c>
      <c r="N36" s="172">
        <f t="shared" si="8"/>
        <v>0</v>
      </c>
      <c r="O36" s="172">
        <f t="shared" si="8"/>
        <v>0</v>
      </c>
      <c r="P36" s="172">
        <f t="shared" si="8"/>
        <v>0</v>
      </c>
      <c r="Q36" s="172">
        <f t="shared" si="8"/>
        <v>0</v>
      </c>
    </row>
    <row r="37" spans="2:17" s="293" customFormat="1" ht="14.5" x14ac:dyDescent="0.35">
      <c r="B37" s="293" t="s">
        <v>31</v>
      </c>
      <c r="E37" s="295" t="str">
        <f>IFERROR(E36/E$30,"")</f>
        <v/>
      </c>
      <c r="F37" s="295" t="str">
        <f t="shared" ref="F37:Q37" si="9">IFERROR(F36/F$30,"")</f>
        <v/>
      </c>
      <c r="G37" s="299" t="str">
        <f t="shared" ref="G37" si="10">IFERROR(G36/G$30,"")</f>
        <v/>
      </c>
      <c r="H37" s="295" t="str">
        <f t="shared" si="9"/>
        <v/>
      </c>
      <c r="I37" s="295" t="str">
        <f t="shared" si="9"/>
        <v/>
      </c>
      <c r="J37" s="295" t="str">
        <f t="shared" si="9"/>
        <v/>
      </c>
      <c r="K37" s="295" t="str">
        <f t="shared" si="9"/>
        <v/>
      </c>
      <c r="L37" s="295" t="str">
        <f t="shared" si="9"/>
        <v/>
      </c>
      <c r="M37" s="295" t="str">
        <f t="shared" si="9"/>
        <v/>
      </c>
      <c r="N37" s="295" t="str">
        <f t="shared" si="9"/>
        <v/>
      </c>
      <c r="O37" s="295" t="str">
        <f t="shared" si="9"/>
        <v/>
      </c>
      <c r="P37" s="295" t="str">
        <f t="shared" si="9"/>
        <v/>
      </c>
      <c r="Q37" s="295" t="str">
        <f t="shared" si="9"/>
        <v/>
      </c>
    </row>
    <row r="38" spans="2:17" ht="3.75" customHeight="1" x14ac:dyDescent="0.35">
      <c r="G38" s="173"/>
      <c r="H38" s="137"/>
      <c r="I38" s="137"/>
      <c r="J38" s="137"/>
      <c r="K38" s="137"/>
      <c r="L38" s="137"/>
      <c r="O38" s="137"/>
      <c r="P38" s="137"/>
      <c r="Q38" s="137"/>
    </row>
    <row r="39" spans="2:17" ht="14.25" customHeight="1" x14ac:dyDescent="0.35">
      <c r="B39" s="292" t="s">
        <v>341</v>
      </c>
      <c r="E39" s="165">
        <f>+_xlfn.XLOOKUP($B39,Inputs!$B:$B,Inputs!O:O)</f>
        <v>0</v>
      </c>
      <c r="F39" s="165">
        <f>+_xlfn.XLOOKUP($B39,Inputs!$B:$B,Inputs!P:P)</f>
        <v>0</v>
      </c>
      <c r="G39" s="285">
        <f>+_xlfn.XLOOKUP($B39,Inputs!$B:$B,Inputs!Q:Q)</f>
        <v>0</v>
      </c>
      <c r="H39" s="172" t="str">
        <f>IFERROR(G39*(1+H31),"")</f>
        <v/>
      </c>
      <c r="I39" s="172" t="str">
        <f t="shared" ref="I39:Q39" si="11">IFERROR(H39*(1+I31),"")</f>
        <v/>
      </c>
      <c r="J39" s="172" t="str">
        <f t="shared" si="11"/>
        <v/>
      </c>
      <c r="K39" s="172" t="str">
        <f t="shared" si="11"/>
        <v/>
      </c>
      <c r="L39" s="172" t="str">
        <f t="shared" si="11"/>
        <v/>
      </c>
      <c r="M39" s="172" t="str">
        <f t="shared" si="11"/>
        <v/>
      </c>
      <c r="N39" s="172" t="str">
        <f t="shared" si="11"/>
        <v/>
      </c>
      <c r="O39" s="172" t="str">
        <f t="shared" si="11"/>
        <v/>
      </c>
      <c r="P39" s="172" t="str">
        <f t="shared" si="11"/>
        <v/>
      </c>
      <c r="Q39" s="172" t="str">
        <f t="shared" si="11"/>
        <v/>
      </c>
    </row>
    <row r="40" spans="2:17" s="293" customFormat="1" ht="14.5" x14ac:dyDescent="0.35">
      <c r="B40" s="302" t="s">
        <v>33</v>
      </c>
      <c r="E40" s="295" t="str">
        <f>IFERROR(E39/E$30,"")</f>
        <v/>
      </c>
      <c r="F40" s="295" t="str">
        <f t="shared" ref="F40:G40" si="12">IFERROR(F39/F$30,"")</f>
        <v/>
      </c>
      <c r="G40" s="300" t="str">
        <f t="shared" si="12"/>
        <v/>
      </c>
      <c r="H40" s="322" t="str">
        <f>IFERROR(AVERAGE(E40:G40),"")</f>
        <v/>
      </c>
      <c r="I40" s="322" t="str">
        <f t="shared" ref="I40:Q40" si="13">IFERROR(AVERAGE(F40:H40),"")</f>
        <v/>
      </c>
      <c r="J40" s="322" t="str">
        <f t="shared" si="13"/>
        <v/>
      </c>
      <c r="K40" s="322" t="str">
        <f t="shared" si="13"/>
        <v/>
      </c>
      <c r="L40" s="322" t="str">
        <f t="shared" si="13"/>
        <v/>
      </c>
      <c r="M40" s="322" t="str">
        <f t="shared" si="13"/>
        <v/>
      </c>
      <c r="N40" s="322" t="str">
        <f t="shared" si="13"/>
        <v/>
      </c>
      <c r="O40" s="322" t="str">
        <f t="shared" si="13"/>
        <v/>
      </c>
      <c r="P40" s="322" t="str">
        <f t="shared" si="13"/>
        <v/>
      </c>
      <c r="Q40" s="322" t="str">
        <f t="shared" si="13"/>
        <v/>
      </c>
    </row>
    <row r="41" spans="2:17" ht="3.75" customHeight="1" x14ac:dyDescent="0.35">
      <c r="B41" s="167"/>
      <c r="E41" s="169"/>
      <c r="F41" s="169"/>
      <c r="G41" s="170"/>
      <c r="H41" s="168"/>
      <c r="I41" s="168"/>
      <c r="J41" s="168"/>
      <c r="K41" s="168"/>
      <c r="L41" s="168"/>
      <c r="O41" s="137"/>
      <c r="P41" s="137"/>
      <c r="Q41" s="137"/>
    </row>
    <row r="42" spans="2:17" ht="15.5" x14ac:dyDescent="0.35">
      <c r="B42" s="292" t="s">
        <v>226</v>
      </c>
      <c r="E42" s="165">
        <f>+_xlfn.XLOOKUP($B42,Inputs!$B:$B,Inputs!O:O)</f>
        <v>0</v>
      </c>
      <c r="F42" s="165">
        <f>+_xlfn.XLOOKUP($B42,Inputs!$B:$B,Inputs!P:P)</f>
        <v>0</v>
      </c>
      <c r="G42" s="285">
        <f>+_xlfn.XLOOKUP($B42,Inputs!$B:$B,Inputs!Q:Q)</f>
        <v>0</v>
      </c>
      <c r="H42" s="172">
        <f>H43*H$30</f>
        <v>0</v>
      </c>
      <c r="I42" s="172">
        <f t="shared" ref="I42:Q42" si="14">I43*I$30</f>
        <v>0</v>
      </c>
      <c r="J42" s="172">
        <f t="shared" si="14"/>
        <v>0</v>
      </c>
      <c r="K42" s="172">
        <f t="shared" si="14"/>
        <v>0</v>
      </c>
      <c r="L42" s="172">
        <f t="shared" si="14"/>
        <v>0</v>
      </c>
      <c r="M42" s="172">
        <f t="shared" si="14"/>
        <v>0</v>
      </c>
      <c r="N42" s="172">
        <f t="shared" si="14"/>
        <v>0</v>
      </c>
      <c r="O42" s="172">
        <f t="shared" si="14"/>
        <v>0</v>
      </c>
      <c r="P42" s="172">
        <f t="shared" si="14"/>
        <v>0</v>
      </c>
      <c r="Q42" s="172">
        <f t="shared" si="14"/>
        <v>0</v>
      </c>
    </row>
    <row r="43" spans="2:17" s="293" customFormat="1" ht="14.5" x14ac:dyDescent="0.35">
      <c r="B43" s="302" t="s">
        <v>340</v>
      </c>
      <c r="E43" s="295" t="str">
        <f>IFERROR(E42/E30,"")</f>
        <v/>
      </c>
      <c r="F43" s="295" t="str">
        <f>IFERROR(F42/F30,"")</f>
        <v/>
      </c>
      <c r="G43" s="300" t="str">
        <f>IFERROR(G42/G30,"")</f>
        <v/>
      </c>
      <c r="H43" s="322"/>
      <c r="I43" s="322"/>
      <c r="J43" s="322"/>
      <c r="K43" s="322"/>
      <c r="L43" s="322"/>
      <c r="M43" s="322"/>
      <c r="N43" s="322"/>
      <c r="O43" s="322"/>
      <c r="P43" s="322"/>
      <c r="Q43" s="322"/>
    </row>
    <row r="44" spans="2:17" s="259" customFormat="1" ht="5.25" customHeight="1" x14ac:dyDescent="0.35">
      <c r="B44" s="286"/>
      <c r="E44" s="287"/>
      <c r="F44" s="287"/>
      <c r="G44" s="288"/>
      <c r="H44" s="289"/>
      <c r="I44" s="289"/>
      <c r="J44" s="289"/>
      <c r="K44" s="289"/>
      <c r="L44" s="289"/>
      <c r="O44" s="290"/>
      <c r="P44" s="290"/>
      <c r="Q44" s="290"/>
    </row>
    <row r="45" spans="2:17" ht="15.5" x14ac:dyDescent="0.35">
      <c r="B45" s="510" t="s">
        <v>342</v>
      </c>
      <c r="E45" s="165">
        <f>+_xlfn.XLOOKUP($B45,Inputs!$B:$B,Inputs!O:O)</f>
        <v>0</v>
      </c>
      <c r="F45" s="165">
        <f>+_xlfn.XLOOKUP($B45,Inputs!$B:$B,Inputs!P:P)</f>
        <v>0</v>
      </c>
      <c r="G45" s="285">
        <f>+_xlfn.XLOOKUP($B45,Inputs!$B:$B,Inputs!Q:Q)</f>
        <v>0</v>
      </c>
      <c r="H45" s="172" t="str">
        <f>IFERROR(AVERAGE(E45:G45)*(1+H31),"")</f>
        <v/>
      </c>
      <c r="I45" s="172" t="str">
        <f t="shared" ref="I45:Q45" si="15">IFERROR(AVERAGE(F45:H45)*(1+I31),"")</f>
        <v/>
      </c>
      <c r="J45" s="172" t="str">
        <f t="shared" si="15"/>
        <v/>
      </c>
      <c r="K45" s="172" t="str">
        <f t="shared" si="15"/>
        <v/>
      </c>
      <c r="L45" s="172" t="str">
        <f t="shared" si="15"/>
        <v/>
      </c>
      <c r="M45" s="172" t="str">
        <f t="shared" si="15"/>
        <v/>
      </c>
      <c r="N45" s="172" t="str">
        <f t="shared" si="15"/>
        <v/>
      </c>
      <c r="O45" s="172" t="str">
        <f t="shared" si="15"/>
        <v/>
      </c>
      <c r="P45" s="172" t="str">
        <f t="shared" si="15"/>
        <v/>
      </c>
      <c r="Q45" s="172" t="str">
        <f t="shared" si="15"/>
        <v/>
      </c>
    </row>
    <row r="46" spans="2:17" ht="5.25" customHeight="1" x14ac:dyDescent="0.35">
      <c r="B46" s="213"/>
      <c r="E46" s="165"/>
      <c r="F46" s="165"/>
      <c r="G46" s="285"/>
      <c r="H46" s="175"/>
      <c r="I46" s="175"/>
      <c r="J46" s="175"/>
      <c r="K46" s="175"/>
      <c r="L46" s="175"/>
      <c r="O46" s="174"/>
      <c r="P46" s="174"/>
      <c r="Q46" s="174"/>
    </row>
    <row r="47" spans="2:17" ht="15.5" x14ac:dyDescent="0.35">
      <c r="B47" s="213" t="s">
        <v>157</v>
      </c>
      <c r="E47" s="165">
        <f>+_xlfn.XLOOKUP($B47,Inputs!$B:$B,Inputs!O:O)</f>
        <v>0</v>
      </c>
      <c r="F47" s="165">
        <f>+_xlfn.XLOOKUP($B47,Inputs!$B:$B,Inputs!P:P)</f>
        <v>0</v>
      </c>
      <c r="G47" s="285">
        <f>+_xlfn.XLOOKUP($B47,Inputs!$B:$B,Inputs!Q:Q)</f>
        <v>0</v>
      </c>
      <c r="H47" s="172" t="str">
        <f>IFERROR(H36-H39-H42-H45,"")</f>
        <v/>
      </c>
      <c r="I47" s="172" t="str">
        <f t="shared" ref="I47:Q47" si="16">IFERROR(I36-I39-I42-I45,"")</f>
        <v/>
      </c>
      <c r="J47" s="172" t="str">
        <f t="shared" si="16"/>
        <v/>
      </c>
      <c r="K47" s="172" t="str">
        <f t="shared" si="16"/>
        <v/>
      </c>
      <c r="L47" s="172" t="str">
        <f t="shared" si="16"/>
        <v/>
      </c>
      <c r="M47" s="172" t="str">
        <f t="shared" si="16"/>
        <v/>
      </c>
      <c r="N47" s="172" t="str">
        <f t="shared" si="16"/>
        <v/>
      </c>
      <c r="O47" s="172" t="str">
        <f t="shared" si="16"/>
        <v/>
      </c>
      <c r="P47" s="172" t="str">
        <f t="shared" si="16"/>
        <v/>
      </c>
      <c r="Q47" s="172" t="str">
        <f t="shared" si="16"/>
        <v/>
      </c>
    </row>
    <row r="48" spans="2:17" s="293" customFormat="1" ht="14.5" x14ac:dyDescent="0.35">
      <c r="B48" s="293" t="s">
        <v>29</v>
      </c>
      <c r="E48" s="295" t="str">
        <f>IFERROR(E47/E$30,"")</f>
        <v/>
      </c>
      <c r="F48" s="295" t="str">
        <f t="shared" ref="F48:Q48" si="17">IFERROR(F47/F$30,"")</f>
        <v/>
      </c>
      <c r="G48" s="299" t="str">
        <f t="shared" si="17"/>
        <v/>
      </c>
      <c r="H48" s="295" t="str">
        <f t="shared" si="17"/>
        <v/>
      </c>
      <c r="I48" s="295" t="str">
        <f t="shared" si="17"/>
        <v/>
      </c>
      <c r="J48" s="295" t="str">
        <f t="shared" si="17"/>
        <v/>
      </c>
      <c r="K48" s="295" t="str">
        <f t="shared" si="17"/>
        <v/>
      </c>
      <c r="L48" s="295" t="str">
        <f t="shared" si="17"/>
        <v/>
      </c>
      <c r="M48" s="295" t="str">
        <f t="shared" si="17"/>
        <v/>
      </c>
      <c r="N48" s="295" t="str">
        <f t="shared" si="17"/>
        <v/>
      </c>
      <c r="O48" s="295" t="str">
        <f t="shared" si="17"/>
        <v/>
      </c>
      <c r="P48" s="295" t="str">
        <f t="shared" si="17"/>
        <v/>
      </c>
      <c r="Q48" s="295" t="str">
        <f t="shared" si="17"/>
        <v/>
      </c>
    </row>
    <row r="49" spans="2:17" ht="3.75" customHeight="1" x14ac:dyDescent="0.35">
      <c r="B49" s="167"/>
      <c r="E49" s="169"/>
      <c r="F49" s="169"/>
      <c r="G49" s="177"/>
      <c r="H49" s="169"/>
      <c r="I49" s="169"/>
      <c r="J49" s="169"/>
      <c r="K49" s="169"/>
      <c r="L49" s="169"/>
      <c r="O49" s="174"/>
      <c r="P49" s="174"/>
      <c r="Q49" s="174"/>
    </row>
    <row r="50" spans="2:17" ht="13.5" customHeight="1" x14ac:dyDescent="0.35">
      <c r="B50" s="292" t="s">
        <v>343</v>
      </c>
      <c r="E50" s="165">
        <f>+_xlfn.XLOOKUP($B50,Inputs!$B:$B,Inputs!O:O)</f>
        <v>0</v>
      </c>
      <c r="F50" s="165">
        <f>+_xlfn.XLOOKUP($B50,Inputs!$B:$B,Inputs!P:P)</f>
        <v>0</v>
      </c>
      <c r="G50" s="285">
        <f>+_xlfn.XLOOKUP($B50,Inputs!$B:$B,Inputs!Q:Q)</f>
        <v>0</v>
      </c>
      <c r="H50" s="189" t="str">
        <f>+IFERROR(H53+H56,"")</f>
        <v/>
      </c>
      <c r="I50" s="189" t="str">
        <f t="shared" ref="I50:Q50" si="18">+IFERROR(I53+I56,"")</f>
        <v/>
      </c>
      <c r="J50" s="189" t="str">
        <f t="shared" si="18"/>
        <v/>
      </c>
      <c r="K50" s="189" t="str">
        <f t="shared" si="18"/>
        <v/>
      </c>
      <c r="L50" s="189" t="str">
        <f t="shared" si="18"/>
        <v/>
      </c>
      <c r="M50" s="189" t="str">
        <f t="shared" si="18"/>
        <v/>
      </c>
      <c r="N50" s="189" t="str">
        <f t="shared" si="18"/>
        <v/>
      </c>
      <c r="O50" s="189" t="str">
        <f t="shared" si="18"/>
        <v/>
      </c>
      <c r="P50" s="189" t="str">
        <f t="shared" si="18"/>
        <v/>
      </c>
      <c r="Q50" s="189" t="str">
        <f t="shared" si="18"/>
        <v/>
      </c>
    </row>
    <row r="51" spans="2:17" ht="13.5" customHeight="1" x14ac:dyDescent="0.35">
      <c r="B51" s="302" t="s">
        <v>344</v>
      </c>
      <c r="E51" s="314" t="str">
        <f>IFERROR(E50/AVERAGE(Inputs!O39+Inputs!O42+Inputs!O44,Inputs!N39+Inputs!N42+Inputs!N44),"")</f>
        <v/>
      </c>
      <c r="F51" s="314" t="str">
        <f>IFERROR(F50/AVERAGE(Inputs!P39+Inputs!P42+Inputs!P44,Inputs!O39+Inputs!O42+Inputs!O44),"")</f>
        <v/>
      </c>
      <c r="G51" s="299" t="str">
        <f>IFERROR(G50/AVERAGE(Inputs!Q39+Inputs!Q42+Inputs!Q44,Inputs!P39+Inputs!P42+Inputs!P44),"")</f>
        <v/>
      </c>
      <c r="H51" s="169" t="str">
        <f>IFERROR(H50/(G99+G105),"")</f>
        <v/>
      </c>
      <c r="I51" s="169" t="str">
        <f t="shared" ref="I51:Q51" si="19">IFERROR(I50/(H99+H105),"")</f>
        <v/>
      </c>
      <c r="J51" s="169" t="str">
        <f t="shared" si="19"/>
        <v/>
      </c>
      <c r="K51" s="169" t="str">
        <f t="shared" si="19"/>
        <v/>
      </c>
      <c r="L51" s="169" t="str">
        <f t="shared" si="19"/>
        <v/>
      </c>
      <c r="M51" s="169" t="str">
        <f t="shared" si="19"/>
        <v/>
      </c>
      <c r="N51" s="169" t="str">
        <f t="shared" si="19"/>
        <v/>
      </c>
      <c r="O51" s="169" t="str">
        <f t="shared" si="19"/>
        <v/>
      </c>
      <c r="P51" s="169" t="str">
        <f t="shared" si="19"/>
        <v/>
      </c>
      <c r="Q51" s="169" t="str">
        <f t="shared" si="19"/>
        <v/>
      </c>
    </row>
    <row r="52" spans="2:17" ht="5.25" customHeight="1" x14ac:dyDescent="0.35">
      <c r="B52" s="167"/>
      <c r="E52" s="169"/>
      <c r="F52" s="169"/>
      <c r="G52" s="177"/>
      <c r="H52" s="169"/>
      <c r="I52" s="169"/>
      <c r="J52" s="169"/>
      <c r="K52" s="169"/>
      <c r="L52" s="169"/>
      <c r="O52" s="174"/>
      <c r="P52" s="174"/>
      <c r="Q52" s="174"/>
    </row>
    <row r="53" spans="2:17" s="167" customFormat="1" ht="15.5" x14ac:dyDescent="0.35">
      <c r="B53" s="317" t="s">
        <v>345</v>
      </c>
      <c r="E53" s="318">
        <f>+_xlfn.XLOOKUP($B53,Inputs!$B:$B,Inputs!O:O)</f>
        <v>0</v>
      </c>
      <c r="F53" s="318">
        <f>+_xlfn.XLOOKUP($B53,Inputs!$B:$B,Inputs!P:P)</f>
        <v>0</v>
      </c>
      <c r="G53" s="319">
        <f>+_xlfn.XLOOKUP($B53,Inputs!$B:$B,Inputs!Q:Q)</f>
        <v>0</v>
      </c>
      <c r="H53" s="320" t="str">
        <f>IFERROR(H54*(G100+G101),"")</f>
        <v/>
      </c>
      <c r="I53" s="320" t="str">
        <f t="shared" ref="I53:Q53" si="20">IFERROR(I54*(H100+H101),"")</f>
        <v/>
      </c>
      <c r="J53" s="320" t="str">
        <f t="shared" si="20"/>
        <v/>
      </c>
      <c r="K53" s="320" t="str">
        <f t="shared" si="20"/>
        <v/>
      </c>
      <c r="L53" s="320" t="str">
        <f t="shared" si="20"/>
        <v/>
      </c>
      <c r="M53" s="320" t="str">
        <f t="shared" si="20"/>
        <v/>
      </c>
      <c r="N53" s="320" t="str">
        <f t="shared" si="20"/>
        <v/>
      </c>
      <c r="O53" s="320" t="str">
        <f t="shared" si="20"/>
        <v/>
      </c>
      <c r="P53" s="320" t="str">
        <f t="shared" si="20"/>
        <v/>
      </c>
      <c r="Q53" s="320" t="str">
        <f t="shared" si="20"/>
        <v/>
      </c>
    </row>
    <row r="54" spans="2:17" s="293" customFormat="1" ht="14.5" x14ac:dyDescent="0.35">
      <c r="B54" s="316" t="s">
        <v>346</v>
      </c>
      <c r="E54" s="314" t="str">
        <f>IFERROR(E53/AVERAGE(Inputs!O40+Inputs!O42,Inputs!N40+Inputs!N42),"")</f>
        <v/>
      </c>
      <c r="F54" s="314" t="str">
        <f>IFERROR(F53/AVERAGE(Inputs!P40+Inputs!P42,Inputs!O40+Inputs!O42),"")</f>
        <v/>
      </c>
      <c r="G54" s="299" t="str">
        <f>IFERROR(G53/AVERAGE(Inputs!Q40+Inputs!Q42,Inputs!P40+Inputs!P42),"")</f>
        <v/>
      </c>
      <c r="H54" s="322" t="str">
        <f>IFERROR(AVERAGE(E54:G54),"")</f>
        <v/>
      </c>
      <c r="I54" s="322" t="str">
        <f t="shared" ref="I54:Q54" si="21">IFERROR(AVERAGE(F54:H54),"")</f>
        <v/>
      </c>
      <c r="J54" s="322" t="str">
        <f t="shared" si="21"/>
        <v/>
      </c>
      <c r="K54" s="322" t="str">
        <f t="shared" si="21"/>
        <v/>
      </c>
      <c r="L54" s="322" t="str">
        <f t="shared" si="21"/>
        <v/>
      </c>
      <c r="M54" s="322" t="str">
        <f t="shared" si="21"/>
        <v/>
      </c>
      <c r="N54" s="322" t="str">
        <f t="shared" si="21"/>
        <v/>
      </c>
      <c r="O54" s="322" t="str">
        <f t="shared" si="21"/>
        <v/>
      </c>
      <c r="P54" s="322" t="str">
        <f t="shared" si="21"/>
        <v/>
      </c>
      <c r="Q54" s="322" t="str">
        <f t="shared" si="21"/>
        <v/>
      </c>
    </row>
    <row r="55" spans="2:17" ht="3.75" customHeight="1" x14ac:dyDescent="0.35">
      <c r="B55" s="167"/>
      <c r="E55" s="169"/>
      <c r="F55" s="169"/>
      <c r="G55" s="177"/>
      <c r="H55" s="175"/>
      <c r="I55" s="175"/>
      <c r="J55" s="175"/>
      <c r="K55" s="175"/>
      <c r="L55" s="175"/>
      <c r="M55" s="175"/>
      <c r="N55" s="175"/>
      <c r="O55" s="175"/>
      <c r="P55" s="175"/>
      <c r="Q55" s="175"/>
    </row>
    <row r="56" spans="2:17" s="167" customFormat="1" ht="15.5" x14ac:dyDescent="0.35">
      <c r="B56" s="317" t="s">
        <v>347</v>
      </c>
      <c r="E56" s="318">
        <f>+_xlfn.XLOOKUP($B56,Inputs!$B:$B,Inputs!O:O)</f>
        <v>0</v>
      </c>
      <c r="F56" s="318">
        <f>+_xlfn.XLOOKUP($B56,Inputs!$B:$B,Inputs!P:P)</f>
        <v>0</v>
      </c>
      <c r="G56" s="319">
        <f>+_xlfn.XLOOKUP($B56,Inputs!$B:$B,Inputs!Q:Q)</f>
        <v>0</v>
      </c>
      <c r="H56" s="189">
        <f t="shared" ref="H56:Q56" si="22">+H57*G105</f>
        <v>0</v>
      </c>
      <c r="I56" s="189">
        <f t="shared" si="22"/>
        <v>0</v>
      </c>
      <c r="J56" s="189">
        <f t="shared" si="22"/>
        <v>0</v>
      </c>
      <c r="K56" s="189">
        <f t="shared" si="22"/>
        <v>0</v>
      </c>
      <c r="L56" s="189">
        <f t="shared" si="22"/>
        <v>0</v>
      </c>
      <c r="M56" s="189">
        <f t="shared" si="22"/>
        <v>0</v>
      </c>
      <c r="N56" s="189">
        <f t="shared" si="22"/>
        <v>0</v>
      </c>
      <c r="O56" s="189">
        <f t="shared" si="22"/>
        <v>0</v>
      </c>
      <c r="P56" s="189">
        <f t="shared" si="22"/>
        <v>0</v>
      </c>
      <c r="Q56" s="189">
        <f t="shared" si="22"/>
        <v>0</v>
      </c>
    </row>
    <row r="57" spans="2:17" s="293" customFormat="1" ht="14.5" x14ac:dyDescent="0.35">
      <c r="B57" s="316" t="s">
        <v>348</v>
      </c>
      <c r="E57" s="295" t="str">
        <f>IFERROR(E56/AVERAGE(Inputs!N45:O45),"")</f>
        <v/>
      </c>
      <c r="F57" s="295" t="str">
        <f>IFERROR(F56/AVERAGE(Inputs!O45:P45),"")</f>
        <v/>
      </c>
      <c r="G57" s="299" t="str">
        <f>IFERROR(G56/AVERAGE(Inputs!P45:Q45),"")</f>
        <v/>
      </c>
      <c r="H57" s="322"/>
      <c r="I57" s="322"/>
      <c r="J57" s="322"/>
      <c r="K57" s="322"/>
      <c r="L57" s="322"/>
      <c r="M57" s="322"/>
      <c r="N57" s="322"/>
      <c r="O57" s="322"/>
      <c r="P57" s="322"/>
      <c r="Q57" s="322"/>
    </row>
    <row r="58" spans="2:17" ht="4" customHeight="1" x14ac:dyDescent="0.35">
      <c r="G58" s="173"/>
    </row>
    <row r="59" spans="2:17" ht="15.5" x14ac:dyDescent="0.35">
      <c r="B59" s="132" t="s">
        <v>220</v>
      </c>
      <c r="E59" s="165">
        <f>+_xlfn.XLOOKUP($B59,Inputs!$B:$B,Inputs!O:O)</f>
        <v>0</v>
      </c>
      <c r="F59" s="165">
        <f>+_xlfn.XLOOKUP($B59,Inputs!$B:$B,Inputs!P:P)</f>
        <v>0</v>
      </c>
      <c r="G59" s="285">
        <f>+_xlfn.XLOOKUP($B59,Inputs!$B:$B,Inputs!Q:Q)</f>
        <v>0</v>
      </c>
      <c r="H59" s="176" t="str">
        <f>+IFERROR(H47-H50,"")</f>
        <v/>
      </c>
      <c r="I59" s="176" t="str">
        <f t="shared" ref="I59:Q59" si="23">+IFERROR(I47-I50,"")</f>
        <v/>
      </c>
      <c r="J59" s="176" t="str">
        <f t="shared" si="23"/>
        <v/>
      </c>
      <c r="K59" s="176" t="str">
        <f t="shared" si="23"/>
        <v/>
      </c>
      <c r="L59" s="176" t="str">
        <f t="shared" si="23"/>
        <v/>
      </c>
      <c r="M59" s="176" t="str">
        <f t="shared" si="23"/>
        <v/>
      </c>
      <c r="N59" s="176" t="str">
        <f t="shared" si="23"/>
        <v/>
      </c>
      <c r="O59" s="176" t="str">
        <f t="shared" si="23"/>
        <v/>
      </c>
      <c r="P59" s="176" t="str">
        <f t="shared" si="23"/>
        <v/>
      </c>
      <c r="Q59" s="176" t="str">
        <f t="shared" si="23"/>
        <v/>
      </c>
    </row>
    <row r="60" spans="2:17" s="303" customFormat="1" ht="14.5" x14ac:dyDescent="0.35">
      <c r="B60" s="293" t="s">
        <v>168</v>
      </c>
      <c r="E60" s="295" t="str">
        <f>IFERROR(E59/E$30,"")</f>
        <v/>
      </c>
      <c r="F60" s="295" t="str">
        <f t="shared" ref="F60" si="24">IFERROR(F59/F$30,"")</f>
        <v/>
      </c>
      <c r="G60" s="299" t="str">
        <f t="shared" ref="G60" si="25">IFERROR(G59/G$30,"")</f>
        <v/>
      </c>
      <c r="H60" s="295" t="str">
        <f t="shared" ref="H60:Q60" si="26">IFERROR(H59/H30,"")</f>
        <v/>
      </c>
      <c r="I60" s="295" t="str">
        <f t="shared" si="26"/>
        <v/>
      </c>
      <c r="J60" s="295" t="str">
        <f t="shared" si="26"/>
        <v/>
      </c>
      <c r="K60" s="295" t="str">
        <f t="shared" si="26"/>
        <v/>
      </c>
      <c r="L60" s="295" t="str">
        <f t="shared" si="26"/>
        <v/>
      </c>
      <c r="M60" s="295" t="str">
        <f t="shared" si="26"/>
        <v/>
      </c>
      <c r="N60" s="295" t="str">
        <f t="shared" si="26"/>
        <v/>
      </c>
      <c r="O60" s="295" t="str">
        <f t="shared" si="26"/>
        <v/>
      </c>
      <c r="P60" s="295" t="str">
        <f t="shared" si="26"/>
        <v/>
      </c>
      <c r="Q60" s="295" t="str">
        <f t="shared" si="26"/>
        <v/>
      </c>
    </row>
    <row r="61" spans="2:17" customFormat="1" ht="3.75" customHeight="1" x14ac:dyDescent="0.35">
      <c r="B61" s="132"/>
      <c r="E61" s="295"/>
      <c r="F61" s="295"/>
      <c r="G61" s="300"/>
      <c r="H61" s="109"/>
      <c r="I61" s="109"/>
      <c r="J61" s="109"/>
      <c r="K61" s="109"/>
      <c r="L61" s="109"/>
      <c r="M61" s="109"/>
      <c r="N61" s="109"/>
      <c r="O61" s="109"/>
      <c r="P61" s="109"/>
      <c r="Q61" s="109"/>
    </row>
    <row r="62" spans="2:17" customFormat="1" ht="13.5" customHeight="1" x14ac:dyDescent="0.35">
      <c r="B62" s="292" t="s">
        <v>221</v>
      </c>
      <c r="E62" s="165">
        <f>+_xlfn.XLOOKUP($B62,Inputs!$B:$B,Inputs!O:O)</f>
        <v>0</v>
      </c>
      <c r="F62" s="165">
        <f>+_xlfn.XLOOKUP($B62,Inputs!$B:$B,Inputs!P:P)</f>
        <v>0</v>
      </c>
      <c r="G62" s="285">
        <f>+_xlfn.XLOOKUP($B62,Inputs!$B:$B,Inputs!Q:Q)</f>
        <v>0</v>
      </c>
      <c r="H62" s="176">
        <f>-H65-H68</f>
        <v>0</v>
      </c>
      <c r="I62" s="176">
        <f t="shared" ref="I62:Q62" si="27">-I65-I68</f>
        <v>0</v>
      </c>
      <c r="J62" s="176">
        <f t="shared" si="27"/>
        <v>0</v>
      </c>
      <c r="K62" s="176">
        <f t="shared" si="27"/>
        <v>0</v>
      </c>
      <c r="L62" s="176">
        <f t="shared" si="27"/>
        <v>0</v>
      </c>
      <c r="M62" s="176">
        <f t="shared" si="27"/>
        <v>0</v>
      </c>
      <c r="N62" s="176">
        <f t="shared" si="27"/>
        <v>0</v>
      </c>
      <c r="O62" s="176">
        <f t="shared" si="27"/>
        <v>0</v>
      </c>
      <c r="P62" s="176">
        <f t="shared" si="27"/>
        <v>0</v>
      </c>
      <c r="Q62" s="176">
        <f t="shared" si="27"/>
        <v>0</v>
      </c>
    </row>
    <row r="63" spans="2:17" customFormat="1" ht="13.5" customHeight="1" x14ac:dyDescent="0.35">
      <c r="B63" s="316" t="s">
        <v>349</v>
      </c>
      <c r="E63" s="314" t="str">
        <f>IFERROR(E62/AVERAGE(Inputs!N116:O116),"")</f>
        <v/>
      </c>
      <c r="F63" s="314" t="str">
        <f>IFERROR(F62/AVERAGE(Inputs!O116:P116),"")</f>
        <v/>
      </c>
      <c r="G63" s="299" t="str">
        <f>IFERROR(G62/AVERAGE(Inputs!P116:Q116),"")</f>
        <v/>
      </c>
      <c r="H63" s="314" t="str">
        <f>IFERROR(H62/AVERAGE(G116+G118,H116+H118),"")</f>
        <v/>
      </c>
      <c r="I63" s="314" t="str">
        <f t="shared" ref="I63:Q63" si="28">IFERROR(I62/AVERAGE(H116+H118,I116+I118),"")</f>
        <v/>
      </c>
      <c r="J63" s="314" t="str">
        <f t="shared" si="28"/>
        <v/>
      </c>
      <c r="K63" s="314" t="str">
        <f t="shared" si="28"/>
        <v/>
      </c>
      <c r="L63" s="314" t="str">
        <f t="shared" si="28"/>
        <v/>
      </c>
      <c r="M63" s="314" t="str">
        <f t="shared" si="28"/>
        <v/>
      </c>
      <c r="N63" s="314" t="str">
        <f t="shared" si="28"/>
        <v/>
      </c>
      <c r="O63" s="314" t="str">
        <f t="shared" si="28"/>
        <v/>
      </c>
      <c r="P63" s="314" t="str">
        <f t="shared" si="28"/>
        <v/>
      </c>
      <c r="Q63" s="314" t="str">
        <f t="shared" si="28"/>
        <v/>
      </c>
    </row>
    <row r="64" spans="2:17" customFormat="1" ht="3.75" customHeight="1" x14ac:dyDescent="0.35">
      <c r="B64" s="132"/>
      <c r="E64" s="295"/>
      <c r="F64" s="295"/>
      <c r="G64" s="299"/>
      <c r="H64" s="109"/>
      <c r="I64" s="109"/>
      <c r="J64" s="109"/>
      <c r="K64" s="109"/>
      <c r="L64" s="109"/>
      <c r="M64" s="109"/>
      <c r="N64" s="109"/>
      <c r="O64" s="109"/>
      <c r="P64" s="109"/>
      <c r="Q64" s="109"/>
    </row>
    <row r="65" spans="2:17" customFormat="1" ht="15.5" x14ac:dyDescent="0.35">
      <c r="B65" s="315" t="s">
        <v>350</v>
      </c>
      <c r="E65" s="165">
        <f>+_xlfn.XLOOKUP($B65,Inputs!$B:$B,Inputs!O:O)</f>
        <v>0</v>
      </c>
      <c r="F65" s="165">
        <f>+_xlfn.XLOOKUP($B65,Inputs!$B:$B,Inputs!P:P)</f>
        <v>0</v>
      </c>
      <c r="G65" s="285">
        <f>+_xlfn.XLOOKUP($B65,Inputs!$B:$B,Inputs!Q:Q)</f>
        <v>0</v>
      </c>
      <c r="H65" s="176"/>
      <c r="I65" s="176"/>
      <c r="J65" s="176"/>
      <c r="K65" s="176"/>
      <c r="L65" s="176"/>
      <c r="M65" s="176"/>
      <c r="N65" s="176"/>
      <c r="O65" s="176"/>
      <c r="P65" s="176"/>
      <c r="Q65" s="176"/>
    </row>
    <row r="66" spans="2:17" s="303" customFormat="1" ht="14.5" x14ac:dyDescent="0.35">
      <c r="B66" s="316" t="s">
        <v>351</v>
      </c>
      <c r="E66" s="314" t="str">
        <f>+IFERROR(E65/AVERAGE(Inputs!N113:O113),"")</f>
        <v/>
      </c>
      <c r="F66" s="314" t="str">
        <f>+IFERROR(F65/AVERAGE(Inputs!O113:P113),"")</f>
        <v/>
      </c>
      <c r="G66" s="299" t="str">
        <f>+IFERROR(G65/AVERAGE(Inputs!P113:Q113),"")</f>
        <v/>
      </c>
      <c r="H66" s="324"/>
      <c r="I66" s="324"/>
      <c r="J66" s="324"/>
      <c r="K66" s="324"/>
      <c r="L66" s="324"/>
      <c r="M66" s="324"/>
      <c r="N66" s="324"/>
      <c r="O66" s="324"/>
      <c r="P66" s="324"/>
      <c r="Q66" s="324"/>
    </row>
    <row r="67" spans="2:17" customFormat="1" ht="3.75" customHeight="1" x14ac:dyDescent="0.35">
      <c r="B67" s="274"/>
      <c r="E67" s="295"/>
      <c r="F67" s="295"/>
      <c r="G67" s="300"/>
      <c r="H67" s="109"/>
      <c r="I67" s="109"/>
      <c r="J67" s="109"/>
      <c r="K67" s="109"/>
      <c r="L67" s="109"/>
      <c r="M67" s="109"/>
      <c r="N67" s="109"/>
      <c r="O67" s="109"/>
      <c r="P67" s="109"/>
      <c r="Q67" s="109"/>
    </row>
    <row r="68" spans="2:17" customFormat="1" ht="15.5" x14ac:dyDescent="0.35">
      <c r="B68" s="315" t="s">
        <v>352</v>
      </c>
      <c r="E68" s="165">
        <f>+_xlfn.XLOOKUP($B68,Inputs!$B:$B,Inputs!O:O)</f>
        <v>0</v>
      </c>
      <c r="F68" s="165">
        <f>+_xlfn.XLOOKUP($B68,Inputs!$B:$B,Inputs!P:P)</f>
        <v>0</v>
      </c>
      <c r="G68" s="285">
        <f>+_xlfn.XLOOKUP($B68,Inputs!$B:$B,Inputs!Q:Q)</f>
        <v>0</v>
      </c>
      <c r="H68" s="176"/>
      <c r="I68" s="176"/>
      <c r="J68" s="176"/>
      <c r="K68" s="176"/>
      <c r="L68" s="176"/>
      <c r="M68" s="176"/>
      <c r="N68" s="176"/>
      <c r="O68" s="176"/>
      <c r="P68" s="176"/>
      <c r="Q68" s="176"/>
    </row>
    <row r="69" spans="2:17" s="303" customFormat="1" ht="14.5" x14ac:dyDescent="0.35">
      <c r="B69" s="316" t="s">
        <v>353</v>
      </c>
      <c r="E69" s="295" t="str">
        <f>IFERROR(E68/+AVERAGE(Inputs!N32:O32),"")</f>
        <v/>
      </c>
      <c r="F69" s="295" t="str">
        <f>IFERROR(F68/+AVERAGE(Inputs!O32:P32),"")</f>
        <v/>
      </c>
      <c r="G69" s="299" t="str">
        <f>IFERROR(G68/+AVERAGE(Inputs!P32:Q32),"")</f>
        <v/>
      </c>
      <c r="H69" s="324"/>
      <c r="I69" s="324"/>
      <c r="J69" s="324"/>
      <c r="K69" s="324"/>
      <c r="L69" s="324"/>
      <c r="M69" s="324"/>
      <c r="N69" s="324"/>
      <c r="O69" s="324"/>
      <c r="P69" s="324"/>
      <c r="Q69" s="324"/>
    </row>
    <row r="70" spans="2:17" s="303" customFormat="1" ht="3.75" customHeight="1" x14ac:dyDescent="0.35">
      <c r="B70" s="302"/>
      <c r="E70" s="295"/>
      <c r="F70" s="295"/>
      <c r="G70" s="299"/>
      <c r="H70" s="301"/>
      <c r="I70" s="301"/>
      <c r="J70" s="301"/>
      <c r="K70" s="301"/>
      <c r="L70" s="301"/>
      <c r="M70" s="301"/>
      <c r="N70" s="301"/>
      <c r="O70" s="301"/>
      <c r="P70" s="301"/>
      <c r="Q70" s="301"/>
    </row>
    <row r="71" spans="2:17" s="303" customFormat="1" ht="15.5" x14ac:dyDescent="0.35">
      <c r="B71" s="292" t="s">
        <v>354</v>
      </c>
      <c r="E71" s="311">
        <f>+_xlfn.XLOOKUP($B71,Inputs!$B:$B,Inputs!O:O)</f>
        <v>0</v>
      </c>
      <c r="F71" s="311">
        <f>+_xlfn.XLOOKUP($B71,Inputs!$B:$B,Inputs!P:P)</f>
        <v>0</v>
      </c>
      <c r="G71" s="312">
        <f>+_xlfn.XLOOKUP($B71,Inputs!$B:$B,Inputs!Q:Q)</f>
        <v>0</v>
      </c>
      <c r="H71" s="176">
        <f>+H72*H$17</f>
        <v>0</v>
      </c>
      <c r="I71" s="176">
        <f t="shared" ref="I71:Q71" si="29">+I72*I$17</f>
        <v>0</v>
      </c>
      <c r="J71" s="176">
        <f t="shared" si="29"/>
        <v>0</v>
      </c>
      <c r="K71" s="176">
        <f t="shared" si="29"/>
        <v>0</v>
      </c>
      <c r="L71" s="176">
        <f t="shared" si="29"/>
        <v>0</v>
      </c>
      <c r="M71" s="176">
        <f t="shared" si="29"/>
        <v>0</v>
      </c>
      <c r="N71" s="176">
        <f t="shared" si="29"/>
        <v>0</v>
      </c>
      <c r="O71" s="176">
        <f t="shared" si="29"/>
        <v>0</v>
      </c>
      <c r="P71" s="176">
        <f t="shared" si="29"/>
        <v>0</v>
      </c>
      <c r="Q71" s="176">
        <f t="shared" si="29"/>
        <v>0</v>
      </c>
    </row>
    <row r="72" spans="2:17" s="303" customFormat="1" ht="14.5" x14ac:dyDescent="0.35">
      <c r="B72" s="316" t="s">
        <v>340</v>
      </c>
      <c r="E72" s="295"/>
      <c r="F72" s="295"/>
      <c r="G72" s="299"/>
      <c r="H72" s="324"/>
      <c r="I72" s="324"/>
      <c r="J72" s="324"/>
      <c r="K72" s="324"/>
      <c r="L72" s="324"/>
      <c r="M72" s="324"/>
      <c r="N72" s="324"/>
      <c r="O72" s="324"/>
      <c r="P72" s="324"/>
      <c r="Q72" s="324"/>
    </row>
    <row r="73" spans="2:17" s="303" customFormat="1" ht="5.25" customHeight="1" x14ac:dyDescent="0.35">
      <c r="B73" s="316"/>
      <c r="E73" s="295"/>
      <c r="F73" s="295"/>
      <c r="G73" s="299"/>
      <c r="H73" s="301"/>
      <c r="I73" s="301"/>
      <c r="J73" s="301"/>
      <c r="K73" s="301"/>
      <c r="L73" s="301"/>
      <c r="M73" s="301"/>
      <c r="N73" s="301"/>
      <c r="O73" s="301"/>
      <c r="P73" s="301"/>
      <c r="Q73" s="301"/>
    </row>
    <row r="74" spans="2:17" s="303" customFormat="1" ht="15.5" x14ac:dyDescent="0.35">
      <c r="B74" s="292" t="s">
        <v>355</v>
      </c>
      <c r="E74" s="311">
        <f>+_xlfn.XLOOKUP($B74,Inputs!$B:$B,Inputs!O:O)</f>
        <v>0</v>
      </c>
      <c r="F74" s="311">
        <f>+_xlfn.XLOOKUP($B74,Inputs!$B:$B,Inputs!P:P)</f>
        <v>0</v>
      </c>
      <c r="G74" s="312">
        <f>+_xlfn.XLOOKUP($B74,Inputs!$B:$B,Inputs!Q:Q)</f>
        <v>0</v>
      </c>
      <c r="H74" s="323" t="str">
        <f>IFERROR(AVERAGE(E74:G74)*(1+H31),"")</f>
        <v/>
      </c>
      <c r="I74" s="323" t="str">
        <f t="shared" ref="I74:Q74" si="30">IFERROR(AVERAGE(F74:H74)*(1+I31),"")</f>
        <v/>
      </c>
      <c r="J74" s="323" t="str">
        <f t="shared" si="30"/>
        <v/>
      </c>
      <c r="K74" s="323" t="str">
        <f t="shared" si="30"/>
        <v/>
      </c>
      <c r="L74" s="323" t="str">
        <f t="shared" si="30"/>
        <v/>
      </c>
      <c r="M74" s="323" t="str">
        <f t="shared" si="30"/>
        <v/>
      </c>
      <c r="N74" s="323" t="str">
        <f t="shared" si="30"/>
        <v/>
      </c>
      <c r="O74" s="323" t="str">
        <f t="shared" si="30"/>
        <v/>
      </c>
      <c r="P74" s="323" t="str">
        <f t="shared" si="30"/>
        <v/>
      </c>
      <c r="Q74" s="323" t="str">
        <f t="shared" si="30"/>
        <v/>
      </c>
    </row>
    <row r="75" spans="2:17" ht="3.75" customHeight="1" x14ac:dyDescent="0.35">
      <c r="B75" s="167"/>
      <c r="G75" s="162"/>
      <c r="H75" s="137"/>
      <c r="I75" s="137"/>
      <c r="J75" s="137"/>
      <c r="K75" s="137"/>
      <c r="L75" s="137"/>
      <c r="O75" s="137"/>
      <c r="P75" s="137"/>
      <c r="Q75" s="137"/>
    </row>
    <row r="76" spans="2:17" ht="13.5" customHeight="1" x14ac:dyDescent="0.35">
      <c r="B76" s="213" t="s">
        <v>222</v>
      </c>
      <c r="E76" s="311">
        <f>+_xlfn.XLOOKUP($B76,Inputs!$B:$B,Inputs!O:O)</f>
        <v>0</v>
      </c>
      <c r="F76" s="311">
        <f>+_xlfn.XLOOKUP($B76,Inputs!$B:$B,Inputs!P:P)</f>
        <v>0</v>
      </c>
      <c r="G76" s="312">
        <f>+_xlfn.XLOOKUP($B76,Inputs!$B:$B,Inputs!Q:Q)</f>
        <v>0</v>
      </c>
      <c r="H76" s="172" t="str">
        <f>IFERROR(+H59-H62-H71-H74,"")</f>
        <v/>
      </c>
      <c r="I76" s="172" t="str">
        <f t="shared" ref="I76:Q76" si="31">IFERROR(+I59-I62-I71-I74,"")</f>
        <v/>
      </c>
      <c r="J76" s="172" t="str">
        <f t="shared" si="31"/>
        <v/>
      </c>
      <c r="K76" s="172" t="str">
        <f t="shared" si="31"/>
        <v/>
      </c>
      <c r="L76" s="172" t="str">
        <f t="shared" si="31"/>
        <v/>
      </c>
      <c r="M76" s="172" t="str">
        <f t="shared" si="31"/>
        <v/>
      </c>
      <c r="N76" s="172" t="str">
        <f t="shared" si="31"/>
        <v/>
      </c>
      <c r="O76" s="172" t="str">
        <f t="shared" si="31"/>
        <v/>
      </c>
      <c r="P76" s="172" t="str">
        <f t="shared" si="31"/>
        <v/>
      </c>
      <c r="Q76" s="172" t="str">
        <f t="shared" si="31"/>
        <v/>
      </c>
    </row>
    <row r="77" spans="2:17" ht="5.25" customHeight="1" x14ac:dyDescent="0.35">
      <c r="G77" s="162"/>
      <c r="H77" s="137"/>
      <c r="I77" s="137"/>
      <c r="J77" s="137"/>
      <c r="K77" s="137"/>
      <c r="L77" s="137"/>
      <c r="O77" s="137"/>
      <c r="P77" s="137"/>
      <c r="Q77" s="137"/>
    </row>
    <row r="78" spans="2:17" ht="15.5" x14ac:dyDescent="0.35">
      <c r="B78" s="132" t="s">
        <v>223</v>
      </c>
      <c r="E78" s="165">
        <f>+_xlfn.XLOOKUP($B78,Inputs!$B:$B,Inputs!O:O)</f>
        <v>0</v>
      </c>
      <c r="F78" s="165">
        <f>+_xlfn.XLOOKUP($B78,Inputs!$B:$B,Inputs!P:P)</f>
        <v>0</v>
      </c>
      <c r="G78" s="285">
        <f>+_xlfn.XLOOKUP($B78,Inputs!$B:$B,Inputs!Q:Q)</f>
        <v>0</v>
      </c>
      <c r="H78" s="172" t="str">
        <f>IFERROR(H79*H$59,"")</f>
        <v/>
      </c>
      <c r="I78" s="172" t="str">
        <f t="shared" ref="I78:Q78" si="32">IFERROR(I79*I$59,"")</f>
        <v/>
      </c>
      <c r="J78" s="172" t="str">
        <f t="shared" si="32"/>
        <v/>
      </c>
      <c r="K78" s="172" t="str">
        <f t="shared" si="32"/>
        <v/>
      </c>
      <c r="L78" s="172" t="str">
        <f t="shared" si="32"/>
        <v/>
      </c>
      <c r="M78" s="172" t="str">
        <f t="shared" si="32"/>
        <v/>
      </c>
      <c r="N78" s="172" t="str">
        <f t="shared" si="32"/>
        <v/>
      </c>
      <c r="O78" s="172" t="str">
        <f t="shared" si="32"/>
        <v/>
      </c>
      <c r="P78" s="172" t="str">
        <f t="shared" si="32"/>
        <v/>
      </c>
      <c r="Q78" s="172" t="str">
        <f t="shared" si="32"/>
        <v/>
      </c>
    </row>
    <row r="79" spans="2:17" s="293" customFormat="1" ht="14.5" x14ac:dyDescent="0.35">
      <c r="B79" s="293" t="s">
        <v>356</v>
      </c>
      <c r="E79" s="295" t="str">
        <f>IFERROR(E78/E76,"")</f>
        <v/>
      </c>
      <c r="F79" s="295" t="str">
        <f t="shared" ref="F79:G79" si="33">IFERROR(F78/F76,"")</f>
        <v/>
      </c>
      <c r="G79" s="299" t="str">
        <f t="shared" si="33"/>
        <v/>
      </c>
      <c r="H79" s="322" t="str">
        <f>IFERROR(AVERAGE(E79:G79),"")</f>
        <v/>
      </c>
      <c r="I79" s="322" t="str">
        <f t="shared" ref="I79:Q79" si="34">IFERROR(AVERAGE(F79:H79),"")</f>
        <v/>
      </c>
      <c r="J79" s="322" t="str">
        <f t="shared" si="34"/>
        <v/>
      </c>
      <c r="K79" s="322" t="str">
        <f t="shared" si="34"/>
        <v/>
      </c>
      <c r="L79" s="322" t="str">
        <f t="shared" si="34"/>
        <v/>
      </c>
      <c r="M79" s="322" t="str">
        <f t="shared" si="34"/>
        <v/>
      </c>
      <c r="N79" s="322" t="str">
        <f t="shared" si="34"/>
        <v/>
      </c>
      <c r="O79" s="322" t="str">
        <f t="shared" si="34"/>
        <v/>
      </c>
      <c r="P79" s="322" t="str">
        <f t="shared" si="34"/>
        <v/>
      </c>
      <c r="Q79" s="322" t="str">
        <f t="shared" si="34"/>
        <v/>
      </c>
    </row>
    <row r="80" spans="2:17" s="293" customFormat="1" ht="3.75" customHeight="1" x14ac:dyDescent="0.35">
      <c r="E80" s="295"/>
      <c r="F80" s="295"/>
      <c r="G80" s="299"/>
      <c r="H80" s="314"/>
      <c r="I80" s="314"/>
      <c r="J80" s="314"/>
      <c r="K80" s="314"/>
      <c r="L80" s="314"/>
      <c r="M80" s="314"/>
      <c r="N80" s="314"/>
      <c r="O80" s="314"/>
      <c r="P80" s="314"/>
      <c r="Q80" s="314"/>
    </row>
    <row r="81" spans="1:17" s="293" customFormat="1" ht="15.5" x14ac:dyDescent="0.35">
      <c r="B81" s="132" t="s">
        <v>224</v>
      </c>
      <c r="E81" s="165">
        <f>+_xlfn.XLOOKUP($B81,Inputs!$B:$B,Inputs!O:O)</f>
        <v>0</v>
      </c>
      <c r="F81" s="165">
        <f>+_xlfn.XLOOKUP($B81,Inputs!$B:$B,Inputs!P:P)</f>
        <v>0</v>
      </c>
      <c r="G81" s="285">
        <f>+_xlfn.XLOOKUP($B81,Inputs!$B:$B,Inputs!Q:Q)</f>
        <v>0</v>
      </c>
      <c r="H81" s="172" t="str">
        <f>IFERROR(+H76-H78,"")</f>
        <v/>
      </c>
      <c r="I81" s="172" t="str">
        <f t="shared" ref="I81:Q81" si="35">IFERROR(+I76-I78,"")</f>
        <v/>
      </c>
      <c r="J81" s="172" t="str">
        <f t="shared" si="35"/>
        <v/>
      </c>
      <c r="K81" s="172" t="str">
        <f t="shared" si="35"/>
        <v/>
      </c>
      <c r="L81" s="172" t="str">
        <f t="shared" si="35"/>
        <v/>
      </c>
      <c r="M81" s="172" t="str">
        <f t="shared" si="35"/>
        <v/>
      </c>
      <c r="N81" s="172" t="str">
        <f t="shared" si="35"/>
        <v/>
      </c>
      <c r="O81" s="172" t="str">
        <f t="shared" si="35"/>
        <v/>
      </c>
      <c r="P81" s="172" t="str">
        <f t="shared" si="35"/>
        <v/>
      </c>
      <c r="Q81" s="172" t="str">
        <f t="shared" si="35"/>
        <v/>
      </c>
    </row>
    <row r="82" spans="1:17" s="293" customFormat="1" ht="14.5" x14ac:dyDescent="0.35">
      <c r="B82" s="293" t="s">
        <v>35</v>
      </c>
      <c r="E82" s="295" t="str">
        <f>IFERROR(E81/E$30,"")</f>
        <v/>
      </c>
      <c r="F82" s="295" t="str">
        <f t="shared" ref="F82:Q82" si="36">IFERROR(F81/F$30,"")</f>
        <v/>
      </c>
      <c r="G82" s="299" t="str">
        <f t="shared" ref="G82" si="37">IFERROR(G81/G$30,"")</f>
        <v/>
      </c>
      <c r="H82" s="295" t="str">
        <f t="shared" si="36"/>
        <v/>
      </c>
      <c r="I82" s="295" t="str">
        <f t="shared" si="36"/>
        <v/>
      </c>
      <c r="J82" s="295" t="str">
        <f t="shared" si="36"/>
        <v/>
      </c>
      <c r="K82" s="295" t="str">
        <f t="shared" si="36"/>
        <v/>
      </c>
      <c r="L82" s="295" t="str">
        <f t="shared" si="36"/>
        <v/>
      </c>
      <c r="M82" s="295" t="str">
        <f t="shared" si="36"/>
        <v/>
      </c>
      <c r="N82" s="295" t="str">
        <f t="shared" si="36"/>
        <v/>
      </c>
      <c r="O82" s="295" t="str">
        <f t="shared" si="36"/>
        <v/>
      </c>
      <c r="P82" s="295" t="str">
        <f t="shared" si="36"/>
        <v/>
      </c>
      <c r="Q82" s="295" t="str">
        <f t="shared" si="36"/>
        <v/>
      </c>
    </row>
    <row r="83" spans="1:17" ht="3.75" customHeight="1" x14ac:dyDescent="0.35">
      <c r="B83" s="167"/>
      <c r="G83" s="162"/>
    </row>
    <row r="84" spans="1:17" ht="15.5" x14ac:dyDescent="0.35">
      <c r="A84" s="132" t="s">
        <v>300</v>
      </c>
      <c r="B84" s="52" t="s">
        <v>227</v>
      </c>
      <c r="C84" s="56"/>
      <c r="D84" s="56"/>
      <c r="E84" s="143">
        <f t="shared" ref="E84:Q84" si="38">E28</f>
        <v>2022</v>
      </c>
      <c r="F84" s="143">
        <f t="shared" si="38"/>
        <v>2023</v>
      </c>
      <c r="G84" s="144">
        <f t="shared" si="38"/>
        <v>2024</v>
      </c>
      <c r="H84" s="105">
        <f t="shared" si="38"/>
        <v>2025</v>
      </c>
      <c r="I84" s="105">
        <f t="shared" si="38"/>
        <v>2026</v>
      </c>
      <c r="J84" s="105">
        <f t="shared" si="38"/>
        <v>2027</v>
      </c>
      <c r="K84" s="105">
        <f t="shared" si="38"/>
        <v>2028</v>
      </c>
      <c r="L84" s="105">
        <f t="shared" si="38"/>
        <v>2029</v>
      </c>
      <c r="M84" s="105">
        <f t="shared" si="38"/>
        <v>2030</v>
      </c>
      <c r="N84" s="105">
        <f t="shared" si="38"/>
        <v>2031</v>
      </c>
      <c r="O84" s="105">
        <f t="shared" si="38"/>
        <v>2032</v>
      </c>
      <c r="P84" s="105">
        <f t="shared" si="38"/>
        <v>2033</v>
      </c>
      <c r="Q84" s="105">
        <f t="shared" si="38"/>
        <v>2034</v>
      </c>
    </row>
    <row r="85" spans="1:17" ht="4" customHeight="1" x14ac:dyDescent="0.35">
      <c r="B85" s="179"/>
      <c r="C85" s="53"/>
      <c r="D85" s="53"/>
      <c r="E85" s="53"/>
      <c r="F85" s="53"/>
      <c r="G85" s="180"/>
      <c r="H85" s="53"/>
      <c r="I85" s="53"/>
      <c r="J85" s="53"/>
      <c r="K85" s="53"/>
      <c r="L85" s="53"/>
      <c r="M85" s="53"/>
      <c r="N85" s="53"/>
      <c r="O85" s="53"/>
      <c r="P85" s="53"/>
      <c r="Q85" s="53"/>
    </row>
    <row r="86" spans="1:17" ht="13.5" customHeight="1" x14ac:dyDescent="0.35">
      <c r="B86" s="164" t="s">
        <v>357</v>
      </c>
      <c r="G86" s="173"/>
    </row>
    <row r="87" spans="1:17" ht="5.25" customHeight="1" x14ac:dyDescent="0.35">
      <c r="B87" s="167"/>
      <c r="G87" s="173"/>
    </row>
    <row r="88" spans="1:17" ht="13.5" customHeight="1" x14ac:dyDescent="0.35">
      <c r="B88" s="132" t="s">
        <v>358</v>
      </c>
      <c r="E88" s="165">
        <f>+_xlfn.XLOOKUP($B88,Inputs!$B:$B,Inputs!O:O)</f>
        <v>0</v>
      </c>
      <c r="F88" s="165">
        <f>+_xlfn.XLOOKUP($B88,Inputs!$B:$B,Inputs!P:P)</f>
        <v>0</v>
      </c>
      <c r="G88" s="285">
        <f>+_xlfn.XLOOKUP($B88,Inputs!$B:$B,Inputs!Q:Q)</f>
        <v>0</v>
      </c>
      <c r="H88" s="183" t="str">
        <f>IFERROR(G88+H165,"")</f>
        <v/>
      </c>
      <c r="I88" s="183" t="str">
        <f t="shared" ref="I88:Q88" si="39">IFERROR(H88+I165,"")</f>
        <v/>
      </c>
      <c r="J88" s="183" t="str">
        <f t="shared" si="39"/>
        <v/>
      </c>
      <c r="K88" s="183" t="str">
        <f t="shared" si="39"/>
        <v/>
      </c>
      <c r="L88" s="183" t="str">
        <f t="shared" si="39"/>
        <v/>
      </c>
      <c r="M88" s="183" t="str">
        <f t="shared" si="39"/>
        <v/>
      </c>
      <c r="N88" s="183" t="str">
        <f t="shared" si="39"/>
        <v/>
      </c>
      <c r="O88" s="183" t="str">
        <f t="shared" si="39"/>
        <v/>
      </c>
      <c r="P88" s="183" t="str">
        <f t="shared" si="39"/>
        <v/>
      </c>
      <c r="Q88" s="183" t="str">
        <f t="shared" si="39"/>
        <v/>
      </c>
    </row>
    <row r="89" spans="1:17" ht="3.75" customHeight="1" x14ac:dyDescent="0.35">
      <c r="E89" s="165"/>
      <c r="F89" s="165"/>
      <c r="G89" s="285"/>
    </row>
    <row r="90" spans="1:17" ht="15.5" x14ac:dyDescent="0.35">
      <c r="B90" s="132" t="s">
        <v>229</v>
      </c>
      <c r="E90" s="165">
        <f>+_xlfn.XLOOKUP($B90,Inputs!$B:$B,Inputs!O:O)</f>
        <v>0</v>
      </c>
      <c r="F90" s="165">
        <f>+_xlfn.XLOOKUP($B90,Inputs!$B:$B,Inputs!P:P)</f>
        <v>0</v>
      </c>
      <c r="G90" s="285">
        <f>+_xlfn.XLOOKUP($B90,Inputs!$B:$B,Inputs!Q:Q)</f>
        <v>0</v>
      </c>
      <c r="H90" s="183" t="str">
        <f>IFERROR(H91*H30/365,"")</f>
        <v/>
      </c>
      <c r="I90" s="183" t="str">
        <f t="shared" ref="I90:Q90" si="40">IFERROR(I91*I30/365,"")</f>
        <v/>
      </c>
      <c r="J90" s="183" t="str">
        <f t="shared" si="40"/>
        <v/>
      </c>
      <c r="K90" s="183" t="str">
        <f t="shared" si="40"/>
        <v/>
      </c>
      <c r="L90" s="183" t="str">
        <f t="shared" si="40"/>
        <v/>
      </c>
      <c r="M90" s="183" t="str">
        <f t="shared" si="40"/>
        <v/>
      </c>
      <c r="N90" s="183" t="str">
        <f t="shared" si="40"/>
        <v/>
      </c>
      <c r="O90" s="183" t="str">
        <f t="shared" si="40"/>
        <v/>
      </c>
      <c r="P90" s="183" t="str">
        <f t="shared" si="40"/>
        <v/>
      </c>
      <c r="Q90" s="183" t="str">
        <f t="shared" si="40"/>
        <v/>
      </c>
    </row>
    <row r="91" spans="1:17" ht="15.5" x14ac:dyDescent="0.35">
      <c r="B91" s="167" t="s">
        <v>359</v>
      </c>
      <c r="E91" s="329" t="str">
        <f>IFERROR(E90/E30*365,"")</f>
        <v/>
      </c>
      <c r="F91" s="329" t="str">
        <f>IFERROR(F90/F30*365,"")</f>
        <v/>
      </c>
      <c r="G91" s="330" t="str">
        <f>IFERROR(G90/G30*366,"")</f>
        <v/>
      </c>
      <c r="H91" s="331" t="str">
        <f>IFERROR(AVERAGE(E91:G91),"")</f>
        <v/>
      </c>
      <c r="I91" s="331" t="str">
        <f t="shared" ref="I91:Q91" si="41">IFERROR(AVERAGE(F91:H91),"")</f>
        <v/>
      </c>
      <c r="J91" s="331" t="str">
        <f t="shared" si="41"/>
        <v/>
      </c>
      <c r="K91" s="331" t="str">
        <f t="shared" si="41"/>
        <v/>
      </c>
      <c r="L91" s="331" t="str">
        <f t="shared" si="41"/>
        <v/>
      </c>
      <c r="M91" s="331" t="str">
        <f t="shared" si="41"/>
        <v/>
      </c>
      <c r="N91" s="331" t="str">
        <f t="shared" si="41"/>
        <v/>
      </c>
      <c r="O91" s="331" t="str">
        <f t="shared" si="41"/>
        <v/>
      </c>
      <c r="P91" s="331" t="str">
        <f t="shared" si="41"/>
        <v/>
      </c>
      <c r="Q91" s="331" t="str">
        <f t="shared" si="41"/>
        <v/>
      </c>
    </row>
    <row r="92" spans="1:17" ht="3.75" customHeight="1" x14ac:dyDescent="0.35">
      <c r="E92" s="184"/>
      <c r="F92" s="184"/>
      <c r="G92" s="185"/>
      <c r="H92" s="183"/>
      <c r="I92" s="183"/>
      <c r="J92" s="183"/>
      <c r="K92" s="183"/>
      <c r="L92" s="183"/>
      <c r="O92" s="183"/>
      <c r="P92" s="183"/>
      <c r="Q92" s="183"/>
    </row>
    <row r="93" spans="1:17" ht="15.5" x14ac:dyDescent="0.35">
      <c r="B93" s="132" t="s">
        <v>360</v>
      </c>
      <c r="E93" s="165">
        <f>+_xlfn.XLOOKUP($B93,Inputs!$B:$B,Inputs!O:O)</f>
        <v>0</v>
      </c>
      <c r="F93" s="165">
        <f>+_xlfn.XLOOKUP($B93,Inputs!$B:$B,Inputs!P:P)</f>
        <v>0</v>
      </c>
      <c r="G93" s="285">
        <f>+_xlfn.XLOOKUP($B93,Inputs!$B:$B,Inputs!Q:Q)</f>
        <v>0</v>
      </c>
      <c r="H93" s="183" t="str">
        <f>+IFERROR(H94*H33/365,"")</f>
        <v/>
      </c>
      <c r="I93" s="183" t="str">
        <f t="shared" ref="I93:Q93" si="42">+IFERROR(I94*I33/365,"")</f>
        <v/>
      </c>
      <c r="J93" s="183" t="str">
        <f t="shared" si="42"/>
        <v/>
      </c>
      <c r="K93" s="183" t="str">
        <f t="shared" si="42"/>
        <v/>
      </c>
      <c r="L93" s="183" t="str">
        <f t="shared" si="42"/>
        <v/>
      </c>
      <c r="M93" s="183" t="str">
        <f t="shared" si="42"/>
        <v/>
      </c>
      <c r="N93" s="183" t="str">
        <f t="shared" si="42"/>
        <v/>
      </c>
      <c r="O93" s="183" t="str">
        <f t="shared" si="42"/>
        <v/>
      </c>
      <c r="P93" s="183" t="str">
        <f t="shared" si="42"/>
        <v/>
      </c>
      <c r="Q93" s="183" t="str">
        <f t="shared" si="42"/>
        <v/>
      </c>
    </row>
    <row r="94" spans="1:17" ht="15.5" x14ac:dyDescent="0.35">
      <c r="B94" s="167" t="s">
        <v>361</v>
      </c>
      <c r="E94" s="329" t="str">
        <f>IFERROR(E93/E33*365,"")</f>
        <v/>
      </c>
      <c r="F94" s="329" t="str">
        <f>IFERROR(F93/F33*365,"")</f>
        <v/>
      </c>
      <c r="G94" s="330" t="str">
        <f>IFERROR(G93/G33*365,"")</f>
        <v/>
      </c>
      <c r="H94" s="331" t="str">
        <f>IFERROR(AVERAGE(E94:G94),"")</f>
        <v/>
      </c>
      <c r="I94" s="331" t="str">
        <f t="shared" ref="I94:Q94" si="43">IFERROR(AVERAGE(F94:H94),"")</f>
        <v/>
      </c>
      <c r="J94" s="331" t="str">
        <f t="shared" si="43"/>
        <v/>
      </c>
      <c r="K94" s="331" t="str">
        <f t="shared" si="43"/>
        <v/>
      </c>
      <c r="L94" s="331" t="str">
        <f t="shared" si="43"/>
        <v/>
      </c>
      <c r="M94" s="331" t="str">
        <f t="shared" si="43"/>
        <v/>
      </c>
      <c r="N94" s="331" t="str">
        <f t="shared" si="43"/>
        <v/>
      </c>
      <c r="O94" s="331" t="str">
        <f t="shared" si="43"/>
        <v/>
      </c>
      <c r="P94" s="331" t="str">
        <f t="shared" si="43"/>
        <v/>
      </c>
      <c r="Q94" s="331" t="str">
        <f t="shared" si="43"/>
        <v/>
      </c>
    </row>
    <row r="95" spans="1:17" ht="4" customHeight="1" x14ac:dyDescent="0.35">
      <c r="G95" s="173"/>
    </row>
    <row r="96" spans="1:17" ht="15.5" x14ac:dyDescent="0.35">
      <c r="B96" s="132" t="s">
        <v>362</v>
      </c>
      <c r="E96" s="165">
        <f>+_xlfn.XLOOKUP($B96,Inputs!$B:$B,Inputs!O:O)</f>
        <v>0</v>
      </c>
      <c r="F96" s="165">
        <f>+_xlfn.XLOOKUP($B96,Inputs!$B:$B,Inputs!P:P)</f>
        <v>0</v>
      </c>
      <c r="G96" s="285">
        <f>+_xlfn.XLOOKUP($B96,Inputs!$B:$B,Inputs!Q:Q)</f>
        <v>0</v>
      </c>
      <c r="H96" s="183" t="str">
        <f>IFERROR(AVERAGE(E96:G96)*(1+H31),"")</f>
        <v/>
      </c>
      <c r="I96" s="183" t="str">
        <f t="shared" ref="I96:Q96" si="44">IFERROR(AVERAGE(F96:H96)*(1+I31),"")</f>
        <v/>
      </c>
      <c r="J96" s="183" t="str">
        <f t="shared" si="44"/>
        <v/>
      </c>
      <c r="K96" s="183" t="str">
        <f t="shared" si="44"/>
        <v/>
      </c>
      <c r="L96" s="183" t="str">
        <f t="shared" si="44"/>
        <v/>
      </c>
      <c r="M96" s="183" t="str">
        <f t="shared" si="44"/>
        <v/>
      </c>
      <c r="N96" s="183" t="str">
        <f t="shared" si="44"/>
        <v/>
      </c>
      <c r="O96" s="183" t="str">
        <f t="shared" si="44"/>
        <v/>
      </c>
      <c r="P96" s="183" t="str">
        <f t="shared" si="44"/>
        <v/>
      </c>
      <c r="Q96" s="183" t="str">
        <f t="shared" si="44"/>
        <v/>
      </c>
    </row>
    <row r="97" spans="2:17" s="293" customFormat="1" ht="14.5" x14ac:dyDescent="0.35">
      <c r="B97" s="293" t="s">
        <v>340</v>
      </c>
      <c r="E97" s="326" t="str">
        <f>IFERROR(E96/E$30,"")</f>
        <v/>
      </c>
      <c r="F97" s="326" t="str">
        <f t="shared" ref="F97:G97" si="45">IFERROR(F96/F$30,"")</f>
        <v/>
      </c>
      <c r="G97" s="327" t="str">
        <f t="shared" si="45"/>
        <v/>
      </c>
      <c r="H97" s="326" t="str">
        <f>IFERROR(AVERAGE(E97:G97),"")</f>
        <v/>
      </c>
      <c r="I97" s="326" t="str">
        <f t="shared" ref="I97:Q97" si="46">IFERROR(AVERAGE(F97:H97),"")</f>
        <v/>
      </c>
      <c r="J97" s="326" t="str">
        <f t="shared" si="46"/>
        <v/>
      </c>
      <c r="K97" s="326" t="str">
        <f t="shared" si="46"/>
        <v/>
      </c>
      <c r="L97" s="326" t="str">
        <f t="shared" si="46"/>
        <v/>
      </c>
      <c r="M97" s="326" t="str">
        <f t="shared" si="46"/>
        <v/>
      </c>
      <c r="N97" s="326" t="str">
        <f t="shared" si="46"/>
        <v/>
      </c>
      <c r="O97" s="326" t="str">
        <f t="shared" si="46"/>
        <v/>
      </c>
      <c r="P97" s="326" t="str">
        <f t="shared" si="46"/>
        <v/>
      </c>
      <c r="Q97" s="326" t="str">
        <f t="shared" si="46"/>
        <v/>
      </c>
    </row>
    <row r="98" spans="2:17" ht="3.75" customHeight="1" x14ac:dyDescent="0.35">
      <c r="E98" s="184"/>
      <c r="F98" s="184"/>
      <c r="G98" s="185"/>
      <c r="H98" s="183"/>
      <c r="I98" s="183"/>
      <c r="J98" s="183"/>
      <c r="K98" s="183"/>
      <c r="L98" s="183"/>
      <c r="O98" s="183"/>
      <c r="P98" s="183"/>
      <c r="Q98" s="183"/>
    </row>
    <row r="99" spans="2:17" ht="15.5" x14ac:dyDescent="0.35">
      <c r="B99" s="132" t="s">
        <v>363</v>
      </c>
      <c r="E99" s="165">
        <f>+E100+E101-E103</f>
        <v>0</v>
      </c>
      <c r="F99" s="165">
        <f t="shared" ref="F99:G99" si="47">+F100+F101-F103</f>
        <v>0</v>
      </c>
      <c r="G99" s="285">
        <f t="shared" si="47"/>
        <v>0</v>
      </c>
      <c r="H99" s="183" t="str">
        <f>IFERROR(H100+H101-H103,"")</f>
        <v/>
      </c>
      <c r="I99" s="183" t="str">
        <f t="shared" ref="I99:Q99" si="48">IFERROR(I100+I101-I103,"")</f>
        <v/>
      </c>
      <c r="J99" s="183" t="str">
        <f t="shared" si="48"/>
        <v/>
      </c>
      <c r="K99" s="183" t="str">
        <f t="shared" si="48"/>
        <v/>
      </c>
      <c r="L99" s="183" t="str">
        <f t="shared" si="48"/>
        <v/>
      </c>
      <c r="M99" s="183" t="str">
        <f t="shared" si="48"/>
        <v/>
      </c>
      <c r="N99" s="183" t="str">
        <f t="shared" si="48"/>
        <v/>
      </c>
      <c r="O99" s="183" t="str">
        <f t="shared" si="48"/>
        <v/>
      </c>
      <c r="P99" s="183" t="str">
        <f t="shared" si="48"/>
        <v/>
      </c>
      <c r="Q99" s="183" t="str">
        <f t="shared" si="48"/>
        <v/>
      </c>
    </row>
    <row r="100" spans="2:17" ht="15.5" x14ac:dyDescent="0.35">
      <c r="B100" s="292" t="s">
        <v>364</v>
      </c>
      <c r="E100" s="334">
        <f>+_xlfn.XLOOKUP("Gross PP&amp;E (Property, Plant and Equipment)",Inputs!$B:$B,Inputs!O:O)</f>
        <v>0</v>
      </c>
      <c r="F100" s="334">
        <f>+_xlfn.XLOOKUP("Gross PP&amp;E (Property, Plant and Equipment)",Inputs!$B:$B,Inputs!P:P)</f>
        <v>0</v>
      </c>
      <c r="G100" s="341">
        <f>+_xlfn.XLOOKUP("Gross PP&amp;E (Property, Plant and Equipment)",Inputs!$B:$B,Inputs!Q:Q)</f>
        <v>0</v>
      </c>
      <c r="H100" s="339" t="str">
        <f>+IFERROR(G100-H134,"")</f>
        <v/>
      </c>
      <c r="I100" s="339" t="str">
        <f t="shared" ref="I100:Q100" si="49">+IFERROR(H100-I134,"")</f>
        <v/>
      </c>
      <c r="J100" s="339" t="str">
        <f t="shared" si="49"/>
        <v/>
      </c>
      <c r="K100" s="339" t="str">
        <f t="shared" si="49"/>
        <v/>
      </c>
      <c r="L100" s="339" t="str">
        <f t="shared" si="49"/>
        <v/>
      </c>
      <c r="M100" s="339" t="str">
        <f t="shared" si="49"/>
        <v/>
      </c>
      <c r="N100" s="339" t="str">
        <f t="shared" si="49"/>
        <v/>
      </c>
      <c r="O100" s="339" t="str">
        <f t="shared" si="49"/>
        <v/>
      </c>
      <c r="P100" s="339" t="str">
        <f t="shared" si="49"/>
        <v/>
      </c>
      <c r="Q100" s="339" t="str">
        <f t="shared" si="49"/>
        <v/>
      </c>
    </row>
    <row r="101" spans="2:17" ht="15.5" x14ac:dyDescent="0.35">
      <c r="B101" s="332" t="s">
        <v>365</v>
      </c>
      <c r="C101" s="167"/>
      <c r="D101" s="167"/>
      <c r="E101" s="334">
        <f>+_xlfn.XLOOKUP("Right-of-Use Assets",Inputs!$B:$B,Inputs!O:O)</f>
        <v>0</v>
      </c>
      <c r="F101" s="334">
        <f>+_xlfn.XLOOKUP("Right-of-Use Assets",Inputs!$B:$B,Inputs!P:P)</f>
        <v>0</v>
      </c>
      <c r="G101" s="341">
        <f>+_xlfn.XLOOKUP("Right-of-Use Assets",Inputs!$B:$B,Inputs!Q:Q)</f>
        <v>0</v>
      </c>
      <c r="H101" s="339" t="str">
        <f>IFERROR(H102*H$30,"")</f>
        <v/>
      </c>
      <c r="I101" s="339" t="str">
        <f t="shared" ref="I101:Q101" si="50">IFERROR(I102*I$30,"")</f>
        <v/>
      </c>
      <c r="J101" s="339" t="str">
        <f t="shared" si="50"/>
        <v/>
      </c>
      <c r="K101" s="339" t="str">
        <f t="shared" si="50"/>
        <v/>
      </c>
      <c r="L101" s="339" t="str">
        <f t="shared" si="50"/>
        <v/>
      </c>
      <c r="M101" s="339" t="str">
        <f t="shared" si="50"/>
        <v/>
      </c>
      <c r="N101" s="339" t="str">
        <f t="shared" si="50"/>
        <v/>
      </c>
      <c r="O101" s="339" t="str">
        <f t="shared" si="50"/>
        <v/>
      </c>
      <c r="P101" s="339" t="str">
        <f t="shared" si="50"/>
        <v/>
      </c>
      <c r="Q101" s="339" t="str">
        <f t="shared" si="50"/>
        <v/>
      </c>
    </row>
    <row r="102" spans="2:17" ht="15.5" x14ac:dyDescent="0.35">
      <c r="B102" s="342" t="s">
        <v>340</v>
      </c>
      <c r="E102" s="326" t="str">
        <f>IFERROR(E101/E$30,"")</f>
        <v/>
      </c>
      <c r="F102" s="326" t="str">
        <f t="shared" ref="F102:G102" si="51">IFERROR(F101/F$30,"")</f>
        <v/>
      </c>
      <c r="G102" s="327" t="str">
        <f t="shared" si="51"/>
        <v/>
      </c>
      <c r="H102" s="325" t="str">
        <f>IFERROR(AVERAGE(E102:G102),"")</f>
        <v/>
      </c>
      <c r="I102" s="325" t="str">
        <f t="shared" ref="I102:Q102" si="52">IFERROR(AVERAGE(F102:H102),"")</f>
        <v/>
      </c>
      <c r="J102" s="325" t="str">
        <f t="shared" si="52"/>
        <v/>
      </c>
      <c r="K102" s="325" t="str">
        <f t="shared" si="52"/>
        <v/>
      </c>
      <c r="L102" s="325" t="str">
        <f t="shared" si="52"/>
        <v/>
      </c>
      <c r="M102" s="325" t="str">
        <f t="shared" si="52"/>
        <v/>
      </c>
      <c r="N102" s="325" t="str">
        <f t="shared" si="52"/>
        <v/>
      </c>
      <c r="O102" s="325" t="str">
        <f t="shared" si="52"/>
        <v/>
      </c>
      <c r="P102" s="325" t="str">
        <f t="shared" si="52"/>
        <v/>
      </c>
      <c r="Q102" s="325" t="str">
        <f t="shared" si="52"/>
        <v/>
      </c>
    </row>
    <row r="103" spans="2:17" ht="15.5" x14ac:dyDescent="0.35">
      <c r="B103" s="292" t="s">
        <v>366</v>
      </c>
      <c r="E103" s="334">
        <f>+_xlfn.XLOOKUP($B103,Inputs!$B:$B,Inputs!O:O)</f>
        <v>0</v>
      </c>
      <c r="F103" s="334">
        <f>+_xlfn.XLOOKUP($B103,Inputs!$B:$B,Inputs!P:P)</f>
        <v>0</v>
      </c>
      <c r="G103" s="335">
        <f>+_xlfn.XLOOKUP($B103,Inputs!$B:$B,Inputs!Q:Q)</f>
        <v>0</v>
      </c>
      <c r="H103" s="336" t="str">
        <f>+IFERROR(G103+H53,"")</f>
        <v/>
      </c>
      <c r="I103" s="336" t="str">
        <f t="shared" ref="I103:Q103" si="53">+IFERROR(H103+I53,"")</f>
        <v/>
      </c>
      <c r="J103" s="336" t="str">
        <f t="shared" si="53"/>
        <v/>
      </c>
      <c r="K103" s="336" t="str">
        <f t="shared" si="53"/>
        <v/>
      </c>
      <c r="L103" s="336" t="str">
        <f t="shared" si="53"/>
        <v/>
      </c>
      <c r="M103" s="336" t="str">
        <f t="shared" si="53"/>
        <v/>
      </c>
      <c r="N103" s="336" t="str">
        <f t="shared" si="53"/>
        <v/>
      </c>
      <c r="O103" s="336" t="str">
        <f t="shared" si="53"/>
        <v/>
      </c>
      <c r="P103" s="336" t="str">
        <f t="shared" si="53"/>
        <v/>
      </c>
      <c r="Q103" s="336" t="str">
        <f t="shared" si="53"/>
        <v/>
      </c>
    </row>
    <row r="104" spans="2:17" ht="5.25" customHeight="1" x14ac:dyDescent="0.35">
      <c r="E104" s="181"/>
      <c r="F104" s="181"/>
      <c r="G104" s="182"/>
      <c r="H104" s="183"/>
      <c r="I104" s="183"/>
      <c r="J104" s="183"/>
      <c r="K104" s="183"/>
      <c r="L104" s="183"/>
      <c r="M104" s="183"/>
      <c r="N104" s="183"/>
      <c r="O104" s="183"/>
      <c r="P104" s="183"/>
      <c r="Q104" s="183"/>
    </row>
    <row r="105" spans="2:17" ht="15.5" x14ac:dyDescent="0.35">
      <c r="B105" s="132" t="s">
        <v>367</v>
      </c>
      <c r="E105" s="165">
        <f>+_xlfn.XLOOKUP($B105,Inputs!$B:$B,Inputs!O:O)</f>
        <v>0</v>
      </c>
      <c r="F105" s="165">
        <f>+_xlfn.XLOOKUP($B105,Inputs!$B:$B,Inputs!P:P)</f>
        <v>0</v>
      </c>
      <c r="G105" s="285">
        <f>+_xlfn.XLOOKUP($B105,Inputs!$B:$B,Inputs!Q:Q)</f>
        <v>0</v>
      </c>
      <c r="H105" s="183">
        <f t="shared" ref="H105:Q105" si="54">+G105+H106*H42</f>
        <v>0</v>
      </c>
      <c r="I105" s="183">
        <f t="shared" si="54"/>
        <v>0</v>
      </c>
      <c r="J105" s="183">
        <f t="shared" si="54"/>
        <v>0</v>
      </c>
      <c r="K105" s="183">
        <f t="shared" si="54"/>
        <v>0</v>
      </c>
      <c r="L105" s="183">
        <f t="shared" si="54"/>
        <v>0</v>
      </c>
      <c r="M105" s="183">
        <f t="shared" si="54"/>
        <v>0</v>
      </c>
      <c r="N105" s="183">
        <f t="shared" si="54"/>
        <v>0</v>
      </c>
      <c r="O105" s="183">
        <f t="shared" si="54"/>
        <v>0</v>
      </c>
      <c r="P105" s="183">
        <f t="shared" si="54"/>
        <v>0</v>
      </c>
      <c r="Q105" s="183">
        <f t="shared" si="54"/>
        <v>0</v>
      </c>
    </row>
    <row r="106" spans="2:17" s="89" customFormat="1" ht="14.5" x14ac:dyDescent="0.35">
      <c r="B106" s="89" t="s">
        <v>368</v>
      </c>
      <c r="E106" s="386" t="str">
        <f>IFERROR((E105-Inputs!N45)/E42,"")</f>
        <v/>
      </c>
      <c r="F106" s="386" t="str">
        <f>IFERROR((F105-E105)/F42,"")</f>
        <v/>
      </c>
      <c r="G106" s="387" t="str">
        <f>IFERROR((G105-F105)/G42,"")</f>
        <v/>
      </c>
      <c r="H106" s="325"/>
      <c r="I106" s="325"/>
      <c r="J106" s="325"/>
      <c r="K106" s="325"/>
      <c r="L106" s="325"/>
      <c r="M106" s="325"/>
      <c r="N106" s="325"/>
      <c r="O106" s="325"/>
      <c r="P106" s="325"/>
      <c r="Q106" s="325"/>
    </row>
    <row r="107" spans="2:17" s="89" customFormat="1" ht="3.75" customHeight="1" x14ac:dyDescent="0.35">
      <c r="E107" s="388"/>
      <c r="F107" s="388"/>
      <c r="G107" s="389"/>
      <c r="H107" s="351"/>
      <c r="I107" s="351"/>
      <c r="J107" s="351"/>
      <c r="K107" s="351"/>
      <c r="L107" s="351"/>
      <c r="M107" s="351"/>
      <c r="N107" s="351"/>
      <c r="O107" s="351"/>
      <c r="P107" s="351"/>
      <c r="Q107" s="351"/>
    </row>
    <row r="108" spans="2:17" ht="13.5" customHeight="1" x14ac:dyDescent="0.35">
      <c r="B108" s="164" t="s">
        <v>369</v>
      </c>
      <c r="E108" s="306"/>
      <c r="F108" s="306"/>
      <c r="G108" s="305"/>
      <c r="H108" s="183"/>
      <c r="I108" s="183"/>
      <c r="J108" s="183"/>
      <c r="K108" s="183"/>
      <c r="L108" s="183"/>
      <c r="M108" s="183"/>
      <c r="N108" s="183"/>
      <c r="O108" s="183"/>
      <c r="P108" s="183"/>
      <c r="Q108" s="183"/>
    </row>
    <row r="109" spans="2:17" ht="5.25" customHeight="1" x14ac:dyDescent="0.35">
      <c r="E109" s="306"/>
      <c r="F109" s="306"/>
      <c r="G109" s="305"/>
      <c r="H109" s="183"/>
      <c r="I109" s="183"/>
      <c r="J109" s="183"/>
      <c r="K109" s="183"/>
      <c r="L109" s="183"/>
      <c r="M109" s="183"/>
      <c r="N109" s="183"/>
      <c r="O109" s="183"/>
      <c r="P109" s="183"/>
      <c r="Q109" s="183"/>
    </row>
    <row r="110" spans="2:17" ht="15.5" x14ac:dyDescent="0.35">
      <c r="B110" s="132" t="s">
        <v>235</v>
      </c>
      <c r="E110" s="165">
        <f>+_xlfn.XLOOKUP($B110,Inputs!$B:$B,Inputs!O:O)</f>
        <v>0</v>
      </c>
      <c r="F110" s="165">
        <f>+_xlfn.XLOOKUP($B110,Inputs!$B:$B,Inputs!P:P)</f>
        <v>0</v>
      </c>
      <c r="G110" s="285">
        <f>+_xlfn.XLOOKUP($B110,Inputs!$B:$B,Inputs!Q:Q)</f>
        <v>0</v>
      </c>
      <c r="H110" s="183" t="str">
        <f>+IFERROR(H111*H33/365,"")</f>
        <v/>
      </c>
      <c r="I110" s="183" t="str">
        <f t="shared" ref="I110:Q110" si="55">+IFERROR(I111*I33/365,"")</f>
        <v/>
      </c>
      <c r="J110" s="183" t="str">
        <f t="shared" si="55"/>
        <v/>
      </c>
      <c r="K110" s="183" t="str">
        <f t="shared" si="55"/>
        <v/>
      </c>
      <c r="L110" s="183" t="str">
        <f t="shared" si="55"/>
        <v/>
      </c>
      <c r="M110" s="183" t="str">
        <f t="shared" si="55"/>
        <v/>
      </c>
      <c r="N110" s="183" t="str">
        <f t="shared" si="55"/>
        <v/>
      </c>
      <c r="O110" s="183" t="str">
        <f t="shared" si="55"/>
        <v/>
      </c>
      <c r="P110" s="183" t="str">
        <f t="shared" si="55"/>
        <v/>
      </c>
      <c r="Q110" s="183" t="str">
        <f t="shared" si="55"/>
        <v/>
      </c>
    </row>
    <row r="111" spans="2:17" ht="15.5" x14ac:dyDescent="0.35">
      <c r="B111" s="167" t="s">
        <v>370</v>
      </c>
      <c r="E111" s="329" t="str">
        <f>IFERROR(E110/E$33*365,"")</f>
        <v/>
      </c>
      <c r="F111" s="329" t="str">
        <f t="shared" ref="F111" si="56">IFERROR(F110/F$33*365,"")</f>
        <v/>
      </c>
      <c r="G111" s="330" t="str">
        <f>IFERROR(G110/G$33*366,"")</f>
        <v/>
      </c>
      <c r="H111" s="328" t="str">
        <f>IFERROR(AVERAGE(E111:G111),"")</f>
        <v/>
      </c>
      <c r="I111" s="328" t="str">
        <f t="shared" ref="I111:Q111" si="57">IFERROR(AVERAGE(F111:H111),"")</f>
        <v/>
      </c>
      <c r="J111" s="328" t="str">
        <f t="shared" si="57"/>
        <v/>
      </c>
      <c r="K111" s="328" t="str">
        <f t="shared" si="57"/>
        <v/>
      </c>
      <c r="L111" s="328" t="str">
        <f t="shared" si="57"/>
        <v/>
      </c>
      <c r="M111" s="328" t="str">
        <f t="shared" si="57"/>
        <v/>
      </c>
      <c r="N111" s="328" t="str">
        <f t="shared" si="57"/>
        <v/>
      </c>
      <c r="O111" s="328" t="str">
        <f t="shared" si="57"/>
        <v/>
      </c>
      <c r="P111" s="328" t="str">
        <f t="shared" si="57"/>
        <v/>
      </c>
      <c r="Q111" s="328" t="str">
        <f t="shared" si="57"/>
        <v/>
      </c>
    </row>
    <row r="112" spans="2:17" ht="3.75" customHeight="1" x14ac:dyDescent="0.35">
      <c r="E112" s="184"/>
      <c r="F112" s="184"/>
      <c r="G112" s="185"/>
      <c r="H112" s="183"/>
      <c r="I112" s="183"/>
      <c r="J112" s="183"/>
      <c r="K112" s="183"/>
      <c r="L112" s="183"/>
      <c r="O112" s="183"/>
      <c r="P112" s="183"/>
      <c r="Q112" s="183"/>
    </row>
    <row r="113" spans="1:17" ht="15.5" x14ac:dyDescent="0.35">
      <c r="B113" s="132" t="s">
        <v>371</v>
      </c>
      <c r="E113" s="165">
        <f>+_xlfn.XLOOKUP($B113,Inputs!$B:$B,Inputs!O:O)</f>
        <v>0</v>
      </c>
      <c r="F113" s="165">
        <f>+_xlfn.XLOOKUP($B113,Inputs!$B:$B,Inputs!P:P)</f>
        <v>0</v>
      </c>
      <c r="G113" s="285">
        <f>+_xlfn.XLOOKUP($B113,Inputs!$B:$B,Inputs!Q:Q)</f>
        <v>0</v>
      </c>
      <c r="H113" s="183" t="str">
        <f>IFERROR(AVERAGE(E113:G113)*(1+H31),"")</f>
        <v/>
      </c>
      <c r="I113" s="183" t="str">
        <f t="shared" ref="I113:Q113" si="58">IFERROR(AVERAGE(F113:H113)*(1+I31),"")</f>
        <v/>
      </c>
      <c r="J113" s="183" t="str">
        <f t="shared" si="58"/>
        <v/>
      </c>
      <c r="K113" s="183" t="str">
        <f t="shared" si="58"/>
        <v/>
      </c>
      <c r="L113" s="183" t="str">
        <f t="shared" si="58"/>
        <v/>
      </c>
      <c r="M113" s="183" t="str">
        <f t="shared" si="58"/>
        <v/>
      </c>
      <c r="N113" s="183" t="str">
        <f t="shared" si="58"/>
        <v/>
      </c>
      <c r="O113" s="183" t="str">
        <f t="shared" si="58"/>
        <v/>
      </c>
      <c r="P113" s="183" t="str">
        <f t="shared" si="58"/>
        <v/>
      </c>
      <c r="Q113" s="183" t="str">
        <f t="shared" si="58"/>
        <v/>
      </c>
    </row>
    <row r="114" spans="1:17" s="347" customFormat="1" ht="15.5" x14ac:dyDescent="0.35">
      <c r="B114" s="293" t="s">
        <v>372</v>
      </c>
      <c r="E114" s="326" t="str">
        <f>IFERROR(E113/E$30,"")</f>
        <v/>
      </c>
      <c r="F114" s="326" t="str">
        <f t="shared" ref="F114:Q114" si="59">IFERROR(F113/F$30,"")</f>
        <v/>
      </c>
      <c r="G114" s="327" t="str">
        <f t="shared" si="59"/>
        <v/>
      </c>
      <c r="H114" s="326" t="str">
        <f>IFERROR(H113/H$30,"")</f>
        <v/>
      </c>
      <c r="I114" s="326" t="str">
        <f t="shared" si="59"/>
        <v/>
      </c>
      <c r="J114" s="326" t="str">
        <f t="shared" si="59"/>
        <v/>
      </c>
      <c r="K114" s="326" t="str">
        <f t="shared" si="59"/>
        <v/>
      </c>
      <c r="L114" s="326" t="str">
        <f t="shared" si="59"/>
        <v/>
      </c>
      <c r="M114" s="326" t="str">
        <f t="shared" si="59"/>
        <v/>
      </c>
      <c r="N114" s="326" t="str">
        <f t="shared" si="59"/>
        <v/>
      </c>
      <c r="O114" s="326" t="str">
        <f t="shared" si="59"/>
        <v/>
      </c>
      <c r="P114" s="326" t="str">
        <f t="shared" si="59"/>
        <v/>
      </c>
      <c r="Q114" s="326" t="str">
        <f t="shared" si="59"/>
        <v/>
      </c>
    </row>
    <row r="115" spans="1:17" s="259" customFormat="1" ht="5.25" customHeight="1" x14ac:dyDescent="0.35">
      <c r="B115" s="286"/>
      <c r="E115" s="343"/>
      <c r="F115" s="343"/>
      <c r="G115" s="344"/>
      <c r="H115" s="345"/>
      <c r="I115" s="345"/>
      <c r="J115" s="345"/>
      <c r="K115" s="345"/>
      <c r="L115" s="345"/>
      <c r="M115" s="345"/>
      <c r="N115" s="345"/>
      <c r="O115" s="345"/>
      <c r="P115" s="345"/>
      <c r="Q115" s="345"/>
    </row>
    <row r="116" spans="1:17" ht="15.5" x14ac:dyDescent="0.35">
      <c r="B116" s="132" t="s">
        <v>373</v>
      </c>
      <c r="E116" s="311">
        <f>+_xlfn.XLOOKUP($B116,Inputs!$B:$B,Inputs!O:O)</f>
        <v>0</v>
      </c>
      <c r="F116" s="311">
        <f>+_xlfn.XLOOKUP($B116,Inputs!$B:$B,Inputs!P:P)</f>
        <v>0</v>
      </c>
      <c r="G116" s="312">
        <f>+_xlfn.XLOOKUP($B116,Inputs!$B:$B,Inputs!Q:Q)</f>
        <v>0</v>
      </c>
      <c r="H116" s="183">
        <f>IFERROR(G116+H156-H158,"")</f>
        <v>0</v>
      </c>
      <c r="I116" s="183" t="str">
        <f t="shared" ref="I116:Q116" si="60">IFERROR(H116+I156-I158,"")</f>
        <v/>
      </c>
      <c r="J116" s="183" t="str">
        <f t="shared" si="60"/>
        <v/>
      </c>
      <c r="K116" s="183" t="str">
        <f t="shared" si="60"/>
        <v/>
      </c>
      <c r="L116" s="183" t="str">
        <f t="shared" si="60"/>
        <v/>
      </c>
      <c r="M116" s="183" t="str">
        <f t="shared" si="60"/>
        <v/>
      </c>
      <c r="N116" s="183" t="str">
        <f t="shared" si="60"/>
        <v/>
      </c>
      <c r="O116" s="183" t="str">
        <f t="shared" si="60"/>
        <v/>
      </c>
      <c r="P116" s="183" t="str">
        <f t="shared" si="60"/>
        <v/>
      </c>
      <c r="Q116" s="183" t="str">
        <f t="shared" si="60"/>
        <v/>
      </c>
    </row>
    <row r="117" spans="1:17" ht="3.75" customHeight="1" x14ac:dyDescent="0.35">
      <c r="B117" s="167"/>
      <c r="E117" s="186"/>
      <c r="F117" s="186"/>
      <c r="G117" s="346"/>
      <c r="H117" s="313"/>
      <c r="I117" s="313"/>
      <c r="J117" s="313"/>
      <c r="K117" s="313"/>
      <c r="L117" s="313"/>
      <c r="M117" s="313"/>
      <c r="N117" s="313"/>
      <c r="O117" s="313"/>
      <c r="P117" s="313"/>
      <c r="Q117" s="313"/>
    </row>
    <row r="118" spans="1:17" ht="15.5" x14ac:dyDescent="0.35">
      <c r="B118" s="132" t="s">
        <v>374</v>
      </c>
      <c r="E118" s="311">
        <f>+_xlfn.XLOOKUP($B118,Inputs!$B:$B,Inputs!O:O)</f>
        <v>0</v>
      </c>
      <c r="F118" s="311">
        <f>+_xlfn.XLOOKUP($B118,Inputs!$B:$B,Inputs!P:P)</f>
        <v>0</v>
      </c>
      <c r="G118" s="312">
        <f>+_xlfn.XLOOKUP($B118,Inputs!$B:$B,Inputs!Q:Q)</f>
        <v>0</v>
      </c>
      <c r="H118" s="183" t="str">
        <f>+IFERROR(H119*H30,"")</f>
        <v/>
      </c>
      <c r="I118" s="183" t="str">
        <f t="shared" ref="I118:Q118" si="61">+IFERROR(I119*I30,"")</f>
        <v/>
      </c>
      <c r="J118" s="183" t="str">
        <f t="shared" si="61"/>
        <v/>
      </c>
      <c r="K118" s="183" t="str">
        <f t="shared" si="61"/>
        <v/>
      </c>
      <c r="L118" s="183" t="str">
        <f t="shared" si="61"/>
        <v/>
      </c>
      <c r="M118" s="183" t="str">
        <f t="shared" si="61"/>
        <v/>
      </c>
      <c r="N118" s="183" t="str">
        <f t="shared" si="61"/>
        <v/>
      </c>
      <c r="O118" s="183" t="str">
        <f t="shared" si="61"/>
        <v/>
      </c>
      <c r="P118" s="183" t="str">
        <f t="shared" si="61"/>
        <v/>
      </c>
      <c r="Q118" s="183" t="str">
        <f t="shared" si="61"/>
        <v/>
      </c>
    </row>
    <row r="119" spans="1:17" ht="15.5" x14ac:dyDescent="0.35">
      <c r="B119" s="167" t="s">
        <v>375</v>
      </c>
      <c r="E119" s="309" t="str">
        <f>IFERROR(E118/E$30,"")</f>
        <v/>
      </c>
      <c r="F119" s="309" t="str">
        <f>IFERROR(F118/F$30,"")</f>
        <v/>
      </c>
      <c r="G119" s="310" t="str">
        <f>IFERROR(G118/G$30,"")</f>
        <v/>
      </c>
      <c r="H119" s="157" t="str">
        <f>+IFERROR(AVERAGE(E119:G119),"")</f>
        <v/>
      </c>
      <c r="I119" s="157" t="str">
        <f t="shared" ref="I119:Q119" si="62">+IFERROR(AVERAGE(F119:H119),"")</f>
        <v/>
      </c>
      <c r="J119" s="157" t="str">
        <f t="shared" si="62"/>
        <v/>
      </c>
      <c r="K119" s="157" t="str">
        <f t="shared" si="62"/>
        <v/>
      </c>
      <c r="L119" s="157" t="str">
        <f t="shared" si="62"/>
        <v/>
      </c>
      <c r="M119" s="157" t="str">
        <f t="shared" si="62"/>
        <v/>
      </c>
      <c r="N119" s="157" t="str">
        <f t="shared" si="62"/>
        <v/>
      </c>
      <c r="O119" s="157" t="str">
        <f t="shared" si="62"/>
        <v/>
      </c>
      <c r="P119" s="157" t="str">
        <f t="shared" si="62"/>
        <v/>
      </c>
      <c r="Q119" s="157" t="str">
        <f t="shared" si="62"/>
        <v/>
      </c>
    </row>
    <row r="120" spans="1:17" ht="3.75" customHeight="1" x14ac:dyDescent="0.35">
      <c r="G120" s="173"/>
    </row>
    <row r="121" spans="1:17" ht="15.5" x14ac:dyDescent="0.35">
      <c r="A121" s="132" t="s">
        <v>300</v>
      </c>
      <c r="B121" s="52" t="s">
        <v>185</v>
      </c>
      <c r="C121" s="52"/>
      <c r="D121" s="52"/>
      <c r="E121" s="143">
        <f t="shared" ref="E121:Q121" si="63">E28</f>
        <v>2022</v>
      </c>
      <c r="F121" s="143">
        <f t="shared" si="63"/>
        <v>2023</v>
      </c>
      <c r="G121" s="178">
        <f t="shared" si="63"/>
        <v>2024</v>
      </c>
      <c r="H121" s="105">
        <f t="shared" si="63"/>
        <v>2025</v>
      </c>
      <c r="I121" s="105">
        <f t="shared" si="63"/>
        <v>2026</v>
      </c>
      <c r="J121" s="105">
        <f t="shared" si="63"/>
        <v>2027</v>
      </c>
      <c r="K121" s="105">
        <f t="shared" si="63"/>
        <v>2028</v>
      </c>
      <c r="L121" s="105">
        <f t="shared" si="63"/>
        <v>2029</v>
      </c>
      <c r="M121" s="105">
        <f t="shared" si="63"/>
        <v>2030</v>
      </c>
      <c r="N121" s="105">
        <f t="shared" si="63"/>
        <v>2031</v>
      </c>
      <c r="O121" s="105">
        <f t="shared" si="63"/>
        <v>2032</v>
      </c>
      <c r="P121" s="105">
        <f t="shared" si="63"/>
        <v>2033</v>
      </c>
      <c r="Q121" s="105">
        <f t="shared" si="63"/>
        <v>2034</v>
      </c>
    </row>
    <row r="122" spans="1:17" ht="4" customHeight="1" x14ac:dyDescent="0.35">
      <c r="B122" s="53"/>
      <c r="C122" s="53"/>
      <c r="D122" s="53"/>
      <c r="E122" s="187"/>
      <c r="F122" s="187"/>
      <c r="G122" s="188"/>
      <c r="H122" s="53"/>
      <c r="I122" s="53"/>
      <c r="J122" s="53"/>
      <c r="K122" s="53"/>
      <c r="L122" s="53"/>
      <c r="M122" s="53"/>
      <c r="N122" s="53"/>
      <c r="O122" s="53"/>
      <c r="P122" s="53"/>
      <c r="Q122" s="53"/>
    </row>
    <row r="123" spans="1:17" ht="15.5" x14ac:dyDescent="0.35">
      <c r="B123" s="132" t="s">
        <v>343</v>
      </c>
      <c r="E123" s="181">
        <f>+E50</f>
        <v>0</v>
      </c>
      <c r="F123" s="181">
        <f t="shared" ref="F123:Q123" si="64">+F50</f>
        <v>0</v>
      </c>
      <c r="G123" s="182">
        <f t="shared" si="64"/>
        <v>0</v>
      </c>
      <c r="H123" s="183" t="str">
        <f t="shared" si="64"/>
        <v/>
      </c>
      <c r="I123" s="183" t="str">
        <f t="shared" si="64"/>
        <v/>
      </c>
      <c r="J123" s="183" t="str">
        <f t="shared" si="64"/>
        <v/>
      </c>
      <c r="K123" s="183" t="str">
        <f t="shared" si="64"/>
        <v/>
      </c>
      <c r="L123" s="183" t="str">
        <f t="shared" si="64"/>
        <v/>
      </c>
      <c r="M123" s="183" t="str">
        <f t="shared" si="64"/>
        <v/>
      </c>
      <c r="N123" s="183" t="str">
        <f t="shared" si="64"/>
        <v/>
      </c>
      <c r="O123" s="183" t="str">
        <f t="shared" si="64"/>
        <v/>
      </c>
      <c r="P123" s="183" t="str">
        <f t="shared" si="64"/>
        <v/>
      </c>
      <c r="Q123" s="183" t="str">
        <f t="shared" si="64"/>
        <v/>
      </c>
    </row>
    <row r="124" spans="1:17" ht="4" customHeight="1" x14ac:dyDescent="0.35">
      <c r="G124" s="162"/>
    </row>
    <row r="125" spans="1:17" ht="13.5" customHeight="1" x14ac:dyDescent="0.35">
      <c r="B125" s="132" t="s">
        <v>376</v>
      </c>
      <c r="E125" s="311">
        <f>+_xlfn.XLOOKUP($B125,Inputs!$B:$B,Inputs!O:O)</f>
        <v>0</v>
      </c>
      <c r="F125" s="311">
        <f>+_xlfn.XLOOKUP($B125,Inputs!$B:$B,Inputs!P:P)</f>
        <v>0</v>
      </c>
      <c r="G125" s="312">
        <f>+_xlfn.XLOOKUP($B125,Inputs!$B:$B,Inputs!Q:Q)</f>
        <v>0</v>
      </c>
      <c r="H125" s="183" t="str">
        <f>IFERROR(H126*H39,"")</f>
        <v/>
      </c>
      <c r="I125" s="183" t="str">
        <f t="shared" ref="I125:Q125" si="65">IFERROR(I126*I39,"")</f>
        <v/>
      </c>
      <c r="J125" s="183" t="str">
        <f t="shared" si="65"/>
        <v/>
      </c>
      <c r="K125" s="183" t="str">
        <f t="shared" si="65"/>
        <v/>
      </c>
      <c r="L125" s="183" t="str">
        <f t="shared" si="65"/>
        <v/>
      </c>
      <c r="M125" s="183" t="str">
        <f t="shared" si="65"/>
        <v/>
      </c>
      <c r="N125" s="183" t="str">
        <f t="shared" si="65"/>
        <v/>
      </c>
      <c r="O125" s="183" t="str">
        <f t="shared" si="65"/>
        <v/>
      </c>
      <c r="P125" s="183" t="str">
        <f t="shared" si="65"/>
        <v/>
      </c>
      <c r="Q125" s="183" t="str">
        <f t="shared" si="65"/>
        <v/>
      </c>
    </row>
    <row r="126" spans="1:17" ht="13.5" customHeight="1" x14ac:dyDescent="0.35">
      <c r="B126" s="293" t="s">
        <v>377</v>
      </c>
      <c r="E126" s="309" t="str">
        <f>+IFERROR(E125/E39,"")</f>
        <v/>
      </c>
      <c r="F126" s="309" t="str">
        <f t="shared" ref="F126:G126" si="66">+IFERROR(F125/F39,"")</f>
        <v/>
      </c>
      <c r="G126" s="310" t="str">
        <f t="shared" si="66"/>
        <v/>
      </c>
      <c r="H126" s="157" t="str">
        <f>IFERROR(AVERAGE(E126:G126),"")</f>
        <v/>
      </c>
      <c r="I126" s="157" t="str">
        <f t="shared" ref="I126:Q126" si="67">IFERROR(AVERAGE(F126:H126),"")</f>
        <v/>
      </c>
      <c r="J126" s="157" t="str">
        <f t="shared" si="67"/>
        <v/>
      </c>
      <c r="K126" s="157" t="str">
        <f t="shared" si="67"/>
        <v/>
      </c>
      <c r="L126" s="157" t="str">
        <f t="shared" si="67"/>
        <v/>
      </c>
      <c r="M126" s="157" t="str">
        <f t="shared" si="67"/>
        <v/>
      </c>
      <c r="N126" s="157" t="str">
        <f t="shared" si="67"/>
        <v/>
      </c>
      <c r="O126" s="157" t="str">
        <f t="shared" si="67"/>
        <v/>
      </c>
      <c r="P126" s="157" t="str">
        <f t="shared" si="67"/>
        <v/>
      </c>
      <c r="Q126" s="157" t="str">
        <f t="shared" si="67"/>
        <v/>
      </c>
    </row>
    <row r="127" spans="1:17" ht="3.75" customHeight="1" x14ac:dyDescent="0.35">
      <c r="B127" s="293"/>
      <c r="E127" s="309"/>
      <c r="F127" s="309"/>
      <c r="G127" s="310"/>
      <c r="H127" s="157"/>
      <c r="I127" s="157"/>
      <c r="J127" s="157"/>
      <c r="K127" s="157"/>
      <c r="L127" s="157"/>
      <c r="M127" s="157"/>
      <c r="N127" s="157"/>
      <c r="O127" s="157"/>
      <c r="P127" s="157"/>
      <c r="Q127" s="157"/>
    </row>
    <row r="128" spans="1:17" ht="13.5" customHeight="1" x14ac:dyDescent="0.35">
      <c r="B128" s="132" t="s">
        <v>378</v>
      </c>
      <c r="E128" s="311">
        <f>+_xlfn.XLOOKUP($B128,Inputs!$B:$B,Inputs!O:O)</f>
        <v>0</v>
      </c>
      <c r="F128" s="311">
        <f>+_xlfn.XLOOKUP($B128,Inputs!$B:$B,Inputs!P:P)</f>
        <v>0</v>
      </c>
      <c r="G128" s="312">
        <f>+_xlfn.XLOOKUP($B128,Inputs!$B:$B,Inputs!Q:Q)</f>
        <v>0</v>
      </c>
      <c r="H128" s="189" t="str">
        <f>IFERROR(-((H90+H93+H96-H110-H113)-(G90+G93+G96-G110-G113)),"")</f>
        <v/>
      </c>
      <c r="I128" s="189" t="str">
        <f t="shared" ref="I128:Q128" si="68">IFERROR(-((I90+I93+I96-I110-I113)-(H90+H93+H96-H110-H113)),"")</f>
        <v/>
      </c>
      <c r="J128" s="189" t="str">
        <f t="shared" si="68"/>
        <v/>
      </c>
      <c r="K128" s="189" t="str">
        <f t="shared" si="68"/>
        <v/>
      </c>
      <c r="L128" s="189" t="str">
        <f t="shared" si="68"/>
        <v/>
      </c>
      <c r="M128" s="189" t="str">
        <f t="shared" si="68"/>
        <v/>
      </c>
      <c r="N128" s="189" t="str">
        <f t="shared" si="68"/>
        <v/>
      </c>
      <c r="O128" s="189" t="str">
        <f t="shared" si="68"/>
        <v/>
      </c>
      <c r="P128" s="189" t="str">
        <f t="shared" si="68"/>
        <v/>
      </c>
      <c r="Q128" s="189" t="str">
        <f t="shared" si="68"/>
        <v/>
      </c>
    </row>
    <row r="129" spans="2:17" ht="3.75" customHeight="1" x14ac:dyDescent="0.35">
      <c r="G129" s="162"/>
    </row>
    <row r="130" spans="2:17" ht="13.5" customHeight="1" x14ac:dyDescent="0.35">
      <c r="B130" s="401" t="s">
        <v>379</v>
      </c>
      <c r="C130" s="401"/>
      <c r="D130" s="401"/>
      <c r="E130" s="402">
        <f>+_xlfn.XLOOKUP($B130,Inputs!$B:$B,Inputs!O:O)</f>
        <v>0</v>
      </c>
      <c r="F130" s="402">
        <f>+_xlfn.XLOOKUP($B130,Inputs!$B:$B,Inputs!P:P)</f>
        <v>0</v>
      </c>
      <c r="G130" s="403">
        <f>+_xlfn.XLOOKUP($B130,Inputs!$B:$B,Inputs!Q:Q)</f>
        <v>0</v>
      </c>
      <c r="H130" s="404" t="str">
        <f>IFERROR(AVERAGE(E130:G130)*(1+H31),"")</f>
        <v/>
      </c>
      <c r="I130" s="404" t="str">
        <f t="shared" ref="I130:Q130" si="69">IFERROR(AVERAGE(F130:H130)*(1+I31),"")</f>
        <v/>
      </c>
      <c r="J130" s="404" t="str">
        <f t="shared" si="69"/>
        <v/>
      </c>
      <c r="K130" s="404" t="str">
        <f t="shared" si="69"/>
        <v/>
      </c>
      <c r="L130" s="404" t="str">
        <f t="shared" si="69"/>
        <v/>
      </c>
      <c r="M130" s="404" t="str">
        <f t="shared" si="69"/>
        <v/>
      </c>
      <c r="N130" s="404" t="str">
        <f t="shared" si="69"/>
        <v/>
      </c>
      <c r="O130" s="404" t="str">
        <f t="shared" si="69"/>
        <v/>
      </c>
      <c r="P130" s="404" t="str">
        <f t="shared" si="69"/>
        <v/>
      </c>
      <c r="Q130" s="404" t="str">
        <f t="shared" si="69"/>
        <v/>
      </c>
    </row>
    <row r="131" spans="2:17" ht="5.25" customHeight="1" x14ac:dyDescent="0.35">
      <c r="E131" s="340"/>
      <c r="F131" s="340"/>
      <c r="G131" s="312"/>
      <c r="H131" s="183"/>
      <c r="I131" s="183"/>
      <c r="J131" s="183"/>
      <c r="K131" s="183"/>
      <c r="L131" s="183"/>
      <c r="M131" s="183"/>
      <c r="N131" s="183"/>
      <c r="O131" s="183"/>
      <c r="P131" s="183"/>
      <c r="Q131" s="183"/>
    </row>
    <row r="132" spans="2:17" ht="13.5" customHeight="1" x14ac:dyDescent="0.35">
      <c r="B132" s="419" t="s">
        <v>241</v>
      </c>
      <c r="C132" s="164"/>
      <c r="D132" s="164"/>
      <c r="E132" s="363">
        <f>+_xlfn.XLOOKUP($B132,Inputs!$B:$B,Inputs!O:O)</f>
        <v>0</v>
      </c>
      <c r="F132" s="363">
        <f>+_xlfn.XLOOKUP($B132,Inputs!$B:$B,Inputs!P:P)</f>
        <v>0</v>
      </c>
      <c r="G132" s="364">
        <f>+_xlfn.XLOOKUP($B132,Inputs!$B:$B,Inputs!Q:Q)</f>
        <v>0</v>
      </c>
      <c r="H132" s="511" t="str">
        <f>IFERROR(H81+H123+H125+H128+H130,"")</f>
        <v/>
      </c>
      <c r="I132" s="511" t="str">
        <f t="shared" ref="I132:Q132" si="70">IFERROR(I81+I123+I125+I128+I130,"")</f>
        <v/>
      </c>
      <c r="J132" s="511" t="str">
        <f t="shared" si="70"/>
        <v/>
      </c>
      <c r="K132" s="511" t="str">
        <f t="shared" si="70"/>
        <v/>
      </c>
      <c r="L132" s="511" t="str">
        <f t="shared" si="70"/>
        <v/>
      </c>
      <c r="M132" s="511" t="str">
        <f t="shared" si="70"/>
        <v/>
      </c>
      <c r="N132" s="511" t="str">
        <f t="shared" si="70"/>
        <v/>
      </c>
      <c r="O132" s="511" t="str">
        <f t="shared" si="70"/>
        <v/>
      </c>
      <c r="P132" s="511" t="str">
        <f t="shared" si="70"/>
        <v/>
      </c>
      <c r="Q132" s="511" t="str">
        <f t="shared" si="70"/>
        <v/>
      </c>
    </row>
    <row r="133" spans="2:17" ht="3.75" customHeight="1" x14ac:dyDescent="0.35">
      <c r="G133" s="162"/>
    </row>
    <row r="134" spans="2:17" ht="13.5" customHeight="1" x14ac:dyDescent="0.35">
      <c r="B134" s="359" t="s">
        <v>380</v>
      </c>
      <c r="C134" s="359"/>
      <c r="D134" s="359"/>
      <c r="E134" s="360">
        <f>+_xlfn.XLOOKUP($B134,Inputs!$B:$B,Inputs!O:O)</f>
        <v>0</v>
      </c>
      <c r="F134" s="360">
        <f>+_xlfn.XLOOKUP($B134,Inputs!$B:$B,Inputs!P:P)</f>
        <v>0</v>
      </c>
      <c r="G134" s="361">
        <f>+_xlfn.XLOOKUP($B134,Inputs!$B:$B,Inputs!Q:Q)</f>
        <v>0</v>
      </c>
      <c r="H134" s="362" t="str">
        <f>IFERROR(H136+H138,"")</f>
        <v/>
      </c>
      <c r="I134" s="362" t="str">
        <f t="shared" ref="I134:Q134" si="71">IFERROR(I136+I138,"")</f>
        <v/>
      </c>
      <c r="J134" s="362" t="str">
        <f t="shared" si="71"/>
        <v/>
      </c>
      <c r="K134" s="362" t="str">
        <f t="shared" si="71"/>
        <v/>
      </c>
      <c r="L134" s="362" t="str">
        <f t="shared" si="71"/>
        <v/>
      </c>
      <c r="M134" s="362" t="str">
        <f t="shared" si="71"/>
        <v/>
      </c>
      <c r="N134" s="362" t="str">
        <f t="shared" si="71"/>
        <v/>
      </c>
      <c r="O134" s="362" t="str">
        <f t="shared" si="71"/>
        <v/>
      </c>
      <c r="P134" s="362" t="str">
        <f t="shared" si="71"/>
        <v/>
      </c>
      <c r="Q134" s="362" t="str">
        <f t="shared" si="71"/>
        <v/>
      </c>
    </row>
    <row r="135" spans="2:17" ht="3.75" customHeight="1" x14ac:dyDescent="0.35">
      <c r="B135" s="167"/>
      <c r="E135" s="169"/>
      <c r="F135" s="169"/>
      <c r="G135" s="170"/>
      <c r="H135" s="169"/>
      <c r="I135" s="169"/>
      <c r="J135" s="169"/>
      <c r="K135" s="169"/>
      <c r="L135" s="169"/>
      <c r="M135" s="169"/>
      <c r="N135" s="169"/>
      <c r="O135" s="169"/>
      <c r="P135" s="169"/>
      <c r="Q135" s="169"/>
    </row>
    <row r="136" spans="2:17" s="167" customFormat="1" ht="15.5" x14ac:dyDescent="0.35">
      <c r="B136" s="292" t="s">
        <v>381</v>
      </c>
      <c r="E136" s="337">
        <f>+_xlfn.XLOOKUP($B136,Inputs!$B:$B,Inputs!O:O)</f>
        <v>0</v>
      </c>
      <c r="F136" s="337">
        <f>+_xlfn.XLOOKUP($B136,Inputs!$B:$B,Inputs!P:P)</f>
        <v>0</v>
      </c>
      <c r="G136" s="338">
        <f>+_xlfn.XLOOKUP($B136,Inputs!$B:$B,Inputs!Q:Q)</f>
        <v>0</v>
      </c>
      <c r="H136" s="339">
        <f>+H19*H18</f>
        <v>0</v>
      </c>
      <c r="I136" s="339">
        <f t="shared" ref="I136:Q136" si="72">+I19*I18</f>
        <v>0</v>
      </c>
      <c r="J136" s="339">
        <f t="shared" si="72"/>
        <v>0</v>
      </c>
      <c r="K136" s="339">
        <f t="shared" si="72"/>
        <v>0</v>
      </c>
      <c r="L136" s="339">
        <f t="shared" si="72"/>
        <v>0</v>
      </c>
      <c r="M136" s="339">
        <f t="shared" si="72"/>
        <v>0</v>
      </c>
      <c r="N136" s="339">
        <f t="shared" si="72"/>
        <v>0</v>
      </c>
      <c r="O136" s="339">
        <f t="shared" si="72"/>
        <v>0</v>
      </c>
      <c r="P136" s="339">
        <f t="shared" si="72"/>
        <v>0</v>
      </c>
      <c r="Q136" s="339">
        <f t="shared" si="72"/>
        <v>0</v>
      </c>
    </row>
    <row r="137" spans="2:17" ht="3.75" customHeight="1" x14ac:dyDescent="0.35">
      <c r="B137" s="292"/>
      <c r="E137" s="169"/>
      <c r="F137" s="169"/>
      <c r="G137" s="170"/>
      <c r="H137" s="169"/>
      <c r="I137" s="169"/>
      <c r="J137" s="169"/>
      <c r="K137" s="169"/>
      <c r="L137" s="169"/>
      <c r="M137" s="169"/>
      <c r="N137" s="169"/>
      <c r="O137" s="169"/>
      <c r="P137" s="169"/>
      <c r="Q137" s="169"/>
    </row>
    <row r="138" spans="2:17" s="167" customFormat="1" ht="15.5" x14ac:dyDescent="0.35">
      <c r="B138" s="292" t="s">
        <v>382</v>
      </c>
      <c r="E138" s="337">
        <f>+_xlfn.XLOOKUP($B138,Inputs!$B:$B,Inputs!O:O)</f>
        <v>0</v>
      </c>
      <c r="F138" s="337">
        <f>+_xlfn.XLOOKUP($B138,Inputs!$B:$B,Inputs!P:P)</f>
        <v>0</v>
      </c>
      <c r="G138" s="338">
        <f>+_xlfn.XLOOKUP($B138,Inputs!$B:$B,Inputs!Q:Q)</f>
        <v>0</v>
      </c>
      <c r="H138" s="339" t="str">
        <f>IFERROR(H139*G100,"")</f>
        <v/>
      </c>
      <c r="I138" s="339" t="str">
        <f t="shared" ref="I138:Q138" si="73">IFERROR(I139*H100,"")</f>
        <v/>
      </c>
      <c r="J138" s="339" t="str">
        <f t="shared" si="73"/>
        <v/>
      </c>
      <c r="K138" s="339" t="str">
        <f t="shared" si="73"/>
        <v/>
      </c>
      <c r="L138" s="339" t="str">
        <f t="shared" si="73"/>
        <v/>
      </c>
      <c r="M138" s="339" t="str">
        <f t="shared" si="73"/>
        <v/>
      </c>
      <c r="N138" s="339" t="str">
        <f t="shared" si="73"/>
        <v/>
      </c>
      <c r="O138" s="339" t="str">
        <f t="shared" si="73"/>
        <v/>
      </c>
      <c r="P138" s="339" t="str">
        <f t="shared" si="73"/>
        <v/>
      </c>
      <c r="Q138" s="339" t="str">
        <f t="shared" si="73"/>
        <v/>
      </c>
    </row>
    <row r="139" spans="2:17" customFormat="1" ht="14.5" x14ac:dyDescent="0.35">
      <c r="B139" s="302" t="s">
        <v>383</v>
      </c>
      <c r="E139" s="301" t="str">
        <f>IFERROR(E138/E100,"")</f>
        <v/>
      </c>
      <c r="F139" s="301" t="str">
        <f t="shared" ref="F139:G139" si="74">IFERROR(F138/F100,"")</f>
        <v/>
      </c>
      <c r="G139" s="333" t="str">
        <f t="shared" si="74"/>
        <v/>
      </c>
      <c r="H139" s="325" t="str">
        <f>IFERROR(AVERAGE(E139:G139),"")</f>
        <v/>
      </c>
      <c r="I139" s="325" t="str">
        <f t="shared" ref="I139:Q139" si="75">IFERROR(AVERAGE(F139:H139),"")</f>
        <v/>
      </c>
      <c r="J139" s="325" t="str">
        <f t="shared" si="75"/>
        <v/>
      </c>
      <c r="K139" s="325" t="str">
        <f t="shared" si="75"/>
        <v/>
      </c>
      <c r="L139" s="325" t="str">
        <f t="shared" si="75"/>
        <v/>
      </c>
      <c r="M139" s="325" t="str">
        <f t="shared" si="75"/>
        <v/>
      </c>
      <c r="N139" s="325" t="str">
        <f t="shared" si="75"/>
        <v/>
      </c>
      <c r="O139" s="325" t="str">
        <f t="shared" si="75"/>
        <v/>
      </c>
      <c r="P139" s="325" t="str">
        <f t="shared" si="75"/>
        <v/>
      </c>
      <c r="Q139" s="325" t="str">
        <f t="shared" si="75"/>
        <v/>
      </c>
    </row>
    <row r="140" spans="2:17" ht="3.75" customHeight="1" x14ac:dyDescent="0.35">
      <c r="B140" s="167"/>
      <c r="E140" s="169"/>
      <c r="F140" s="169"/>
      <c r="G140" s="170"/>
      <c r="H140" s="169"/>
      <c r="I140" s="169"/>
      <c r="J140" s="169"/>
      <c r="K140" s="169"/>
      <c r="L140" s="169"/>
      <c r="M140" s="169"/>
      <c r="N140" s="169"/>
      <c r="O140" s="169"/>
      <c r="P140" s="169"/>
      <c r="Q140" s="169"/>
    </row>
    <row r="141" spans="2:17" ht="13.5" customHeight="1" x14ac:dyDescent="0.35">
      <c r="B141" s="213" t="s">
        <v>384</v>
      </c>
      <c r="E141" s="337">
        <f>+_xlfn.XLOOKUP($B141,Inputs!$B:$B,Inputs!O:O)</f>
        <v>0</v>
      </c>
      <c r="F141" s="337">
        <f>+_xlfn.XLOOKUP($B141,Inputs!$B:$B,Inputs!P:P)</f>
        <v>0</v>
      </c>
      <c r="G141" s="338">
        <f>+_xlfn.XLOOKUP($B141,Inputs!$B:$B,Inputs!Q:Q)</f>
        <v>0</v>
      </c>
      <c r="H141" s="353">
        <v>0</v>
      </c>
      <c r="I141" s="353">
        <v>0</v>
      </c>
      <c r="J141" s="353">
        <v>0</v>
      </c>
      <c r="K141" s="353">
        <v>0</v>
      </c>
      <c r="L141" s="353">
        <v>0</v>
      </c>
      <c r="M141" s="353">
        <v>0</v>
      </c>
      <c r="N141" s="353">
        <v>0</v>
      </c>
      <c r="O141" s="353">
        <v>0</v>
      </c>
      <c r="P141" s="353">
        <v>0</v>
      </c>
      <c r="Q141" s="353">
        <v>0</v>
      </c>
    </row>
    <row r="142" spans="2:17" ht="3.75" customHeight="1" x14ac:dyDescent="0.35">
      <c r="B142" s="167"/>
      <c r="E142" s="169"/>
      <c r="F142" s="169"/>
      <c r="G142" s="177"/>
      <c r="H142" s="169"/>
      <c r="I142" s="169"/>
      <c r="J142" s="169"/>
      <c r="K142" s="169"/>
      <c r="L142" s="169"/>
      <c r="M142" s="169"/>
      <c r="N142" s="169"/>
      <c r="O142" s="169"/>
      <c r="P142" s="169"/>
      <c r="Q142" s="169"/>
    </row>
    <row r="143" spans="2:17" ht="13.5" customHeight="1" x14ac:dyDescent="0.35">
      <c r="B143" s="401" t="s">
        <v>385</v>
      </c>
      <c r="C143" s="401"/>
      <c r="D143" s="401"/>
      <c r="E143" s="402">
        <f>+_xlfn.XLOOKUP($B143,Inputs!$B:$B,Inputs!O:O)</f>
        <v>0</v>
      </c>
      <c r="F143" s="402">
        <f>+_xlfn.XLOOKUP($B143,Inputs!$B:$B,Inputs!P:P)</f>
        <v>0</v>
      </c>
      <c r="G143" s="403">
        <f>+_xlfn.XLOOKUP($B143,Inputs!$B:$B,Inputs!Q:Q)</f>
        <v>0</v>
      </c>
      <c r="H143" s="404" t="str">
        <f>IFERROR(AVERAGE(E143:G143)*(1+H31),"")</f>
        <v/>
      </c>
      <c r="I143" s="404" t="str">
        <f t="shared" ref="I143:Q143" si="76">IFERROR(AVERAGE(F143:H143)*(1+I31),"")</f>
        <v/>
      </c>
      <c r="J143" s="404" t="str">
        <f t="shared" si="76"/>
        <v/>
      </c>
      <c r="K143" s="404" t="str">
        <f t="shared" si="76"/>
        <v/>
      </c>
      <c r="L143" s="404" t="str">
        <f t="shared" si="76"/>
        <v/>
      </c>
      <c r="M143" s="404" t="str">
        <f t="shared" si="76"/>
        <v/>
      </c>
      <c r="N143" s="404" t="str">
        <f t="shared" si="76"/>
        <v/>
      </c>
      <c r="O143" s="404" t="str">
        <f t="shared" si="76"/>
        <v/>
      </c>
      <c r="P143" s="404" t="str">
        <f t="shared" si="76"/>
        <v/>
      </c>
      <c r="Q143" s="404" t="str">
        <f t="shared" si="76"/>
        <v/>
      </c>
    </row>
    <row r="144" spans="2:17" ht="5.25" customHeight="1" x14ac:dyDescent="0.35">
      <c r="E144" s="354"/>
      <c r="F144" s="354"/>
      <c r="G144" s="338"/>
      <c r="H144" s="339"/>
      <c r="I144" s="339"/>
      <c r="J144" s="339"/>
      <c r="K144" s="339"/>
      <c r="L144" s="339"/>
      <c r="M144" s="339"/>
      <c r="N144" s="339"/>
      <c r="O144" s="339"/>
      <c r="P144" s="339"/>
      <c r="Q144" s="339"/>
    </row>
    <row r="145" spans="2:17" ht="13.5" customHeight="1" x14ac:dyDescent="0.35">
      <c r="B145" s="164" t="s">
        <v>242</v>
      </c>
      <c r="C145" s="164"/>
      <c r="D145" s="164"/>
      <c r="E145" s="363">
        <f>+_xlfn.XLOOKUP($B145,Inputs!$B:$B,Inputs!O:O)</f>
        <v>0</v>
      </c>
      <c r="F145" s="363">
        <f>+_xlfn.XLOOKUP($B145,Inputs!$B:$B,Inputs!P:P)</f>
        <v>0</v>
      </c>
      <c r="G145" s="364">
        <f>+_xlfn.XLOOKUP($B145,Inputs!$B:$B,Inputs!Q:Q)</f>
        <v>0</v>
      </c>
      <c r="H145" s="368" t="str">
        <f>IFERROR(+H134+H141+H143,"")</f>
        <v/>
      </c>
      <c r="I145" s="368" t="str">
        <f t="shared" ref="I145:Q145" si="77">IFERROR(+I134+I141+I143,"")</f>
        <v/>
      </c>
      <c r="J145" s="368" t="str">
        <f t="shared" si="77"/>
        <v/>
      </c>
      <c r="K145" s="368" t="str">
        <f t="shared" si="77"/>
        <v/>
      </c>
      <c r="L145" s="368" t="str">
        <f t="shared" si="77"/>
        <v/>
      </c>
      <c r="M145" s="368" t="str">
        <f t="shared" si="77"/>
        <v/>
      </c>
      <c r="N145" s="368" t="str">
        <f t="shared" si="77"/>
        <v/>
      </c>
      <c r="O145" s="368" t="str">
        <f t="shared" si="77"/>
        <v/>
      </c>
      <c r="P145" s="368" t="str">
        <f t="shared" si="77"/>
        <v/>
      </c>
      <c r="Q145" s="368" t="str">
        <f t="shared" si="77"/>
        <v/>
      </c>
    </row>
    <row r="146" spans="2:17" ht="3.75" customHeight="1" x14ac:dyDescent="0.35">
      <c r="E146" s="354"/>
      <c r="F146" s="354"/>
      <c r="G146" s="338"/>
      <c r="H146" s="339"/>
      <c r="I146" s="339"/>
      <c r="J146" s="339"/>
      <c r="K146" s="339"/>
      <c r="L146" s="339"/>
      <c r="M146" s="339"/>
      <c r="N146" s="339"/>
      <c r="O146" s="339"/>
      <c r="P146" s="339"/>
      <c r="Q146" s="339"/>
    </row>
    <row r="147" spans="2:17" ht="13.5" customHeight="1" x14ac:dyDescent="0.35">
      <c r="B147" s="359" t="s">
        <v>386</v>
      </c>
      <c r="C147" s="359"/>
      <c r="D147" s="359"/>
      <c r="E147" s="360">
        <f>+_xlfn.XLOOKUP($B147,Inputs!$B:$B,Inputs!O:O)</f>
        <v>0</v>
      </c>
      <c r="F147" s="360">
        <f>+_xlfn.XLOOKUP($B147,Inputs!$B:$B,Inputs!P:P)</f>
        <v>0</v>
      </c>
      <c r="G147" s="361">
        <f>+_xlfn.XLOOKUP($B147,Inputs!$B:$B,Inputs!Q:Q)</f>
        <v>0</v>
      </c>
      <c r="H147" s="359" t="str">
        <f>+IFERROR(H148*_xlfn.XLOOKUP("Net Income",$B:$B,$H:$H),"")</f>
        <v/>
      </c>
      <c r="I147" s="359" t="str">
        <f t="shared" ref="I147:Q147" si="78">+IFERROR(I148*_xlfn.XLOOKUP("Net Income",$B:$B,$H:$H),"")</f>
        <v/>
      </c>
      <c r="J147" s="359" t="str">
        <f t="shared" si="78"/>
        <v/>
      </c>
      <c r="K147" s="359" t="str">
        <f t="shared" si="78"/>
        <v/>
      </c>
      <c r="L147" s="359" t="str">
        <f t="shared" si="78"/>
        <v/>
      </c>
      <c r="M147" s="359" t="str">
        <f t="shared" si="78"/>
        <v/>
      </c>
      <c r="N147" s="359" t="str">
        <f t="shared" si="78"/>
        <v/>
      </c>
      <c r="O147" s="359" t="str">
        <f t="shared" si="78"/>
        <v/>
      </c>
      <c r="P147" s="359" t="str">
        <f t="shared" si="78"/>
        <v/>
      </c>
      <c r="Q147" s="359" t="str">
        <f t="shared" si="78"/>
        <v/>
      </c>
    </row>
    <row r="148" spans="2:17" ht="13.5" customHeight="1" x14ac:dyDescent="0.35">
      <c r="B148" s="293" t="s">
        <v>387</v>
      </c>
      <c r="E148" s="355" t="str">
        <f>IFERROR(-E147/E$81,"")</f>
        <v/>
      </c>
      <c r="F148" s="355" t="str">
        <f t="shared" ref="F148:G148" si="79">IFERROR(-F147/F$81,"")</f>
        <v/>
      </c>
      <c r="G148" s="356" t="str">
        <f t="shared" si="79"/>
        <v/>
      </c>
      <c r="H148" s="357"/>
      <c r="I148" s="357"/>
      <c r="J148" s="357"/>
      <c r="K148" s="357"/>
      <c r="L148" s="357"/>
      <c r="M148" s="357"/>
      <c r="N148" s="357"/>
      <c r="O148" s="357"/>
      <c r="P148" s="357"/>
      <c r="Q148" s="357"/>
    </row>
    <row r="149" spans="2:17" ht="3.75" customHeight="1" x14ac:dyDescent="0.35">
      <c r="E149" s="354"/>
      <c r="F149" s="354"/>
      <c r="G149" s="338"/>
      <c r="H149" s="339"/>
      <c r="I149" s="339"/>
      <c r="J149" s="339"/>
      <c r="K149" s="339"/>
      <c r="L149" s="339"/>
      <c r="M149" s="339"/>
      <c r="N149" s="339"/>
      <c r="O149" s="339"/>
      <c r="P149" s="339"/>
      <c r="Q149" s="339"/>
    </row>
    <row r="150" spans="2:17" ht="13.5" customHeight="1" x14ac:dyDescent="0.35">
      <c r="B150" s="132" t="s">
        <v>388</v>
      </c>
      <c r="E150" s="311">
        <f>+_xlfn.XLOOKUP($B150,Inputs!$B:$B,Inputs!O:O)</f>
        <v>0</v>
      </c>
      <c r="F150" s="311">
        <f>+_xlfn.XLOOKUP($B150,Inputs!$B:$B,Inputs!P:P)</f>
        <v>0</v>
      </c>
      <c r="G150" s="312">
        <f>+_xlfn.XLOOKUP($B150,Inputs!$B:$B,Inputs!Q:Q)</f>
        <v>0</v>
      </c>
      <c r="H150" s="183" t="str">
        <f>IFERROR(-H151*_xlfn.XLOOKUP("Net Income",$B:$B,H:H),"")</f>
        <v/>
      </c>
      <c r="I150" s="183" t="str">
        <f t="shared" ref="I150:Q150" si="80">IFERROR(-I151*_xlfn.XLOOKUP("Net Income",$B:$B,I:I),"")</f>
        <v/>
      </c>
      <c r="J150" s="183" t="str">
        <f t="shared" si="80"/>
        <v/>
      </c>
      <c r="K150" s="183" t="str">
        <f t="shared" si="80"/>
        <v/>
      </c>
      <c r="L150" s="183" t="str">
        <f t="shared" si="80"/>
        <v/>
      </c>
      <c r="M150" s="183" t="str">
        <f t="shared" si="80"/>
        <v/>
      </c>
      <c r="N150" s="183" t="str">
        <f t="shared" si="80"/>
        <v/>
      </c>
      <c r="O150" s="183" t="str">
        <f t="shared" si="80"/>
        <v/>
      </c>
      <c r="P150" s="183" t="str">
        <f t="shared" si="80"/>
        <v/>
      </c>
      <c r="Q150" s="183" t="str">
        <f t="shared" si="80"/>
        <v/>
      </c>
    </row>
    <row r="151" spans="2:17" ht="13.5" customHeight="1" x14ac:dyDescent="0.35">
      <c r="B151" s="293" t="s">
        <v>389</v>
      </c>
      <c r="E151" s="355" t="str">
        <f>IFERROR(-E150/E$81,"")</f>
        <v/>
      </c>
      <c r="F151" s="355" t="str">
        <f t="shared" ref="F151:G151" si="81">IFERROR(-F150/F$81,"")</f>
        <v/>
      </c>
      <c r="G151" s="356" t="str">
        <f t="shared" si="81"/>
        <v/>
      </c>
      <c r="H151" s="357"/>
      <c r="I151" s="357"/>
      <c r="J151" s="357"/>
      <c r="K151" s="357"/>
      <c r="L151" s="357"/>
      <c r="M151" s="357"/>
      <c r="N151" s="357"/>
      <c r="O151" s="357"/>
      <c r="P151" s="357"/>
      <c r="Q151" s="357"/>
    </row>
    <row r="152" spans="2:17" ht="3.75" customHeight="1" x14ac:dyDescent="0.35">
      <c r="E152" s="354"/>
      <c r="F152" s="354"/>
      <c r="G152" s="338"/>
      <c r="H152" s="339"/>
      <c r="I152" s="339"/>
      <c r="J152" s="339"/>
      <c r="K152" s="339"/>
      <c r="L152" s="339"/>
      <c r="M152" s="339"/>
      <c r="N152" s="339"/>
      <c r="O152" s="339"/>
      <c r="P152" s="339"/>
      <c r="Q152" s="339"/>
    </row>
    <row r="153" spans="2:17" ht="15.5" x14ac:dyDescent="0.35">
      <c r="B153" s="132" t="s">
        <v>390</v>
      </c>
      <c r="E153" s="311">
        <f>+_xlfn.XLOOKUP($B153,Inputs!$B:$B,Inputs!O:O)</f>
        <v>0</v>
      </c>
      <c r="F153" s="311">
        <f>+_xlfn.XLOOKUP($B153,Inputs!$B:$B,Inputs!P:P)</f>
        <v>0</v>
      </c>
      <c r="G153" s="312">
        <f>+_xlfn.XLOOKUP($B153,Inputs!$B:$B,Inputs!Q:Q)</f>
        <v>0</v>
      </c>
      <c r="H153" s="183" t="str">
        <f>+IFERROR(H154*H101,"")</f>
        <v/>
      </c>
      <c r="I153" s="183" t="str">
        <f t="shared" ref="I153:Q153" si="82">+IFERROR(I154*I101,"")</f>
        <v/>
      </c>
      <c r="J153" s="183" t="str">
        <f t="shared" si="82"/>
        <v/>
      </c>
      <c r="K153" s="183" t="str">
        <f t="shared" si="82"/>
        <v/>
      </c>
      <c r="L153" s="183" t="str">
        <f t="shared" si="82"/>
        <v/>
      </c>
      <c r="M153" s="183" t="str">
        <f t="shared" si="82"/>
        <v/>
      </c>
      <c r="N153" s="183" t="str">
        <f t="shared" si="82"/>
        <v/>
      </c>
      <c r="O153" s="183" t="str">
        <f t="shared" si="82"/>
        <v/>
      </c>
      <c r="P153" s="183" t="str">
        <f t="shared" si="82"/>
        <v/>
      </c>
      <c r="Q153" s="183" t="str">
        <f t="shared" si="82"/>
        <v/>
      </c>
    </row>
    <row r="154" spans="2:17" ht="15.5" x14ac:dyDescent="0.35">
      <c r="B154" s="293" t="s">
        <v>391</v>
      </c>
      <c r="E154" s="295" t="str">
        <f>IFERROR(E153/E101,"")</f>
        <v/>
      </c>
      <c r="F154" s="295" t="str">
        <f t="shared" ref="F154:G154" si="83">IFERROR(F153/F101,"")</f>
        <v/>
      </c>
      <c r="G154" s="299" t="str">
        <f t="shared" si="83"/>
        <v/>
      </c>
      <c r="H154" s="325"/>
      <c r="I154" s="325"/>
      <c r="J154" s="325"/>
      <c r="K154" s="325"/>
      <c r="L154" s="325"/>
      <c r="M154" s="325"/>
      <c r="N154" s="325"/>
      <c r="O154" s="325"/>
      <c r="P154" s="325"/>
      <c r="Q154" s="325"/>
    </row>
    <row r="155" spans="2:17" ht="3.75" customHeight="1" x14ac:dyDescent="0.35">
      <c r="B155" s="293"/>
      <c r="E155" s="295"/>
      <c r="F155" s="295"/>
      <c r="G155" s="299"/>
      <c r="H155" s="351"/>
      <c r="I155" s="351"/>
      <c r="J155" s="351"/>
      <c r="K155" s="351"/>
      <c r="L155" s="351"/>
      <c r="M155" s="351"/>
      <c r="N155" s="351"/>
      <c r="O155" s="351"/>
      <c r="P155" s="351"/>
      <c r="Q155" s="351"/>
    </row>
    <row r="156" spans="2:17" ht="15.5" x14ac:dyDescent="0.35">
      <c r="B156" s="132" t="s">
        <v>243</v>
      </c>
      <c r="E156" s="165">
        <f>+_xlfn.XLOOKUP($B156,Inputs!$B:$B,Inputs!O:O)</f>
        <v>0</v>
      </c>
      <c r="F156" s="165">
        <f>+_xlfn.XLOOKUP($B156,Inputs!$B:$B,Inputs!P:P)</f>
        <v>0</v>
      </c>
      <c r="G156" s="285">
        <f>+_xlfn.XLOOKUP($B156,Inputs!$B:$B,Inputs!Q:Q)</f>
        <v>0</v>
      </c>
      <c r="H156" s="339">
        <f>IFERROR(MAX(0,-G244),"")</f>
        <v>0</v>
      </c>
      <c r="I156" s="339" t="str">
        <f t="shared" ref="I156:Q156" si="84">IFERROR(MAX(0,-H244),"")</f>
        <v/>
      </c>
      <c r="J156" s="339" t="str">
        <f t="shared" si="84"/>
        <v/>
      </c>
      <c r="K156" s="339" t="str">
        <f t="shared" si="84"/>
        <v/>
      </c>
      <c r="L156" s="339" t="str">
        <f t="shared" si="84"/>
        <v/>
      </c>
      <c r="M156" s="339" t="str">
        <f t="shared" si="84"/>
        <v/>
      </c>
      <c r="N156" s="339" t="str">
        <f t="shared" si="84"/>
        <v/>
      </c>
      <c r="O156" s="339" t="str">
        <f t="shared" si="84"/>
        <v/>
      </c>
      <c r="P156" s="339" t="str">
        <f t="shared" si="84"/>
        <v/>
      </c>
      <c r="Q156" s="339" t="str">
        <f t="shared" si="84"/>
        <v/>
      </c>
    </row>
    <row r="157" spans="2:17" ht="3.75" customHeight="1" x14ac:dyDescent="0.35">
      <c r="B157" s="293"/>
      <c r="E157" s="295"/>
      <c r="F157" s="295"/>
      <c r="G157" s="299"/>
      <c r="H157" s="351"/>
      <c r="I157" s="351"/>
      <c r="J157" s="351"/>
      <c r="K157" s="351"/>
      <c r="L157" s="351"/>
      <c r="M157" s="351"/>
      <c r="N157" s="351"/>
      <c r="O157" s="351"/>
      <c r="P157" s="351"/>
      <c r="Q157" s="351"/>
    </row>
    <row r="158" spans="2:17" ht="15.5" x14ac:dyDescent="0.35">
      <c r="B158" s="132" t="s">
        <v>244</v>
      </c>
      <c r="E158" s="165">
        <f>+_xlfn.XLOOKUP($B158,Inputs!$B:$B,Inputs!O:O)</f>
        <v>0</v>
      </c>
      <c r="F158" s="165">
        <f>+_xlfn.XLOOKUP($B158,Inputs!$B:$B,Inputs!P:P)</f>
        <v>0</v>
      </c>
      <c r="G158" s="285">
        <f>+_xlfn.XLOOKUP($B158,Inputs!$B:$B,Inputs!Q:Q)</f>
        <v>0</v>
      </c>
      <c r="H158" s="339">
        <f>IFERROR(MAX(0,H159*G244),"")</f>
        <v>0</v>
      </c>
      <c r="I158" s="339" t="str">
        <f t="shared" ref="I158:Q158" si="85">IFERROR(MAX(0,I159*H244),"")</f>
        <v/>
      </c>
      <c r="J158" s="339" t="str">
        <f t="shared" si="85"/>
        <v/>
      </c>
      <c r="K158" s="339" t="str">
        <f t="shared" si="85"/>
        <v/>
      </c>
      <c r="L158" s="339" t="str">
        <f t="shared" si="85"/>
        <v/>
      </c>
      <c r="M158" s="339" t="str">
        <f t="shared" si="85"/>
        <v/>
      </c>
      <c r="N158" s="339" t="str">
        <f t="shared" si="85"/>
        <v/>
      </c>
      <c r="O158" s="339" t="str">
        <f t="shared" si="85"/>
        <v/>
      </c>
      <c r="P158" s="339" t="str">
        <f t="shared" si="85"/>
        <v/>
      </c>
      <c r="Q158" s="339" t="str">
        <f t="shared" si="85"/>
        <v/>
      </c>
    </row>
    <row r="159" spans="2:17" ht="15.5" x14ac:dyDescent="0.35">
      <c r="B159" s="293" t="s">
        <v>392</v>
      </c>
      <c r="E159" s="314" t="str">
        <f>IFERROR(E158/E244,"")</f>
        <v/>
      </c>
      <c r="F159" s="314" t="str">
        <f t="shared" ref="F159:G159" si="86">IFERROR(F158/F244,"")</f>
        <v/>
      </c>
      <c r="G159" s="299" t="str">
        <f t="shared" si="86"/>
        <v/>
      </c>
      <c r="H159" s="325"/>
      <c r="I159" s="325"/>
      <c r="J159" s="325"/>
      <c r="K159" s="325"/>
      <c r="L159" s="325"/>
      <c r="M159" s="325"/>
      <c r="N159" s="325"/>
      <c r="O159" s="325"/>
      <c r="P159" s="325"/>
      <c r="Q159" s="325"/>
    </row>
    <row r="160" spans="2:17" ht="3.75" customHeight="1" x14ac:dyDescent="0.35">
      <c r="B160" s="293"/>
      <c r="E160" s="314"/>
      <c r="F160" s="314"/>
      <c r="G160" s="299"/>
      <c r="H160" s="351"/>
      <c r="I160" s="351"/>
      <c r="J160" s="351"/>
      <c r="K160" s="351"/>
      <c r="L160" s="351"/>
      <c r="M160" s="351"/>
      <c r="N160" s="351"/>
      <c r="O160" s="351"/>
      <c r="P160" s="351"/>
      <c r="Q160" s="351"/>
    </row>
    <row r="161" spans="1:17" ht="15.5" x14ac:dyDescent="0.35">
      <c r="B161" s="401" t="s">
        <v>393</v>
      </c>
      <c r="C161" s="401"/>
      <c r="D161" s="401"/>
      <c r="E161" s="402">
        <f>+_xlfn.XLOOKUP($B161,Inputs!$B:$B,Inputs!O:O)</f>
        <v>0</v>
      </c>
      <c r="F161" s="402">
        <f>+_xlfn.XLOOKUP($B161,Inputs!$B:$B,Inputs!P:P)</f>
        <v>0</v>
      </c>
      <c r="G161" s="403">
        <f>+_xlfn.XLOOKUP($B161,Inputs!$B:$B,Inputs!Q:Q)</f>
        <v>0</v>
      </c>
      <c r="H161" s="405" t="str">
        <f>IFERROR(AVERAGE(E161:G161)*(1+H31),"")</f>
        <v/>
      </c>
      <c r="I161" s="405" t="str">
        <f t="shared" ref="I161:Q161" si="87">IFERROR(AVERAGE(F161:H161)*(1+I31),"")</f>
        <v/>
      </c>
      <c r="J161" s="405" t="str">
        <f t="shared" si="87"/>
        <v/>
      </c>
      <c r="K161" s="405" t="str">
        <f t="shared" si="87"/>
        <v/>
      </c>
      <c r="L161" s="405" t="str">
        <f t="shared" si="87"/>
        <v/>
      </c>
      <c r="M161" s="405" t="str">
        <f t="shared" si="87"/>
        <v/>
      </c>
      <c r="N161" s="405" t="str">
        <f t="shared" si="87"/>
        <v/>
      </c>
      <c r="O161" s="405" t="str">
        <f t="shared" si="87"/>
        <v/>
      </c>
      <c r="P161" s="405" t="str">
        <f t="shared" si="87"/>
        <v/>
      </c>
      <c r="Q161" s="405" t="str">
        <f t="shared" si="87"/>
        <v/>
      </c>
    </row>
    <row r="162" spans="1:17" ht="5.25" customHeight="1" x14ac:dyDescent="0.35">
      <c r="E162" s="358"/>
      <c r="F162" s="358"/>
      <c r="G162" s="285"/>
      <c r="H162" s="339"/>
      <c r="I162" s="339"/>
      <c r="J162" s="339"/>
      <c r="K162" s="339"/>
      <c r="L162" s="339"/>
      <c r="M162" s="339"/>
      <c r="N162" s="339"/>
      <c r="O162" s="339"/>
      <c r="P162" s="339"/>
      <c r="Q162" s="339"/>
    </row>
    <row r="163" spans="1:17" ht="15.5" x14ac:dyDescent="0.35">
      <c r="B163" s="164" t="s">
        <v>245</v>
      </c>
      <c r="C163" s="164"/>
      <c r="D163" s="164"/>
      <c r="E163" s="363">
        <f>+_xlfn.XLOOKUP($B163,Inputs!$B:$B,Inputs!O:O)</f>
        <v>0</v>
      </c>
      <c r="F163" s="363">
        <f>+_xlfn.XLOOKUP($B163,Inputs!$B:$B,Inputs!P:P)</f>
        <v>0</v>
      </c>
      <c r="G163" s="364">
        <f>+_xlfn.XLOOKUP($B163,Inputs!$B:$B,Inputs!Q:Q)</f>
        <v>0</v>
      </c>
      <c r="H163" s="368" t="str">
        <f>IFERROR(+H147+H150+H153+H156+H158+H161,"")</f>
        <v/>
      </c>
      <c r="I163" s="368" t="str">
        <f t="shared" ref="I163:Q163" si="88">IFERROR(+I147+I150+I153+I156+I158+I161,"")</f>
        <v/>
      </c>
      <c r="J163" s="368" t="str">
        <f t="shared" si="88"/>
        <v/>
      </c>
      <c r="K163" s="368" t="str">
        <f t="shared" si="88"/>
        <v/>
      </c>
      <c r="L163" s="368" t="str">
        <f t="shared" si="88"/>
        <v/>
      </c>
      <c r="M163" s="368" t="str">
        <f t="shared" si="88"/>
        <v/>
      </c>
      <c r="N163" s="368" t="str">
        <f t="shared" si="88"/>
        <v/>
      </c>
      <c r="O163" s="368" t="str">
        <f t="shared" si="88"/>
        <v/>
      </c>
      <c r="P163" s="368" t="str">
        <f t="shared" si="88"/>
        <v/>
      </c>
      <c r="Q163" s="368" t="str">
        <f t="shared" si="88"/>
        <v/>
      </c>
    </row>
    <row r="164" spans="1:17" ht="3.75" customHeight="1" x14ac:dyDescent="0.35">
      <c r="B164" s="293"/>
      <c r="E164" s="314"/>
      <c r="F164" s="314"/>
      <c r="G164" s="299"/>
      <c r="H164" s="351"/>
      <c r="I164" s="351"/>
      <c r="J164" s="351"/>
      <c r="K164" s="351"/>
      <c r="L164" s="351"/>
      <c r="M164" s="351"/>
      <c r="N164" s="351"/>
      <c r="O164" s="351"/>
      <c r="P164" s="351"/>
      <c r="Q164" s="351"/>
    </row>
    <row r="165" spans="1:17" ht="15.5" x14ac:dyDescent="0.35">
      <c r="B165" s="512" t="s">
        <v>246</v>
      </c>
      <c r="C165" s="359"/>
      <c r="D165" s="359"/>
      <c r="E165" s="365">
        <f>+_xlfn.XLOOKUP($B165,Inputs!$B:$B,Inputs!O:O)</f>
        <v>0</v>
      </c>
      <c r="F165" s="365">
        <f>+_xlfn.XLOOKUP($B165,Inputs!$B:$B,Inputs!P:P)</f>
        <v>0</v>
      </c>
      <c r="G165" s="366">
        <f>+_xlfn.XLOOKUP($B165,Inputs!$B:$B,Inputs!Q:Q)</f>
        <v>0</v>
      </c>
      <c r="H165" s="367" t="str">
        <f>IFERROR(+H132+H145+H163,"")</f>
        <v/>
      </c>
      <c r="I165" s="367" t="str">
        <f t="shared" ref="I165:Q165" si="89">IFERROR(+I132+I145+I163,"")</f>
        <v/>
      </c>
      <c r="J165" s="367" t="str">
        <f t="shared" si="89"/>
        <v/>
      </c>
      <c r="K165" s="367" t="str">
        <f t="shared" si="89"/>
        <v/>
      </c>
      <c r="L165" s="367" t="str">
        <f t="shared" si="89"/>
        <v/>
      </c>
      <c r="M165" s="367" t="str">
        <f t="shared" si="89"/>
        <v/>
      </c>
      <c r="N165" s="367" t="str">
        <f t="shared" si="89"/>
        <v/>
      </c>
      <c r="O165" s="367" t="str">
        <f t="shared" si="89"/>
        <v/>
      </c>
      <c r="P165" s="367" t="str">
        <f t="shared" si="89"/>
        <v/>
      </c>
      <c r="Q165" s="367" t="str">
        <f t="shared" si="89"/>
        <v/>
      </c>
    </row>
    <row r="166" spans="1:17" ht="15.5" x14ac:dyDescent="0.35">
      <c r="B166" s="293"/>
      <c r="E166" s="340"/>
      <c r="F166" s="314"/>
      <c r="G166" s="299"/>
      <c r="H166" s="351"/>
      <c r="I166" s="351"/>
      <c r="J166" s="351"/>
      <c r="K166" s="351"/>
      <c r="L166" s="351"/>
      <c r="M166" s="351"/>
      <c r="N166" s="351"/>
      <c r="O166" s="351"/>
      <c r="P166" s="351"/>
      <c r="Q166" s="351"/>
    </row>
    <row r="167" spans="1:17" ht="3.75" customHeight="1" x14ac:dyDescent="0.35">
      <c r="G167" s="162"/>
      <c r="H167" s="137"/>
      <c r="I167" s="137"/>
      <c r="J167" s="137"/>
      <c r="K167" s="137"/>
      <c r="L167" s="137"/>
      <c r="O167" s="137"/>
      <c r="P167" s="137"/>
      <c r="Q167" s="137"/>
    </row>
    <row r="168" spans="1:17" ht="15.5" x14ac:dyDescent="0.35">
      <c r="A168" s="132" t="s">
        <v>300</v>
      </c>
      <c r="B168" s="52" t="s">
        <v>394</v>
      </c>
      <c r="C168" s="52"/>
      <c r="D168" s="52"/>
      <c r="E168" s="143">
        <f t="shared" ref="E168:Q168" si="90">E28</f>
        <v>2022</v>
      </c>
      <c r="F168" s="143">
        <f t="shared" si="90"/>
        <v>2023</v>
      </c>
      <c r="G168" s="178">
        <f t="shared" si="90"/>
        <v>2024</v>
      </c>
      <c r="H168" s="105">
        <f t="shared" si="90"/>
        <v>2025</v>
      </c>
      <c r="I168" s="105">
        <f t="shared" si="90"/>
        <v>2026</v>
      </c>
      <c r="J168" s="105">
        <f t="shared" si="90"/>
        <v>2027</v>
      </c>
      <c r="K168" s="105">
        <f t="shared" si="90"/>
        <v>2028</v>
      </c>
      <c r="L168" s="105">
        <f t="shared" si="90"/>
        <v>2029</v>
      </c>
      <c r="M168" s="105">
        <f t="shared" si="90"/>
        <v>2030</v>
      </c>
      <c r="N168" s="105">
        <f t="shared" si="90"/>
        <v>2031</v>
      </c>
      <c r="O168" s="105">
        <f t="shared" si="90"/>
        <v>2032</v>
      </c>
      <c r="P168" s="105">
        <f t="shared" si="90"/>
        <v>2033</v>
      </c>
      <c r="Q168" s="105">
        <f t="shared" si="90"/>
        <v>2034</v>
      </c>
    </row>
    <row r="169" spans="1:17" ht="4" customHeight="1" x14ac:dyDescent="0.35">
      <c r="B169" s="53"/>
      <c r="C169" s="53"/>
      <c r="D169" s="53"/>
      <c r="E169" s="53"/>
      <c r="F169" s="53"/>
      <c r="G169" s="180"/>
      <c r="H169" s="53"/>
      <c r="I169" s="53"/>
      <c r="J169" s="53"/>
      <c r="K169" s="53"/>
      <c r="L169" s="53"/>
      <c r="M169" s="53"/>
      <c r="N169" s="53"/>
      <c r="O169" s="53"/>
      <c r="P169" s="53"/>
      <c r="Q169" s="53"/>
    </row>
    <row r="170" spans="1:17" ht="15.5" x14ac:dyDescent="0.35">
      <c r="B170" s="132" t="s">
        <v>105</v>
      </c>
      <c r="E170" s="166">
        <f>$E$30</f>
        <v>0</v>
      </c>
      <c r="F170" s="166">
        <f>$F$30</f>
        <v>0</v>
      </c>
      <c r="G170" s="190">
        <f>$G$30</f>
        <v>0</v>
      </c>
      <c r="H170" s="166" t="str">
        <f ca="1">IFERROR(G170*(1+H171),"")</f>
        <v/>
      </c>
      <c r="I170" s="166" t="str">
        <f t="shared" ref="I170:Q170" ca="1" si="91">IFERROR(H170*(1+I171),"")</f>
        <v/>
      </c>
      <c r="J170" s="166" t="str">
        <f t="shared" ca="1" si="91"/>
        <v/>
      </c>
      <c r="K170" s="166" t="str">
        <f t="shared" ca="1" si="91"/>
        <v/>
      </c>
      <c r="L170" s="166" t="str">
        <f t="shared" ca="1" si="91"/>
        <v/>
      </c>
      <c r="M170" s="166" t="str">
        <f t="shared" ca="1" si="91"/>
        <v/>
      </c>
      <c r="N170" s="166" t="str">
        <f t="shared" ca="1" si="91"/>
        <v/>
      </c>
      <c r="O170" s="166" t="str">
        <f t="shared" ca="1" si="91"/>
        <v/>
      </c>
      <c r="P170" s="166" t="str">
        <f t="shared" ca="1" si="91"/>
        <v/>
      </c>
      <c r="Q170" s="166" t="str">
        <f t="shared" ca="1" si="91"/>
        <v/>
      </c>
    </row>
    <row r="171" spans="1:17" ht="15.5" x14ac:dyDescent="0.35">
      <c r="B171" s="293" t="s">
        <v>339</v>
      </c>
      <c r="C171" s="293"/>
      <c r="D171" s="293"/>
      <c r="E171" s="326" t="str">
        <f>$E$31</f>
        <v/>
      </c>
      <c r="F171" s="326" t="str">
        <f>$F$31</f>
        <v/>
      </c>
      <c r="G171" s="327" t="str">
        <f>$G$31</f>
        <v/>
      </c>
      <c r="H171" s="326" t="str">
        <f ca="1">+OFFSET($H$171,$C$7,0)</f>
        <v/>
      </c>
      <c r="I171" s="326" t="str">
        <f ca="1">+OFFSET($I$171,$C$7,0)</f>
        <v/>
      </c>
      <c r="J171" s="326" t="str">
        <f ca="1">+OFFSET($J$171,$C$7,0)</f>
        <v/>
      </c>
      <c r="K171" s="326" t="str">
        <f ca="1">+OFFSET($K$171,$C$7,0)</f>
        <v/>
      </c>
      <c r="L171" s="326" t="str">
        <f ca="1">+OFFSET($L$171,$C$7,0)</f>
        <v/>
      </c>
      <c r="M171" s="326" t="str">
        <f ca="1">+OFFSET($M$171,$C$7,0)</f>
        <v/>
      </c>
      <c r="N171" s="326" t="str">
        <f ca="1">+OFFSET($N$171,$C$7,0)</f>
        <v/>
      </c>
      <c r="O171" s="326" t="str">
        <f ca="1">+OFFSET($O$171,$C$7,0)</f>
        <v/>
      </c>
      <c r="P171" s="326" t="str">
        <f ca="1">+OFFSET($P$171,$C$7,0)</f>
        <v/>
      </c>
      <c r="Q171" s="326" t="str">
        <f ca="1">+OFFSET($Q$171,$C$7,0)</f>
        <v/>
      </c>
    </row>
    <row r="172" spans="1:17" ht="15.5" x14ac:dyDescent="0.35">
      <c r="B172" s="292" t="s">
        <v>310</v>
      </c>
      <c r="G172" s="173"/>
      <c r="H172" s="625" t="str">
        <f>IFERROR(+H173+$F$7%,"")</f>
        <v/>
      </c>
      <c r="I172" s="625" t="str">
        <f t="shared" ref="I172:Q172" si="92">IFERROR(+I173+$F$7%,"")</f>
        <v/>
      </c>
      <c r="J172" s="625" t="str">
        <f t="shared" si="92"/>
        <v/>
      </c>
      <c r="K172" s="625" t="str">
        <f t="shared" si="92"/>
        <v/>
      </c>
      <c r="L172" s="626" t="str">
        <f t="shared" si="92"/>
        <v/>
      </c>
      <c r="M172" s="626" t="str">
        <f t="shared" si="92"/>
        <v/>
      </c>
      <c r="N172" s="626" t="str">
        <f t="shared" si="92"/>
        <v/>
      </c>
      <c r="O172" s="626" t="str">
        <f t="shared" si="92"/>
        <v/>
      </c>
      <c r="P172" s="626" t="str">
        <f t="shared" si="92"/>
        <v/>
      </c>
      <c r="Q172" s="626" t="str">
        <f t="shared" si="92"/>
        <v/>
      </c>
    </row>
    <row r="173" spans="1:17" ht="15.5" x14ac:dyDescent="0.35">
      <c r="B173" s="292" t="s">
        <v>311</v>
      </c>
      <c r="G173" s="173"/>
      <c r="H173" s="627" t="str">
        <f>$H$31</f>
        <v/>
      </c>
      <c r="I173" s="627" t="str">
        <f>$I$31</f>
        <v/>
      </c>
      <c r="J173" s="627" t="str">
        <f>$J$31</f>
        <v/>
      </c>
      <c r="K173" s="627" t="str">
        <f>$K$31</f>
        <v/>
      </c>
      <c r="L173" s="627" t="str">
        <f>$L$31</f>
        <v/>
      </c>
      <c r="M173" s="627" t="str">
        <f>$M$31</f>
        <v/>
      </c>
      <c r="N173" s="627" t="str">
        <f>$N$31</f>
        <v/>
      </c>
      <c r="O173" s="628" t="str">
        <f>$O$31</f>
        <v/>
      </c>
      <c r="P173" s="627" t="str">
        <f>$P$31</f>
        <v/>
      </c>
      <c r="Q173" s="627" t="str">
        <f>$Q$31</f>
        <v/>
      </c>
    </row>
    <row r="174" spans="1:17" ht="15.5" x14ac:dyDescent="0.35">
      <c r="B174" s="292" t="s">
        <v>312</v>
      </c>
      <c r="G174" s="173"/>
      <c r="H174" s="629" t="str">
        <f>IFERROR(+H173+$L$7%,"")</f>
        <v/>
      </c>
      <c r="I174" s="629" t="str">
        <f t="shared" ref="I174:Q174" si="93">IFERROR(+I173+$L$7%,"")</f>
        <v/>
      </c>
      <c r="J174" s="629" t="str">
        <f t="shared" si="93"/>
        <v/>
      </c>
      <c r="K174" s="629" t="str">
        <f t="shared" si="93"/>
        <v/>
      </c>
      <c r="L174" s="630" t="str">
        <f t="shared" si="93"/>
        <v/>
      </c>
      <c r="M174" s="630" t="str">
        <f t="shared" si="93"/>
        <v/>
      </c>
      <c r="N174" s="630" t="str">
        <f t="shared" si="93"/>
        <v/>
      </c>
      <c r="O174" s="630" t="str">
        <f t="shared" si="93"/>
        <v/>
      </c>
      <c r="P174" s="630" t="str">
        <f t="shared" si="93"/>
        <v/>
      </c>
      <c r="Q174" s="630" t="str">
        <f t="shared" si="93"/>
        <v/>
      </c>
    </row>
    <row r="175" spans="1:17" ht="3.75" customHeight="1" x14ac:dyDescent="0.35">
      <c r="G175" s="173"/>
    </row>
    <row r="176" spans="1:17" ht="15.5" x14ac:dyDescent="0.35">
      <c r="B176" s="132" t="s">
        <v>320</v>
      </c>
      <c r="E176" s="166">
        <f t="shared" ref="E176:G177" si="94">+E59</f>
        <v>0</v>
      </c>
      <c r="F176" s="166">
        <f t="shared" si="94"/>
        <v>0</v>
      </c>
      <c r="G176" s="190">
        <f t="shared" si="94"/>
        <v>0</v>
      </c>
      <c r="H176" s="191" t="str">
        <f ca="1">IFERROR(H177*H170,"")</f>
        <v/>
      </c>
      <c r="I176" s="191" t="str">
        <f t="shared" ref="I176:Q176" ca="1" si="95">IFERROR(I177*I170,"")</f>
        <v/>
      </c>
      <c r="J176" s="191" t="str">
        <f t="shared" ca="1" si="95"/>
        <v/>
      </c>
      <c r="K176" s="191" t="str">
        <f t="shared" ca="1" si="95"/>
        <v/>
      </c>
      <c r="L176" s="191" t="str">
        <f t="shared" ca="1" si="95"/>
        <v/>
      </c>
      <c r="M176" s="191" t="str">
        <f t="shared" ca="1" si="95"/>
        <v/>
      </c>
      <c r="N176" s="191" t="str">
        <f t="shared" ca="1" si="95"/>
        <v/>
      </c>
      <c r="O176" s="191" t="str">
        <f t="shared" ca="1" si="95"/>
        <v/>
      </c>
      <c r="P176" s="191" t="str">
        <f t="shared" ca="1" si="95"/>
        <v/>
      </c>
      <c r="Q176" s="191" t="str">
        <f t="shared" ca="1" si="95"/>
        <v/>
      </c>
    </row>
    <row r="177" spans="2:29" ht="15.5" x14ac:dyDescent="0.35">
      <c r="B177" s="293" t="s">
        <v>340</v>
      </c>
      <c r="C177" s="293"/>
      <c r="D177" s="293"/>
      <c r="E177" s="326" t="str">
        <f t="shared" si="94"/>
        <v/>
      </c>
      <c r="F177" s="326" t="str">
        <f t="shared" si="94"/>
        <v/>
      </c>
      <c r="G177" s="327" t="str">
        <f t="shared" si="94"/>
        <v/>
      </c>
      <c r="H177" s="326" t="str">
        <f ca="1">OFFSET(H177,$C$8,0)</f>
        <v/>
      </c>
      <c r="I177" s="326" t="str">
        <f ca="1">+OFFSET(I177,$C$8,0)</f>
        <v/>
      </c>
      <c r="J177" s="326" t="str">
        <f ca="1">+OFFSET(J177,$C$8,0)</f>
        <v/>
      </c>
      <c r="K177" s="326" t="str">
        <f ca="1">+OFFSET(K177,$C$8,0)</f>
        <v/>
      </c>
      <c r="L177" s="326" t="str">
        <f ca="1">+OFFSET(L177,$C$8,0)</f>
        <v/>
      </c>
      <c r="M177" s="326" t="str">
        <f t="shared" ref="M177:Q177" ca="1" si="96">+OFFSET(M177,$C$8,0)</f>
        <v/>
      </c>
      <c r="N177" s="326" t="str">
        <f t="shared" ca="1" si="96"/>
        <v/>
      </c>
      <c r="O177" s="326" t="str">
        <f t="shared" ca="1" si="96"/>
        <v/>
      </c>
      <c r="P177" s="326" t="str">
        <f t="shared" ca="1" si="96"/>
        <v/>
      </c>
      <c r="Q177" s="326" t="str">
        <f t="shared" ca="1" si="96"/>
        <v/>
      </c>
    </row>
    <row r="178" spans="2:29" ht="15.5" x14ac:dyDescent="0.35">
      <c r="B178" s="292" t="s">
        <v>310</v>
      </c>
      <c r="G178" s="173"/>
      <c r="H178" s="629" t="str">
        <f>IFERROR(H179-$F$8,"")</f>
        <v/>
      </c>
      <c r="I178" s="629" t="str">
        <f t="shared" ref="I178:Q178" si="97">IFERROR(I179-$F$8,"")</f>
        <v/>
      </c>
      <c r="J178" s="629" t="str">
        <f t="shared" si="97"/>
        <v/>
      </c>
      <c r="K178" s="629" t="str">
        <f t="shared" si="97"/>
        <v/>
      </c>
      <c r="L178" s="629" t="str">
        <f t="shared" si="97"/>
        <v/>
      </c>
      <c r="M178" s="629" t="str">
        <f t="shared" si="97"/>
        <v/>
      </c>
      <c r="N178" s="629" t="str">
        <f t="shared" si="97"/>
        <v/>
      </c>
      <c r="O178" s="629" t="str">
        <f t="shared" si="97"/>
        <v/>
      </c>
      <c r="P178" s="629" t="str">
        <f t="shared" si="97"/>
        <v/>
      </c>
      <c r="Q178" s="629" t="str">
        <f t="shared" si="97"/>
        <v/>
      </c>
    </row>
    <row r="179" spans="2:29" ht="15.5" x14ac:dyDescent="0.35">
      <c r="B179" s="292" t="s">
        <v>311</v>
      </c>
      <c r="G179" s="173"/>
      <c r="H179" s="627" t="str">
        <f t="shared" ref="H179:Q179" si="98">IFERROR(VALUE(H60),"")</f>
        <v/>
      </c>
      <c r="I179" s="627" t="str">
        <f t="shared" si="98"/>
        <v/>
      </c>
      <c r="J179" s="627" t="str">
        <f t="shared" si="98"/>
        <v/>
      </c>
      <c r="K179" s="627" t="str">
        <f t="shared" si="98"/>
        <v/>
      </c>
      <c r="L179" s="627" t="str">
        <f t="shared" si="98"/>
        <v/>
      </c>
      <c r="M179" s="627" t="str">
        <f t="shared" si="98"/>
        <v/>
      </c>
      <c r="N179" s="627" t="str">
        <f t="shared" si="98"/>
        <v/>
      </c>
      <c r="O179" s="627" t="str">
        <f t="shared" si="98"/>
        <v/>
      </c>
      <c r="P179" s="627" t="str">
        <f t="shared" si="98"/>
        <v/>
      </c>
      <c r="Q179" s="627" t="str">
        <f t="shared" si="98"/>
        <v/>
      </c>
    </row>
    <row r="180" spans="2:29" ht="15.5" x14ac:dyDescent="0.35">
      <c r="B180" s="292" t="s">
        <v>312</v>
      </c>
      <c r="G180" s="173"/>
      <c r="H180" s="629" t="str">
        <f>+IFERROR(H179+$L$8%,"")</f>
        <v/>
      </c>
      <c r="I180" s="629" t="str">
        <f t="shared" ref="I180:Q180" si="99">+IFERROR(I179+$L$8%,"")</f>
        <v/>
      </c>
      <c r="J180" s="629" t="str">
        <f t="shared" si="99"/>
        <v/>
      </c>
      <c r="K180" s="629" t="str">
        <f t="shared" si="99"/>
        <v/>
      </c>
      <c r="L180" s="629" t="str">
        <f t="shared" si="99"/>
        <v/>
      </c>
      <c r="M180" s="629" t="str">
        <f t="shared" si="99"/>
        <v/>
      </c>
      <c r="N180" s="629" t="str">
        <f t="shared" si="99"/>
        <v/>
      </c>
      <c r="O180" s="629" t="str">
        <f t="shared" si="99"/>
        <v/>
      </c>
      <c r="P180" s="629" t="str">
        <f t="shared" si="99"/>
        <v/>
      </c>
      <c r="Q180" s="629" t="str">
        <f t="shared" si="99"/>
        <v/>
      </c>
    </row>
    <row r="181" spans="2:29" ht="3.75" customHeight="1" x14ac:dyDescent="0.35">
      <c r="G181" s="173"/>
    </row>
    <row r="182" spans="2:29" ht="15.5" x14ac:dyDescent="0.35">
      <c r="B182" s="193" t="s">
        <v>316</v>
      </c>
      <c r="C182" s="194"/>
      <c r="D182" s="194"/>
      <c r="E182" s="195" t="str">
        <f>+IFERROR(E176*(1-E79),"")</f>
        <v/>
      </c>
      <c r="F182" s="195" t="str">
        <f t="shared" ref="F182:G182" si="100">+IFERROR(F176*(1-F79),"")</f>
        <v/>
      </c>
      <c r="G182" s="349" t="str">
        <f t="shared" si="100"/>
        <v/>
      </c>
      <c r="H182" s="195" t="str">
        <f ca="1">+IFERROR(H176*(1-H79),"")</f>
        <v/>
      </c>
      <c r="I182" s="195" t="str">
        <f t="shared" ref="I182:Q182" ca="1" si="101">+IFERROR(I176*(1-I79),"")</f>
        <v/>
      </c>
      <c r="J182" s="195" t="str">
        <f t="shared" ca="1" si="101"/>
        <v/>
      </c>
      <c r="K182" s="195" t="str">
        <f t="shared" ca="1" si="101"/>
        <v/>
      </c>
      <c r="L182" s="195" t="str">
        <f t="shared" ca="1" si="101"/>
        <v/>
      </c>
      <c r="M182" s="195" t="str">
        <f t="shared" ca="1" si="101"/>
        <v/>
      </c>
      <c r="N182" s="195" t="str">
        <f t="shared" ca="1" si="101"/>
        <v/>
      </c>
      <c r="O182" s="195" t="str">
        <f t="shared" ca="1" si="101"/>
        <v/>
      </c>
      <c r="P182" s="195" t="str">
        <f t="shared" ca="1" si="101"/>
        <v/>
      </c>
      <c r="Q182" s="348" t="str">
        <f t="shared" ca="1" si="101"/>
        <v/>
      </c>
    </row>
    <row r="183" spans="2:29" ht="3.75" customHeight="1" x14ac:dyDescent="0.35">
      <c r="G183" s="173"/>
    </row>
    <row r="184" spans="2:29" ht="15.5" x14ac:dyDescent="0.35">
      <c r="B184" s="132" t="s">
        <v>395</v>
      </c>
      <c r="E184" s="166">
        <f t="shared" ref="E184:Q184" si="102">+E123</f>
        <v>0</v>
      </c>
      <c r="F184" s="166">
        <f t="shared" si="102"/>
        <v>0</v>
      </c>
      <c r="G184" s="190">
        <f t="shared" si="102"/>
        <v>0</v>
      </c>
      <c r="H184" s="196" t="str">
        <f t="shared" si="102"/>
        <v/>
      </c>
      <c r="I184" s="196" t="str">
        <f t="shared" si="102"/>
        <v/>
      </c>
      <c r="J184" s="196" t="str">
        <f t="shared" si="102"/>
        <v/>
      </c>
      <c r="K184" s="196" t="str">
        <f t="shared" si="102"/>
        <v/>
      </c>
      <c r="L184" s="196" t="str">
        <f t="shared" si="102"/>
        <v/>
      </c>
      <c r="M184" s="196" t="str">
        <f t="shared" si="102"/>
        <v/>
      </c>
      <c r="N184" s="196" t="str">
        <f t="shared" si="102"/>
        <v/>
      </c>
      <c r="O184" s="196" t="str">
        <f t="shared" si="102"/>
        <v/>
      </c>
      <c r="P184" s="196" t="str">
        <f t="shared" si="102"/>
        <v/>
      </c>
      <c r="Q184" s="196" t="str">
        <f t="shared" si="102"/>
        <v/>
      </c>
      <c r="R184" s="133"/>
      <c r="S184" s="133"/>
      <c r="T184" s="133"/>
      <c r="U184" s="133"/>
      <c r="V184" s="133"/>
      <c r="W184" s="133"/>
      <c r="X184" s="133"/>
      <c r="Y184" s="133"/>
      <c r="Z184" s="133"/>
      <c r="AA184" s="133"/>
      <c r="AB184" s="133"/>
      <c r="AC184" s="133"/>
    </row>
    <row r="185" spans="2:29" ht="3.75" customHeight="1" x14ac:dyDescent="0.35">
      <c r="G185" s="173"/>
      <c r="R185" s="133"/>
      <c r="S185" s="133"/>
      <c r="T185" s="133"/>
      <c r="U185" s="133"/>
      <c r="V185" s="133"/>
      <c r="W185" s="133"/>
      <c r="X185" s="133"/>
      <c r="Y185" s="133"/>
      <c r="Z185" s="133"/>
      <c r="AA185" s="133"/>
      <c r="AB185" s="133"/>
      <c r="AC185" s="133"/>
    </row>
    <row r="186" spans="2:29" ht="15.5" x14ac:dyDescent="0.35">
      <c r="B186" s="132" t="s">
        <v>376</v>
      </c>
      <c r="E186" s="166">
        <f t="shared" ref="E186:Q186" si="103">+E125</f>
        <v>0</v>
      </c>
      <c r="F186" s="166">
        <f t="shared" si="103"/>
        <v>0</v>
      </c>
      <c r="G186" s="190">
        <f t="shared" si="103"/>
        <v>0</v>
      </c>
      <c r="H186" s="166" t="str">
        <f t="shared" si="103"/>
        <v/>
      </c>
      <c r="I186" s="166" t="str">
        <f t="shared" si="103"/>
        <v/>
      </c>
      <c r="J186" s="166" t="str">
        <f t="shared" si="103"/>
        <v/>
      </c>
      <c r="K186" s="166" t="str">
        <f t="shared" si="103"/>
        <v/>
      </c>
      <c r="L186" s="166" t="str">
        <f t="shared" si="103"/>
        <v/>
      </c>
      <c r="M186" s="166" t="str">
        <f t="shared" si="103"/>
        <v/>
      </c>
      <c r="N186" s="166" t="str">
        <f t="shared" si="103"/>
        <v/>
      </c>
      <c r="O186" s="166" t="str">
        <f t="shared" si="103"/>
        <v/>
      </c>
      <c r="P186" s="166" t="str">
        <f t="shared" si="103"/>
        <v/>
      </c>
      <c r="Q186" s="166" t="str">
        <f t="shared" si="103"/>
        <v/>
      </c>
      <c r="R186" s="133"/>
      <c r="S186" s="133"/>
      <c r="T186" s="133"/>
      <c r="U186" s="133"/>
      <c r="V186" s="133"/>
      <c r="W186" s="133"/>
      <c r="X186" s="133"/>
      <c r="Y186" s="133"/>
      <c r="Z186" s="133"/>
      <c r="AA186" s="133"/>
      <c r="AB186" s="133"/>
      <c r="AC186" s="133"/>
    </row>
    <row r="187" spans="2:29" ht="3.75" customHeight="1" x14ac:dyDescent="0.35">
      <c r="G187" s="162"/>
      <c r="R187" s="133"/>
      <c r="S187" s="133"/>
      <c r="T187" s="133"/>
      <c r="U187" s="133"/>
      <c r="V187" s="133"/>
      <c r="W187" s="133"/>
      <c r="X187" s="133"/>
      <c r="Y187" s="133"/>
      <c r="Z187" s="133"/>
      <c r="AA187" s="133"/>
      <c r="AB187" s="133"/>
      <c r="AC187" s="133"/>
    </row>
    <row r="188" spans="2:29" ht="15.5" x14ac:dyDescent="0.35">
      <c r="B188" s="132" t="s">
        <v>396</v>
      </c>
      <c r="E188" s="166">
        <f t="shared" ref="E188:Q188" si="104">+E128</f>
        <v>0</v>
      </c>
      <c r="F188" s="166">
        <f t="shared" si="104"/>
        <v>0</v>
      </c>
      <c r="G188" s="197">
        <f t="shared" si="104"/>
        <v>0</v>
      </c>
      <c r="H188" s="189" t="str">
        <f t="shared" si="104"/>
        <v/>
      </c>
      <c r="I188" s="189" t="str">
        <f t="shared" si="104"/>
        <v/>
      </c>
      <c r="J188" s="189" t="str">
        <f t="shared" si="104"/>
        <v/>
      </c>
      <c r="K188" s="189" t="str">
        <f t="shared" si="104"/>
        <v/>
      </c>
      <c r="L188" s="189" t="str">
        <f t="shared" si="104"/>
        <v/>
      </c>
      <c r="M188" s="189" t="str">
        <f t="shared" si="104"/>
        <v/>
      </c>
      <c r="N188" s="189" t="str">
        <f t="shared" si="104"/>
        <v/>
      </c>
      <c r="O188" s="189" t="str">
        <f t="shared" si="104"/>
        <v/>
      </c>
      <c r="P188" s="189" t="str">
        <f t="shared" si="104"/>
        <v/>
      </c>
      <c r="Q188" s="189" t="str">
        <f t="shared" si="104"/>
        <v/>
      </c>
      <c r="R188" s="133"/>
      <c r="S188" s="133"/>
      <c r="T188" s="133"/>
      <c r="U188" s="133"/>
      <c r="V188" s="133"/>
      <c r="W188" s="133"/>
      <c r="X188" s="133"/>
      <c r="Y188" s="133"/>
      <c r="Z188" s="133"/>
      <c r="AA188" s="133"/>
      <c r="AB188" s="133"/>
      <c r="AC188" s="133"/>
    </row>
    <row r="189" spans="2:29" ht="3.75" customHeight="1" x14ac:dyDescent="0.35">
      <c r="G189" s="162"/>
      <c r="R189" s="133"/>
      <c r="S189" s="133"/>
      <c r="T189" s="133"/>
      <c r="U189" s="133"/>
      <c r="V189" s="133"/>
      <c r="W189" s="133"/>
      <c r="X189" s="133"/>
      <c r="Y189" s="133"/>
      <c r="Z189" s="133"/>
      <c r="AA189" s="133"/>
      <c r="AB189" s="133"/>
      <c r="AC189" s="133"/>
    </row>
    <row r="190" spans="2:29" ht="13.5" customHeight="1" x14ac:dyDescent="0.35">
      <c r="B190" s="132" t="s">
        <v>380</v>
      </c>
      <c r="E190" s="166">
        <f t="shared" ref="E190:Q190" si="105">+E134</f>
        <v>0</v>
      </c>
      <c r="F190" s="166">
        <f t="shared" si="105"/>
        <v>0</v>
      </c>
      <c r="G190" s="190">
        <f t="shared" si="105"/>
        <v>0</v>
      </c>
      <c r="H190" s="166" t="str">
        <f t="shared" si="105"/>
        <v/>
      </c>
      <c r="I190" s="166" t="str">
        <f t="shared" si="105"/>
        <v/>
      </c>
      <c r="J190" s="166" t="str">
        <f t="shared" si="105"/>
        <v/>
      </c>
      <c r="K190" s="166" t="str">
        <f t="shared" si="105"/>
        <v/>
      </c>
      <c r="L190" s="166" t="str">
        <f t="shared" si="105"/>
        <v/>
      </c>
      <c r="M190" s="166" t="str">
        <f t="shared" si="105"/>
        <v/>
      </c>
      <c r="N190" s="166" t="str">
        <f t="shared" si="105"/>
        <v/>
      </c>
      <c r="O190" s="166" t="str">
        <f t="shared" si="105"/>
        <v/>
      </c>
      <c r="P190" s="166" t="str">
        <f t="shared" si="105"/>
        <v/>
      </c>
      <c r="Q190" s="166" t="str">
        <f t="shared" si="105"/>
        <v/>
      </c>
      <c r="R190" s="133"/>
      <c r="S190" s="133"/>
      <c r="T190" s="133"/>
      <c r="U190" s="133"/>
      <c r="V190" s="133"/>
      <c r="W190" s="133"/>
      <c r="X190" s="133"/>
      <c r="Y190" s="133"/>
      <c r="Z190" s="133"/>
      <c r="AA190" s="133"/>
      <c r="AB190" s="133"/>
      <c r="AC190" s="133"/>
    </row>
    <row r="191" spans="2:29" ht="3.75" customHeight="1" x14ac:dyDescent="0.35">
      <c r="B191" s="167"/>
      <c r="E191" s="169"/>
      <c r="F191" s="169"/>
      <c r="G191" s="177"/>
      <c r="H191" s="192"/>
      <c r="I191" s="192"/>
      <c r="J191" s="192"/>
      <c r="K191" s="192"/>
      <c r="L191" s="192"/>
      <c r="M191" s="192"/>
      <c r="N191" s="192"/>
      <c r="O191" s="192"/>
      <c r="P191" s="192"/>
      <c r="Q191" s="192"/>
      <c r="R191" s="133"/>
      <c r="S191" s="133"/>
      <c r="T191" s="133"/>
      <c r="U191" s="133"/>
      <c r="V191" s="133"/>
      <c r="W191" s="133"/>
      <c r="X191" s="133"/>
      <c r="Y191" s="133"/>
      <c r="Z191" s="133"/>
      <c r="AA191" s="133"/>
      <c r="AB191" s="133"/>
      <c r="AC191" s="133"/>
    </row>
    <row r="192" spans="2:29" ht="15.5" x14ac:dyDescent="0.35">
      <c r="B192" s="198" t="s">
        <v>22</v>
      </c>
      <c r="C192" s="199"/>
      <c r="D192" s="199"/>
      <c r="E192" s="200" t="str">
        <f t="shared" ref="E192:Q192" si="106">IFERROR(E182+E184+E190+E188+E186,"")</f>
        <v/>
      </c>
      <c r="F192" s="200" t="str">
        <f t="shared" si="106"/>
        <v/>
      </c>
      <c r="G192" s="201" t="str">
        <f t="shared" si="106"/>
        <v/>
      </c>
      <c r="H192" s="200" t="str">
        <f t="shared" ca="1" si="106"/>
        <v/>
      </c>
      <c r="I192" s="200" t="str">
        <f t="shared" ca="1" si="106"/>
        <v/>
      </c>
      <c r="J192" s="200" t="str">
        <f t="shared" ca="1" si="106"/>
        <v/>
      </c>
      <c r="K192" s="200" t="str">
        <f t="shared" ca="1" si="106"/>
        <v/>
      </c>
      <c r="L192" s="200" t="str">
        <f t="shared" ca="1" si="106"/>
        <v/>
      </c>
      <c r="M192" s="200" t="str">
        <f t="shared" ca="1" si="106"/>
        <v/>
      </c>
      <c r="N192" s="200" t="str">
        <f t="shared" ca="1" si="106"/>
        <v/>
      </c>
      <c r="O192" s="200" t="str">
        <f t="shared" ca="1" si="106"/>
        <v/>
      </c>
      <c r="P192" s="200" t="str">
        <f t="shared" ca="1" si="106"/>
        <v/>
      </c>
      <c r="Q192" s="350" t="str">
        <f t="shared" ca="1" si="106"/>
        <v/>
      </c>
      <c r="R192" s="133"/>
      <c r="S192" s="133" t="s">
        <v>397</v>
      </c>
      <c r="T192" s="133"/>
      <c r="U192" s="133" t="e">
        <f ca="1">+J192/(1+$C$12)^(J195-2)</f>
        <v>#VALUE!</v>
      </c>
      <c r="V192" s="133" t="e">
        <f ca="1">+K192/(1+$C$12)^(K195-2)</f>
        <v>#VALUE!</v>
      </c>
      <c r="W192" s="133" t="e">
        <f ca="1">+L192/(1+$C$12)^(L195-2)</f>
        <v>#VALUE!</v>
      </c>
      <c r="X192" s="133" t="e">
        <f ca="1">+M192/(1+$C$12)^(M195-2)</f>
        <v>#VALUE!</v>
      </c>
      <c r="Y192" s="133" t="e">
        <f ca="1">+N192/(1+$C$12)^(N195-2)</f>
        <v>#VALUE!</v>
      </c>
      <c r="Z192" s="133"/>
      <c r="AA192" s="133" t="e">
        <f ca="1">+O192/(1+$C$12)^(O195-2)</f>
        <v>#VALUE!</v>
      </c>
      <c r="AB192" s="133" t="e">
        <f ca="1">+P192/(1+$C$12)^(P195-2)</f>
        <v>#VALUE!</v>
      </c>
      <c r="AC192" s="133" t="e">
        <f ca="1">+Q192/(1+$C$12)^(Q195-2)</f>
        <v>#VALUE!</v>
      </c>
    </row>
    <row r="193" spans="2:29" ht="15.5" x14ac:dyDescent="0.35">
      <c r="B193" s="202" t="s">
        <v>398</v>
      </c>
      <c r="C193" s="203"/>
      <c r="D193" s="203"/>
      <c r="E193" s="203"/>
      <c r="F193" s="203"/>
      <c r="G193" s="204"/>
      <c r="H193" s="205" t="str">
        <f ca="1">IFERROR(H192/(1+$C$12)^H195,"")</f>
        <v/>
      </c>
      <c r="I193" s="205" t="str">
        <f t="shared" ref="I193:P193" ca="1" si="107">IFERROR(I192/(1+$C$12)^I195,"")</f>
        <v/>
      </c>
      <c r="J193" s="205" t="str">
        <f t="shared" ca="1" si="107"/>
        <v/>
      </c>
      <c r="K193" s="205" t="str">
        <f t="shared" ca="1" si="107"/>
        <v/>
      </c>
      <c r="L193" s="205" t="str">
        <f t="shared" ca="1" si="107"/>
        <v/>
      </c>
      <c r="M193" s="205" t="str">
        <f t="shared" ca="1" si="107"/>
        <v/>
      </c>
      <c r="N193" s="205" t="str">
        <f t="shared" ca="1" si="107"/>
        <v/>
      </c>
      <c r="O193" s="205" t="str">
        <f t="shared" ca="1" si="107"/>
        <v/>
      </c>
      <c r="P193" s="205" t="str">
        <f t="shared" ca="1" si="107"/>
        <v/>
      </c>
      <c r="Q193" s="206" t="str">
        <f ca="1">IFERROR(Q192/(1+$C$12)^Q195,"")</f>
        <v/>
      </c>
      <c r="R193" s="133"/>
      <c r="S193" s="133" t="s">
        <v>399</v>
      </c>
      <c r="T193" s="385" t="e">
        <f t="shared" ref="T193:Y193" ca="1" si="108">+I192/(1+$C$12)^(I195-1)</f>
        <v>#VALUE!</v>
      </c>
      <c r="U193" s="385" t="e">
        <f t="shared" ca="1" si="108"/>
        <v>#VALUE!</v>
      </c>
      <c r="V193" s="385" t="e">
        <f t="shared" ca="1" si="108"/>
        <v>#VALUE!</v>
      </c>
      <c r="W193" s="385" t="e">
        <f t="shared" ca="1" si="108"/>
        <v>#VALUE!</v>
      </c>
      <c r="X193" s="385" t="e">
        <f t="shared" ca="1" si="108"/>
        <v>#VALUE!</v>
      </c>
      <c r="Y193" s="385" t="e">
        <f t="shared" ca="1" si="108"/>
        <v>#VALUE!</v>
      </c>
      <c r="Z193" s="385"/>
      <c r="AA193" s="385" t="e">
        <f ca="1">+O192/(1+$C$12)^(O195-1)</f>
        <v>#VALUE!</v>
      </c>
      <c r="AB193" s="385" t="e">
        <f ca="1">+P192/(1+$C$12)^(P195-1)</f>
        <v>#VALUE!</v>
      </c>
      <c r="AC193" s="385" t="e">
        <f ca="1">+Q192/(1+$C$12)^(Q195-1)</f>
        <v>#VALUE!</v>
      </c>
    </row>
    <row r="194" spans="2:29" ht="3.75" customHeight="1" x14ac:dyDescent="0.35">
      <c r="G194" s="162"/>
      <c r="R194" s="133"/>
      <c r="S194" s="133"/>
      <c r="T194" s="133"/>
      <c r="U194" s="133"/>
      <c r="V194" s="133"/>
      <c r="W194" s="133"/>
      <c r="X194" s="133"/>
      <c r="Y194" s="133"/>
      <c r="Z194" s="133"/>
      <c r="AA194" s="133"/>
      <c r="AB194" s="133"/>
      <c r="AC194" s="133"/>
    </row>
    <row r="195" spans="2:29" ht="15.5" x14ac:dyDescent="0.35">
      <c r="B195" s="132" t="s">
        <v>400</v>
      </c>
      <c r="G195" s="162"/>
      <c r="H195" s="207">
        <f ca="1">+H196/2</f>
        <v>0.14166666666666666</v>
      </c>
      <c r="I195" s="207">
        <f ca="1">+H195+1</f>
        <v>1.1416666666666666</v>
      </c>
      <c r="J195" s="207">
        <f t="shared" ref="J195:Q195" ca="1" si="109">+I195+1</f>
        <v>2.1416666666666666</v>
      </c>
      <c r="K195" s="207">
        <f ca="1">+J195+1</f>
        <v>3.1416666666666666</v>
      </c>
      <c r="L195" s="207">
        <f t="shared" ca="1" si="109"/>
        <v>4.1416666666666666</v>
      </c>
      <c r="M195" s="207">
        <f t="shared" ca="1" si="109"/>
        <v>5.1416666666666666</v>
      </c>
      <c r="N195" s="207">
        <f t="shared" ca="1" si="109"/>
        <v>6.1416666666666666</v>
      </c>
      <c r="O195" s="207">
        <f t="shared" ca="1" si="109"/>
        <v>7.1416666666666666</v>
      </c>
      <c r="P195" s="207">
        <f t="shared" ca="1" si="109"/>
        <v>8.1416666666666657</v>
      </c>
      <c r="Q195" s="207">
        <f t="shared" ca="1" si="109"/>
        <v>9.1416666666666657</v>
      </c>
      <c r="R195" s="133"/>
      <c r="S195" s="133"/>
      <c r="T195" s="133"/>
      <c r="U195" s="133"/>
      <c r="V195" s="133"/>
      <c r="W195" s="133"/>
      <c r="X195" s="133"/>
      <c r="Y195" s="133"/>
      <c r="Z195" s="133"/>
      <c r="AA195" s="133"/>
      <c r="AB195" s="133"/>
      <c r="AC195" s="133"/>
    </row>
    <row r="196" spans="2:29" ht="15.5" hidden="1" x14ac:dyDescent="0.35">
      <c r="B196" s="132" t="s">
        <v>401</v>
      </c>
      <c r="G196" s="162"/>
      <c r="H196" s="207">
        <f ca="1">YEARFRAC(P196,P197)</f>
        <v>0.28333333333333333</v>
      </c>
      <c r="P196" s="208">
        <f ca="1">TODAY()</f>
        <v>45919</v>
      </c>
      <c r="R196" s="133"/>
      <c r="S196" s="133"/>
      <c r="T196" s="133"/>
      <c r="U196" s="133"/>
      <c r="V196" s="133"/>
      <c r="W196" s="133"/>
      <c r="X196" s="133"/>
      <c r="Y196" s="133"/>
      <c r="Z196" s="133"/>
      <c r="AA196" s="133"/>
      <c r="AB196" s="133"/>
      <c r="AC196" s="133"/>
    </row>
    <row r="197" spans="2:29" s="133" customFormat="1" ht="3.75" customHeight="1" x14ac:dyDescent="0.35">
      <c r="G197" s="209"/>
      <c r="P197" s="208">
        <v>46022</v>
      </c>
    </row>
    <row r="198" spans="2:29" ht="15.5" x14ac:dyDescent="0.35">
      <c r="B198" s="132" t="s">
        <v>402</v>
      </c>
      <c r="G198" s="162"/>
      <c r="L198" s="210" t="str">
        <f ca="1">IFERROR((#REF!*(1+$C$13))/($C$12-$C$13),"")</f>
        <v/>
      </c>
      <c r="P198" s="211"/>
      <c r="Q198" s="212" t="str">
        <f ca="1">IFERROR(+(Q192*(1+$C$13))/($C$12-$C$13),"")</f>
        <v/>
      </c>
      <c r="R198" s="133">
        <v>2025</v>
      </c>
      <c r="S198" s="133">
        <v>2026</v>
      </c>
      <c r="T198" s="663"/>
      <c r="U198" s="664"/>
      <c r="V198" s="664"/>
      <c r="W198" s="133"/>
      <c r="X198" s="133"/>
      <c r="Y198" s="133"/>
      <c r="Z198" s="133"/>
      <c r="AA198" s="133"/>
      <c r="AB198" s="133"/>
      <c r="AC198" s="133"/>
    </row>
    <row r="199" spans="2:29" ht="15.5" x14ac:dyDescent="0.35">
      <c r="B199" s="132" t="s">
        <v>403</v>
      </c>
      <c r="G199" s="162"/>
      <c r="L199" s="210" t="str">
        <f ca="1">IFERROR(L198/(1+$C$12)^#REF!,"")</f>
        <v/>
      </c>
      <c r="Q199" s="183" t="str">
        <f ca="1">IFERROR(Q198/(1+$C$12)^$Q$195,"")</f>
        <v/>
      </c>
      <c r="R199" s="724" t="e">
        <f ca="1">+Q198/(1+$C$12)^$P$195</f>
        <v>#VALUE!</v>
      </c>
      <c r="S199" s="133" t="e">
        <f ca="1">+Q198/(1+$C$12)^$O$195</f>
        <v>#VALUE!</v>
      </c>
      <c r="T199" s="664"/>
      <c r="U199" s="140"/>
      <c r="V199" s="140"/>
      <c r="W199" s="133"/>
      <c r="X199" s="133"/>
      <c r="Y199" s="133"/>
      <c r="Z199" s="133"/>
      <c r="AA199" s="133"/>
      <c r="AB199" s="133"/>
      <c r="AC199" s="133"/>
    </row>
    <row r="200" spans="2:29" ht="15.5" x14ac:dyDescent="0.35">
      <c r="B200" s="132" t="s">
        <v>404</v>
      </c>
      <c r="G200" s="162"/>
      <c r="L200" s="213"/>
      <c r="Q200" s="183">
        <f ca="1">+SUM(H193:Q193,Q199)</f>
        <v>0</v>
      </c>
      <c r="R200" s="724" t="e">
        <f ca="1">+SUM(T193:AC193,R199)</f>
        <v>#VALUE!</v>
      </c>
      <c r="S200" s="133" t="e">
        <f ca="1">+SUM(S199,U192:AC192)</f>
        <v>#VALUE!</v>
      </c>
      <c r="T200" s="664"/>
      <c r="U200" s="140"/>
      <c r="V200" s="140"/>
      <c r="W200" s="133"/>
      <c r="X200" s="133"/>
      <c r="Y200" s="133"/>
      <c r="Z200" s="133"/>
      <c r="AA200" s="133"/>
      <c r="AB200" s="133"/>
      <c r="AC200" s="133"/>
    </row>
    <row r="201" spans="2:29" ht="15.5" x14ac:dyDescent="0.35">
      <c r="B201" s="132" t="s">
        <v>405</v>
      </c>
      <c r="G201" s="162"/>
      <c r="L201" s="213"/>
      <c r="Q201" s="352"/>
      <c r="R201" s="724" t="str">
        <f>+H88</f>
        <v/>
      </c>
      <c r="S201" s="724" t="str">
        <f>+I88</f>
        <v/>
      </c>
      <c r="T201" s="137"/>
      <c r="U201" s="137"/>
      <c r="V201" s="137"/>
      <c r="W201" s="133"/>
      <c r="X201" s="133"/>
      <c r="Y201" s="133"/>
      <c r="Z201" s="133"/>
      <c r="AA201" s="133"/>
      <c r="AB201" s="133"/>
      <c r="AC201" s="133"/>
    </row>
    <row r="202" spans="2:29" ht="15.5" x14ac:dyDescent="0.35">
      <c r="B202" s="132" t="s">
        <v>406</v>
      </c>
      <c r="G202" s="162"/>
      <c r="L202" s="213"/>
      <c r="Q202" s="352">
        <v>0</v>
      </c>
      <c r="R202" s="724">
        <f>+Q202</f>
        <v>0</v>
      </c>
      <c r="S202" s="724">
        <f>+Q202</f>
        <v>0</v>
      </c>
      <c r="T202" s="137"/>
      <c r="U202" s="137"/>
      <c r="V202" s="137"/>
      <c r="W202" s="133"/>
      <c r="X202" s="133"/>
      <c r="Y202" s="133"/>
      <c r="Z202" s="133"/>
      <c r="AA202" s="133"/>
      <c r="AB202" s="133"/>
      <c r="AC202" s="133"/>
    </row>
    <row r="203" spans="2:29" ht="15.5" x14ac:dyDescent="0.35">
      <c r="B203" s="132" t="s">
        <v>407</v>
      </c>
      <c r="G203" s="162"/>
      <c r="M203" s="214"/>
      <c r="Q203" s="352">
        <v>0</v>
      </c>
      <c r="R203" s="724">
        <f>+Q203</f>
        <v>0</v>
      </c>
      <c r="S203" s="724">
        <f>+Q203</f>
        <v>0</v>
      </c>
      <c r="T203" s="137"/>
      <c r="U203" s="137"/>
      <c r="V203" s="137"/>
      <c r="W203" s="133"/>
      <c r="X203" s="133"/>
      <c r="Y203" s="133"/>
      <c r="Z203" s="133"/>
      <c r="AA203" s="133"/>
      <c r="AB203" s="133"/>
      <c r="AC203" s="133"/>
    </row>
    <row r="204" spans="2:29" ht="15.5" x14ac:dyDescent="0.35">
      <c r="B204" s="132" t="s">
        <v>408</v>
      </c>
      <c r="G204" s="162"/>
      <c r="Q204" s="352">
        <v>0</v>
      </c>
      <c r="R204" s="724">
        <f>+H116</f>
        <v>0</v>
      </c>
      <c r="S204" s="724" t="str">
        <f>+I116</f>
        <v/>
      </c>
      <c r="T204" s="137"/>
      <c r="U204" s="137"/>
      <c r="V204" s="137"/>
      <c r="W204" s="133"/>
      <c r="X204" s="133"/>
      <c r="Y204" s="133"/>
      <c r="Z204" s="133"/>
      <c r="AA204" s="133"/>
      <c r="AB204" s="133"/>
      <c r="AC204" s="133"/>
    </row>
    <row r="205" spans="2:29" ht="15.5" x14ac:dyDescent="0.35">
      <c r="B205" s="132" t="s">
        <v>153</v>
      </c>
      <c r="G205" s="162"/>
      <c r="Q205" s="183">
        <f ca="1">Q200+Q201-Q202-Q203-Q204</f>
        <v>0</v>
      </c>
      <c r="R205" s="724" t="e">
        <f ca="1">R200+R201-R202-R203-R204</f>
        <v>#VALUE!</v>
      </c>
      <c r="S205" s="724" t="e">
        <f ca="1">S200+S201-S202-S203-S204</f>
        <v>#VALUE!</v>
      </c>
      <c r="T205" s="137"/>
      <c r="U205" s="137"/>
      <c r="V205" s="137"/>
      <c r="W205" s="133"/>
      <c r="X205" s="133"/>
      <c r="Y205" s="133"/>
      <c r="Z205" s="133"/>
      <c r="AA205" s="133"/>
      <c r="AB205" s="133"/>
      <c r="AC205" s="133"/>
    </row>
    <row r="206" spans="2:29" ht="3.75" customHeight="1" x14ac:dyDescent="0.35">
      <c r="G206" s="162"/>
      <c r="Q206" s="215"/>
      <c r="R206" s="137"/>
      <c r="S206" s="137"/>
      <c r="T206" s="137"/>
      <c r="U206" s="137"/>
      <c r="V206" s="137"/>
      <c r="W206" s="133"/>
      <c r="X206" s="133"/>
      <c r="Y206" s="133"/>
      <c r="Z206" s="133"/>
      <c r="AA206" s="133"/>
      <c r="AB206" s="133"/>
      <c r="AC206" s="133"/>
    </row>
    <row r="207" spans="2:29" ht="15.5" x14ac:dyDescent="0.35">
      <c r="B207" s="132" t="s">
        <v>409</v>
      </c>
      <c r="G207" s="162"/>
      <c r="O207" s="167"/>
      <c r="Q207" s="212" cm="1">
        <f t="array" aca="1" ref="Q207" ca="1">IFERROR(_FV(R4,"Shares outstanding",TRUE)/1000000,"")</f>
        <v>1622.8440000000001</v>
      </c>
      <c r="R207" s="137"/>
      <c r="S207" s="137"/>
      <c r="T207" s="137"/>
      <c r="U207" s="137"/>
      <c r="V207" s="137"/>
      <c r="W207" s="133"/>
      <c r="X207" s="133"/>
      <c r="Y207" s="133"/>
      <c r="Z207" s="133"/>
      <c r="AA207" s="133"/>
      <c r="AB207" s="133"/>
      <c r="AC207" s="133"/>
    </row>
    <row r="208" spans="2:29" ht="15.5" x14ac:dyDescent="0.35">
      <c r="B208" s="164" t="s">
        <v>410</v>
      </c>
      <c r="G208" s="162"/>
      <c r="N208" s="216"/>
      <c r="Q208" s="217">
        <f ca="1">IFERROR(Q205/Q$207,"")</f>
        <v>0</v>
      </c>
      <c r="R208" s="137"/>
      <c r="S208" s="137"/>
      <c r="T208" s="137"/>
      <c r="U208" s="137"/>
      <c r="V208" s="137"/>
      <c r="W208" s="133"/>
      <c r="X208" s="133"/>
      <c r="Y208" s="133"/>
      <c r="Z208" s="133"/>
      <c r="AA208" s="133"/>
      <c r="AB208" s="133"/>
      <c r="AC208" s="133"/>
    </row>
    <row r="209" spans="1:29" ht="3.75" customHeight="1" x14ac:dyDescent="0.35">
      <c r="G209" s="162"/>
      <c r="R209" s="137"/>
      <c r="S209" s="137"/>
      <c r="T209" s="137"/>
      <c r="U209" s="137"/>
      <c r="V209" s="137"/>
      <c r="W209" s="133"/>
      <c r="X209" s="133"/>
      <c r="Y209" s="133"/>
      <c r="Z209" s="133"/>
      <c r="AA209" s="133"/>
      <c r="AB209" s="133"/>
      <c r="AC209" s="133"/>
    </row>
    <row r="210" spans="1:29" ht="15.5" x14ac:dyDescent="0.35">
      <c r="B210" s="132" t="s">
        <v>411</v>
      </c>
      <c r="G210" s="162"/>
      <c r="Q210" s="217" cm="1">
        <f t="array" aca="1" ref="Q210" ca="1">IFERROR(_FV(R4,"Price"),"")</f>
        <v>156.6514</v>
      </c>
      <c r="R210" s="133"/>
      <c r="S210" s="133"/>
      <c r="T210" s="133"/>
      <c r="U210" s="133"/>
      <c r="V210" s="133"/>
      <c r="W210" s="133"/>
      <c r="X210" s="133"/>
      <c r="Y210" s="133"/>
      <c r="Z210" s="133"/>
      <c r="AA210" s="133"/>
      <c r="AB210" s="133"/>
      <c r="AC210" s="133"/>
    </row>
    <row r="211" spans="1:29" ht="15.5" x14ac:dyDescent="0.35">
      <c r="B211" s="164" t="s">
        <v>412</v>
      </c>
      <c r="C211" s="164"/>
      <c r="D211" s="164"/>
      <c r="E211" s="164"/>
      <c r="F211" s="164"/>
      <c r="G211" s="218"/>
      <c r="H211" s="164"/>
      <c r="I211" s="164"/>
      <c r="J211" s="164"/>
      <c r="K211" s="164"/>
      <c r="L211" s="164"/>
      <c r="M211" s="164"/>
      <c r="N211" s="164"/>
      <c r="O211" s="164"/>
      <c r="P211" s="164"/>
      <c r="Q211" s="219">
        <f ca="1">IFERROR(Q208/Q210-1,"")</f>
        <v>-1</v>
      </c>
      <c r="R211" s="133"/>
      <c r="S211" s="133"/>
      <c r="T211" s="133"/>
      <c r="U211" s="133"/>
      <c r="V211" s="133"/>
      <c r="W211" s="133"/>
      <c r="X211" s="133"/>
      <c r="Y211" s="133"/>
      <c r="Z211" s="133"/>
      <c r="AA211" s="133"/>
      <c r="AB211" s="133"/>
      <c r="AC211" s="133"/>
    </row>
    <row r="212" spans="1:29" ht="5.25" customHeight="1" x14ac:dyDescent="0.35">
      <c r="B212" s="164"/>
      <c r="C212" s="164"/>
      <c r="D212" s="164"/>
      <c r="E212" s="164"/>
      <c r="F212" s="164"/>
      <c r="G212" s="218"/>
      <c r="H212" s="164"/>
      <c r="I212" s="164"/>
      <c r="J212" s="164"/>
      <c r="K212" s="164"/>
      <c r="L212" s="164"/>
      <c r="M212" s="164"/>
      <c r="N212" s="164"/>
      <c r="O212" s="164"/>
      <c r="P212" s="164"/>
      <c r="Q212" s="219"/>
      <c r="R212" s="133"/>
      <c r="S212" s="133"/>
      <c r="T212" s="133"/>
      <c r="U212" s="133"/>
      <c r="V212" s="133"/>
      <c r="W212" s="133"/>
      <c r="X212" s="133"/>
      <c r="Y212" s="133"/>
      <c r="Z212" s="133"/>
      <c r="AA212" s="133"/>
      <c r="AB212" s="133"/>
      <c r="AC212" s="133"/>
    </row>
    <row r="213" spans="1:29" ht="15.5" x14ac:dyDescent="0.35">
      <c r="A213" s="132" t="s">
        <v>300</v>
      </c>
      <c r="B213" s="52" t="s">
        <v>413</v>
      </c>
      <c r="C213" s="52"/>
      <c r="D213" s="52"/>
      <c r="E213" s="143">
        <f>E168</f>
        <v>2022</v>
      </c>
      <c r="F213" s="143">
        <f t="shared" ref="F213:Q213" si="110">F168</f>
        <v>2023</v>
      </c>
      <c r="G213" s="143">
        <f t="shared" si="110"/>
        <v>2024</v>
      </c>
      <c r="H213" s="143">
        <f t="shared" si="110"/>
        <v>2025</v>
      </c>
      <c r="I213" s="143">
        <f t="shared" si="110"/>
        <v>2026</v>
      </c>
      <c r="J213" s="143">
        <f t="shared" si="110"/>
        <v>2027</v>
      </c>
      <c r="K213" s="143">
        <f t="shared" si="110"/>
        <v>2028</v>
      </c>
      <c r="L213" s="143">
        <f t="shared" si="110"/>
        <v>2029</v>
      </c>
      <c r="M213" s="143">
        <f t="shared" si="110"/>
        <v>2030</v>
      </c>
      <c r="N213" s="143">
        <f t="shared" si="110"/>
        <v>2031</v>
      </c>
      <c r="O213" s="143">
        <f t="shared" si="110"/>
        <v>2032</v>
      </c>
      <c r="P213" s="143">
        <f t="shared" si="110"/>
        <v>2033</v>
      </c>
      <c r="Q213" s="143">
        <f t="shared" si="110"/>
        <v>2034</v>
      </c>
      <c r="R213" s="133"/>
      <c r="S213" s="133"/>
      <c r="T213" s="133"/>
      <c r="U213" s="133"/>
      <c r="V213" s="133"/>
      <c r="W213" s="133"/>
      <c r="X213" s="133"/>
      <c r="Y213" s="133"/>
      <c r="Z213" s="133"/>
      <c r="AA213" s="133"/>
      <c r="AB213" s="133"/>
      <c r="AC213" s="133"/>
    </row>
    <row r="214" spans="1:29" ht="3.75" customHeight="1" x14ac:dyDescent="0.35">
      <c r="B214" s="53"/>
      <c r="C214" s="53"/>
      <c r="D214" s="53"/>
      <c r="E214" s="53"/>
      <c r="F214" s="53"/>
      <c r="G214" s="180"/>
      <c r="H214" s="53"/>
      <c r="I214" s="53"/>
      <c r="J214" s="53"/>
      <c r="K214" s="53"/>
      <c r="L214" s="53"/>
      <c r="M214" s="53"/>
      <c r="N214" s="53"/>
      <c r="O214" s="53"/>
      <c r="P214" s="53"/>
      <c r="Q214" s="53"/>
      <c r="R214" s="133"/>
      <c r="S214" s="133"/>
      <c r="T214" s="133"/>
      <c r="U214" s="133"/>
      <c r="V214" s="133"/>
      <c r="W214" s="133"/>
      <c r="X214" s="133"/>
      <c r="Y214" s="133"/>
      <c r="Z214" s="133"/>
      <c r="AA214" s="133"/>
      <c r="AB214" s="133"/>
      <c r="AC214" s="133"/>
    </row>
    <row r="215" spans="1:29" ht="15.5" x14ac:dyDescent="0.35">
      <c r="B215" s="198" t="s">
        <v>414</v>
      </c>
      <c r="C215" s="199"/>
      <c r="D215" s="199"/>
      <c r="E215" s="200"/>
      <c r="F215" s="200"/>
      <c r="G215" s="201"/>
      <c r="H215" s="200" t="str">
        <f ca="1">IFERROR(H192/(1+WACC!$G$16)^H195,"")</f>
        <v/>
      </c>
      <c r="I215" s="200" t="str">
        <f ca="1">IFERROR(I192/(1+WACC!$G$16)^I195,"")</f>
        <v/>
      </c>
      <c r="J215" s="200" t="str">
        <f ca="1">IFERROR(J192/(1+WACC!$G$16)^J195,"")</f>
        <v/>
      </c>
      <c r="K215" s="200" t="str">
        <f ca="1">IFERROR(K192/(1+WACC!$G$16)^K195,"")</f>
        <v/>
      </c>
      <c r="L215" s="200" t="str">
        <f ca="1">IFERROR(L192/(1+WACC!$G$16)^L195,"")</f>
        <v/>
      </c>
      <c r="M215" s="200" t="str">
        <f ca="1">IFERROR(M192/(1+WACC!$G$16)^M195,"")</f>
        <v/>
      </c>
      <c r="N215" s="200" t="str">
        <f ca="1">IFERROR(N192/(1+WACC!$G$16)^N195,"")</f>
        <v/>
      </c>
      <c r="O215" s="200" t="str">
        <f ca="1">IFERROR(O192/(1+WACC!$G$16)^O195,"")</f>
        <v/>
      </c>
      <c r="P215" s="200" t="str">
        <f ca="1">IFERROR(P192/(1+WACC!$G$16)^P195,"")</f>
        <v/>
      </c>
      <c r="Q215" s="661" t="str">
        <f ca="1">IFERROR(Q192/(1+WACC!$G$16)^Q195,"")</f>
        <v/>
      </c>
      <c r="R215" s="133"/>
      <c r="S215" s="133"/>
      <c r="T215" s="133"/>
      <c r="U215" s="133"/>
      <c r="V215" s="133"/>
      <c r="W215" s="133"/>
      <c r="X215" s="133"/>
      <c r="Y215" s="133"/>
      <c r="Z215" s="133"/>
      <c r="AA215" s="133"/>
      <c r="AB215" s="133"/>
      <c r="AC215" s="133"/>
    </row>
    <row r="216" spans="1:29" ht="15.5" x14ac:dyDescent="0.35">
      <c r="B216" s="202" t="s">
        <v>415</v>
      </c>
      <c r="C216" s="203"/>
      <c r="D216" s="203"/>
      <c r="E216" s="203"/>
      <c r="F216" s="203"/>
      <c r="G216" s="204"/>
      <c r="H216" s="205" t="str">
        <f ca="1">IFERROR((H65*H79)/(1+WACC!$G$20)^H195,"")</f>
        <v/>
      </c>
      <c r="I216" s="205" t="str">
        <f ca="1">IFERROR((I65*I79)/(1+WACC!$G$20)^I195,"")</f>
        <v/>
      </c>
      <c r="J216" s="205" t="str">
        <f ca="1">IFERROR((J65*J79)/(1+WACC!$G$20)^J195,"")</f>
        <v/>
      </c>
      <c r="K216" s="205" t="str">
        <f ca="1">IFERROR((K65*K79)/(1+WACC!$G$20)^K195,"")</f>
        <v/>
      </c>
      <c r="L216" s="205" t="str">
        <f ca="1">IFERROR((L65*L79)/(1+WACC!$G$20)^L195,"")</f>
        <v/>
      </c>
      <c r="M216" s="205" t="str">
        <f ca="1">IFERROR((M65*M79)/(1+WACC!$G$20)^M195,"")</f>
        <v/>
      </c>
      <c r="N216" s="205" t="str">
        <f ca="1">IFERROR((N65*N79)/(1+WACC!$G$20)^N195,"")</f>
        <v/>
      </c>
      <c r="O216" s="205" t="str">
        <f ca="1">IFERROR((O65*O79)/(1+WACC!$G$20)^O195,"")</f>
        <v/>
      </c>
      <c r="P216" s="205" t="str">
        <f ca="1">IFERROR((P65*P79)/(1+WACC!$G$20)^P195,"")</f>
        <v/>
      </c>
      <c r="Q216" s="662" t="str">
        <f ca="1">IFERROR((Q65*Q79)/(1+WACC!$G$20)^Q195,"")</f>
        <v/>
      </c>
      <c r="R216" s="133"/>
      <c r="S216" s="133"/>
      <c r="T216" s="133"/>
      <c r="U216" s="133"/>
      <c r="V216" s="133"/>
      <c r="W216" s="133"/>
      <c r="X216" s="133"/>
      <c r="Y216" s="133"/>
      <c r="Z216" s="133"/>
      <c r="AA216" s="133"/>
      <c r="AB216" s="133"/>
      <c r="AC216" s="133"/>
    </row>
    <row r="217" spans="1:29" ht="3.75" customHeight="1" x14ac:dyDescent="0.35">
      <c r="B217" s="164"/>
      <c r="C217" s="164"/>
      <c r="D217" s="164"/>
      <c r="E217" s="164"/>
      <c r="F217" s="164"/>
      <c r="G217" s="218"/>
      <c r="H217" s="164"/>
      <c r="I217" s="164"/>
      <c r="J217" s="164"/>
      <c r="K217" s="164"/>
      <c r="L217" s="164"/>
      <c r="M217" s="164"/>
      <c r="N217" s="164"/>
      <c r="O217" s="164"/>
      <c r="P217" s="164"/>
      <c r="Q217" s="219"/>
      <c r="R217" s="133"/>
      <c r="S217" s="133"/>
      <c r="T217" s="133"/>
      <c r="U217" s="133"/>
      <c r="V217" s="133"/>
      <c r="W217" s="133"/>
      <c r="X217" s="133"/>
      <c r="Y217" s="133"/>
      <c r="Z217" s="133"/>
      <c r="AA217" s="133"/>
      <c r="AB217" s="133"/>
      <c r="AC217" s="133"/>
    </row>
    <row r="218" spans="1:29" ht="15.5" x14ac:dyDescent="0.35">
      <c r="B218" s="132" t="s">
        <v>416</v>
      </c>
      <c r="C218" s="164"/>
      <c r="D218" s="164"/>
      <c r="E218" s="164"/>
      <c r="F218" s="164"/>
      <c r="G218" s="218"/>
      <c r="H218" s="164"/>
      <c r="I218" s="164"/>
      <c r="J218" s="164"/>
      <c r="K218" s="164"/>
      <c r="L218" s="164"/>
      <c r="M218" s="164"/>
      <c r="N218" s="164"/>
      <c r="O218" s="164"/>
      <c r="P218" s="164"/>
      <c r="Q218" s="183" t="str">
        <f ca="1">IFERROR((Q192*(1+$C$13))/(WACC!$G$16-DCF!$C$13),"")</f>
        <v/>
      </c>
      <c r="R218" s="133"/>
      <c r="S218" s="133"/>
      <c r="T218" s="133"/>
      <c r="U218" s="133"/>
      <c r="V218" s="133"/>
      <c r="W218" s="133"/>
      <c r="X218" s="133"/>
      <c r="Y218" s="133"/>
      <c r="Z218" s="133"/>
      <c r="AA218" s="133"/>
      <c r="AB218" s="133"/>
      <c r="AC218" s="133"/>
    </row>
    <row r="219" spans="1:29" ht="15.5" x14ac:dyDescent="0.35">
      <c r="B219" s="132" t="s">
        <v>417</v>
      </c>
      <c r="C219" s="164"/>
      <c r="D219" s="164"/>
      <c r="E219" s="164"/>
      <c r="F219" s="164"/>
      <c r="G219" s="218"/>
      <c r="H219" s="164"/>
      <c r="I219" s="164"/>
      <c r="J219" s="164"/>
      <c r="K219" s="164"/>
      <c r="L219" s="164"/>
      <c r="M219" s="164"/>
      <c r="N219" s="164"/>
      <c r="O219" s="164"/>
      <c r="P219" s="164"/>
      <c r="Q219" s="183" t="str">
        <f ca="1">IFERROR(Q218/(1+WACC!$G$16)^$Q$195,"")</f>
        <v/>
      </c>
      <c r="R219" s="133"/>
      <c r="S219" s="133"/>
      <c r="T219" s="133"/>
      <c r="U219" s="133"/>
      <c r="V219" s="133"/>
      <c r="W219" s="133"/>
      <c r="X219" s="133"/>
      <c r="Y219" s="133"/>
      <c r="Z219" s="133"/>
      <c r="AA219" s="133"/>
      <c r="AB219" s="133"/>
      <c r="AC219" s="133"/>
    </row>
    <row r="220" spans="1:29" ht="15.5" x14ac:dyDescent="0.35">
      <c r="B220" s="132" t="s">
        <v>418</v>
      </c>
      <c r="C220" s="164"/>
      <c r="D220" s="164"/>
      <c r="E220" s="164"/>
      <c r="F220" s="164"/>
      <c r="G220" s="218"/>
      <c r="H220" s="164"/>
      <c r="I220" s="164"/>
      <c r="J220" s="164"/>
      <c r="K220" s="164"/>
      <c r="L220" s="164"/>
      <c r="M220" s="164"/>
      <c r="N220" s="164"/>
      <c r="O220" s="164"/>
      <c r="P220" s="164"/>
      <c r="Q220" s="183" t="str">
        <f ca="1">IFERROR((Q216*(1+$C$13))/(WACC!$G$16-$C$13),"")</f>
        <v/>
      </c>
      <c r="R220" s="133"/>
      <c r="S220" s="133"/>
      <c r="T220" s="133"/>
      <c r="U220" s="133"/>
      <c r="V220" s="133"/>
      <c r="W220" s="133"/>
      <c r="X220" s="133"/>
      <c r="Y220" s="133"/>
      <c r="Z220" s="133"/>
      <c r="AA220" s="133"/>
      <c r="AB220" s="133"/>
      <c r="AC220" s="133"/>
    </row>
    <row r="221" spans="1:29" ht="15.5" x14ac:dyDescent="0.35">
      <c r="B221" s="132" t="s">
        <v>419</v>
      </c>
      <c r="C221" s="164"/>
      <c r="D221" s="164"/>
      <c r="E221" s="164"/>
      <c r="F221" s="164"/>
      <c r="G221" s="218"/>
      <c r="H221" s="164"/>
      <c r="I221" s="164"/>
      <c r="J221" s="164"/>
      <c r="K221" s="164"/>
      <c r="L221" s="164"/>
      <c r="M221" s="164"/>
      <c r="N221" s="164"/>
      <c r="O221" s="164"/>
      <c r="P221" s="164"/>
      <c r="Q221" s="183" t="str">
        <f ca="1">IFERROR(Q220/(1+WACC!$G$18)^$Q$195,"")</f>
        <v/>
      </c>
      <c r="R221" s="133"/>
      <c r="S221" s="133"/>
      <c r="T221" s="133"/>
      <c r="U221" s="133"/>
      <c r="V221" s="133"/>
      <c r="W221" s="133"/>
      <c r="X221" s="133"/>
      <c r="Y221" s="133"/>
      <c r="Z221" s="133"/>
      <c r="AA221" s="133"/>
      <c r="AB221" s="133"/>
      <c r="AC221" s="133"/>
    </row>
    <row r="222" spans="1:29" ht="15.5" x14ac:dyDescent="0.35">
      <c r="B222" s="132" t="s">
        <v>420</v>
      </c>
      <c r="G222" s="162"/>
      <c r="Q222" s="183">
        <f ca="1">+SUM(H215:Q216,Q219,Q221)</f>
        <v>0</v>
      </c>
      <c r="R222" s="133"/>
      <c r="S222" s="133"/>
      <c r="T222" s="133"/>
      <c r="U222" s="133"/>
      <c r="V222" s="133"/>
      <c r="W222" s="133"/>
      <c r="X222" s="133"/>
      <c r="Y222" s="133"/>
      <c r="Z222" s="133"/>
      <c r="AA222" s="133"/>
      <c r="AB222" s="133"/>
      <c r="AC222" s="133"/>
    </row>
    <row r="223" spans="1:29" ht="15.5" x14ac:dyDescent="0.35">
      <c r="B223" s="132" t="s">
        <v>153</v>
      </c>
      <c r="G223" s="162"/>
      <c r="Q223" s="183">
        <f ca="1">+Q222-Q201+Q202+Q203+Q204</f>
        <v>0</v>
      </c>
      <c r="R223" s="133"/>
      <c r="S223" s="133"/>
      <c r="T223" s="133"/>
      <c r="U223" s="133"/>
      <c r="V223" s="133"/>
      <c r="W223" s="133"/>
      <c r="X223" s="133"/>
      <c r="Y223" s="133"/>
      <c r="Z223" s="133"/>
      <c r="AA223" s="133"/>
      <c r="AB223" s="133"/>
      <c r="AC223" s="133"/>
    </row>
    <row r="224" spans="1:29" ht="15.5" x14ac:dyDescent="0.35">
      <c r="B224" s="164" t="s">
        <v>410</v>
      </c>
      <c r="C224" s="164"/>
      <c r="D224" s="164"/>
      <c r="E224" s="164"/>
      <c r="F224" s="164"/>
      <c r="G224" s="218"/>
      <c r="H224" s="164"/>
      <c r="I224" s="164"/>
      <c r="J224" s="164"/>
      <c r="K224" s="164"/>
      <c r="L224" s="164"/>
      <c r="M224" s="164"/>
      <c r="N224" s="164"/>
      <c r="O224" s="164"/>
      <c r="P224" s="164"/>
      <c r="Q224" s="418">
        <f ca="1">IFERROR(Q223/Q207,"")</f>
        <v>0</v>
      </c>
      <c r="R224" s="133"/>
      <c r="S224" s="133"/>
      <c r="T224" s="133"/>
      <c r="U224" s="133"/>
      <c r="V224" s="133"/>
      <c r="W224" s="133"/>
      <c r="X224" s="133"/>
      <c r="Y224" s="133"/>
      <c r="Z224" s="133"/>
      <c r="AA224" s="133"/>
      <c r="AB224" s="133"/>
      <c r="AC224" s="133"/>
    </row>
    <row r="225" spans="1:29" ht="3.75" customHeight="1" x14ac:dyDescent="0.35">
      <c r="B225" s="164"/>
      <c r="C225" s="164"/>
      <c r="D225" s="164"/>
      <c r="E225" s="164"/>
      <c r="F225" s="164"/>
      <c r="G225" s="218"/>
      <c r="H225" s="164"/>
      <c r="I225" s="164"/>
      <c r="J225" s="164"/>
      <c r="K225" s="164"/>
      <c r="L225" s="164"/>
      <c r="M225" s="164"/>
      <c r="N225" s="164"/>
      <c r="O225" s="164"/>
      <c r="P225" s="164"/>
      <c r="Q225" s="418"/>
      <c r="R225" s="133"/>
      <c r="S225" s="133"/>
      <c r="T225" s="133"/>
      <c r="U225" s="133"/>
      <c r="V225" s="133"/>
      <c r="W225" s="133"/>
      <c r="X225" s="133"/>
      <c r="Y225" s="133"/>
      <c r="Z225" s="133"/>
      <c r="AA225" s="133"/>
      <c r="AB225" s="133"/>
      <c r="AC225" s="133"/>
    </row>
    <row r="226" spans="1:29" ht="15.5" x14ac:dyDescent="0.35">
      <c r="B226" s="419" t="s">
        <v>412</v>
      </c>
      <c r="C226" s="164"/>
      <c r="D226" s="164"/>
      <c r="E226" s="164"/>
      <c r="F226" s="164"/>
      <c r="G226" s="218"/>
      <c r="H226" s="164"/>
      <c r="I226" s="164"/>
      <c r="J226" s="164"/>
      <c r="K226" s="164"/>
      <c r="L226" s="164"/>
      <c r="M226" s="164"/>
      <c r="N226" s="164"/>
      <c r="O226" s="164"/>
      <c r="P226" s="164"/>
      <c r="Q226" s="219">
        <f ca="1">IFERROR(Q224/Q210-1,"")</f>
        <v>-1</v>
      </c>
      <c r="R226" s="133"/>
      <c r="S226" s="133"/>
      <c r="T226" s="133"/>
      <c r="U226" s="133"/>
      <c r="V226" s="133"/>
      <c r="W226" s="133"/>
      <c r="X226" s="133"/>
      <c r="Y226" s="133"/>
      <c r="Z226" s="133"/>
      <c r="AA226" s="133"/>
      <c r="AB226" s="133"/>
      <c r="AC226" s="133"/>
    </row>
    <row r="227" spans="1:29" ht="3.75" customHeight="1" x14ac:dyDescent="0.35">
      <c r="G227" s="162"/>
    </row>
    <row r="228" spans="1:29" ht="15.5" x14ac:dyDescent="0.35">
      <c r="A228" s="132" t="s">
        <v>300</v>
      </c>
      <c r="B228" s="52" t="s">
        <v>421</v>
      </c>
      <c r="C228" s="52"/>
      <c r="D228" s="52"/>
      <c r="E228" s="143">
        <f>E28</f>
        <v>2022</v>
      </c>
      <c r="F228" s="143">
        <f>F28</f>
        <v>2023</v>
      </c>
      <c r="G228" s="144">
        <f>G28</f>
        <v>2024</v>
      </c>
      <c r="H228" s="105">
        <f t="shared" ref="H228:Q228" si="111">1+G228</f>
        <v>2025</v>
      </c>
      <c r="I228" s="105">
        <f t="shared" si="111"/>
        <v>2026</v>
      </c>
      <c r="J228" s="105">
        <f t="shared" si="111"/>
        <v>2027</v>
      </c>
      <c r="K228" s="105">
        <f t="shared" si="111"/>
        <v>2028</v>
      </c>
      <c r="L228" s="105">
        <f t="shared" si="111"/>
        <v>2029</v>
      </c>
      <c r="M228" s="105">
        <f t="shared" si="111"/>
        <v>2030</v>
      </c>
      <c r="N228" s="105">
        <f t="shared" si="111"/>
        <v>2031</v>
      </c>
      <c r="O228" s="105">
        <f t="shared" si="111"/>
        <v>2032</v>
      </c>
      <c r="P228" s="105">
        <f t="shared" si="111"/>
        <v>2033</v>
      </c>
      <c r="Q228" s="105">
        <f t="shared" si="111"/>
        <v>2034</v>
      </c>
    </row>
    <row r="229" spans="1:29" ht="3.75" customHeight="1" x14ac:dyDescent="0.35">
      <c r="B229" s="53"/>
      <c r="C229" s="53"/>
      <c r="D229" s="53"/>
      <c r="E229" s="53"/>
      <c r="F229" s="53"/>
      <c r="G229" s="220"/>
      <c r="H229" s="53"/>
      <c r="I229" s="53"/>
      <c r="J229" s="53"/>
      <c r="K229" s="53"/>
      <c r="L229" s="53"/>
      <c r="M229" s="53"/>
      <c r="N229" s="53"/>
      <c r="O229" s="53"/>
      <c r="P229" s="53"/>
      <c r="Q229" s="53"/>
    </row>
    <row r="230" spans="1:29" ht="15.5" x14ac:dyDescent="0.35">
      <c r="B230" s="132" t="s">
        <v>320</v>
      </c>
      <c r="E230" s="166">
        <f>+E59</f>
        <v>0</v>
      </c>
      <c r="F230" s="166">
        <f>+F59</f>
        <v>0</v>
      </c>
      <c r="G230" s="197">
        <f>+G59</f>
        <v>0</v>
      </c>
      <c r="H230" s="191" t="str">
        <f>+H59</f>
        <v/>
      </c>
      <c r="I230" s="191" t="str">
        <f t="shared" ref="I230:Q230" si="112">+I59</f>
        <v/>
      </c>
      <c r="J230" s="191" t="str">
        <f t="shared" si="112"/>
        <v/>
      </c>
      <c r="K230" s="191" t="str">
        <f t="shared" si="112"/>
        <v/>
      </c>
      <c r="L230" s="191" t="str">
        <f t="shared" si="112"/>
        <v/>
      </c>
      <c r="M230" s="191" t="str">
        <f t="shared" si="112"/>
        <v/>
      </c>
      <c r="N230" s="191" t="str">
        <f t="shared" si="112"/>
        <v/>
      </c>
      <c r="O230" s="191" t="str">
        <f t="shared" si="112"/>
        <v/>
      </c>
      <c r="P230" s="191" t="str">
        <f t="shared" si="112"/>
        <v/>
      </c>
      <c r="Q230" s="191" t="str">
        <f t="shared" si="112"/>
        <v/>
      </c>
    </row>
    <row r="231" spans="1:29" ht="3.75" customHeight="1" x14ac:dyDescent="0.35">
      <c r="G231" s="162"/>
    </row>
    <row r="232" spans="1:29" ht="15" customHeight="1" x14ac:dyDescent="0.35">
      <c r="B232" s="132" t="s">
        <v>224</v>
      </c>
      <c r="E232" s="183">
        <f>+E81</f>
        <v>0</v>
      </c>
      <c r="F232" s="183">
        <f t="shared" ref="F232:Q232" si="113">+F81</f>
        <v>0</v>
      </c>
      <c r="G232" s="221">
        <f t="shared" si="113"/>
        <v>0</v>
      </c>
      <c r="H232" s="183" t="str">
        <f t="shared" si="113"/>
        <v/>
      </c>
      <c r="I232" s="183" t="str">
        <f t="shared" si="113"/>
        <v/>
      </c>
      <c r="J232" s="183" t="str">
        <f t="shared" si="113"/>
        <v/>
      </c>
      <c r="K232" s="183" t="str">
        <f t="shared" si="113"/>
        <v/>
      </c>
      <c r="L232" s="183" t="str">
        <f t="shared" si="113"/>
        <v/>
      </c>
      <c r="M232" s="183" t="str">
        <f t="shared" si="113"/>
        <v/>
      </c>
      <c r="N232" s="183" t="str">
        <f t="shared" si="113"/>
        <v/>
      </c>
      <c r="O232" s="183" t="str">
        <f t="shared" si="113"/>
        <v/>
      </c>
      <c r="P232" s="183" t="str">
        <f t="shared" si="113"/>
        <v/>
      </c>
      <c r="Q232" s="183" t="str">
        <f t="shared" si="113"/>
        <v/>
      </c>
    </row>
    <row r="233" spans="1:29" ht="3.75" customHeight="1" x14ac:dyDescent="0.35">
      <c r="G233" s="162"/>
    </row>
    <row r="234" spans="1:29" ht="15" customHeight="1" x14ac:dyDescent="0.35">
      <c r="B234" s="132" t="s">
        <v>343</v>
      </c>
      <c r="E234" s="222">
        <f t="shared" ref="E234:Q234" si="114">+E123</f>
        <v>0</v>
      </c>
      <c r="F234" s="222">
        <f t="shared" si="114"/>
        <v>0</v>
      </c>
      <c r="G234" s="223">
        <f t="shared" si="114"/>
        <v>0</v>
      </c>
      <c r="H234" s="222" t="str">
        <f t="shared" si="114"/>
        <v/>
      </c>
      <c r="I234" s="222" t="str">
        <f t="shared" si="114"/>
        <v/>
      </c>
      <c r="J234" s="222" t="str">
        <f t="shared" si="114"/>
        <v/>
      </c>
      <c r="K234" s="222" t="str">
        <f t="shared" si="114"/>
        <v/>
      </c>
      <c r="L234" s="222" t="str">
        <f t="shared" si="114"/>
        <v/>
      </c>
      <c r="M234" s="222" t="str">
        <f t="shared" si="114"/>
        <v/>
      </c>
      <c r="N234" s="222" t="str">
        <f t="shared" si="114"/>
        <v/>
      </c>
      <c r="O234" s="222" t="str">
        <f t="shared" si="114"/>
        <v/>
      </c>
      <c r="P234" s="222" t="str">
        <f t="shared" si="114"/>
        <v/>
      </c>
      <c r="Q234" s="222" t="str">
        <f t="shared" si="114"/>
        <v/>
      </c>
    </row>
    <row r="235" spans="1:29" ht="4" customHeight="1" x14ac:dyDescent="0.35">
      <c r="B235" s="167"/>
      <c r="E235" s="224"/>
      <c r="F235" s="224"/>
      <c r="G235" s="225"/>
      <c r="H235" s="226"/>
      <c r="I235" s="226"/>
      <c r="J235" s="226"/>
      <c r="K235" s="226"/>
      <c r="L235" s="226"/>
      <c r="M235" s="226"/>
      <c r="N235" s="226"/>
      <c r="O235" s="226"/>
      <c r="P235" s="226"/>
      <c r="Q235" s="226"/>
    </row>
    <row r="236" spans="1:29" ht="13.5" customHeight="1" x14ac:dyDescent="0.35">
      <c r="B236" s="132" t="s">
        <v>376</v>
      </c>
      <c r="E236" s="183">
        <f>+E125</f>
        <v>0</v>
      </c>
      <c r="F236" s="183">
        <f t="shared" ref="F236:Q236" si="115">+F125</f>
        <v>0</v>
      </c>
      <c r="G236" s="221">
        <f t="shared" si="115"/>
        <v>0</v>
      </c>
      <c r="H236" s="183" t="str">
        <f t="shared" si="115"/>
        <v/>
      </c>
      <c r="I236" s="183" t="str">
        <f t="shared" si="115"/>
        <v/>
      </c>
      <c r="J236" s="183" t="str">
        <f t="shared" si="115"/>
        <v/>
      </c>
      <c r="K236" s="183" t="str">
        <f t="shared" si="115"/>
        <v/>
      </c>
      <c r="L236" s="183" t="str">
        <f t="shared" si="115"/>
        <v/>
      </c>
      <c r="M236" s="183" t="str">
        <f t="shared" si="115"/>
        <v/>
      </c>
      <c r="N236" s="183" t="str">
        <f t="shared" si="115"/>
        <v/>
      </c>
      <c r="O236" s="183" t="str">
        <f t="shared" si="115"/>
        <v/>
      </c>
      <c r="P236" s="183" t="str">
        <f t="shared" si="115"/>
        <v/>
      </c>
      <c r="Q236" s="183" t="str">
        <f t="shared" si="115"/>
        <v/>
      </c>
    </row>
    <row r="237" spans="1:29" ht="4" customHeight="1" x14ac:dyDescent="0.35">
      <c r="B237" s="167"/>
      <c r="E237" s="224"/>
      <c r="F237" s="224"/>
      <c r="G237" s="225"/>
      <c r="H237" s="226"/>
      <c r="I237" s="226"/>
      <c r="J237" s="226"/>
      <c r="K237" s="226"/>
      <c r="L237" s="226"/>
      <c r="M237" s="226"/>
      <c r="N237" s="226"/>
      <c r="O237" s="226"/>
      <c r="P237" s="226"/>
      <c r="Q237" s="226"/>
    </row>
    <row r="238" spans="1:29" ht="15" customHeight="1" x14ac:dyDescent="0.35">
      <c r="B238" s="132" t="s">
        <v>396</v>
      </c>
      <c r="E238" s="183">
        <f t="shared" ref="E238:Q238" si="116">E188</f>
        <v>0</v>
      </c>
      <c r="F238" s="183">
        <f t="shared" si="116"/>
        <v>0</v>
      </c>
      <c r="G238" s="221">
        <f t="shared" si="116"/>
        <v>0</v>
      </c>
      <c r="H238" s="183" t="str">
        <f t="shared" si="116"/>
        <v/>
      </c>
      <c r="I238" s="183" t="str">
        <f t="shared" si="116"/>
        <v/>
      </c>
      <c r="J238" s="183" t="str">
        <f t="shared" si="116"/>
        <v/>
      </c>
      <c r="K238" s="183" t="str">
        <f t="shared" si="116"/>
        <v/>
      </c>
      <c r="L238" s="183" t="str">
        <f t="shared" si="116"/>
        <v/>
      </c>
      <c r="M238" s="183" t="str">
        <f t="shared" si="116"/>
        <v/>
      </c>
      <c r="N238" s="183" t="str">
        <f t="shared" si="116"/>
        <v/>
      </c>
      <c r="O238" s="183" t="str">
        <f t="shared" si="116"/>
        <v/>
      </c>
      <c r="P238" s="183" t="str">
        <f t="shared" si="116"/>
        <v/>
      </c>
      <c r="Q238" s="183" t="str">
        <f t="shared" si="116"/>
        <v/>
      </c>
    </row>
    <row r="239" spans="1:29" ht="3.75" customHeight="1" x14ac:dyDescent="0.35">
      <c r="E239" s="183"/>
      <c r="F239" s="183"/>
      <c r="G239" s="221"/>
      <c r="H239" s="183"/>
      <c r="I239" s="183"/>
      <c r="J239" s="183"/>
      <c r="K239" s="183"/>
      <c r="L239" s="183"/>
      <c r="M239" s="183"/>
      <c r="N239" s="183"/>
      <c r="O239" s="183"/>
      <c r="P239" s="183"/>
      <c r="Q239" s="183"/>
    </row>
    <row r="240" spans="1:29" ht="15" customHeight="1" x14ac:dyDescent="0.35">
      <c r="B240" s="132" t="s">
        <v>23</v>
      </c>
      <c r="E240" s="166">
        <f>E134</f>
        <v>0</v>
      </c>
      <c r="F240" s="166">
        <f t="shared" ref="F240:G240" si="117">F134</f>
        <v>0</v>
      </c>
      <c r="G240" s="197">
        <f t="shared" si="117"/>
        <v>0</v>
      </c>
      <c r="H240" s="166" t="str">
        <f t="shared" ref="H240:Q240" si="118">H190</f>
        <v/>
      </c>
      <c r="I240" s="166" t="str">
        <f t="shared" si="118"/>
        <v/>
      </c>
      <c r="J240" s="166" t="str">
        <f t="shared" si="118"/>
        <v/>
      </c>
      <c r="K240" s="166" t="str">
        <f t="shared" si="118"/>
        <v/>
      </c>
      <c r="L240" s="166" t="str">
        <f t="shared" si="118"/>
        <v/>
      </c>
      <c r="M240" s="166" t="str">
        <f t="shared" si="118"/>
        <v/>
      </c>
      <c r="N240" s="166" t="str">
        <f t="shared" si="118"/>
        <v/>
      </c>
      <c r="O240" s="166" t="str">
        <f t="shared" si="118"/>
        <v/>
      </c>
      <c r="P240" s="166" t="str">
        <f t="shared" si="118"/>
        <v/>
      </c>
      <c r="Q240" s="166" t="str">
        <f t="shared" si="118"/>
        <v/>
      </c>
    </row>
    <row r="241" spans="1:17" ht="3.75" customHeight="1" x14ac:dyDescent="0.35">
      <c r="G241" s="162"/>
    </row>
    <row r="242" spans="1:17" ht="15" customHeight="1" x14ac:dyDescent="0.35">
      <c r="B242" s="132" t="s">
        <v>422</v>
      </c>
      <c r="E242" s="222">
        <f>+E156-E158</f>
        <v>0</v>
      </c>
      <c r="F242" s="222">
        <f t="shared" ref="F242:G242" si="119">+F156-F158</f>
        <v>0</v>
      </c>
      <c r="G242" s="223">
        <f t="shared" si="119"/>
        <v>0</v>
      </c>
      <c r="H242" s="222">
        <f>IFERROR(H156-H158,"")</f>
        <v>0</v>
      </c>
      <c r="I242" s="222" t="str">
        <f t="shared" ref="I242:Q242" si="120">IFERROR(I156-I158,"")</f>
        <v/>
      </c>
      <c r="J242" s="222" t="str">
        <f t="shared" si="120"/>
        <v/>
      </c>
      <c r="K242" s="222" t="str">
        <f t="shared" si="120"/>
        <v/>
      </c>
      <c r="L242" s="222" t="str">
        <f t="shared" si="120"/>
        <v/>
      </c>
      <c r="M242" s="222" t="str">
        <f t="shared" si="120"/>
        <v/>
      </c>
      <c r="N242" s="222" t="str">
        <f t="shared" si="120"/>
        <v/>
      </c>
      <c r="O242" s="222" t="str">
        <f t="shared" si="120"/>
        <v/>
      </c>
      <c r="P242" s="222" t="str">
        <f t="shared" si="120"/>
        <v/>
      </c>
      <c r="Q242" s="222" t="str">
        <f t="shared" si="120"/>
        <v/>
      </c>
    </row>
    <row r="243" spans="1:17" ht="4" customHeight="1" x14ac:dyDescent="0.35">
      <c r="G243" s="162"/>
    </row>
    <row r="244" spans="1:17" ht="15" customHeight="1" x14ac:dyDescent="0.35">
      <c r="B244" s="198" t="s">
        <v>313</v>
      </c>
      <c r="C244" s="199"/>
      <c r="D244" s="199"/>
      <c r="E244" s="200">
        <f t="shared" ref="E244:G244" si="121">+E232+E234+E236+E238+E240+E242</f>
        <v>0</v>
      </c>
      <c r="F244" s="200">
        <f t="shared" si="121"/>
        <v>0</v>
      </c>
      <c r="G244" s="201">
        <f t="shared" si="121"/>
        <v>0</v>
      </c>
      <c r="H244" s="200" t="str">
        <f>IFERROR(+H232+H234+H236+H238+H240+H242,"")</f>
        <v/>
      </c>
      <c r="I244" s="200" t="str">
        <f t="shared" ref="I244:Q244" si="122">IFERROR(+I232+I234+I236+I238+I240+I242,"")</f>
        <v/>
      </c>
      <c r="J244" s="200" t="str">
        <f t="shared" si="122"/>
        <v/>
      </c>
      <c r="K244" s="200" t="str">
        <f t="shared" si="122"/>
        <v/>
      </c>
      <c r="L244" s="200" t="str">
        <f t="shared" si="122"/>
        <v/>
      </c>
      <c r="M244" s="200" t="str">
        <f t="shared" si="122"/>
        <v/>
      </c>
      <c r="N244" s="200" t="str">
        <f t="shared" si="122"/>
        <v/>
      </c>
      <c r="O244" s="200" t="str">
        <f t="shared" si="122"/>
        <v/>
      </c>
      <c r="P244" s="200" t="str">
        <f t="shared" si="122"/>
        <v/>
      </c>
      <c r="Q244" s="350" t="str">
        <f t="shared" si="122"/>
        <v/>
      </c>
    </row>
    <row r="245" spans="1:17" ht="15" customHeight="1" x14ac:dyDescent="0.35">
      <c r="B245" s="202" t="s">
        <v>423</v>
      </c>
      <c r="C245" s="203"/>
      <c r="D245" s="203"/>
      <c r="E245" s="203"/>
      <c r="F245" s="203"/>
      <c r="G245" s="204"/>
      <c r="H245" s="205" t="str">
        <f t="shared" ref="H245:Q245" ca="1" si="123">IFERROR(H244/(1+$C$12)^H$195,"")</f>
        <v/>
      </c>
      <c r="I245" s="205" t="str">
        <f t="shared" ca="1" si="123"/>
        <v/>
      </c>
      <c r="J245" s="205" t="str">
        <f t="shared" ca="1" si="123"/>
        <v/>
      </c>
      <c r="K245" s="205" t="str">
        <f t="shared" ca="1" si="123"/>
        <v/>
      </c>
      <c r="L245" s="205" t="str">
        <f t="shared" ca="1" si="123"/>
        <v/>
      </c>
      <c r="M245" s="205" t="str">
        <f t="shared" ca="1" si="123"/>
        <v/>
      </c>
      <c r="N245" s="205" t="str">
        <f t="shared" ca="1" si="123"/>
        <v/>
      </c>
      <c r="O245" s="205" t="str">
        <f t="shared" ca="1" si="123"/>
        <v/>
      </c>
      <c r="P245" s="205" t="str">
        <f t="shared" ca="1" si="123"/>
        <v/>
      </c>
      <c r="Q245" s="206" t="str">
        <f t="shared" ca="1" si="123"/>
        <v/>
      </c>
    </row>
    <row r="246" spans="1:17" ht="3.75" customHeight="1" x14ac:dyDescent="0.35">
      <c r="G246" s="162"/>
    </row>
    <row r="247" spans="1:17" ht="15" customHeight="1" x14ac:dyDescent="0.35">
      <c r="B247" s="132" t="s">
        <v>402</v>
      </c>
      <c r="G247" s="162"/>
      <c r="Q247" s="183" t="str">
        <f ca="1">IFERROR((Q244*(1+$C$13))/(WACC!$G$11-$C$13),"")</f>
        <v/>
      </c>
    </row>
    <row r="248" spans="1:17" ht="15" customHeight="1" x14ac:dyDescent="0.35">
      <c r="B248" s="132" t="s">
        <v>403</v>
      </c>
      <c r="G248" s="162"/>
      <c r="Q248" s="227" t="str">
        <f ca="1">IFERROR(Q247/(1+WACC!$G$11)^$Q$195,"")</f>
        <v/>
      </c>
    </row>
    <row r="249" spans="1:17" ht="15" customHeight="1" x14ac:dyDescent="0.35">
      <c r="B249" s="132" t="s">
        <v>153</v>
      </c>
      <c r="G249" s="162"/>
      <c r="Q249" s="183">
        <f ca="1">+SUM(Q248,H245:Q245)</f>
        <v>0</v>
      </c>
    </row>
    <row r="250" spans="1:17" ht="3.75" customHeight="1" x14ac:dyDescent="0.35">
      <c r="G250" s="162"/>
    </row>
    <row r="251" spans="1:17" ht="15" customHeight="1" x14ac:dyDescent="0.35">
      <c r="B251" s="164" t="s">
        <v>410</v>
      </c>
      <c r="G251" s="162"/>
      <c r="N251" s="216"/>
      <c r="Q251" s="217">
        <f ca="1">IFERROR(Q249/Q207,"")</f>
        <v>0</v>
      </c>
    </row>
    <row r="252" spans="1:17" ht="3.75" customHeight="1" x14ac:dyDescent="0.35">
      <c r="G252" s="162"/>
    </row>
    <row r="253" spans="1:17" ht="15" customHeight="1" x14ac:dyDescent="0.35">
      <c r="B253" s="164" t="s">
        <v>412</v>
      </c>
      <c r="C253" s="164"/>
      <c r="D253" s="164"/>
      <c r="E253" s="164"/>
      <c r="F253" s="164"/>
      <c r="G253" s="218"/>
      <c r="H253" s="164"/>
      <c r="I253" s="164"/>
      <c r="J253" s="164"/>
      <c r="K253" s="164"/>
      <c r="L253" s="164"/>
      <c r="M253" s="164"/>
      <c r="N253" s="164"/>
      <c r="O253" s="164"/>
      <c r="P253" s="164"/>
      <c r="Q253" s="219">
        <f ca="1">IFERROR(Q251/Q210-1,"")</f>
        <v>-1</v>
      </c>
    </row>
    <row r="254" spans="1:17" s="224" customFormat="1" ht="3.75" customHeight="1" x14ac:dyDescent="0.35">
      <c r="G254" s="225"/>
    </row>
    <row r="255" spans="1:17" ht="15" customHeight="1" x14ac:dyDescent="0.35">
      <c r="A255" s="132" t="s">
        <v>300</v>
      </c>
      <c r="B255" s="52" t="s">
        <v>424</v>
      </c>
      <c r="C255" s="52"/>
      <c r="D255" s="52"/>
      <c r="E255" s="143">
        <f>+E228</f>
        <v>2022</v>
      </c>
      <c r="F255" s="143">
        <f>+F228</f>
        <v>2023</v>
      </c>
      <c r="G255" s="144">
        <f>+G228</f>
        <v>2024</v>
      </c>
      <c r="H255" s="105">
        <f t="shared" ref="H255:Q255" si="124">1+G255</f>
        <v>2025</v>
      </c>
      <c r="I255" s="105">
        <f t="shared" si="124"/>
        <v>2026</v>
      </c>
      <c r="J255" s="105">
        <f t="shared" si="124"/>
        <v>2027</v>
      </c>
      <c r="K255" s="105">
        <f t="shared" si="124"/>
        <v>2028</v>
      </c>
      <c r="L255" s="105">
        <f t="shared" si="124"/>
        <v>2029</v>
      </c>
      <c r="M255" s="105">
        <f t="shared" si="124"/>
        <v>2030</v>
      </c>
      <c r="N255" s="105">
        <f t="shared" si="124"/>
        <v>2031</v>
      </c>
      <c r="O255" s="105">
        <f t="shared" si="124"/>
        <v>2032</v>
      </c>
      <c r="P255" s="105">
        <f t="shared" si="124"/>
        <v>2033</v>
      </c>
      <c r="Q255" s="105">
        <f t="shared" si="124"/>
        <v>2034</v>
      </c>
    </row>
    <row r="256" spans="1:17" ht="3.75" customHeight="1" x14ac:dyDescent="0.35">
      <c r="B256" s="53"/>
      <c r="C256" s="53"/>
      <c r="D256" s="53"/>
      <c r="E256" s="53"/>
      <c r="F256" s="53"/>
      <c r="G256" s="220"/>
      <c r="H256" s="53"/>
      <c r="I256" s="53"/>
      <c r="J256" s="53"/>
      <c r="K256" s="53"/>
      <c r="L256" s="53"/>
      <c r="M256" s="53"/>
      <c r="N256" s="53"/>
      <c r="O256" s="53"/>
      <c r="P256" s="53"/>
      <c r="Q256" s="53"/>
    </row>
    <row r="257" spans="1:17" ht="15" customHeight="1" x14ac:dyDescent="0.35">
      <c r="B257" s="132" t="s">
        <v>315</v>
      </c>
      <c r="E257" s="183">
        <f t="shared" ref="E257:G257" si="125">+E150+E147</f>
        <v>0</v>
      </c>
      <c r="F257" s="183">
        <f t="shared" si="125"/>
        <v>0</v>
      </c>
      <c r="G257" s="221">
        <f t="shared" si="125"/>
        <v>0</v>
      </c>
      <c r="H257" s="183" t="str">
        <f>IFERROR(H150+H147,"")</f>
        <v/>
      </c>
      <c r="I257" s="183" t="str">
        <f t="shared" ref="I257:Q257" si="126">IFERROR(I150+I147,"")</f>
        <v/>
      </c>
      <c r="J257" s="183" t="str">
        <f t="shared" si="126"/>
        <v/>
      </c>
      <c r="K257" s="183" t="str">
        <f t="shared" si="126"/>
        <v/>
      </c>
      <c r="L257" s="183" t="str">
        <f t="shared" si="126"/>
        <v/>
      </c>
      <c r="M257" s="183" t="str">
        <f t="shared" si="126"/>
        <v/>
      </c>
      <c r="N257" s="183" t="str">
        <f t="shared" si="126"/>
        <v/>
      </c>
      <c r="O257" s="183" t="str">
        <f t="shared" si="126"/>
        <v/>
      </c>
      <c r="P257" s="183" t="str">
        <f t="shared" si="126"/>
        <v/>
      </c>
      <c r="Q257" s="183" t="str">
        <f t="shared" si="126"/>
        <v/>
      </c>
    </row>
    <row r="258" spans="1:17" ht="15" customHeight="1" x14ac:dyDescent="0.35">
      <c r="B258" s="167" t="s">
        <v>425</v>
      </c>
      <c r="E258" s="224" t="str">
        <f>IFERROR(_xlfn.XLOOKUP("Repurchase payout",$B:$B,E:E)+_xlfn.XLOOKUP("Dividend payout",$B:$B,E:E),"")</f>
        <v/>
      </c>
      <c r="F258" s="224" t="str">
        <f t="shared" ref="F258:Q258" si="127">IFERROR(_xlfn.XLOOKUP("Repurchase payout",$B:$B,F:F)+_xlfn.XLOOKUP("Dividend payout",$B:$B,F:F),"")</f>
        <v/>
      </c>
      <c r="G258" s="225" t="str">
        <f t="shared" si="127"/>
        <v/>
      </c>
      <c r="H258" s="224">
        <f t="shared" si="127"/>
        <v>0</v>
      </c>
      <c r="I258" s="224">
        <f t="shared" si="127"/>
        <v>0</v>
      </c>
      <c r="J258" s="224">
        <f t="shared" si="127"/>
        <v>0</v>
      </c>
      <c r="K258" s="224">
        <f t="shared" si="127"/>
        <v>0</v>
      </c>
      <c r="L258" s="224">
        <f t="shared" si="127"/>
        <v>0</v>
      </c>
      <c r="M258" s="224">
        <f t="shared" si="127"/>
        <v>0</v>
      </c>
      <c r="N258" s="224">
        <f t="shared" si="127"/>
        <v>0</v>
      </c>
      <c r="O258" s="224">
        <f t="shared" si="127"/>
        <v>0</v>
      </c>
      <c r="P258" s="224">
        <f t="shared" si="127"/>
        <v>0</v>
      </c>
      <c r="Q258" s="224">
        <f t="shared" si="127"/>
        <v>0</v>
      </c>
    </row>
    <row r="259" spans="1:17" ht="15" customHeight="1" x14ac:dyDescent="0.35">
      <c r="B259" s="132" t="s">
        <v>426</v>
      </c>
      <c r="E259" s="224" t="str">
        <f>IFERROR(1-E258,"")</f>
        <v/>
      </c>
      <c r="F259" s="224" t="str">
        <f t="shared" ref="F259:Q259" si="128">IFERROR(1-F258,"")</f>
        <v/>
      </c>
      <c r="G259" s="225" t="str">
        <f t="shared" si="128"/>
        <v/>
      </c>
      <c r="H259" s="224">
        <f t="shared" si="128"/>
        <v>1</v>
      </c>
      <c r="I259" s="224">
        <f t="shared" si="128"/>
        <v>1</v>
      </c>
      <c r="J259" s="224">
        <f t="shared" si="128"/>
        <v>1</v>
      </c>
      <c r="K259" s="224">
        <f t="shared" si="128"/>
        <v>1</v>
      </c>
      <c r="L259" s="224">
        <f t="shared" si="128"/>
        <v>1</v>
      </c>
      <c r="M259" s="224">
        <f t="shared" si="128"/>
        <v>1</v>
      </c>
      <c r="N259" s="224">
        <f t="shared" si="128"/>
        <v>1</v>
      </c>
      <c r="O259" s="224">
        <f t="shared" si="128"/>
        <v>1</v>
      </c>
      <c r="P259" s="224">
        <f t="shared" si="128"/>
        <v>1</v>
      </c>
      <c r="Q259" s="224">
        <f t="shared" si="128"/>
        <v>1</v>
      </c>
    </row>
    <row r="260" spans="1:17" ht="3.75" customHeight="1" x14ac:dyDescent="0.35">
      <c r="G260" s="162"/>
    </row>
    <row r="261" spans="1:17" ht="15" customHeight="1" x14ac:dyDescent="0.35">
      <c r="B261" s="228" t="s">
        <v>427</v>
      </c>
      <c r="C261" s="229"/>
      <c r="D261" s="229"/>
      <c r="E261" s="229"/>
      <c r="F261" s="229"/>
      <c r="G261" s="230"/>
      <c r="H261" s="231" t="str">
        <f ca="1">IFERROR(-H257/(1+WACC!$G$11)^H$195,"")</f>
        <v/>
      </c>
      <c r="I261" s="231" t="str">
        <f ca="1">IFERROR(-I257/(1+WACC!$G$11)^I$195,"")</f>
        <v/>
      </c>
      <c r="J261" s="231" t="str">
        <f ca="1">IFERROR(-J257/(1+WACC!$G$11)^J$195,"")</f>
        <v/>
      </c>
      <c r="K261" s="231" t="str">
        <f ca="1">IFERROR(-K257/(1+WACC!$G$11)^K$195,"")</f>
        <v/>
      </c>
      <c r="L261" s="231" t="str">
        <f ca="1">IFERROR(-L257/(1+WACC!$G$11)^L$195,"")</f>
        <v/>
      </c>
      <c r="M261" s="231" t="str">
        <f ca="1">IFERROR(-M257/(1+WACC!$G$11)^M$195,"")</f>
        <v/>
      </c>
      <c r="N261" s="231" t="str">
        <f ca="1">IFERROR(-N257/(1+WACC!$G$11)^N$195,"")</f>
        <v/>
      </c>
      <c r="O261" s="231" t="str">
        <f ca="1">IFERROR(-O257/(1+WACC!$G$11)^O$195,"")</f>
        <v/>
      </c>
      <c r="P261" s="231" t="str">
        <f ca="1">IFERROR(-P257/(1+WACC!$G$11)^P$195,"")</f>
        <v/>
      </c>
      <c r="Q261" s="518" t="str">
        <f ca="1">IFERROR(-Q257/(1+WACC!$G$11)^Q$195,"")</f>
        <v/>
      </c>
    </row>
    <row r="262" spans="1:17" ht="3.75" customHeight="1" x14ac:dyDescent="0.35">
      <c r="G262" s="162"/>
    </row>
    <row r="263" spans="1:17" ht="13.5" customHeight="1" x14ac:dyDescent="0.35">
      <c r="B263" s="132" t="s">
        <v>402</v>
      </c>
      <c r="G263" s="162"/>
      <c r="Q263" s="183" t="str">
        <f ca="1">IFERROR(+(Q261*(1+$C$13))/(WACC!$G$11-$C$13),"")</f>
        <v/>
      </c>
    </row>
    <row r="264" spans="1:17" ht="15" customHeight="1" x14ac:dyDescent="0.35">
      <c r="B264" s="132" t="s">
        <v>403</v>
      </c>
      <c r="G264" s="162"/>
      <c r="Q264" s="227" t="str">
        <f ca="1">IFERROR(Q263/(1+$C$12)^$Q$195,"")</f>
        <v/>
      </c>
    </row>
    <row r="265" spans="1:17" ht="15" customHeight="1" x14ac:dyDescent="0.35">
      <c r="B265" s="132" t="s">
        <v>153</v>
      </c>
      <c r="G265" s="162"/>
      <c r="Q265" s="183">
        <f ca="1">+SUM(Q264,H261:Q261)</f>
        <v>0</v>
      </c>
    </row>
    <row r="266" spans="1:17" ht="3.75" customHeight="1" x14ac:dyDescent="0.35">
      <c r="G266" s="162"/>
      <c r="N266" s="216"/>
    </row>
    <row r="267" spans="1:17" ht="15" customHeight="1" x14ac:dyDescent="0.35">
      <c r="B267" s="164" t="s">
        <v>410</v>
      </c>
      <c r="G267" s="162"/>
      <c r="Q267" s="217" t="str">
        <f ca="1">IFERROR(Q264/Q$207,"")</f>
        <v/>
      </c>
    </row>
    <row r="268" spans="1:17" ht="3.75" customHeight="1" x14ac:dyDescent="0.35">
      <c r="B268" s="164"/>
      <c r="G268" s="162"/>
    </row>
    <row r="269" spans="1:17" ht="15" customHeight="1" x14ac:dyDescent="0.35">
      <c r="B269" s="164" t="s">
        <v>412</v>
      </c>
      <c r="C269" s="164"/>
      <c r="D269" s="164"/>
      <c r="E269" s="164"/>
      <c r="F269" s="164"/>
      <c r="G269" s="218"/>
      <c r="H269" s="164"/>
      <c r="I269" s="164"/>
      <c r="J269" s="164"/>
      <c r="K269" s="164"/>
      <c r="L269" s="164"/>
      <c r="M269" s="164"/>
      <c r="N269" s="164"/>
      <c r="O269" s="164"/>
      <c r="P269" s="164"/>
      <c r="Q269" s="232" t="str">
        <f ca="1">IFERROR(Q267/Q210-1,"")</f>
        <v/>
      </c>
    </row>
    <row r="271" spans="1:17" ht="15" customHeight="1" x14ac:dyDescent="0.35">
      <c r="A271" s="132" t="s">
        <v>300</v>
      </c>
      <c r="B271" s="69" t="s">
        <v>96</v>
      </c>
      <c r="C271" s="70"/>
      <c r="D271" s="69"/>
      <c r="E271" s="70"/>
      <c r="F271" s="70"/>
      <c r="G271" s="70"/>
      <c r="H271" s="70"/>
      <c r="I271" s="70"/>
      <c r="J271" s="100"/>
      <c r="K271" s="101"/>
      <c r="L271" s="101"/>
      <c r="M271" s="101"/>
      <c r="N271" s="101"/>
      <c r="O271" s="101"/>
    </row>
    <row r="272" spans="1:17" ht="3.75" customHeight="1" x14ac:dyDescent="0.35">
      <c r="B272" s="71"/>
      <c r="C272" s="71"/>
      <c r="D272" s="71"/>
      <c r="E272" s="71"/>
      <c r="F272" s="71"/>
      <c r="G272" s="71"/>
      <c r="H272" s="71"/>
      <c r="I272" s="71"/>
      <c r="J272" s="102"/>
      <c r="K272" s="102"/>
      <c r="L272" s="102"/>
      <c r="M272" s="102"/>
      <c r="N272" s="102"/>
      <c r="O272" s="102"/>
    </row>
    <row r="273" spans="1:49" ht="39.75" customHeight="1" x14ac:dyDescent="0.35">
      <c r="B273" s="825"/>
      <c r="C273" s="825"/>
      <c r="D273" s="807"/>
      <c r="E273" s="807"/>
      <c r="F273" s="807"/>
      <c r="G273" s="807"/>
      <c r="H273" s="807"/>
      <c r="I273" s="807"/>
      <c r="J273" s="807"/>
      <c r="K273" s="807"/>
      <c r="L273" s="807"/>
      <c r="M273" s="807"/>
      <c r="N273" s="807"/>
      <c r="O273" s="807"/>
    </row>
    <row r="274" spans="1:49" ht="39.75" customHeight="1" x14ac:dyDescent="0.35">
      <c r="B274" s="825"/>
      <c r="C274" s="825"/>
      <c r="D274" s="805"/>
      <c r="E274" s="805"/>
      <c r="F274" s="805"/>
      <c r="G274" s="805"/>
      <c r="H274" s="805"/>
      <c r="I274" s="805"/>
      <c r="J274" s="805"/>
      <c r="K274" s="805"/>
      <c r="L274" s="805"/>
      <c r="M274" s="805"/>
      <c r="N274" s="805"/>
      <c r="O274"/>
    </row>
    <row r="275" spans="1:49" ht="39.75" customHeight="1" x14ac:dyDescent="0.35">
      <c r="B275" s="825"/>
      <c r="C275" s="825"/>
      <c r="D275" s="805"/>
      <c r="E275" s="805"/>
      <c r="F275" s="805"/>
      <c r="G275" s="805"/>
      <c r="H275" s="805"/>
      <c r="I275" s="805"/>
      <c r="J275" s="805"/>
      <c r="K275" s="805"/>
      <c r="L275" s="805"/>
      <c r="M275" s="805"/>
      <c r="N275" s="805"/>
      <c r="O275"/>
    </row>
    <row r="276" spans="1:49" ht="39.75" customHeight="1" x14ac:dyDescent="0.35">
      <c r="B276" s="825"/>
      <c r="C276" s="825"/>
      <c r="D276" s="805"/>
      <c r="E276" s="805"/>
      <c r="F276" s="805"/>
      <c r="G276" s="805"/>
      <c r="H276" s="805"/>
      <c r="I276" s="805"/>
      <c r="J276" s="805"/>
      <c r="K276" s="805"/>
      <c r="L276" s="805"/>
      <c r="M276" s="805"/>
      <c r="N276" s="805"/>
      <c r="O276"/>
    </row>
    <row r="277" spans="1:49" ht="39.75" customHeight="1" x14ac:dyDescent="0.35">
      <c r="B277" s="825"/>
      <c r="C277" s="825"/>
      <c r="D277" s="807"/>
      <c r="E277" s="807"/>
      <c r="F277" s="807"/>
      <c r="G277" s="807"/>
      <c r="H277" s="807"/>
      <c r="I277" s="807"/>
      <c r="J277" s="807"/>
      <c r="K277" s="807"/>
      <c r="L277" s="807"/>
      <c r="M277" s="807"/>
      <c r="N277" s="807"/>
      <c r="O277" s="807"/>
    </row>
    <row r="278" spans="1:49" ht="39.75" customHeight="1" x14ac:dyDescent="0.35">
      <c r="B278" s="825"/>
      <c r="C278" s="825"/>
      <c r="D278" s="807"/>
      <c r="E278" s="807"/>
      <c r="F278" s="807"/>
      <c r="G278" s="807"/>
      <c r="H278" s="807"/>
      <c r="I278" s="807"/>
      <c r="J278" s="807"/>
      <c r="K278" s="807"/>
      <c r="L278" s="807"/>
      <c r="M278" s="807"/>
      <c r="N278" s="807"/>
      <c r="O278" s="807"/>
    </row>
    <row r="279" spans="1:49" ht="15" customHeight="1" x14ac:dyDescent="0.35">
      <c r="D279" s="805"/>
      <c r="E279" s="805"/>
      <c r="F279" s="805"/>
      <c r="G279" s="805"/>
      <c r="H279" s="805"/>
      <c r="I279" s="805"/>
      <c r="J279" s="805"/>
      <c r="K279" s="805"/>
      <c r="L279" s="805"/>
      <c r="M279" s="805"/>
      <c r="N279" s="805"/>
      <c r="O279"/>
    </row>
    <row r="280" spans="1:49" s="41" customFormat="1" ht="20.149999999999999" customHeight="1" x14ac:dyDescent="0.4">
      <c r="A280" s="132"/>
      <c r="B280" s="804"/>
      <c r="C280" s="804"/>
      <c r="D280" s="805"/>
      <c r="E280" s="805"/>
      <c r="F280" s="805"/>
      <c r="G280" s="805"/>
      <c r="H280" s="805"/>
      <c r="I280" s="805"/>
      <c r="J280" s="805"/>
      <c r="K280" s="805"/>
      <c r="L280" s="805"/>
      <c r="M280" s="805"/>
      <c r="N280" s="805"/>
      <c r="O280"/>
      <c r="P280" s="132"/>
      <c r="Q280" s="132"/>
      <c r="R280" s="132"/>
      <c r="S280" s="132"/>
      <c r="T280" s="132"/>
      <c r="U280" s="132"/>
      <c r="V280" s="132"/>
      <c r="W280" s="132"/>
      <c r="X280" s="132"/>
      <c r="Y280" s="132"/>
      <c r="Z280" s="132"/>
      <c r="AA280" s="132"/>
      <c r="AB280" s="132"/>
      <c r="AC280" s="132"/>
      <c r="AD280" s="132"/>
      <c r="AE280" s="132"/>
      <c r="AF280" s="132"/>
      <c r="AG280" s="132"/>
      <c r="AH280" s="132"/>
      <c r="AI280" s="132"/>
      <c r="AJ280" s="132"/>
      <c r="AK280" s="132"/>
      <c r="AN280" s="758" t="s">
        <v>428</v>
      </c>
    </row>
    <row r="282" spans="1:49" ht="15" customHeight="1" x14ac:dyDescent="0.35">
      <c r="AN282" s="670" t="str">
        <f>Peers!AM286&amp;" Stock Price - Blended Discount Rate and Terminal Growth Rate"</f>
        <v xml:space="preserve"> Stock Price - Blended Discount Rate and Terminal Growth Rate</v>
      </c>
      <c r="AO282"/>
      <c r="AP282"/>
      <c r="AQ282"/>
      <c r="AR282"/>
      <c r="AS282"/>
      <c r="AT282"/>
      <c r="AW282" s="132">
        <v>1</v>
      </c>
    </row>
    <row r="283" spans="1:49" ht="15" customHeight="1" thickBot="1" x14ac:dyDescent="0.4">
      <c r="AN283" t="s">
        <v>429</v>
      </c>
      <c r="AO283"/>
      <c r="AP283"/>
      <c r="AQ283"/>
      <c r="AR283"/>
      <c r="AS283"/>
      <c r="AT283"/>
      <c r="AW283" s="132">
        <v>2</v>
      </c>
    </row>
    <row r="284" spans="1:49" ht="15" customHeight="1" x14ac:dyDescent="0.35">
      <c r="AN284" s="668"/>
      <c r="AO284" s="669"/>
      <c r="AP284" s="759"/>
      <c r="AQ284" s="668"/>
      <c r="AR284" s="760" t="s">
        <v>322</v>
      </c>
      <c r="AS284" s="668"/>
      <c r="AT284" s="668"/>
      <c r="AW284" s="132">
        <v>3</v>
      </c>
    </row>
    <row r="285" spans="1:49" ht="15" customHeight="1" thickBot="1" x14ac:dyDescent="0.4">
      <c r="AN285" s="660"/>
      <c r="AO285" s="767">
        <f ca="1">Q208</f>
        <v>0</v>
      </c>
      <c r="AP285" s="673"/>
      <c r="AQ285" s="673"/>
      <c r="AR285" s="673"/>
      <c r="AS285" s="673"/>
      <c r="AT285" s="673"/>
      <c r="AW285" s="132">
        <v>4</v>
      </c>
    </row>
    <row r="286" spans="1:49" ht="15" customHeight="1" x14ac:dyDescent="0.35">
      <c r="AN286"/>
      <c r="AO286" s="665">
        <v>0.01</v>
      </c>
      <c r="AP286" s="671"/>
      <c r="AQ286" s="671"/>
      <c r="AR286" s="671"/>
      <c r="AS286" s="671"/>
      <c r="AT286" s="671"/>
      <c r="AW286" s="132">
        <v>5</v>
      </c>
    </row>
    <row r="287" spans="1:49" ht="15" customHeight="1" x14ac:dyDescent="0.4">
      <c r="AN287" s="757"/>
      <c r="AO287" s="665">
        <v>0.02</v>
      </c>
      <c r="AP287" s="671"/>
      <c r="AQ287" s="671"/>
      <c r="AR287" s="671"/>
      <c r="AS287" s="671"/>
      <c r="AT287" s="671"/>
      <c r="AW287" s="132">
        <v>6</v>
      </c>
    </row>
    <row r="288" spans="1:49" ht="15" customHeight="1" x14ac:dyDescent="0.35">
      <c r="AN288" s="24" t="s">
        <v>324</v>
      </c>
      <c r="AO288" s="665">
        <v>0.03</v>
      </c>
      <c r="AP288" s="671"/>
      <c r="AQ288" s="671"/>
      <c r="AR288" s="671"/>
      <c r="AS288" s="671"/>
      <c r="AT288" s="671"/>
      <c r="AW288" s="132">
        <v>7</v>
      </c>
    </row>
    <row r="289" spans="40:49" ht="15" customHeight="1" x14ac:dyDescent="0.35">
      <c r="AN289"/>
      <c r="AO289" s="665">
        <v>0.04</v>
      </c>
      <c r="AP289" s="671"/>
      <c r="AQ289" s="671"/>
      <c r="AR289" s="671"/>
      <c r="AS289" s="671"/>
      <c r="AT289" s="671"/>
      <c r="AW289" s="132">
        <v>8</v>
      </c>
    </row>
    <row r="290" spans="40:49" ht="15" customHeight="1" thickBot="1" x14ac:dyDescent="0.4">
      <c r="AN290" s="660"/>
      <c r="AO290" s="666">
        <v>0.05</v>
      </c>
      <c r="AP290" s="672"/>
      <c r="AQ290" s="672"/>
      <c r="AR290" s="672"/>
      <c r="AS290" s="672"/>
      <c r="AT290" s="672"/>
      <c r="AW290" s="132">
        <v>9</v>
      </c>
    </row>
    <row r="291" spans="40:49" ht="15" customHeight="1" x14ac:dyDescent="0.35">
      <c r="AN291"/>
      <c r="AO291" s="769"/>
      <c r="AP291"/>
      <c r="AQ291"/>
      <c r="AR291"/>
      <c r="AS291"/>
      <c r="AT291"/>
      <c r="AW291" s="132">
        <v>10</v>
      </c>
    </row>
    <row r="292" spans="40:49" ht="15" customHeight="1" x14ac:dyDescent="0.35">
      <c r="AN292" s="670" t="str">
        <f>Peers!AM286&amp;" Stock Price - Blended Revenue Growth and Operating Margin"</f>
        <v xml:space="preserve"> Stock Price - Blended Revenue Growth and Operating Margin</v>
      </c>
      <c r="AO292"/>
      <c r="AP292"/>
      <c r="AQ292"/>
      <c r="AR292"/>
      <c r="AS292"/>
      <c r="AT292"/>
      <c r="AW292" s="132">
        <v>11</v>
      </c>
    </row>
    <row r="293" spans="40:49" ht="15" customHeight="1" thickBot="1" x14ac:dyDescent="0.4">
      <c r="AN293" t="s">
        <v>429</v>
      </c>
      <c r="AO293"/>
      <c r="AP293"/>
      <c r="AQ293"/>
      <c r="AR293"/>
      <c r="AS293"/>
      <c r="AT293"/>
      <c r="AW293" s="132">
        <v>12</v>
      </c>
    </row>
    <row r="294" spans="40:49" ht="15" customHeight="1" x14ac:dyDescent="0.35">
      <c r="AN294" s="668"/>
      <c r="AO294" s="669"/>
      <c r="AP294" s="668"/>
      <c r="AQ294" s="674" t="s">
        <v>156</v>
      </c>
      <c r="AR294" s="668"/>
      <c r="AS294"/>
      <c r="AT294"/>
      <c r="AW294" s="132">
        <v>13</v>
      </c>
    </row>
    <row r="295" spans="40:49" ht="15" customHeight="1" thickBot="1" x14ac:dyDescent="0.4">
      <c r="AN295" s="660"/>
      <c r="AO295" s="767">
        <f ca="1">Q208</f>
        <v>0</v>
      </c>
      <c r="AP295" s="761">
        <v>1</v>
      </c>
      <c r="AQ295" s="761">
        <v>2</v>
      </c>
      <c r="AR295" s="761">
        <v>3</v>
      </c>
      <c r="AS295"/>
      <c r="AT295"/>
      <c r="AW295" s="132">
        <v>14</v>
      </c>
    </row>
    <row r="296" spans="40:49" ht="15" customHeight="1" x14ac:dyDescent="0.35">
      <c r="AN296"/>
      <c r="AO296" s="762">
        <v>1</v>
      </c>
      <c r="AP296"/>
      <c r="AQ296"/>
      <c r="AR296"/>
      <c r="AS296"/>
      <c r="AT296"/>
      <c r="AW296" s="132">
        <v>15</v>
      </c>
    </row>
    <row r="297" spans="40:49" ht="15" customHeight="1" x14ac:dyDescent="0.35">
      <c r="AN297" s="24" t="s">
        <v>320</v>
      </c>
      <c r="AO297" s="762">
        <v>2</v>
      </c>
      <c r="AP297"/>
      <c r="AQ297"/>
      <c r="AR297"/>
      <c r="AS297"/>
      <c r="AT297"/>
      <c r="AW297" s="132">
        <v>16</v>
      </c>
    </row>
    <row r="298" spans="40:49" ht="15" customHeight="1" thickBot="1" x14ac:dyDescent="0.4">
      <c r="AN298" s="660"/>
      <c r="AO298" s="763">
        <v>3</v>
      </c>
      <c r="AP298" s="660"/>
      <c r="AQ298" s="660"/>
      <c r="AR298" s="660"/>
      <c r="AS298"/>
      <c r="AT298"/>
      <c r="AW298" s="132">
        <v>17</v>
      </c>
    </row>
    <row r="299" spans="40:49" ht="15" customHeight="1" x14ac:dyDescent="0.35">
      <c r="AN299"/>
      <c r="AO299" s="764"/>
      <c r="AP299"/>
      <c r="AQ299"/>
      <c r="AR299"/>
      <c r="AS299"/>
      <c r="AT299"/>
      <c r="AW299" s="132">
        <v>18</v>
      </c>
    </row>
    <row r="300" spans="40:49" ht="15" customHeight="1" x14ac:dyDescent="0.35">
      <c r="AN300" s="678" t="s">
        <v>430</v>
      </c>
      <c r="AO300" s="37"/>
      <c r="AP300" s="37"/>
      <c r="AQ300" s="37"/>
      <c r="AR300" s="37"/>
      <c r="AS300" s="37"/>
      <c r="AT300" s="37"/>
      <c r="AW300" s="132">
        <v>19</v>
      </c>
    </row>
    <row r="301" spans="40:49" ht="15" customHeight="1" x14ac:dyDescent="0.35">
      <c r="AW301" s="132">
        <v>20</v>
      </c>
    </row>
    <row r="302" spans="40:49" ht="15" customHeight="1" x14ac:dyDescent="0.35">
      <c r="AW302" s="132">
        <v>21</v>
      </c>
    </row>
    <row r="303" spans="40:49" ht="15" customHeight="1" x14ac:dyDescent="0.35">
      <c r="AR303" s="139"/>
      <c r="AS303" s="139"/>
      <c r="AW303" s="132">
        <v>22</v>
      </c>
    </row>
    <row r="304" spans="40:49" ht="15" customHeight="1" x14ac:dyDescent="0.35">
      <c r="AR304" s="139"/>
      <c r="AS304" s="139"/>
      <c r="AW304" s="132">
        <v>23</v>
      </c>
    </row>
    <row r="305" spans="40:49" ht="15" customHeight="1" x14ac:dyDescent="0.35">
      <c r="AR305" s="192"/>
      <c r="AS305" s="192"/>
      <c r="AW305" s="132">
        <v>24</v>
      </c>
    </row>
    <row r="306" spans="40:49" ht="15" customHeight="1" x14ac:dyDescent="0.35">
      <c r="AW306" s="132">
        <v>25</v>
      </c>
    </row>
    <row r="307" spans="40:49" ht="15" customHeight="1" x14ac:dyDescent="0.35">
      <c r="AN307" s="164"/>
      <c r="AW307" s="132">
        <v>26</v>
      </c>
    </row>
    <row r="308" spans="40:49" ht="15" customHeight="1" x14ac:dyDescent="0.35">
      <c r="AW308" s="132">
        <v>27</v>
      </c>
    </row>
    <row r="309" spans="40:49" ht="15" customHeight="1" x14ac:dyDescent="0.35">
      <c r="AW309" s="132">
        <v>28</v>
      </c>
    </row>
    <row r="310" spans="40:49" ht="15" customHeight="1" x14ac:dyDescent="0.35">
      <c r="AW310" s="132">
        <v>29</v>
      </c>
    </row>
    <row r="311" spans="40:49" ht="15" customHeight="1" x14ac:dyDescent="0.35">
      <c r="AW311" s="132">
        <v>30</v>
      </c>
    </row>
    <row r="312" spans="40:49" ht="15" customHeight="1" x14ac:dyDescent="0.35">
      <c r="AW312" s="132">
        <v>31</v>
      </c>
    </row>
    <row r="313" spans="40:49" ht="15" customHeight="1" x14ac:dyDescent="0.35">
      <c r="AW313" s="132">
        <v>32</v>
      </c>
    </row>
    <row r="314" spans="40:49" ht="15" customHeight="1" x14ac:dyDescent="0.35">
      <c r="AW314" s="132">
        <v>33</v>
      </c>
    </row>
    <row r="315" spans="40:49" ht="15" customHeight="1" x14ac:dyDescent="0.35">
      <c r="AW315" s="132">
        <v>34</v>
      </c>
    </row>
    <row r="316" spans="40:49" ht="15" customHeight="1" x14ac:dyDescent="0.35">
      <c r="AW316" s="132">
        <v>35</v>
      </c>
    </row>
    <row r="317" spans="40:49" ht="15" customHeight="1" x14ac:dyDescent="0.35">
      <c r="AW317" s="132">
        <v>36</v>
      </c>
    </row>
    <row r="318" spans="40:49" ht="15" customHeight="1" x14ac:dyDescent="0.35">
      <c r="AW318" s="132">
        <v>37</v>
      </c>
    </row>
    <row r="319" spans="40:49" ht="15" customHeight="1" x14ac:dyDescent="0.35">
      <c r="AW319" s="132">
        <v>38</v>
      </c>
    </row>
    <row r="320" spans="40:49" ht="15" customHeight="1" x14ac:dyDescent="0.35">
      <c r="AW320" s="132">
        <v>39</v>
      </c>
    </row>
    <row r="321" spans="49:49" ht="15" customHeight="1" x14ac:dyDescent="0.35">
      <c r="AW321" s="132">
        <v>40</v>
      </c>
    </row>
    <row r="322" spans="49:49" ht="15" customHeight="1" x14ac:dyDescent="0.35">
      <c r="AW322" s="132">
        <v>41</v>
      </c>
    </row>
    <row r="323" spans="49:49" ht="15" customHeight="1" x14ac:dyDescent="0.35">
      <c r="AW323" s="132">
        <v>42</v>
      </c>
    </row>
    <row r="324" spans="49:49" ht="15" customHeight="1" x14ac:dyDescent="0.35">
      <c r="AW324" s="132">
        <v>43</v>
      </c>
    </row>
    <row r="325" spans="49:49" ht="15" customHeight="1" x14ac:dyDescent="0.35">
      <c r="AW325" s="132">
        <v>44</v>
      </c>
    </row>
    <row r="326" spans="49:49" ht="15" customHeight="1" x14ac:dyDescent="0.35">
      <c r="AW326" s="132">
        <v>45</v>
      </c>
    </row>
    <row r="327" spans="49:49" ht="15" customHeight="1" x14ac:dyDescent="0.35">
      <c r="AW327" s="132">
        <v>46</v>
      </c>
    </row>
    <row r="328" spans="49:49" ht="15" customHeight="1" x14ac:dyDescent="0.35">
      <c r="AW328" s="132">
        <v>47</v>
      </c>
    </row>
    <row r="329" spans="49:49" ht="15" customHeight="1" x14ac:dyDescent="0.35">
      <c r="AW329" s="132">
        <v>48</v>
      </c>
    </row>
    <row r="330" spans="49:49" ht="15" customHeight="1" x14ac:dyDescent="0.35">
      <c r="AW330" s="132">
        <v>49</v>
      </c>
    </row>
    <row r="331" spans="49:49" ht="15" customHeight="1" x14ac:dyDescent="0.35">
      <c r="AW331" s="132">
        <v>50</v>
      </c>
    </row>
    <row r="332" spans="49:49" ht="15" customHeight="1" x14ac:dyDescent="0.35">
      <c r="AW332" s="132">
        <v>51</v>
      </c>
    </row>
    <row r="333" spans="49:49" ht="15" customHeight="1" x14ac:dyDescent="0.35">
      <c r="AW333" s="132">
        <v>52</v>
      </c>
    </row>
    <row r="334" spans="49:49" ht="15" customHeight="1" x14ac:dyDescent="0.35">
      <c r="AW334" s="132">
        <v>53</v>
      </c>
    </row>
    <row r="335" spans="49:49" ht="15" customHeight="1" x14ac:dyDescent="0.35">
      <c r="AW335" s="132">
        <v>54</v>
      </c>
    </row>
    <row r="336" spans="49:49" ht="15" customHeight="1" x14ac:dyDescent="0.35">
      <c r="AW336" s="132">
        <v>55</v>
      </c>
    </row>
    <row r="337" spans="49:49" ht="15" customHeight="1" x14ac:dyDescent="0.35">
      <c r="AW337" s="132">
        <v>56</v>
      </c>
    </row>
    <row r="338" spans="49:49" ht="15" customHeight="1" x14ac:dyDescent="0.35">
      <c r="AW338" s="132">
        <v>57</v>
      </c>
    </row>
    <row r="339" spans="49:49" ht="15" customHeight="1" x14ac:dyDescent="0.35">
      <c r="AW339" s="132">
        <v>58</v>
      </c>
    </row>
    <row r="340" spans="49:49" ht="15" customHeight="1" x14ac:dyDescent="0.35">
      <c r="AW340" s="132">
        <v>59</v>
      </c>
    </row>
    <row r="341" spans="49:49" ht="15" customHeight="1" x14ac:dyDescent="0.35">
      <c r="AW341" s="132">
        <v>60</v>
      </c>
    </row>
    <row r="342" spans="49:49" ht="15" customHeight="1" x14ac:dyDescent="0.35">
      <c r="AW342" s="132">
        <v>61</v>
      </c>
    </row>
    <row r="343" spans="49:49" ht="15" customHeight="1" x14ac:dyDescent="0.35">
      <c r="AW343" s="132">
        <v>62</v>
      </c>
    </row>
    <row r="344" spans="49:49" ht="15" customHeight="1" x14ac:dyDescent="0.35">
      <c r="AW344" s="132">
        <v>63</v>
      </c>
    </row>
    <row r="345" spans="49:49" ht="15" customHeight="1" x14ac:dyDescent="0.35">
      <c r="AW345" s="132">
        <v>64</v>
      </c>
    </row>
    <row r="346" spans="49:49" ht="15" customHeight="1" x14ac:dyDescent="0.35">
      <c r="AW346" s="132">
        <v>65</v>
      </c>
    </row>
    <row r="347" spans="49:49" ht="15" customHeight="1" x14ac:dyDescent="0.35">
      <c r="AW347" s="132">
        <v>66</v>
      </c>
    </row>
    <row r="348" spans="49:49" ht="15" customHeight="1" x14ac:dyDescent="0.35">
      <c r="AW348" s="132">
        <v>67</v>
      </c>
    </row>
    <row r="349" spans="49:49" ht="15" customHeight="1" x14ac:dyDescent="0.35">
      <c r="AW349" s="132">
        <v>68</v>
      </c>
    </row>
    <row r="350" spans="49:49" ht="15" customHeight="1" x14ac:dyDescent="0.35">
      <c r="AW350" s="132">
        <v>69</v>
      </c>
    </row>
    <row r="351" spans="49:49" ht="15" customHeight="1" x14ac:dyDescent="0.35">
      <c r="AW351" s="132">
        <v>70</v>
      </c>
    </row>
    <row r="352" spans="49:49" ht="15" customHeight="1" x14ac:dyDescent="0.35">
      <c r="AW352" s="132">
        <v>71</v>
      </c>
    </row>
    <row r="353" spans="49:49" ht="15" customHeight="1" x14ac:dyDescent="0.35">
      <c r="AW353" s="132">
        <v>72</v>
      </c>
    </row>
    <row r="354" spans="49:49" ht="15" customHeight="1" x14ac:dyDescent="0.35">
      <c r="AW354" s="132">
        <v>73</v>
      </c>
    </row>
    <row r="355" spans="49:49" ht="15" customHeight="1" x14ac:dyDescent="0.35">
      <c r="AW355" s="132">
        <v>74</v>
      </c>
    </row>
    <row r="356" spans="49:49" ht="15" customHeight="1" x14ac:dyDescent="0.35">
      <c r="AW356" s="132">
        <v>75</v>
      </c>
    </row>
    <row r="357" spans="49:49" ht="15" customHeight="1" x14ac:dyDescent="0.35">
      <c r="AW357" s="132">
        <v>76</v>
      </c>
    </row>
    <row r="358" spans="49:49" ht="15" customHeight="1" x14ac:dyDescent="0.35">
      <c r="AW358" s="132">
        <v>77</v>
      </c>
    </row>
    <row r="359" spans="49:49" ht="15" customHeight="1" x14ac:dyDescent="0.35">
      <c r="AW359" s="132">
        <v>78</v>
      </c>
    </row>
    <row r="360" spans="49:49" ht="15" customHeight="1" x14ac:dyDescent="0.35">
      <c r="AW360" s="132">
        <v>79</v>
      </c>
    </row>
    <row r="361" spans="49:49" ht="15" customHeight="1" x14ac:dyDescent="0.35">
      <c r="AW361" s="132">
        <v>80</v>
      </c>
    </row>
    <row r="362" spans="49:49" ht="15" customHeight="1" x14ac:dyDescent="0.35">
      <c r="AW362" s="132">
        <v>81</v>
      </c>
    </row>
    <row r="363" spans="49:49" ht="15" customHeight="1" x14ac:dyDescent="0.35">
      <c r="AW363" s="132">
        <v>82</v>
      </c>
    </row>
    <row r="364" spans="49:49" ht="15" customHeight="1" x14ac:dyDescent="0.35">
      <c r="AW364" s="132">
        <v>83</v>
      </c>
    </row>
    <row r="365" spans="49:49" ht="15" customHeight="1" x14ac:dyDescent="0.35">
      <c r="AW365" s="132">
        <v>84</v>
      </c>
    </row>
    <row r="366" spans="49:49" ht="15" customHeight="1" x14ac:dyDescent="0.35">
      <c r="AW366" s="132">
        <v>85</v>
      </c>
    </row>
    <row r="367" spans="49:49" ht="15" customHeight="1" x14ac:dyDescent="0.35">
      <c r="AW367" s="132">
        <v>86</v>
      </c>
    </row>
    <row r="368" spans="49:49" ht="15" customHeight="1" x14ac:dyDescent="0.35">
      <c r="AW368" s="132">
        <v>87</v>
      </c>
    </row>
    <row r="369" spans="49:49" ht="15" customHeight="1" x14ac:dyDescent="0.35">
      <c r="AW369" s="132">
        <v>88</v>
      </c>
    </row>
    <row r="370" spans="49:49" ht="15" customHeight="1" x14ac:dyDescent="0.35">
      <c r="AW370" s="132">
        <v>89</v>
      </c>
    </row>
    <row r="371" spans="49:49" ht="15" customHeight="1" x14ac:dyDescent="0.35">
      <c r="AW371" s="132">
        <v>90</v>
      </c>
    </row>
    <row r="372" spans="49:49" ht="15" customHeight="1" x14ac:dyDescent="0.35">
      <c r="AW372" s="132">
        <v>91</v>
      </c>
    </row>
    <row r="373" spans="49:49" ht="15" customHeight="1" x14ac:dyDescent="0.35">
      <c r="AW373" s="132">
        <v>92</v>
      </c>
    </row>
    <row r="374" spans="49:49" ht="15" customHeight="1" x14ac:dyDescent="0.35">
      <c r="AW374" s="132">
        <v>93</v>
      </c>
    </row>
    <row r="375" spans="49:49" ht="15" customHeight="1" x14ac:dyDescent="0.35">
      <c r="AW375" s="132">
        <v>94</v>
      </c>
    </row>
    <row r="376" spans="49:49" ht="15" customHeight="1" x14ac:dyDescent="0.35">
      <c r="AW376" s="132">
        <v>95</v>
      </c>
    </row>
    <row r="377" spans="49:49" ht="15" customHeight="1" x14ac:dyDescent="0.35">
      <c r="AW377" s="132">
        <v>96</v>
      </c>
    </row>
    <row r="378" spans="49:49" ht="15" customHeight="1" x14ac:dyDescent="0.35">
      <c r="AW378" s="132">
        <v>97</v>
      </c>
    </row>
    <row r="379" spans="49:49" ht="15" customHeight="1" x14ac:dyDescent="0.35">
      <c r="AW379" s="132">
        <v>98</v>
      </c>
    </row>
    <row r="380" spans="49:49" ht="15" customHeight="1" x14ac:dyDescent="0.35">
      <c r="AW380" s="132">
        <v>99</v>
      </c>
    </row>
    <row r="381" spans="49:49" ht="15" customHeight="1" x14ac:dyDescent="0.35">
      <c r="AW381" s="132">
        <v>100</v>
      </c>
    </row>
    <row r="382" spans="49:49" ht="15" customHeight="1" x14ac:dyDescent="0.35">
      <c r="AW382" s="132">
        <v>101</v>
      </c>
    </row>
    <row r="383" spans="49:49" ht="15" customHeight="1" x14ac:dyDescent="0.35">
      <c r="AW383" s="132">
        <v>102</v>
      </c>
    </row>
    <row r="384" spans="49:49" ht="15" customHeight="1" x14ac:dyDescent="0.35">
      <c r="AW384" s="132">
        <v>103</v>
      </c>
    </row>
    <row r="385" spans="49:49" ht="15" customHeight="1" x14ac:dyDescent="0.35">
      <c r="AW385" s="132">
        <v>104</v>
      </c>
    </row>
    <row r="386" spans="49:49" ht="15" customHeight="1" x14ac:dyDescent="0.35">
      <c r="AW386" s="132">
        <v>105</v>
      </c>
    </row>
    <row r="387" spans="49:49" ht="15" customHeight="1" x14ac:dyDescent="0.35">
      <c r="AW387" s="132">
        <v>106</v>
      </c>
    </row>
    <row r="388" spans="49:49" ht="15" customHeight="1" x14ac:dyDescent="0.35">
      <c r="AW388" s="132">
        <v>107</v>
      </c>
    </row>
    <row r="389" spans="49:49" ht="15" customHeight="1" x14ac:dyDescent="0.35">
      <c r="AW389" s="132">
        <v>108</v>
      </c>
    </row>
    <row r="390" spans="49:49" ht="15" customHeight="1" x14ac:dyDescent="0.35">
      <c r="AW390" s="132">
        <v>109</v>
      </c>
    </row>
    <row r="391" spans="49:49" ht="15" customHeight="1" x14ac:dyDescent="0.35">
      <c r="AW391" s="132">
        <v>110</v>
      </c>
    </row>
    <row r="392" spans="49:49" ht="15" customHeight="1" x14ac:dyDescent="0.35">
      <c r="AW392" s="132">
        <v>111</v>
      </c>
    </row>
    <row r="393" spans="49:49" ht="15" customHeight="1" x14ac:dyDescent="0.35">
      <c r="AW393" s="132">
        <v>112</v>
      </c>
    </row>
    <row r="394" spans="49:49" ht="15" customHeight="1" x14ac:dyDescent="0.35">
      <c r="AW394" s="132">
        <v>113</v>
      </c>
    </row>
    <row r="395" spans="49:49" ht="15" customHeight="1" x14ac:dyDescent="0.35">
      <c r="AW395" s="132">
        <v>114</v>
      </c>
    </row>
    <row r="396" spans="49:49" ht="15" customHeight="1" x14ac:dyDescent="0.35">
      <c r="AW396" s="132">
        <v>115</v>
      </c>
    </row>
    <row r="397" spans="49:49" ht="15" customHeight="1" x14ac:dyDescent="0.35">
      <c r="AW397" s="132">
        <v>116</v>
      </c>
    </row>
    <row r="398" spans="49:49" ht="15" customHeight="1" x14ac:dyDescent="0.35">
      <c r="AW398" s="132">
        <v>117</v>
      </c>
    </row>
    <row r="399" spans="49:49" ht="15" customHeight="1" x14ac:dyDescent="0.35">
      <c r="AW399" s="132">
        <v>118</v>
      </c>
    </row>
    <row r="400" spans="49:49" ht="15" customHeight="1" x14ac:dyDescent="0.35">
      <c r="AW400" s="132">
        <v>119</v>
      </c>
    </row>
    <row r="401" spans="49:49" ht="15" customHeight="1" x14ac:dyDescent="0.35">
      <c r="AW401" s="132">
        <v>120</v>
      </c>
    </row>
    <row r="402" spans="49:49" ht="15" customHeight="1" x14ac:dyDescent="0.35">
      <c r="AW402" s="132">
        <v>121</v>
      </c>
    </row>
    <row r="403" spans="49:49" ht="15" customHeight="1" x14ac:dyDescent="0.35">
      <c r="AW403" s="132">
        <v>122</v>
      </c>
    </row>
    <row r="404" spans="49:49" ht="15" customHeight="1" x14ac:dyDescent="0.35">
      <c r="AW404" s="132">
        <v>123</v>
      </c>
    </row>
    <row r="405" spans="49:49" ht="15" customHeight="1" x14ac:dyDescent="0.35">
      <c r="AW405" s="132">
        <v>124</v>
      </c>
    </row>
    <row r="406" spans="49:49" ht="15" customHeight="1" x14ac:dyDescent="0.35">
      <c r="AW406" s="132">
        <v>125</v>
      </c>
    </row>
    <row r="407" spans="49:49" ht="15" customHeight="1" x14ac:dyDescent="0.35">
      <c r="AW407" s="132">
        <v>126</v>
      </c>
    </row>
    <row r="408" spans="49:49" ht="15" customHeight="1" x14ac:dyDescent="0.35">
      <c r="AW408" s="132">
        <v>127</v>
      </c>
    </row>
    <row r="409" spans="49:49" ht="15" customHeight="1" x14ac:dyDescent="0.35">
      <c r="AW409" s="132">
        <v>128</v>
      </c>
    </row>
    <row r="410" spans="49:49" ht="15" customHeight="1" x14ac:dyDescent="0.35">
      <c r="AW410" s="132">
        <v>129</v>
      </c>
    </row>
    <row r="411" spans="49:49" ht="15" customHeight="1" x14ac:dyDescent="0.35">
      <c r="AW411" s="132">
        <v>130</v>
      </c>
    </row>
    <row r="412" spans="49:49" ht="15" customHeight="1" x14ac:dyDescent="0.35">
      <c r="AW412" s="132">
        <v>131</v>
      </c>
    </row>
    <row r="413" spans="49:49" ht="15" customHeight="1" x14ac:dyDescent="0.35">
      <c r="AW413" s="132">
        <v>132</v>
      </c>
    </row>
    <row r="414" spans="49:49" ht="15" customHeight="1" x14ac:dyDescent="0.35">
      <c r="AW414" s="132">
        <v>133</v>
      </c>
    </row>
    <row r="415" spans="49:49" ht="15" customHeight="1" x14ac:dyDescent="0.35">
      <c r="AW415" s="132">
        <v>134</v>
      </c>
    </row>
    <row r="416" spans="49:49" ht="15" customHeight="1" x14ac:dyDescent="0.35">
      <c r="AW416" s="132">
        <v>135</v>
      </c>
    </row>
    <row r="417" spans="49:49" ht="15" customHeight="1" x14ac:dyDescent="0.35">
      <c r="AW417" s="132">
        <v>136</v>
      </c>
    </row>
    <row r="418" spans="49:49" ht="15" customHeight="1" x14ac:dyDescent="0.35">
      <c r="AW418" s="132">
        <v>137</v>
      </c>
    </row>
    <row r="419" spans="49:49" ht="15" customHeight="1" x14ac:dyDescent="0.35">
      <c r="AW419" s="132">
        <v>138</v>
      </c>
    </row>
    <row r="420" spans="49:49" ht="15" customHeight="1" x14ac:dyDescent="0.35">
      <c r="AW420" s="132">
        <v>139</v>
      </c>
    </row>
    <row r="421" spans="49:49" ht="15" customHeight="1" x14ac:dyDescent="0.35">
      <c r="AW421" s="132">
        <v>140</v>
      </c>
    </row>
    <row r="422" spans="49:49" ht="15" customHeight="1" x14ac:dyDescent="0.35">
      <c r="AW422" s="132">
        <v>141</v>
      </c>
    </row>
    <row r="423" spans="49:49" ht="15" customHeight="1" x14ac:dyDescent="0.35">
      <c r="AW423" s="132">
        <v>142</v>
      </c>
    </row>
    <row r="424" spans="49:49" ht="15" customHeight="1" x14ac:dyDescent="0.35">
      <c r="AW424" s="132">
        <v>143</v>
      </c>
    </row>
    <row r="425" spans="49:49" ht="15" customHeight="1" x14ac:dyDescent="0.35">
      <c r="AW425" s="132">
        <v>144</v>
      </c>
    </row>
    <row r="426" spans="49:49" ht="15" customHeight="1" x14ac:dyDescent="0.35">
      <c r="AW426" s="132">
        <v>145</v>
      </c>
    </row>
    <row r="427" spans="49:49" ht="15" customHeight="1" x14ac:dyDescent="0.35">
      <c r="AW427" s="132">
        <v>146</v>
      </c>
    </row>
    <row r="428" spans="49:49" ht="15" customHeight="1" x14ac:dyDescent="0.35">
      <c r="AW428" s="132">
        <v>147</v>
      </c>
    </row>
    <row r="429" spans="49:49" ht="15" customHeight="1" x14ac:dyDescent="0.35">
      <c r="AW429" s="132">
        <v>148</v>
      </c>
    </row>
    <row r="430" spans="49:49" ht="15" customHeight="1" x14ac:dyDescent="0.35">
      <c r="AW430" s="132">
        <v>149</v>
      </c>
    </row>
    <row r="431" spans="49:49" ht="15" customHeight="1" x14ac:dyDescent="0.35">
      <c r="AW431" s="132">
        <v>150</v>
      </c>
    </row>
    <row r="432" spans="49:49" ht="15" customHeight="1" x14ac:dyDescent="0.35">
      <c r="AW432" s="132">
        <v>151</v>
      </c>
    </row>
    <row r="433" spans="49:49" ht="15" customHeight="1" x14ac:dyDescent="0.35">
      <c r="AW433" s="132">
        <v>152</v>
      </c>
    </row>
    <row r="434" spans="49:49" ht="15" customHeight="1" x14ac:dyDescent="0.35">
      <c r="AW434" s="132">
        <v>153</v>
      </c>
    </row>
    <row r="435" spans="49:49" ht="15" customHeight="1" x14ac:dyDescent="0.35">
      <c r="AW435" s="132">
        <v>154</v>
      </c>
    </row>
    <row r="436" spans="49:49" ht="15" customHeight="1" x14ac:dyDescent="0.35">
      <c r="AW436" s="132">
        <v>155</v>
      </c>
    </row>
    <row r="437" spans="49:49" ht="15" customHeight="1" x14ac:dyDescent="0.35">
      <c r="AW437" s="132">
        <v>156</v>
      </c>
    </row>
    <row r="438" spans="49:49" ht="15" customHeight="1" x14ac:dyDescent="0.35">
      <c r="AW438" s="132">
        <v>157</v>
      </c>
    </row>
    <row r="439" spans="49:49" ht="15" customHeight="1" x14ac:dyDescent="0.35">
      <c r="AW439" s="132">
        <v>158</v>
      </c>
    </row>
    <row r="440" spans="49:49" ht="15" customHeight="1" x14ac:dyDescent="0.35">
      <c r="AW440" s="132">
        <v>159</v>
      </c>
    </row>
    <row r="441" spans="49:49" ht="15" customHeight="1" x14ac:dyDescent="0.35">
      <c r="AW441" s="132">
        <v>160</v>
      </c>
    </row>
    <row r="442" spans="49:49" ht="15" customHeight="1" x14ac:dyDescent="0.35">
      <c r="AW442" s="132">
        <v>161</v>
      </c>
    </row>
    <row r="443" spans="49:49" ht="15" customHeight="1" x14ac:dyDescent="0.35">
      <c r="AW443" s="132">
        <v>162</v>
      </c>
    </row>
    <row r="444" spans="49:49" ht="15" customHeight="1" x14ac:dyDescent="0.35">
      <c r="AW444" s="132">
        <v>163</v>
      </c>
    </row>
    <row r="445" spans="49:49" ht="15" customHeight="1" x14ac:dyDescent="0.35">
      <c r="AW445" s="132">
        <v>164</v>
      </c>
    </row>
    <row r="446" spans="49:49" ht="15" customHeight="1" x14ac:dyDescent="0.35">
      <c r="AW446" s="132">
        <v>165</v>
      </c>
    </row>
    <row r="447" spans="49:49" ht="15" customHeight="1" x14ac:dyDescent="0.35">
      <c r="AW447" s="132">
        <v>166</v>
      </c>
    </row>
    <row r="448" spans="49:49" ht="15" customHeight="1" x14ac:dyDescent="0.35">
      <c r="AW448" s="132">
        <v>167</v>
      </c>
    </row>
    <row r="449" spans="49:49" ht="15" customHeight="1" x14ac:dyDescent="0.35">
      <c r="AW449" s="132">
        <v>168</v>
      </c>
    </row>
    <row r="450" spans="49:49" ht="15" customHeight="1" x14ac:dyDescent="0.35">
      <c r="AW450" s="132">
        <v>169</v>
      </c>
    </row>
    <row r="451" spans="49:49" ht="15" customHeight="1" x14ac:dyDescent="0.35">
      <c r="AW451" s="132">
        <v>170</v>
      </c>
    </row>
    <row r="452" spans="49:49" ht="15" customHeight="1" x14ac:dyDescent="0.35">
      <c r="AW452" s="132">
        <v>171</v>
      </c>
    </row>
    <row r="453" spans="49:49" ht="15" customHeight="1" x14ac:dyDescent="0.35">
      <c r="AW453" s="132">
        <v>172</v>
      </c>
    </row>
    <row r="454" spans="49:49" ht="15" customHeight="1" x14ac:dyDescent="0.35">
      <c r="AW454" s="132">
        <v>173</v>
      </c>
    </row>
    <row r="455" spans="49:49" ht="15" customHeight="1" x14ac:dyDescent="0.35">
      <c r="AW455" s="132">
        <v>174</v>
      </c>
    </row>
    <row r="456" spans="49:49" ht="15" customHeight="1" x14ac:dyDescent="0.35">
      <c r="AW456" s="132">
        <v>175</v>
      </c>
    </row>
    <row r="457" spans="49:49" ht="15" customHeight="1" x14ac:dyDescent="0.35">
      <c r="AW457" s="132">
        <v>176</v>
      </c>
    </row>
    <row r="458" spans="49:49" ht="15" customHeight="1" x14ac:dyDescent="0.35">
      <c r="AW458" s="132">
        <v>177</v>
      </c>
    </row>
    <row r="459" spans="49:49" ht="15" customHeight="1" x14ac:dyDescent="0.35">
      <c r="AW459" s="132">
        <v>178</v>
      </c>
    </row>
    <row r="460" spans="49:49" ht="15" customHeight="1" x14ac:dyDescent="0.35">
      <c r="AW460" s="132">
        <v>179</v>
      </c>
    </row>
    <row r="461" spans="49:49" ht="15" customHeight="1" x14ac:dyDescent="0.35">
      <c r="AW461" s="132">
        <v>180</v>
      </c>
    </row>
    <row r="462" spans="49:49" ht="15" customHeight="1" x14ac:dyDescent="0.35">
      <c r="AW462" s="132">
        <v>181</v>
      </c>
    </row>
    <row r="463" spans="49:49" ht="15" customHeight="1" x14ac:dyDescent="0.35">
      <c r="AW463" s="132">
        <v>182</v>
      </c>
    </row>
    <row r="464" spans="49:49" ht="15" customHeight="1" x14ac:dyDescent="0.35">
      <c r="AW464" s="132">
        <v>183</v>
      </c>
    </row>
    <row r="465" spans="49:49" ht="15" customHeight="1" x14ac:dyDescent="0.35">
      <c r="AW465" s="132">
        <v>184</v>
      </c>
    </row>
    <row r="466" spans="49:49" ht="15" customHeight="1" x14ac:dyDescent="0.35">
      <c r="AW466" s="132">
        <v>185</v>
      </c>
    </row>
    <row r="467" spans="49:49" ht="15" customHeight="1" x14ac:dyDescent="0.35">
      <c r="AW467" s="132">
        <v>186</v>
      </c>
    </row>
    <row r="468" spans="49:49" ht="15" customHeight="1" x14ac:dyDescent="0.35">
      <c r="AW468" s="132">
        <v>187</v>
      </c>
    </row>
    <row r="469" spans="49:49" ht="15" customHeight="1" x14ac:dyDescent="0.35">
      <c r="AW469" s="132">
        <v>188</v>
      </c>
    </row>
    <row r="470" spans="49:49" ht="15" customHeight="1" x14ac:dyDescent="0.35">
      <c r="AW470" s="132">
        <v>189</v>
      </c>
    </row>
    <row r="471" spans="49:49" ht="15" customHeight="1" x14ac:dyDescent="0.35">
      <c r="AW471" s="132">
        <v>190</v>
      </c>
    </row>
    <row r="472" spans="49:49" ht="15" customHeight="1" x14ac:dyDescent="0.35">
      <c r="AW472" s="132">
        <v>191</v>
      </c>
    </row>
    <row r="473" spans="49:49" ht="15" customHeight="1" x14ac:dyDescent="0.35">
      <c r="AW473" s="132">
        <v>192</v>
      </c>
    </row>
    <row r="474" spans="49:49" ht="15" customHeight="1" x14ac:dyDescent="0.35">
      <c r="AW474" s="132">
        <v>193</v>
      </c>
    </row>
    <row r="475" spans="49:49" ht="15" customHeight="1" x14ac:dyDescent="0.35">
      <c r="AW475" s="132">
        <v>194</v>
      </c>
    </row>
    <row r="476" spans="49:49" ht="15" customHeight="1" x14ac:dyDescent="0.35">
      <c r="AW476" s="132">
        <v>195</v>
      </c>
    </row>
    <row r="477" spans="49:49" ht="15" customHeight="1" x14ac:dyDescent="0.35">
      <c r="AW477" s="132">
        <v>196</v>
      </c>
    </row>
    <row r="478" spans="49:49" ht="15" customHeight="1" x14ac:dyDescent="0.35">
      <c r="AW478" s="132">
        <v>197</v>
      </c>
    </row>
    <row r="479" spans="49:49" ht="15" customHeight="1" x14ac:dyDescent="0.35">
      <c r="AW479" s="132">
        <v>198</v>
      </c>
    </row>
    <row r="480" spans="49:49" ht="15" customHeight="1" x14ac:dyDescent="0.35">
      <c r="AW480" s="132">
        <v>199</v>
      </c>
    </row>
    <row r="481" spans="49:49" ht="15" customHeight="1" x14ac:dyDescent="0.35">
      <c r="AW481" s="132">
        <v>200</v>
      </c>
    </row>
    <row r="482" spans="49:49" ht="15" customHeight="1" x14ac:dyDescent="0.35">
      <c r="AW482" s="132">
        <v>201</v>
      </c>
    </row>
    <row r="483" spans="49:49" ht="15" customHeight="1" x14ac:dyDescent="0.35">
      <c r="AW483" s="132">
        <v>202</v>
      </c>
    </row>
    <row r="484" spans="49:49" ht="15" customHeight="1" x14ac:dyDescent="0.35">
      <c r="AW484" s="132">
        <v>203</v>
      </c>
    </row>
    <row r="485" spans="49:49" ht="15" customHeight="1" x14ac:dyDescent="0.35">
      <c r="AW485" s="132">
        <v>204</v>
      </c>
    </row>
    <row r="486" spans="49:49" ht="15" customHeight="1" x14ac:dyDescent="0.35">
      <c r="AW486" s="132">
        <v>205</v>
      </c>
    </row>
    <row r="487" spans="49:49" ht="15" customHeight="1" x14ac:dyDescent="0.35">
      <c r="AW487" s="132">
        <v>206</v>
      </c>
    </row>
    <row r="488" spans="49:49" ht="15" customHeight="1" x14ac:dyDescent="0.35">
      <c r="AW488" s="132">
        <v>207</v>
      </c>
    </row>
    <row r="489" spans="49:49" ht="15" customHeight="1" x14ac:dyDescent="0.35">
      <c r="AW489" s="132">
        <v>208</v>
      </c>
    </row>
    <row r="490" spans="49:49" ht="15" customHeight="1" x14ac:dyDescent="0.35">
      <c r="AW490" s="132">
        <v>209</v>
      </c>
    </row>
    <row r="491" spans="49:49" ht="15" customHeight="1" x14ac:dyDescent="0.35">
      <c r="AW491" s="132">
        <v>210</v>
      </c>
    </row>
    <row r="492" spans="49:49" ht="15" customHeight="1" x14ac:dyDescent="0.35">
      <c r="AW492" s="132">
        <v>211</v>
      </c>
    </row>
    <row r="493" spans="49:49" ht="15" customHeight="1" x14ac:dyDescent="0.35">
      <c r="AW493" s="132">
        <v>212</v>
      </c>
    </row>
    <row r="494" spans="49:49" ht="15" customHeight="1" x14ac:dyDescent="0.35">
      <c r="AW494" s="132">
        <v>213</v>
      </c>
    </row>
    <row r="495" spans="49:49" ht="15" customHeight="1" x14ac:dyDescent="0.35">
      <c r="AW495" s="132">
        <v>214</v>
      </c>
    </row>
    <row r="496" spans="49:49" ht="15" customHeight="1" x14ac:dyDescent="0.35">
      <c r="AW496" s="132">
        <v>215</v>
      </c>
    </row>
    <row r="497" spans="49:49" ht="15" customHeight="1" x14ac:dyDescent="0.35">
      <c r="AW497" s="132">
        <v>216</v>
      </c>
    </row>
    <row r="498" spans="49:49" ht="15" customHeight="1" x14ac:dyDescent="0.35">
      <c r="AW498" s="132">
        <v>217</v>
      </c>
    </row>
    <row r="499" spans="49:49" ht="15" customHeight="1" x14ac:dyDescent="0.35">
      <c r="AW499" s="132">
        <v>218</v>
      </c>
    </row>
    <row r="500" spans="49:49" ht="15" customHeight="1" x14ac:dyDescent="0.35">
      <c r="AW500" s="132">
        <v>219</v>
      </c>
    </row>
    <row r="501" spans="49:49" ht="15" customHeight="1" x14ac:dyDescent="0.35">
      <c r="AW501" s="132">
        <v>220</v>
      </c>
    </row>
    <row r="502" spans="49:49" ht="15" customHeight="1" x14ac:dyDescent="0.35">
      <c r="AW502" s="132">
        <v>221</v>
      </c>
    </row>
    <row r="503" spans="49:49" ht="15" customHeight="1" x14ac:dyDescent="0.35">
      <c r="AW503" s="132">
        <v>222</v>
      </c>
    </row>
    <row r="504" spans="49:49" ht="15" customHeight="1" x14ac:dyDescent="0.35">
      <c r="AW504" s="132">
        <v>223</v>
      </c>
    </row>
    <row r="505" spans="49:49" ht="15" customHeight="1" x14ac:dyDescent="0.35">
      <c r="AW505" s="132">
        <v>224</v>
      </c>
    </row>
    <row r="506" spans="49:49" ht="15" customHeight="1" x14ac:dyDescent="0.35">
      <c r="AW506" s="132">
        <v>225</v>
      </c>
    </row>
    <row r="507" spans="49:49" ht="15" customHeight="1" x14ac:dyDescent="0.35">
      <c r="AW507" s="132">
        <v>226</v>
      </c>
    </row>
    <row r="508" spans="49:49" ht="15" customHeight="1" x14ac:dyDescent="0.35">
      <c r="AW508" s="132">
        <v>227</v>
      </c>
    </row>
    <row r="509" spans="49:49" ht="15" customHeight="1" x14ac:dyDescent="0.35">
      <c r="AW509" s="132">
        <v>228</v>
      </c>
    </row>
    <row r="510" spans="49:49" ht="15" customHeight="1" x14ac:dyDescent="0.35">
      <c r="AW510" s="132">
        <v>229</v>
      </c>
    </row>
    <row r="511" spans="49:49" ht="15" customHeight="1" x14ac:dyDescent="0.35">
      <c r="AW511" s="132">
        <v>230</v>
      </c>
    </row>
    <row r="512" spans="49:49" ht="15" customHeight="1" x14ac:dyDescent="0.35">
      <c r="AW512" s="132">
        <v>231</v>
      </c>
    </row>
    <row r="513" spans="49:49" ht="15" customHeight="1" x14ac:dyDescent="0.35">
      <c r="AW513" s="132">
        <v>232</v>
      </c>
    </row>
    <row r="514" spans="49:49" ht="15" customHeight="1" x14ac:dyDescent="0.35">
      <c r="AW514" s="132">
        <v>233</v>
      </c>
    </row>
    <row r="515" spans="49:49" ht="15" customHeight="1" x14ac:dyDescent="0.35">
      <c r="AW515" s="132">
        <v>234</v>
      </c>
    </row>
    <row r="516" spans="49:49" ht="15" customHeight="1" x14ac:dyDescent="0.35">
      <c r="AW516" s="132">
        <v>235</v>
      </c>
    </row>
    <row r="517" spans="49:49" ht="15" customHeight="1" x14ac:dyDescent="0.35">
      <c r="AW517" s="132">
        <v>236</v>
      </c>
    </row>
    <row r="518" spans="49:49" ht="15" customHeight="1" x14ac:dyDescent="0.35">
      <c r="AW518" s="132">
        <v>237</v>
      </c>
    </row>
    <row r="519" spans="49:49" ht="15" customHeight="1" x14ac:dyDescent="0.35">
      <c r="AW519" s="132">
        <v>238</v>
      </c>
    </row>
    <row r="520" spans="49:49" ht="15" customHeight="1" x14ac:dyDescent="0.35">
      <c r="AW520" s="132">
        <v>239</v>
      </c>
    </row>
    <row r="521" spans="49:49" ht="15" customHeight="1" x14ac:dyDescent="0.35">
      <c r="AW521" s="132">
        <v>240</v>
      </c>
    </row>
    <row r="522" spans="49:49" ht="15" customHeight="1" x14ac:dyDescent="0.35">
      <c r="AW522" s="132">
        <v>241</v>
      </c>
    </row>
    <row r="523" spans="49:49" ht="15" customHeight="1" x14ac:dyDescent="0.35">
      <c r="AW523" s="132">
        <v>242</v>
      </c>
    </row>
    <row r="524" spans="49:49" ht="15" customHeight="1" x14ac:dyDescent="0.35">
      <c r="AW524" s="132">
        <v>243</v>
      </c>
    </row>
    <row r="525" spans="49:49" ht="15" customHeight="1" x14ac:dyDescent="0.35">
      <c r="AW525" s="132">
        <v>244</v>
      </c>
    </row>
    <row r="526" spans="49:49" ht="15" customHeight="1" x14ac:dyDescent="0.35">
      <c r="AW526" s="132">
        <v>245</v>
      </c>
    </row>
    <row r="527" spans="49:49" ht="15" customHeight="1" x14ac:dyDescent="0.35">
      <c r="AW527" s="132">
        <v>246</v>
      </c>
    </row>
    <row r="528" spans="49:49" ht="15" customHeight="1" x14ac:dyDescent="0.35">
      <c r="AW528" s="132">
        <v>247</v>
      </c>
    </row>
    <row r="529" spans="49:49" ht="15" customHeight="1" x14ac:dyDescent="0.35">
      <c r="AW529" s="132">
        <v>248</v>
      </c>
    </row>
    <row r="530" spans="49:49" ht="15" customHeight="1" x14ac:dyDescent="0.35">
      <c r="AW530" s="132">
        <v>249</v>
      </c>
    </row>
    <row r="531" spans="49:49" ht="15" customHeight="1" x14ac:dyDescent="0.35">
      <c r="AW531" s="132">
        <v>250</v>
      </c>
    </row>
    <row r="532" spans="49:49" ht="15" customHeight="1" x14ac:dyDescent="0.35">
      <c r="AW532" s="132">
        <v>251</v>
      </c>
    </row>
    <row r="533" spans="49:49" ht="15" customHeight="1" x14ac:dyDescent="0.35">
      <c r="AW533" s="132">
        <v>252</v>
      </c>
    </row>
    <row r="534" spans="49:49" ht="15" customHeight="1" x14ac:dyDescent="0.35">
      <c r="AW534" s="132">
        <v>253</v>
      </c>
    </row>
    <row r="535" spans="49:49" ht="15" customHeight="1" x14ac:dyDescent="0.35">
      <c r="AW535" s="132">
        <v>254</v>
      </c>
    </row>
    <row r="536" spans="49:49" ht="15" customHeight="1" x14ac:dyDescent="0.35">
      <c r="AW536" s="132">
        <v>255</v>
      </c>
    </row>
    <row r="537" spans="49:49" ht="15" customHeight="1" x14ac:dyDescent="0.35">
      <c r="AW537" s="132">
        <v>256</v>
      </c>
    </row>
    <row r="538" spans="49:49" ht="15" customHeight="1" x14ac:dyDescent="0.35">
      <c r="AW538" s="132">
        <v>257</v>
      </c>
    </row>
    <row r="539" spans="49:49" ht="15" customHeight="1" x14ac:dyDescent="0.35">
      <c r="AW539" s="132">
        <v>258</v>
      </c>
    </row>
    <row r="540" spans="49:49" ht="15" customHeight="1" x14ac:dyDescent="0.35">
      <c r="AW540" s="132">
        <v>259</v>
      </c>
    </row>
    <row r="541" spans="49:49" ht="15" customHeight="1" x14ac:dyDescent="0.35">
      <c r="AW541" s="132">
        <v>260</v>
      </c>
    </row>
    <row r="542" spans="49:49" ht="15" customHeight="1" x14ac:dyDescent="0.35">
      <c r="AW542" s="132">
        <v>261</v>
      </c>
    </row>
    <row r="543" spans="49:49" ht="15" customHeight="1" x14ac:dyDescent="0.35">
      <c r="AW543" s="132">
        <v>262</v>
      </c>
    </row>
    <row r="544" spans="49:49" ht="15" customHeight="1" x14ac:dyDescent="0.35">
      <c r="AW544" s="132">
        <v>263</v>
      </c>
    </row>
    <row r="545" spans="49:49" ht="15" customHeight="1" x14ac:dyDescent="0.35">
      <c r="AW545" s="132">
        <v>264</v>
      </c>
    </row>
    <row r="546" spans="49:49" ht="15" customHeight="1" x14ac:dyDescent="0.35">
      <c r="AW546" s="132">
        <v>265</v>
      </c>
    </row>
    <row r="547" spans="49:49" ht="15" customHeight="1" x14ac:dyDescent="0.35">
      <c r="AW547" s="132">
        <v>266</v>
      </c>
    </row>
    <row r="548" spans="49:49" ht="15" customHeight="1" x14ac:dyDescent="0.35">
      <c r="AW548" s="132">
        <v>267</v>
      </c>
    </row>
    <row r="549" spans="49:49" ht="15" customHeight="1" x14ac:dyDescent="0.35">
      <c r="AW549" s="132">
        <v>268</v>
      </c>
    </row>
    <row r="550" spans="49:49" ht="15" customHeight="1" x14ac:dyDescent="0.35">
      <c r="AW550" s="132">
        <v>269</v>
      </c>
    </row>
    <row r="551" spans="49:49" ht="15" customHeight="1" x14ac:dyDescent="0.35">
      <c r="AW551" s="132">
        <v>270</v>
      </c>
    </row>
    <row r="552" spans="49:49" ht="15" customHeight="1" x14ac:dyDescent="0.35">
      <c r="AW552" s="132">
        <v>271</v>
      </c>
    </row>
    <row r="553" spans="49:49" ht="15" customHeight="1" x14ac:dyDescent="0.35">
      <c r="AW553" s="132">
        <v>272</v>
      </c>
    </row>
    <row r="554" spans="49:49" ht="15" customHeight="1" x14ac:dyDescent="0.35">
      <c r="AW554" s="132">
        <v>273</v>
      </c>
    </row>
    <row r="555" spans="49:49" ht="15" customHeight="1" x14ac:dyDescent="0.35">
      <c r="AW555" s="132">
        <v>274</v>
      </c>
    </row>
    <row r="556" spans="49:49" ht="15" customHeight="1" x14ac:dyDescent="0.35">
      <c r="AW556" s="132">
        <v>275</v>
      </c>
    </row>
    <row r="557" spans="49:49" ht="15" customHeight="1" x14ac:dyDescent="0.35">
      <c r="AW557" s="132">
        <v>276</v>
      </c>
    </row>
    <row r="558" spans="49:49" ht="15" customHeight="1" x14ac:dyDescent="0.35">
      <c r="AW558" s="132">
        <v>277</v>
      </c>
    </row>
    <row r="559" spans="49:49" ht="15" customHeight="1" x14ac:dyDescent="0.35">
      <c r="AW559" s="132">
        <v>278</v>
      </c>
    </row>
    <row r="560" spans="49:49" ht="15" customHeight="1" x14ac:dyDescent="0.35">
      <c r="AW560" s="132">
        <v>279</v>
      </c>
    </row>
    <row r="561" spans="49:49" ht="15" customHeight="1" x14ac:dyDescent="0.35">
      <c r="AW561" s="132">
        <v>280</v>
      </c>
    </row>
    <row r="562" spans="49:49" ht="15" customHeight="1" x14ac:dyDescent="0.35">
      <c r="AW562" s="132">
        <v>281</v>
      </c>
    </row>
    <row r="563" spans="49:49" ht="15" customHeight="1" x14ac:dyDescent="0.35">
      <c r="AW563" s="132">
        <v>282</v>
      </c>
    </row>
    <row r="564" spans="49:49" ht="15" customHeight="1" x14ac:dyDescent="0.35">
      <c r="AW564" s="132">
        <v>283</v>
      </c>
    </row>
    <row r="565" spans="49:49" ht="15" customHeight="1" x14ac:dyDescent="0.35">
      <c r="AW565" s="132">
        <v>284</v>
      </c>
    </row>
    <row r="566" spans="49:49" ht="15" customHeight="1" x14ac:dyDescent="0.35">
      <c r="AW566" s="132">
        <v>285</v>
      </c>
    </row>
    <row r="567" spans="49:49" ht="15" customHeight="1" x14ac:dyDescent="0.35">
      <c r="AW567" s="132">
        <v>286</v>
      </c>
    </row>
    <row r="568" spans="49:49" ht="15" customHeight="1" x14ac:dyDescent="0.35">
      <c r="AW568" s="132">
        <v>287</v>
      </c>
    </row>
    <row r="569" spans="49:49" ht="15" customHeight="1" x14ac:dyDescent="0.35">
      <c r="AW569" s="132">
        <v>288</v>
      </c>
    </row>
    <row r="570" spans="49:49" ht="15" customHeight="1" x14ac:dyDescent="0.35">
      <c r="AW570" s="132">
        <v>289</v>
      </c>
    </row>
    <row r="571" spans="49:49" ht="15" customHeight="1" x14ac:dyDescent="0.35">
      <c r="AW571" s="132">
        <v>290</v>
      </c>
    </row>
    <row r="572" spans="49:49" ht="15" customHeight="1" x14ac:dyDescent="0.35">
      <c r="AW572" s="132">
        <v>291</v>
      </c>
    </row>
    <row r="573" spans="49:49" ht="15" customHeight="1" x14ac:dyDescent="0.35">
      <c r="AW573" s="132">
        <v>292</v>
      </c>
    </row>
    <row r="574" spans="49:49" ht="15" customHeight="1" x14ac:dyDescent="0.35">
      <c r="AW574" s="132">
        <v>293</v>
      </c>
    </row>
    <row r="575" spans="49:49" ht="15" customHeight="1" x14ac:dyDescent="0.35">
      <c r="AW575" s="132">
        <v>294</v>
      </c>
    </row>
    <row r="576" spans="49:49" ht="15" customHeight="1" x14ac:dyDescent="0.35">
      <c r="AW576" s="132">
        <v>295</v>
      </c>
    </row>
    <row r="577" spans="49:49" ht="15" customHeight="1" x14ac:dyDescent="0.35">
      <c r="AW577" s="132">
        <v>296</v>
      </c>
    </row>
    <row r="578" spans="49:49" ht="15" customHeight="1" x14ac:dyDescent="0.35">
      <c r="AW578" s="132">
        <v>297</v>
      </c>
    </row>
    <row r="579" spans="49:49" ht="15" customHeight="1" x14ac:dyDescent="0.35">
      <c r="AW579" s="132">
        <v>298</v>
      </c>
    </row>
    <row r="580" spans="49:49" ht="15" customHeight="1" x14ac:dyDescent="0.35">
      <c r="AW580" s="132">
        <v>299</v>
      </c>
    </row>
    <row r="581" spans="49:49" ht="15" customHeight="1" x14ac:dyDescent="0.35">
      <c r="AW581" s="132">
        <v>300</v>
      </c>
    </row>
    <row r="582" spans="49:49" ht="15" customHeight="1" x14ac:dyDescent="0.35">
      <c r="AW582" s="132">
        <v>301</v>
      </c>
    </row>
    <row r="583" spans="49:49" ht="15" customHeight="1" x14ac:dyDescent="0.35">
      <c r="AW583" s="132">
        <v>302</v>
      </c>
    </row>
    <row r="584" spans="49:49" ht="15" customHeight="1" x14ac:dyDescent="0.35">
      <c r="AW584" s="132">
        <v>303</v>
      </c>
    </row>
    <row r="585" spans="49:49" ht="15" customHeight="1" x14ac:dyDescent="0.35">
      <c r="AW585" s="132">
        <v>304</v>
      </c>
    </row>
    <row r="586" spans="49:49" ht="15" customHeight="1" x14ac:dyDescent="0.35">
      <c r="AW586" s="132">
        <v>305</v>
      </c>
    </row>
    <row r="587" spans="49:49" ht="15" customHeight="1" x14ac:dyDescent="0.35">
      <c r="AW587" s="132">
        <v>306</v>
      </c>
    </row>
    <row r="588" spans="49:49" ht="15" customHeight="1" x14ac:dyDescent="0.35">
      <c r="AW588" s="132">
        <v>307</v>
      </c>
    </row>
    <row r="589" spans="49:49" ht="15" customHeight="1" x14ac:dyDescent="0.35">
      <c r="AW589" s="132">
        <v>308</v>
      </c>
    </row>
    <row r="590" spans="49:49" ht="15" customHeight="1" x14ac:dyDescent="0.35">
      <c r="AW590" s="132">
        <v>309</v>
      </c>
    </row>
    <row r="591" spans="49:49" ht="15" customHeight="1" x14ac:dyDescent="0.35">
      <c r="AW591" s="132">
        <v>310</v>
      </c>
    </row>
    <row r="592" spans="49:49" ht="15" customHeight="1" x14ac:dyDescent="0.35">
      <c r="AW592" s="132">
        <v>311</v>
      </c>
    </row>
    <row r="593" spans="49:49" ht="15" customHeight="1" x14ac:dyDescent="0.35">
      <c r="AW593" s="132">
        <v>312</v>
      </c>
    </row>
    <row r="594" spans="49:49" ht="15" customHeight="1" x14ac:dyDescent="0.35">
      <c r="AW594" s="132">
        <v>313</v>
      </c>
    </row>
    <row r="595" spans="49:49" ht="15" customHeight="1" x14ac:dyDescent="0.35">
      <c r="AW595" s="132">
        <v>314</v>
      </c>
    </row>
    <row r="596" spans="49:49" ht="15" customHeight="1" x14ac:dyDescent="0.35">
      <c r="AW596" s="132">
        <v>315</v>
      </c>
    </row>
    <row r="597" spans="49:49" ht="15" customHeight="1" x14ac:dyDescent="0.35">
      <c r="AW597" s="132">
        <v>316</v>
      </c>
    </row>
    <row r="598" spans="49:49" ht="15" customHeight="1" x14ac:dyDescent="0.35">
      <c r="AW598" s="132">
        <v>317</v>
      </c>
    </row>
    <row r="599" spans="49:49" ht="15" customHeight="1" x14ac:dyDescent="0.35">
      <c r="AW599" s="132">
        <v>318</v>
      </c>
    </row>
    <row r="600" spans="49:49" ht="15" customHeight="1" x14ac:dyDescent="0.35">
      <c r="AW600" s="132">
        <v>319</v>
      </c>
    </row>
    <row r="601" spans="49:49" ht="15" customHeight="1" x14ac:dyDescent="0.35">
      <c r="AW601" s="132">
        <v>320</v>
      </c>
    </row>
    <row r="602" spans="49:49" ht="15" customHeight="1" x14ac:dyDescent="0.35">
      <c r="AW602" s="132">
        <v>321</v>
      </c>
    </row>
    <row r="603" spans="49:49" ht="15" customHeight="1" x14ac:dyDescent="0.35">
      <c r="AW603" s="132">
        <v>322</v>
      </c>
    </row>
    <row r="604" spans="49:49" ht="15" customHeight="1" x14ac:dyDescent="0.35">
      <c r="AW604" s="132">
        <v>323</v>
      </c>
    </row>
    <row r="605" spans="49:49" ht="15" customHeight="1" x14ac:dyDescent="0.35">
      <c r="AW605" s="132">
        <v>324</v>
      </c>
    </row>
    <row r="606" spans="49:49" ht="15" customHeight="1" x14ac:dyDescent="0.35">
      <c r="AW606" s="132">
        <v>325</v>
      </c>
    </row>
    <row r="607" spans="49:49" ht="15" customHeight="1" x14ac:dyDescent="0.35">
      <c r="AW607" s="132">
        <v>326</v>
      </c>
    </row>
    <row r="608" spans="49:49" ht="15" customHeight="1" x14ac:dyDescent="0.35">
      <c r="AW608" s="132">
        <v>327</v>
      </c>
    </row>
    <row r="609" spans="49:49" ht="15" customHeight="1" x14ac:dyDescent="0.35">
      <c r="AW609" s="132">
        <v>328</v>
      </c>
    </row>
    <row r="610" spans="49:49" ht="15" customHeight="1" x14ac:dyDescent="0.35">
      <c r="AW610" s="132">
        <v>329</v>
      </c>
    </row>
    <row r="611" spans="49:49" ht="15" customHeight="1" x14ac:dyDescent="0.35">
      <c r="AW611" s="132">
        <v>330</v>
      </c>
    </row>
    <row r="612" spans="49:49" ht="15" customHeight="1" x14ac:dyDescent="0.35">
      <c r="AW612" s="132">
        <v>331</v>
      </c>
    </row>
    <row r="613" spans="49:49" ht="15" customHeight="1" x14ac:dyDescent="0.35">
      <c r="AW613" s="132">
        <v>332</v>
      </c>
    </row>
    <row r="614" spans="49:49" ht="15" customHeight="1" x14ac:dyDescent="0.35">
      <c r="AW614" s="132">
        <v>333</v>
      </c>
    </row>
    <row r="615" spans="49:49" ht="15" customHeight="1" x14ac:dyDescent="0.35">
      <c r="AW615" s="132">
        <v>334</v>
      </c>
    </row>
    <row r="616" spans="49:49" ht="15" customHeight="1" x14ac:dyDescent="0.35">
      <c r="AW616" s="132">
        <v>335</v>
      </c>
    </row>
    <row r="617" spans="49:49" ht="15" customHeight="1" x14ac:dyDescent="0.35">
      <c r="AW617" s="132">
        <v>336</v>
      </c>
    </row>
    <row r="618" spans="49:49" ht="15" customHeight="1" x14ac:dyDescent="0.35">
      <c r="AW618" s="132">
        <v>337</v>
      </c>
    </row>
    <row r="619" spans="49:49" ht="15" customHeight="1" x14ac:dyDescent="0.35">
      <c r="AW619" s="132">
        <v>338</v>
      </c>
    </row>
    <row r="620" spans="49:49" ht="15" customHeight="1" x14ac:dyDescent="0.35">
      <c r="AW620" s="132">
        <v>339</v>
      </c>
    </row>
    <row r="621" spans="49:49" ht="15" customHeight="1" x14ac:dyDescent="0.35">
      <c r="AW621" s="132">
        <v>340</v>
      </c>
    </row>
    <row r="622" spans="49:49" ht="15" customHeight="1" x14ac:dyDescent="0.35">
      <c r="AW622" s="132">
        <v>341</v>
      </c>
    </row>
    <row r="623" spans="49:49" ht="15" customHeight="1" x14ac:dyDescent="0.35">
      <c r="AW623" s="132">
        <v>342</v>
      </c>
    </row>
    <row r="624" spans="49:49" ht="15" customHeight="1" x14ac:dyDescent="0.35">
      <c r="AW624" s="132">
        <v>343</v>
      </c>
    </row>
    <row r="625" spans="49:49" ht="15" customHeight="1" x14ac:dyDescent="0.35">
      <c r="AW625" s="132">
        <v>344</v>
      </c>
    </row>
    <row r="626" spans="49:49" ht="15" customHeight="1" x14ac:dyDescent="0.35">
      <c r="AW626" s="132">
        <v>345</v>
      </c>
    </row>
    <row r="627" spans="49:49" ht="15" customHeight="1" x14ac:dyDescent="0.35">
      <c r="AW627" s="132">
        <v>346</v>
      </c>
    </row>
    <row r="628" spans="49:49" ht="15" customHeight="1" x14ac:dyDescent="0.35">
      <c r="AW628" s="132">
        <v>347</v>
      </c>
    </row>
    <row r="629" spans="49:49" ht="15" customHeight="1" x14ac:dyDescent="0.35">
      <c r="AW629" s="132">
        <v>348</v>
      </c>
    </row>
    <row r="630" spans="49:49" ht="15" customHeight="1" x14ac:dyDescent="0.35">
      <c r="AW630" s="132">
        <v>349</v>
      </c>
    </row>
    <row r="631" spans="49:49" ht="15" customHeight="1" x14ac:dyDescent="0.35">
      <c r="AW631" s="132">
        <v>350</v>
      </c>
    </row>
    <row r="632" spans="49:49" ht="15" customHeight="1" x14ac:dyDescent="0.35">
      <c r="AW632" s="132">
        <v>351</v>
      </c>
    </row>
    <row r="633" spans="49:49" ht="15" customHeight="1" x14ac:dyDescent="0.35">
      <c r="AW633" s="132">
        <v>352</v>
      </c>
    </row>
    <row r="634" spans="49:49" ht="15" customHeight="1" x14ac:dyDescent="0.35">
      <c r="AW634" s="132">
        <v>353</v>
      </c>
    </row>
    <row r="635" spans="49:49" ht="15" customHeight="1" x14ac:dyDescent="0.35">
      <c r="AW635" s="132">
        <v>354</v>
      </c>
    </row>
    <row r="636" spans="49:49" ht="15" customHeight="1" x14ac:dyDescent="0.35">
      <c r="AW636" s="132">
        <v>355</v>
      </c>
    </row>
    <row r="637" spans="49:49" ht="15" customHeight="1" x14ac:dyDescent="0.35">
      <c r="AW637" s="132">
        <v>356</v>
      </c>
    </row>
    <row r="638" spans="49:49" ht="15" customHeight="1" x14ac:dyDescent="0.35">
      <c r="AW638" s="132">
        <v>357</v>
      </c>
    </row>
    <row r="639" spans="49:49" ht="15" customHeight="1" x14ac:dyDescent="0.35">
      <c r="AW639" s="132">
        <v>358</v>
      </c>
    </row>
    <row r="640" spans="49:49" ht="15" customHeight="1" x14ac:dyDescent="0.35">
      <c r="AW640" s="132">
        <v>359</v>
      </c>
    </row>
    <row r="641" spans="49:49" ht="15" customHeight="1" x14ac:dyDescent="0.35">
      <c r="AW641" s="132">
        <v>360</v>
      </c>
    </row>
    <row r="642" spans="49:49" ht="15" customHeight="1" x14ac:dyDescent="0.35">
      <c r="AW642" s="132">
        <v>361</v>
      </c>
    </row>
    <row r="643" spans="49:49" ht="15" customHeight="1" x14ac:dyDescent="0.35">
      <c r="AW643" s="132">
        <v>362</v>
      </c>
    </row>
    <row r="644" spans="49:49" ht="15" customHeight="1" x14ac:dyDescent="0.35">
      <c r="AW644" s="132">
        <v>363</v>
      </c>
    </row>
    <row r="645" spans="49:49" ht="15" customHeight="1" x14ac:dyDescent="0.35">
      <c r="AW645" s="132">
        <v>364</v>
      </c>
    </row>
    <row r="646" spans="49:49" ht="15" customHeight="1" x14ac:dyDescent="0.35">
      <c r="AW646" s="132">
        <v>365</v>
      </c>
    </row>
    <row r="647" spans="49:49" ht="15" customHeight="1" x14ac:dyDescent="0.35">
      <c r="AW647" s="132">
        <v>366</v>
      </c>
    </row>
    <row r="648" spans="49:49" ht="15" customHeight="1" x14ac:dyDescent="0.35">
      <c r="AW648" s="132">
        <v>367</v>
      </c>
    </row>
    <row r="649" spans="49:49" ht="15" customHeight="1" x14ac:dyDescent="0.35">
      <c r="AW649" s="132">
        <v>368</v>
      </c>
    </row>
    <row r="650" spans="49:49" ht="15" customHeight="1" x14ac:dyDescent="0.35">
      <c r="AW650" s="132">
        <v>369</v>
      </c>
    </row>
    <row r="651" spans="49:49" ht="15" customHeight="1" x14ac:dyDescent="0.35">
      <c r="AW651" s="132">
        <v>370</v>
      </c>
    </row>
    <row r="652" spans="49:49" ht="15" customHeight="1" x14ac:dyDescent="0.35">
      <c r="AW652" s="132">
        <v>371</v>
      </c>
    </row>
    <row r="653" spans="49:49" ht="15" customHeight="1" x14ac:dyDescent="0.35">
      <c r="AW653" s="132">
        <v>372</v>
      </c>
    </row>
    <row r="654" spans="49:49" ht="15" customHeight="1" x14ac:dyDescent="0.35">
      <c r="AW654" s="132">
        <v>373</v>
      </c>
    </row>
    <row r="655" spans="49:49" ht="15" customHeight="1" x14ac:dyDescent="0.35">
      <c r="AW655" s="132">
        <v>374</v>
      </c>
    </row>
    <row r="656" spans="49:49" ht="15" customHeight="1" x14ac:dyDescent="0.35">
      <c r="AW656" s="132">
        <v>375</v>
      </c>
    </row>
    <row r="657" spans="49:49" ht="15" customHeight="1" x14ac:dyDescent="0.35">
      <c r="AW657" s="132">
        <v>376</v>
      </c>
    </row>
    <row r="658" spans="49:49" ht="15" customHeight="1" x14ac:dyDescent="0.35">
      <c r="AW658" s="132">
        <v>377</v>
      </c>
    </row>
    <row r="659" spans="49:49" ht="15" customHeight="1" x14ac:dyDescent="0.35">
      <c r="AW659" s="132">
        <v>378</v>
      </c>
    </row>
    <row r="660" spans="49:49" ht="15" customHeight="1" x14ac:dyDescent="0.35">
      <c r="AW660" s="132">
        <v>379</v>
      </c>
    </row>
    <row r="661" spans="49:49" ht="15" customHeight="1" x14ac:dyDescent="0.35">
      <c r="AW661" s="132">
        <v>380</v>
      </c>
    </row>
    <row r="662" spans="49:49" ht="15" customHeight="1" x14ac:dyDescent="0.35">
      <c r="AW662" s="132">
        <v>381</v>
      </c>
    </row>
    <row r="663" spans="49:49" ht="15" customHeight="1" x14ac:dyDescent="0.35">
      <c r="AW663" s="132">
        <v>382</v>
      </c>
    </row>
    <row r="664" spans="49:49" ht="15" customHeight="1" x14ac:dyDescent="0.35">
      <c r="AW664" s="132">
        <v>383</v>
      </c>
    </row>
    <row r="665" spans="49:49" ht="15" customHeight="1" x14ac:dyDescent="0.35">
      <c r="AW665" s="132">
        <v>384</v>
      </c>
    </row>
    <row r="666" spans="49:49" ht="15" customHeight="1" x14ac:dyDescent="0.35">
      <c r="AW666" s="132">
        <v>385</v>
      </c>
    </row>
    <row r="667" spans="49:49" ht="15" customHeight="1" x14ac:dyDescent="0.35">
      <c r="AW667" s="132">
        <v>386</v>
      </c>
    </row>
    <row r="668" spans="49:49" ht="15" customHeight="1" x14ac:dyDescent="0.35">
      <c r="AW668" s="132">
        <v>387</v>
      </c>
    </row>
    <row r="669" spans="49:49" ht="15" customHeight="1" x14ac:dyDescent="0.35">
      <c r="AW669" s="132">
        <v>388</v>
      </c>
    </row>
    <row r="670" spans="49:49" ht="15" customHeight="1" x14ac:dyDescent="0.35">
      <c r="AW670" s="132">
        <v>389</v>
      </c>
    </row>
    <row r="671" spans="49:49" ht="15" customHeight="1" x14ac:dyDescent="0.35">
      <c r="AW671" s="132">
        <v>390</v>
      </c>
    </row>
    <row r="672" spans="49:49" ht="15" customHeight="1" x14ac:dyDescent="0.35">
      <c r="AW672" s="132">
        <v>391</v>
      </c>
    </row>
    <row r="673" spans="49:49" ht="15" customHeight="1" x14ac:dyDescent="0.35">
      <c r="AW673" s="132">
        <v>392</v>
      </c>
    </row>
    <row r="674" spans="49:49" ht="15" customHeight="1" x14ac:dyDescent="0.35">
      <c r="AW674" s="132">
        <v>393</v>
      </c>
    </row>
    <row r="675" spans="49:49" ht="15" customHeight="1" x14ac:dyDescent="0.35">
      <c r="AW675" s="132">
        <v>394</v>
      </c>
    </row>
    <row r="676" spans="49:49" ht="15" customHeight="1" x14ac:dyDescent="0.35">
      <c r="AW676" s="132">
        <v>395</v>
      </c>
    </row>
    <row r="677" spans="49:49" ht="15" customHeight="1" x14ac:dyDescent="0.35">
      <c r="AW677" s="132">
        <v>396</v>
      </c>
    </row>
    <row r="678" spans="49:49" ht="15" customHeight="1" x14ac:dyDescent="0.35">
      <c r="AW678" s="132">
        <v>397</v>
      </c>
    </row>
    <row r="679" spans="49:49" ht="15" customHeight="1" x14ac:dyDescent="0.35">
      <c r="AW679" s="132">
        <v>398</v>
      </c>
    </row>
    <row r="680" spans="49:49" ht="15" customHeight="1" x14ac:dyDescent="0.35">
      <c r="AW680" s="132">
        <v>399</v>
      </c>
    </row>
    <row r="681" spans="49:49" ht="15" customHeight="1" x14ac:dyDescent="0.35">
      <c r="AW681" s="132">
        <v>400</v>
      </c>
    </row>
    <row r="682" spans="49:49" ht="15" customHeight="1" x14ac:dyDescent="0.35">
      <c r="AW682" s="132">
        <v>401</v>
      </c>
    </row>
    <row r="683" spans="49:49" ht="15" customHeight="1" x14ac:dyDescent="0.35">
      <c r="AW683" s="132">
        <v>402</v>
      </c>
    </row>
    <row r="684" spans="49:49" ht="15" customHeight="1" x14ac:dyDescent="0.35">
      <c r="AW684" s="132">
        <v>403</v>
      </c>
    </row>
    <row r="685" spans="49:49" ht="15" customHeight="1" x14ac:dyDescent="0.35">
      <c r="AW685" s="132">
        <v>404</v>
      </c>
    </row>
    <row r="686" spans="49:49" ht="15" customHeight="1" x14ac:dyDescent="0.35">
      <c r="AW686" s="132">
        <v>405</v>
      </c>
    </row>
    <row r="687" spans="49:49" ht="15" customHeight="1" x14ac:dyDescent="0.35">
      <c r="AW687" s="132">
        <v>406</v>
      </c>
    </row>
    <row r="688" spans="49:49" ht="15" customHeight="1" x14ac:dyDescent="0.35">
      <c r="AW688" s="132">
        <v>407</v>
      </c>
    </row>
    <row r="689" spans="49:49" ht="15" customHeight="1" x14ac:dyDescent="0.35">
      <c r="AW689" s="132">
        <v>408</v>
      </c>
    </row>
    <row r="690" spans="49:49" ht="15" customHeight="1" x14ac:dyDescent="0.35">
      <c r="AW690" s="132">
        <v>409</v>
      </c>
    </row>
    <row r="691" spans="49:49" ht="15" customHeight="1" x14ac:dyDescent="0.35">
      <c r="AW691" s="132">
        <v>410</v>
      </c>
    </row>
    <row r="692" spans="49:49" ht="15" customHeight="1" x14ac:dyDescent="0.35">
      <c r="AW692" s="132">
        <v>411</v>
      </c>
    </row>
    <row r="693" spans="49:49" ht="15" customHeight="1" x14ac:dyDescent="0.35">
      <c r="AW693" s="132">
        <v>412</v>
      </c>
    </row>
    <row r="694" spans="49:49" ht="15" customHeight="1" x14ac:dyDescent="0.35">
      <c r="AW694" s="132">
        <v>413</v>
      </c>
    </row>
    <row r="695" spans="49:49" ht="15" customHeight="1" x14ac:dyDescent="0.35">
      <c r="AW695" s="132">
        <v>414</v>
      </c>
    </row>
    <row r="696" spans="49:49" ht="15" customHeight="1" x14ac:dyDescent="0.35">
      <c r="AW696" s="132">
        <v>415</v>
      </c>
    </row>
    <row r="697" spans="49:49" ht="15" customHeight="1" x14ac:dyDescent="0.35">
      <c r="AW697" s="132">
        <v>416</v>
      </c>
    </row>
    <row r="698" spans="49:49" ht="15" customHeight="1" x14ac:dyDescent="0.35">
      <c r="AW698" s="132">
        <v>417</v>
      </c>
    </row>
    <row r="699" spans="49:49" ht="15" customHeight="1" x14ac:dyDescent="0.35">
      <c r="AW699" s="132">
        <v>418</v>
      </c>
    </row>
    <row r="700" spans="49:49" ht="15" customHeight="1" x14ac:dyDescent="0.35">
      <c r="AW700" s="132">
        <v>419</v>
      </c>
    </row>
    <row r="701" spans="49:49" ht="15" customHeight="1" x14ac:dyDescent="0.35">
      <c r="AW701" s="132">
        <v>420</v>
      </c>
    </row>
    <row r="702" spans="49:49" ht="15" customHeight="1" x14ac:dyDescent="0.35">
      <c r="AW702" s="132">
        <v>421</v>
      </c>
    </row>
    <row r="703" spans="49:49" ht="15" customHeight="1" x14ac:dyDescent="0.35">
      <c r="AW703" s="132">
        <v>422</v>
      </c>
    </row>
    <row r="704" spans="49:49" ht="15" customHeight="1" x14ac:dyDescent="0.35">
      <c r="AW704" s="132">
        <v>423</v>
      </c>
    </row>
    <row r="705" spans="49:49" ht="15" customHeight="1" x14ac:dyDescent="0.35">
      <c r="AW705" s="132">
        <v>424</v>
      </c>
    </row>
    <row r="706" spans="49:49" ht="15" customHeight="1" x14ac:dyDescent="0.35">
      <c r="AW706" s="132">
        <v>425</v>
      </c>
    </row>
    <row r="707" spans="49:49" ht="15" customHeight="1" x14ac:dyDescent="0.35">
      <c r="AW707" s="132">
        <v>426</v>
      </c>
    </row>
    <row r="708" spans="49:49" ht="15" customHeight="1" x14ac:dyDescent="0.35">
      <c r="AW708" s="132">
        <v>427</v>
      </c>
    </row>
    <row r="709" spans="49:49" ht="15" customHeight="1" x14ac:dyDescent="0.35">
      <c r="AW709" s="132">
        <v>428</v>
      </c>
    </row>
    <row r="710" spans="49:49" ht="15" customHeight="1" x14ac:dyDescent="0.35">
      <c r="AW710" s="132">
        <v>429</v>
      </c>
    </row>
    <row r="711" spans="49:49" ht="15" customHeight="1" x14ac:dyDescent="0.35">
      <c r="AW711" s="132">
        <v>430</v>
      </c>
    </row>
    <row r="712" spans="49:49" ht="15" customHeight="1" x14ac:dyDescent="0.35">
      <c r="AW712" s="132">
        <v>431</v>
      </c>
    </row>
    <row r="713" spans="49:49" ht="15" customHeight="1" x14ac:dyDescent="0.35">
      <c r="AW713" s="132">
        <v>432</v>
      </c>
    </row>
    <row r="714" spans="49:49" ht="15" customHeight="1" x14ac:dyDescent="0.35">
      <c r="AW714" s="132">
        <v>433</v>
      </c>
    </row>
    <row r="715" spans="49:49" ht="15" customHeight="1" x14ac:dyDescent="0.35">
      <c r="AW715" s="132">
        <v>434</v>
      </c>
    </row>
    <row r="716" spans="49:49" ht="15" customHeight="1" x14ac:dyDescent="0.35">
      <c r="AW716" s="132">
        <v>435</v>
      </c>
    </row>
    <row r="717" spans="49:49" ht="15" customHeight="1" x14ac:dyDescent="0.35">
      <c r="AW717" s="132">
        <v>436</v>
      </c>
    </row>
    <row r="718" spans="49:49" ht="15" customHeight="1" x14ac:dyDescent="0.35">
      <c r="AW718" s="132">
        <v>437</v>
      </c>
    </row>
    <row r="719" spans="49:49" ht="15" customHeight="1" x14ac:dyDescent="0.35">
      <c r="AW719" s="132">
        <v>438</v>
      </c>
    </row>
    <row r="720" spans="49:49" ht="15" customHeight="1" x14ac:dyDescent="0.35">
      <c r="AW720" s="132">
        <v>439</v>
      </c>
    </row>
    <row r="721" spans="49:49" ht="15" customHeight="1" x14ac:dyDescent="0.35">
      <c r="AW721" s="132">
        <v>440</v>
      </c>
    </row>
    <row r="722" spans="49:49" ht="15" customHeight="1" x14ac:dyDescent="0.35">
      <c r="AW722" s="132">
        <v>441</v>
      </c>
    </row>
    <row r="723" spans="49:49" ht="15" customHeight="1" x14ac:dyDescent="0.35">
      <c r="AW723" s="132">
        <v>442</v>
      </c>
    </row>
    <row r="724" spans="49:49" ht="15" customHeight="1" x14ac:dyDescent="0.35">
      <c r="AW724" s="132">
        <v>443</v>
      </c>
    </row>
    <row r="725" spans="49:49" ht="15" customHeight="1" x14ac:dyDescent="0.35">
      <c r="AW725" s="132">
        <v>444</v>
      </c>
    </row>
    <row r="726" spans="49:49" ht="15" customHeight="1" x14ac:dyDescent="0.35">
      <c r="AW726" s="132">
        <v>445</v>
      </c>
    </row>
    <row r="727" spans="49:49" ht="15" customHeight="1" x14ac:dyDescent="0.35">
      <c r="AW727" s="132">
        <v>446</v>
      </c>
    </row>
    <row r="728" spans="49:49" ht="15" customHeight="1" x14ac:dyDescent="0.35">
      <c r="AW728" s="132">
        <v>447</v>
      </c>
    </row>
    <row r="729" spans="49:49" ht="15" customHeight="1" x14ac:dyDescent="0.35">
      <c r="AW729" s="132">
        <v>448</v>
      </c>
    </row>
    <row r="730" spans="49:49" ht="15" customHeight="1" x14ac:dyDescent="0.35">
      <c r="AW730" s="132">
        <v>449</v>
      </c>
    </row>
    <row r="731" spans="49:49" ht="15" customHeight="1" x14ac:dyDescent="0.35">
      <c r="AW731" s="132">
        <v>450</v>
      </c>
    </row>
    <row r="732" spans="49:49" ht="15" customHeight="1" x14ac:dyDescent="0.35">
      <c r="AW732" s="132">
        <v>451</v>
      </c>
    </row>
    <row r="733" spans="49:49" ht="15" customHeight="1" x14ac:dyDescent="0.35">
      <c r="AW733" s="132">
        <v>452</v>
      </c>
    </row>
    <row r="734" spans="49:49" ht="15" customHeight="1" x14ac:dyDescent="0.35">
      <c r="AW734" s="132">
        <v>453</v>
      </c>
    </row>
    <row r="735" spans="49:49" ht="15" customHeight="1" x14ac:dyDescent="0.35">
      <c r="AW735" s="132">
        <v>454</v>
      </c>
    </row>
    <row r="736" spans="49:49" ht="15" customHeight="1" x14ac:dyDescent="0.35">
      <c r="AW736" s="132">
        <v>455</v>
      </c>
    </row>
    <row r="737" spans="49:49" ht="15" customHeight="1" x14ac:dyDescent="0.35">
      <c r="AW737" s="132">
        <v>456</v>
      </c>
    </row>
    <row r="738" spans="49:49" ht="15" customHeight="1" x14ac:dyDescent="0.35">
      <c r="AW738" s="132">
        <v>457</v>
      </c>
    </row>
    <row r="739" spans="49:49" ht="15" customHeight="1" x14ac:dyDescent="0.35">
      <c r="AW739" s="132">
        <v>458</v>
      </c>
    </row>
    <row r="740" spans="49:49" ht="15" customHeight="1" x14ac:dyDescent="0.35">
      <c r="AW740" s="132">
        <v>459</v>
      </c>
    </row>
    <row r="741" spans="49:49" ht="15" customHeight="1" x14ac:dyDescent="0.35">
      <c r="AW741" s="132">
        <v>460</v>
      </c>
    </row>
    <row r="742" spans="49:49" ht="15" customHeight="1" x14ac:dyDescent="0.35">
      <c r="AW742" s="132">
        <v>461</v>
      </c>
    </row>
    <row r="743" spans="49:49" ht="15" customHeight="1" x14ac:dyDescent="0.35">
      <c r="AW743" s="132">
        <v>462</v>
      </c>
    </row>
    <row r="744" spans="49:49" ht="15" customHeight="1" x14ac:dyDescent="0.35">
      <c r="AW744" s="132">
        <v>463</v>
      </c>
    </row>
    <row r="745" spans="49:49" ht="15" customHeight="1" x14ac:dyDescent="0.35">
      <c r="AW745" s="132">
        <v>464</v>
      </c>
    </row>
    <row r="746" spans="49:49" ht="15" customHeight="1" x14ac:dyDescent="0.35">
      <c r="AW746" s="132">
        <v>465</v>
      </c>
    </row>
    <row r="747" spans="49:49" ht="15" customHeight="1" x14ac:dyDescent="0.35">
      <c r="AW747" s="132">
        <v>466</v>
      </c>
    </row>
    <row r="748" spans="49:49" ht="15" customHeight="1" x14ac:dyDescent="0.35">
      <c r="AW748" s="132">
        <v>467</v>
      </c>
    </row>
    <row r="749" spans="49:49" ht="15" customHeight="1" x14ac:dyDescent="0.35">
      <c r="AW749" s="132">
        <v>468</v>
      </c>
    </row>
    <row r="750" spans="49:49" ht="15" customHeight="1" x14ac:dyDescent="0.35">
      <c r="AW750" s="132">
        <v>469</v>
      </c>
    </row>
    <row r="751" spans="49:49" ht="15" customHeight="1" x14ac:dyDescent="0.35">
      <c r="AW751" s="132">
        <v>470</v>
      </c>
    </row>
    <row r="752" spans="49:49" ht="15" customHeight="1" x14ac:dyDescent="0.35">
      <c r="AW752" s="132">
        <v>471</v>
      </c>
    </row>
    <row r="753" spans="49:49" ht="15" customHeight="1" x14ac:dyDescent="0.35">
      <c r="AW753" s="132">
        <v>472</v>
      </c>
    </row>
    <row r="754" spans="49:49" ht="15" customHeight="1" x14ac:dyDescent="0.35">
      <c r="AW754" s="132">
        <v>473</v>
      </c>
    </row>
    <row r="755" spans="49:49" ht="15" customHeight="1" x14ac:dyDescent="0.35">
      <c r="AW755" s="132">
        <v>474</v>
      </c>
    </row>
    <row r="756" spans="49:49" ht="15" customHeight="1" x14ac:dyDescent="0.35">
      <c r="AW756" s="132">
        <v>475</v>
      </c>
    </row>
    <row r="757" spans="49:49" ht="15" customHeight="1" x14ac:dyDescent="0.35">
      <c r="AW757" s="132">
        <v>476</v>
      </c>
    </row>
    <row r="758" spans="49:49" ht="15" customHeight="1" x14ac:dyDescent="0.35">
      <c r="AW758" s="132">
        <v>477</v>
      </c>
    </row>
    <row r="759" spans="49:49" ht="15" customHeight="1" x14ac:dyDescent="0.35">
      <c r="AW759" s="132">
        <v>478</v>
      </c>
    </row>
    <row r="760" spans="49:49" ht="15" customHeight="1" x14ac:dyDescent="0.35">
      <c r="AW760" s="132">
        <v>479</v>
      </c>
    </row>
    <row r="761" spans="49:49" ht="15" customHeight="1" x14ac:dyDescent="0.35">
      <c r="AW761" s="132">
        <v>480</v>
      </c>
    </row>
    <row r="762" spans="49:49" ht="15" customHeight="1" x14ac:dyDescent="0.35">
      <c r="AW762" s="132">
        <v>481</v>
      </c>
    </row>
    <row r="763" spans="49:49" ht="15" customHeight="1" x14ac:dyDescent="0.35">
      <c r="AW763" s="132">
        <v>482</v>
      </c>
    </row>
    <row r="764" spans="49:49" ht="15" customHeight="1" x14ac:dyDescent="0.35">
      <c r="AW764" s="132">
        <v>483</v>
      </c>
    </row>
    <row r="765" spans="49:49" ht="15" customHeight="1" x14ac:dyDescent="0.35">
      <c r="AW765" s="132">
        <v>484</v>
      </c>
    </row>
    <row r="766" spans="49:49" ht="15" customHeight="1" x14ac:dyDescent="0.35">
      <c r="AW766" s="132">
        <v>485</v>
      </c>
    </row>
    <row r="767" spans="49:49" ht="15" customHeight="1" x14ac:dyDescent="0.35">
      <c r="AW767" s="132">
        <v>486</v>
      </c>
    </row>
    <row r="768" spans="49:49" ht="15" customHeight="1" x14ac:dyDescent="0.35">
      <c r="AW768" s="132">
        <v>487</v>
      </c>
    </row>
    <row r="769" spans="49:49" ht="15" customHeight="1" x14ac:dyDescent="0.35">
      <c r="AW769" s="132">
        <v>488</v>
      </c>
    </row>
    <row r="770" spans="49:49" ht="15" customHeight="1" x14ac:dyDescent="0.35">
      <c r="AW770" s="132">
        <v>489</v>
      </c>
    </row>
    <row r="771" spans="49:49" ht="15" customHeight="1" x14ac:dyDescent="0.35">
      <c r="AW771" s="132">
        <v>490</v>
      </c>
    </row>
    <row r="772" spans="49:49" ht="15" customHeight="1" x14ac:dyDescent="0.35">
      <c r="AW772" s="132">
        <v>491</v>
      </c>
    </row>
    <row r="773" spans="49:49" ht="15" customHeight="1" x14ac:dyDescent="0.35">
      <c r="AW773" s="132">
        <v>492</v>
      </c>
    </row>
    <row r="774" spans="49:49" ht="15" customHeight="1" x14ac:dyDescent="0.35">
      <c r="AW774" s="132">
        <v>493</v>
      </c>
    </row>
    <row r="775" spans="49:49" ht="15" customHeight="1" x14ac:dyDescent="0.35">
      <c r="AW775" s="132">
        <v>494</v>
      </c>
    </row>
    <row r="776" spans="49:49" ht="15" customHeight="1" x14ac:dyDescent="0.35">
      <c r="AW776" s="132">
        <v>495</v>
      </c>
    </row>
    <row r="777" spans="49:49" ht="15" customHeight="1" x14ac:dyDescent="0.35">
      <c r="AW777" s="132">
        <v>496</v>
      </c>
    </row>
    <row r="778" spans="49:49" ht="15" customHeight="1" x14ac:dyDescent="0.35">
      <c r="AW778" s="132">
        <v>497</v>
      </c>
    </row>
    <row r="779" spans="49:49" ht="15" customHeight="1" x14ac:dyDescent="0.35">
      <c r="AW779" s="132">
        <v>498</v>
      </c>
    </row>
    <row r="780" spans="49:49" ht="15" customHeight="1" x14ac:dyDescent="0.35">
      <c r="AW780" s="132">
        <v>499</v>
      </c>
    </row>
    <row r="781" spans="49:49" ht="15" customHeight="1" x14ac:dyDescent="0.35">
      <c r="AW781" s="132">
        <v>500</v>
      </c>
    </row>
    <row r="782" spans="49:49" ht="15" customHeight="1" x14ac:dyDescent="0.35">
      <c r="AW782" s="132">
        <v>501</v>
      </c>
    </row>
    <row r="783" spans="49:49" ht="15" customHeight="1" x14ac:dyDescent="0.35">
      <c r="AW783" s="132">
        <v>502</v>
      </c>
    </row>
    <row r="784" spans="49:49" ht="15" customHeight="1" x14ac:dyDescent="0.35">
      <c r="AW784" s="132">
        <v>503</v>
      </c>
    </row>
    <row r="785" spans="49:49" ht="15" customHeight="1" x14ac:dyDescent="0.35">
      <c r="AW785" s="132">
        <v>504</v>
      </c>
    </row>
    <row r="786" spans="49:49" ht="15" customHeight="1" x14ac:dyDescent="0.35">
      <c r="AW786" s="132">
        <v>505</v>
      </c>
    </row>
    <row r="787" spans="49:49" ht="15" customHeight="1" x14ac:dyDescent="0.35">
      <c r="AW787" s="132">
        <v>506</v>
      </c>
    </row>
    <row r="788" spans="49:49" ht="15" customHeight="1" x14ac:dyDescent="0.35">
      <c r="AW788" s="132">
        <v>507</v>
      </c>
    </row>
    <row r="789" spans="49:49" ht="15" customHeight="1" x14ac:dyDescent="0.35">
      <c r="AW789" s="132">
        <v>508</v>
      </c>
    </row>
    <row r="790" spans="49:49" ht="15" customHeight="1" x14ac:dyDescent="0.35">
      <c r="AW790" s="132">
        <v>509</v>
      </c>
    </row>
    <row r="791" spans="49:49" ht="15" customHeight="1" x14ac:dyDescent="0.35">
      <c r="AW791" s="132">
        <v>510</v>
      </c>
    </row>
    <row r="792" spans="49:49" ht="15" customHeight="1" x14ac:dyDescent="0.35">
      <c r="AW792" s="132">
        <v>511</v>
      </c>
    </row>
    <row r="793" spans="49:49" ht="15" customHeight="1" x14ac:dyDescent="0.35">
      <c r="AW793" s="132">
        <v>512</v>
      </c>
    </row>
    <row r="794" spans="49:49" ht="15" customHeight="1" x14ac:dyDescent="0.35">
      <c r="AW794" s="132">
        <v>513</v>
      </c>
    </row>
    <row r="795" spans="49:49" ht="15" customHeight="1" x14ac:dyDescent="0.35">
      <c r="AW795" s="132">
        <v>514</v>
      </c>
    </row>
    <row r="796" spans="49:49" ht="15" customHeight="1" x14ac:dyDescent="0.35">
      <c r="AW796" s="132">
        <v>515</v>
      </c>
    </row>
    <row r="797" spans="49:49" ht="15" customHeight="1" x14ac:dyDescent="0.35">
      <c r="AW797" s="132">
        <v>516</v>
      </c>
    </row>
    <row r="798" spans="49:49" ht="15" customHeight="1" x14ac:dyDescent="0.35">
      <c r="AW798" s="132">
        <v>517</v>
      </c>
    </row>
    <row r="799" spans="49:49" ht="15" customHeight="1" x14ac:dyDescent="0.35">
      <c r="AW799" s="132">
        <v>518</v>
      </c>
    </row>
    <row r="800" spans="49:49" ht="15" customHeight="1" x14ac:dyDescent="0.35">
      <c r="AW800" s="132">
        <v>519</v>
      </c>
    </row>
    <row r="801" spans="49:49" ht="15" customHeight="1" x14ac:dyDescent="0.35">
      <c r="AW801" s="132">
        <v>520</v>
      </c>
    </row>
    <row r="802" spans="49:49" ht="15" customHeight="1" x14ac:dyDescent="0.35">
      <c r="AW802" s="132">
        <v>521</v>
      </c>
    </row>
    <row r="803" spans="49:49" ht="15" customHeight="1" x14ac:dyDescent="0.35">
      <c r="AW803" s="132">
        <v>522</v>
      </c>
    </row>
    <row r="804" spans="49:49" ht="15" customHeight="1" x14ac:dyDescent="0.35">
      <c r="AW804" s="132">
        <v>523</v>
      </c>
    </row>
    <row r="805" spans="49:49" ht="15" customHeight="1" x14ac:dyDescent="0.35">
      <c r="AW805" s="132">
        <v>524</v>
      </c>
    </row>
    <row r="806" spans="49:49" ht="15" customHeight="1" x14ac:dyDescent="0.35">
      <c r="AW806" s="132">
        <v>525</v>
      </c>
    </row>
    <row r="807" spans="49:49" ht="15" customHeight="1" x14ac:dyDescent="0.35">
      <c r="AW807" s="132">
        <v>526</v>
      </c>
    </row>
    <row r="808" spans="49:49" ht="15" customHeight="1" x14ac:dyDescent="0.35">
      <c r="AW808" s="132">
        <v>527</v>
      </c>
    </row>
    <row r="809" spans="49:49" ht="15" customHeight="1" x14ac:dyDescent="0.35">
      <c r="AW809" s="132">
        <v>528</v>
      </c>
    </row>
    <row r="810" spans="49:49" ht="15" customHeight="1" x14ac:dyDescent="0.35">
      <c r="AW810" s="132">
        <v>529</v>
      </c>
    </row>
    <row r="811" spans="49:49" ht="15" customHeight="1" x14ac:dyDescent="0.35">
      <c r="AW811" s="132">
        <v>530</v>
      </c>
    </row>
    <row r="812" spans="49:49" ht="15" customHeight="1" x14ac:dyDescent="0.35">
      <c r="AW812" s="132">
        <v>531</v>
      </c>
    </row>
    <row r="813" spans="49:49" ht="15" customHeight="1" x14ac:dyDescent="0.35">
      <c r="AW813" s="132">
        <v>532</v>
      </c>
    </row>
    <row r="814" spans="49:49" ht="15" customHeight="1" x14ac:dyDescent="0.35">
      <c r="AW814" s="132">
        <v>533</v>
      </c>
    </row>
    <row r="815" spans="49:49" ht="15" customHeight="1" x14ac:dyDescent="0.35">
      <c r="AW815" s="132">
        <v>534</v>
      </c>
    </row>
    <row r="816" spans="49:49" ht="15" customHeight="1" x14ac:dyDescent="0.35">
      <c r="AW816" s="132">
        <v>535</v>
      </c>
    </row>
    <row r="817" spans="49:49" ht="15" customHeight="1" x14ac:dyDescent="0.35">
      <c r="AW817" s="132">
        <v>536</v>
      </c>
    </row>
    <row r="818" spans="49:49" ht="15" customHeight="1" x14ac:dyDescent="0.35">
      <c r="AW818" s="132">
        <v>537</v>
      </c>
    </row>
    <row r="819" spans="49:49" ht="15" customHeight="1" x14ac:dyDescent="0.35">
      <c r="AW819" s="132">
        <v>538</v>
      </c>
    </row>
    <row r="820" spans="49:49" ht="15" customHeight="1" x14ac:dyDescent="0.35">
      <c r="AW820" s="132">
        <v>539</v>
      </c>
    </row>
    <row r="821" spans="49:49" ht="15" customHeight="1" x14ac:dyDescent="0.35">
      <c r="AW821" s="132">
        <v>540</v>
      </c>
    </row>
    <row r="822" spans="49:49" ht="15" customHeight="1" x14ac:dyDescent="0.35">
      <c r="AW822" s="132">
        <v>541</v>
      </c>
    </row>
    <row r="823" spans="49:49" ht="15" customHeight="1" x14ac:dyDescent="0.35">
      <c r="AW823" s="132">
        <v>542</v>
      </c>
    </row>
    <row r="824" spans="49:49" ht="15" customHeight="1" x14ac:dyDescent="0.35">
      <c r="AW824" s="132">
        <v>543</v>
      </c>
    </row>
    <row r="825" spans="49:49" ht="15" customHeight="1" x14ac:dyDescent="0.35">
      <c r="AW825" s="132">
        <v>544</v>
      </c>
    </row>
    <row r="826" spans="49:49" ht="15" customHeight="1" x14ac:dyDescent="0.35">
      <c r="AW826" s="132">
        <v>545</v>
      </c>
    </row>
    <row r="827" spans="49:49" ht="15" customHeight="1" x14ac:dyDescent="0.35">
      <c r="AW827" s="132">
        <v>546</v>
      </c>
    </row>
    <row r="828" spans="49:49" ht="15" customHeight="1" x14ac:dyDescent="0.35">
      <c r="AW828" s="132">
        <v>547</v>
      </c>
    </row>
    <row r="829" spans="49:49" ht="15" customHeight="1" x14ac:dyDescent="0.35">
      <c r="AW829" s="132">
        <v>548</v>
      </c>
    </row>
    <row r="830" spans="49:49" ht="15" customHeight="1" x14ac:dyDescent="0.35">
      <c r="AW830" s="132">
        <v>549</v>
      </c>
    </row>
    <row r="831" spans="49:49" ht="15" customHeight="1" x14ac:dyDescent="0.35">
      <c r="AW831" s="132">
        <v>550</v>
      </c>
    </row>
    <row r="832" spans="49:49" ht="15" customHeight="1" x14ac:dyDescent="0.35">
      <c r="AW832" s="132">
        <v>551</v>
      </c>
    </row>
    <row r="833" spans="49:49" ht="15" customHeight="1" x14ac:dyDescent="0.35">
      <c r="AW833" s="132">
        <v>552</v>
      </c>
    </row>
    <row r="834" spans="49:49" ht="15" customHeight="1" x14ac:dyDescent="0.35">
      <c r="AW834" s="132">
        <v>553</v>
      </c>
    </row>
    <row r="835" spans="49:49" ht="15" customHeight="1" x14ac:dyDescent="0.35">
      <c r="AW835" s="132">
        <v>554</v>
      </c>
    </row>
    <row r="836" spans="49:49" ht="15" customHeight="1" x14ac:dyDescent="0.35">
      <c r="AW836" s="132">
        <v>555</v>
      </c>
    </row>
    <row r="837" spans="49:49" ht="15" customHeight="1" x14ac:dyDescent="0.35">
      <c r="AW837" s="132">
        <v>556</v>
      </c>
    </row>
    <row r="838" spans="49:49" ht="15" customHeight="1" x14ac:dyDescent="0.35">
      <c r="AW838" s="132">
        <v>557</v>
      </c>
    </row>
    <row r="839" spans="49:49" ht="15" customHeight="1" x14ac:dyDescent="0.35">
      <c r="AW839" s="132">
        <v>558</v>
      </c>
    </row>
    <row r="840" spans="49:49" ht="15" customHeight="1" x14ac:dyDescent="0.35">
      <c r="AW840" s="132">
        <v>559</v>
      </c>
    </row>
    <row r="841" spans="49:49" ht="15" customHeight="1" x14ac:dyDescent="0.35">
      <c r="AW841" s="132">
        <v>560</v>
      </c>
    </row>
    <row r="842" spans="49:49" ht="15" customHeight="1" x14ac:dyDescent="0.35">
      <c r="AW842" s="132">
        <v>561</v>
      </c>
    </row>
    <row r="843" spans="49:49" ht="15" customHeight="1" x14ac:dyDescent="0.35">
      <c r="AW843" s="132">
        <v>562</v>
      </c>
    </row>
    <row r="844" spans="49:49" ht="15" customHeight="1" x14ac:dyDescent="0.35">
      <c r="AW844" s="132">
        <v>563</v>
      </c>
    </row>
    <row r="845" spans="49:49" ht="15" customHeight="1" x14ac:dyDescent="0.35">
      <c r="AW845" s="132">
        <v>564</v>
      </c>
    </row>
    <row r="846" spans="49:49" ht="15" customHeight="1" x14ac:dyDescent="0.35">
      <c r="AW846" s="132">
        <v>565</v>
      </c>
    </row>
    <row r="847" spans="49:49" ht="15" customHeight="1" x14ac:dyDescent="0.35">
      <c r="AW847" s="132">
        <v>566</v>
      </c>
    </row>
    <row r="848" spans="49:49" ht="15" customHeight="1" x14ac:dyDescent="0.35">
      <c r="AW848" s="132">
        <v>567</v>
      </c>
    </row>
    <row r="849" spans="49:49" ht="15" customHeight="1" x14ac:dyDescent="0.35">
      <c r="AW849" s="132">
        <v>568</v>
      </c>
    </row>
    <row r="850" spans="49:49" ht="15" customHeight="1" x14ac:dyDescent="0.35">
      <c r="AW850" s="132">
        <v>569</v>
      </c>
    </row>
    <row r="851" spans="49:49" ht="15" customHeight="1" x14ac:dyDescent="0.35">
      <c r="AW851" s="132">
        <v>570</v>
      </c>
    </row>
    <row r="852" spans="49:49" ht="15" customHeight="1" x14ac:dyDescent="0.35">
      <c r="AW852" s="132">
        <v>571</v>
      </c>
    </row>
    <row r="853" spans="49:49" ht="15" customHeight="1" x14ac:dyDescent="0.35">
      <c r="AW853" s="132">
        <v>572</v>
      </c>
    </row>
    <row r="854" spans="49:49" ht="15" customHeight="1" x14ac:dyDescent="0.35">
      <c r="AW854" s="132">
        <v>573</v>
      </c>
    </row>
    <row r="855" spans="49:49" ht="15" customHeight="1" x14ac:dyDescent="0.35">
      <c r="AW855" s="132">
        <v>574</v>
      </c>
    </row>
    <row r="856" spans="49:49" ht="15" customHeight="1" x14ac:dyDescent="0.35">
      <c r="AW856" s="132">
        <v>575</v>
      </c>
    </row>
    <row r="857" spans="49:49" ht="15" customHeight="1" x14ac:dyDescent="0.35">
      <c r="AW857" s="132">
        <v>576</v>
      </c>
    </row>
    <row r="858" spans="49:49" ht="15" customHeight="1" x14ac:dyDescent="0.35">
      <c r="AW858" s="132">
        <v>577</v>
      </c>
    </row>
    <row r="859" spans="49:49" ht="15" customHeight="1" x14ac:dyDescent="0.35">
      <c r="AW859" s="132">
        <v>578</v>
      </c>
    </row>
    <row r="860" spans="49:49" ht="15" customHeight="1" x14ac:dyDescent="0.35">
      <c r="AW860" s="132">
        <v>579</v>
      </c>
    </row>
    <row r="861" spans="49:49" ht="15" customHeight="1" x14ac:dyDescent="0.35">
      <c r="AW861" s="132">
        <v>580</v>
      </c>
    </row>
    <row r="862" spans="49:49" ht="15" customHeight="1" x14ac:dyDescent="0.35">
      <c r="AW862" s="132">
        <v>581</v>
      </c>
    </row>
    <row r="863" spans="49:49" ht="15" customHeight="1" x14ac:dyDescent="0.35">
      <c r="AW863" s="132">
        <v>582</v>
      </c>
    </row>
    <row r="864" spans="49:49" ht="15" customHeight="1" x14ac:dyDescent="0.35">
      <c r="AW864" s="132">
        <v>583</v>
      </c>
    </row>
    <row r="865" spans="49:49" ht="15" customHeight="1" x14ac:dyDescent="0.35">
      <c r="AW865" s="132">
        <v>584</v>
      </c>
    </row>
    <row r="866" spans="49:49" ht="15" customHeight="1" x14ac:dyDescent="0.35">
      <c r="AW866" s="132">
        <v>585</v>
      </c>
    </row>
    <row r="867" spans="49:49" ht="15" customHeight="1" x14ac:dyDescent="0.35">
      <c r="AW867" s="132">
        <v>586</v>
      </c>
    </row>
    <row r="868" spans="49:49" ht="15" customHeight="1" x14ac:dyDescent="0.35">
      <c r="AW868" s="132">
        <v>587</v>
      </c>
    </row>
    <row r="869" spans="49:49" ht="15" customHeight="1" x14ac:dyDescent="0.35">
      <c r="AW869" s="132">
        <v>588</v>
      </c>
    </row>
    <row r="870" spans="49:49" ht="15" customHeight="1" x14ac:dyDescent="0.35">
      <c r="AW870" s="132">
        <v>589</v>
      </c>
    </row>
    <row r="871" spans="49:49" ht="15" customHeight="1" x14ac:dyDescent="0.35">
      <c r="AW871" s="132">
        <v>590</v>
      </c>
    </row>
    <row r="872" spans="49:49" ht="15" customHeight="1" x14ac:dyDescent="0.35">
      <c r="AW872" s="132">
        <v>591</v>
      </c>
    </row>
    <row r="873" spans="49:49" ht="15" customHeight="1" x14ac:dyDescent="0.35">
      <c r="AW873" s="132">
        <v>592</v>
      </c>
    </row>
    <row r="874" spans="49:49" ht="15" customHeight="1" x14ac:dyDescent="0.35">
      <c r="AW874" s="132">
        <v>593</v>
      </c>
    </row>
    <row r="875" spans="49:49" ht="15" customHeight="1" x14ac:dyDescent="0.35">
      <c r="AW875" s="132">
        <v>594</v>
      </c>
    </row>
    <row r="876" spans="49:49" ht="15" customHeight="1" x14ac:dyDescent="0.35">
      <c r="AW876" s="132">
        <v>595</v>
      </c>
    </row>
    <row r="877" spans="49:49" ht="15" customHeight="1" x14ac:dyDescent="0.35">
      <c r="AW877" s="132">
        <v>596</v>
      </c>
    </row>
    <row r="878" spans="49:49" ht="15" customHeight="1" x14ac:dyDescent="0.35">
      <c r="AW878" s="132">
        <v>597</v>
      </c>
    </row>
    <row r="879" spans="49:49" ht="15" customHeight="1" x14ac:dyDescent="0.35">
      <c r="AW879" s="132">
        <v>598</v>
      </c>
    </row>
    <row r="880" spans="49:49" ht="15" customHeight="1" x14ac:dyDescent="0.35">
      <c r="AW880" s="132">
        <v>599</v>
      </c>
    </row>
    <row r="881" spans="49:49" ht="15" customHeight="1" x14ac:dyDescent="0.35">
      <c r="AW881" s="132">
        <v>600</v>
      </c>
    </row>
    <row r="882" spans="49:49" ht="15" customHeight="1" x14ac:dyDescent="0.35">
      <c r="AW882" s="132">
        <v>601</v>
      </c>
    </row>
    <row r="883" spans="49:49" ht="15" customHeight="1" x14ac:dyDescent="0.35">
      <c r="AW883" s="132">
        <v>602</v>
      </c>
    </row>
    <row r="884" spans="49:49" ht="15" customHeight="1" x14ac:dyDescent="0.35">
      <c r="AW884" s="132">
        <v>603</v>
      </c>
    </row>
    <row r="885" spans="49:49" ht="15" customHeight="1" x14ac:dyDescent="0.35">
      <c r="AW885" s="132">
        <v>604</v>
      </c>
    </row>
    <row r="886" spans="49:49" ht="15" customHeight="1" x14ac:dyDescent="0.35">
      <c r="AW886" s="132">
        <v>605</v>
      </c>
    </row>
    <row r="887" spans="49:49" ht="15" customHeight="1" x14ac:dyDescent="0.35">
      <c r="AW887" s="132">
        <v>606</v>
      </c>
    </row>
    <row r="888" spans="49:49" ht="15" customHeight="1" x14ac:dyDescent="0.35">
      <c r="AW888" s="132">
        <v>607</v>
      </c>
    </row>
    <row r="889" spans="49:49" ht="15" customHeight="1" x14ac:dyDescent="0.35">
      <c r="AW889" s="132">
        <v>608</v>
      </c>
    </row>
    <row r="890" spans="49:49" ht="15" customHeight="1" x14ac:dyDescent="0.35">
      <c r="AW890" s="132">
        <v>609</v>
      </c>
    </row>
    <row r="891" spans="49:49" ht="15" customHeight="1" x14ac:dyDescent="0.35">
      <c r="AW891" s="132">
        <v>610</v>
      </c>
    </row>
    <row r="892" spans="49:49" ht="15" customHeight="1" x14ac:dyDescent="0.35">
      <c r="AW892" s="132">
        <v>611</v>
      </c>
    </row>
    <row r="893" spans="49:49" ht="15" customHeight="1" x14ac:dyDescent="0.35">
      <c r="AW893" s="132">
        <v>612</v>
      </c>
    </row>
    <row r="894" spans="49:49" ht="15" customHeight="1" x14ac:dyDescent="0.35">
      <c r="AW894" s="132">
        <v>613</v>
      </c>
    </row>
    <row r="895" spans="49:49" ht="15" customHeight="1" x14ac:dyDescent="0.35">
      <c r="AW895" s="132">
        <v>614</v>
      </c>
    </row>
    <row r="896" spans="49:49" ht="15" customHeight="1" x14ac:dyDescent="0.35">
      <c r="AW896" s="132">
        <v>615</v>
      </c>
    </row>
    <row r="897" spans="49:49" ht="15" customHeight="1" x14ac:dyDescent="0.35">
      <c r="AW897" s="132">
        <v>616</v>
      </c>
    </row>
    <row r="898" spans="49:49" ht="15" customHeight="1" x14ac:dyDescent="0.35">
      <c r="AW898" s="132">
        <v>617</v>
      </c>
    </row>
    <row r="899" spans="49:49" ht="15" customHeight="1" x14ac:dyDescent="0.35">
      <c r="AW899" s="132">
        <v>618</v>
      </c>
    </row>
    <row r="900" spans="49:49" ht="15" customHeight="1" x14ac:dyDescent="0.35">
      <c r="AW900" s="132">
        <v>619</v>
      </c>
    </row>
    <row r="901" spans="49:49" ht="15" customHeight="1" x14ac:dyDescent="0.35">
      <c r="AW901" s="132">
        <v>620</v>
      </c>
    </row>
    <row r="902" spans="49:49" ht="15" customHeight="1" x14ac:dyDescent="0.35">
      <c r="AW902" s="132">
        <v>621</v>
      </c>
    </row>
    <row r="903" spans="49:49" ht="15" customHeight="1" x14ac:dyDescent="0.35">
      <c r="AW903" s="132">
        <v>622</v>
      </c>
    </row>
    <row r="904" spans="49:49" ht="15" customHeight="1" x14ac:dyDescent="0.35">
      <c r="AW904" s="132">
        <v>623</v>
      </c>
    </row>
    <row r="905" spans="49:49" ht="15" customHeight="1" x14ac:dyDescent="0.35">
      <c r="AW905" s="132">
        <v>624</v>
      </c>
    </row>
    <row r="906" spans="49:49" ht="15" customHeight="1" x14ac:dyDescent="0.35">
      <c r="AW906" s="132">
        <v>625</v>
      </c>
    </row>
    <row r="907" spans="49:49" ht="15" customHeight="1" x14ac:dyDescent="0.35">
      <c r="AW907" s="132">
        <v>626</v>
      </c>
    </row>
    <row r="908" spans="49:49" ht="15" customHeight="1" x14ac:dyDescent="0.35">
      <c r="AW908" s="132">
        <v>627</v>
      </c>
    </row>
    <row r="909" spans="49:49" ht="15" customHeight="1" x14ac:dyDescent="0.35">
      <c r="AW909" s="132">
        <v>628</v>
      </c>
    </row>
    <row r="910" spans="49:49" ht="15" customHeight="1" x14ac:dyDescent="0.35">
      <c r="AW910" s="132">
        <v>629</v>
      </c>
    </row>
    <row r="911" spans="49:49" ht="15" customHeight="1" x14ac:dyDescent="0.35">
      <c r="AW911" s="132">
        <v>630</v>
      </c>
    </row>
    <row r="912" spans="49:49" ht="15" customHeight="1" x14ac:dyDescent="0.35">
      <c r="AW912" s="132">
        <v>631</v>
      </c>
    </row>
    <row r="913" spans="49:49" ht="15" customHeight="1" x14ac:dyDescent="0.35">
      <c r="AW913" s="132">
        <v>632</v>
      </c>
    </row>
    <row r="914" spans="49:49" ht="15" customHeight="1" x14ac:dyDescent="0.35">
      <c r="AW914" s="132">
        <v>633</v>
      </c>
    </row>
    <row r="915" spans="49:49" ht="15" customHeight="1" x14ac:dyDescent="0.35">
      <c r="AW915" s="132">
        <v>634</v>
      </c>
    </row>
    <row r="916" spans="49:49" ht="15" customHeight="1" x14ac:dyDescent="0.35">
      <c r="AW916" s="132">
        <v>635</v>
      </c>
    </row>
    <row r="917" spans="49:49" ht="15" customHeight="1" x14ac:dyDescent="0.35">
      <c r="AW917" s="132">
        <v>636</v>
      </c>
    </row>
    <row r="918" spans="49:49" ht="15" customHeight="1" x14ac:dyDescent="0.35">
      <c r="AW918" s="132">
        <v>637</v>
      </c>
    </row>
    <row r="919" spans="49:49" ht="15" customHeight="1" x14ac:dyDescent="0.35">
      <c r="AW919" s="132">
        <v>638</v>
      </c>
    </row>
    <row r="920" spans="49:49" ht="15" customHeight="1" x14ac:dyDescent="0.35">
      <c r="AW920" s="132">
        <v>639</v>
      </c>
    </row>
    <row r="921" spans="49:49" ht="15" customHeight="1" x14ac:dyDescent="0.35">
      <c r="AW921" s="132">
        <v>640</v>
      </c>
    </row>
    <row r="922" spans="49:49" ht="15" customHeight="1" x14ac:dyDescent="0.35">
      <c r="AW922" s="132">
        <v>641</v>
      </c>
    </row>
    <row r="923" spans="49:49" ht="15" customHeight="1" x14ac:dyDescent="0.35">
      <c r="AW923" s="132">
        <v>642</v>
      </c>
    </row>
    <row r="924" spans="49:49" ht="15" customHeight="1" x14ac:dyDescent="0.35">
      <c r="AW924" s="132">
        <v>643</v>
      </c>
    </row>
    <row r="925" spans="49:49" ht="15" customHeight="1" x14ac:dyDescent="0.35">
      <c r="AW925" s="132">
        <v>644</v>
      </c>
    </row>
    <row r="926" spans="49:49" ht="15" customHeight="1" x14ac:dyDescent="0.35">
      <c r="AW926" s="132">
        <v>645</v>
      </c>
    </row>
    <row r="927" spans="49:49" ht="15" customHeight="1" x14ac:dyDescent="0.35">
      <c r="AW927" s="132">
        <v>646</v>
      </c>
    </row>
    <row r="928" spans="49:49" ht="15" customHeight="1" x14ac:dyDescent="0.35">
      <c r="AW928" s="132">
        <v>647</v>
      </c>
    </row>
    <row r="929" spans="49:49" ht="15" customHeight="1" x14ac:dyDescent="0.35">
      <c r="AW929" s="132">
        <v>648</v>
      </c>
    </row>
    <row r="930" spans="49:49" ht="15" customHeight="1" x14ac:dyDescent="0.35">
      <c r="AW930" s="132">
        <v>649</v>
      </c>
    </row>
    <row r="931" spans="49:49" ht="15" customHeight="1" x14ac:dyDescent="0.35">
      <c r="AW931" s="132">
        <v>650</v>
      </c>
    </row>
    <row r="932" spans="49:49" ht="15" customHeight="1" x14ac:dyDescent="0.35">
      <c r="AW932" s="132">
        <v>651</v>
      </c>
    </row>
    <row r="933" spans="49:49" ht="15" customHeight="1" x14ac:dyDescent="0.35">
      <c r="AW933" s="132">
        <v>652</v>
      </c>
    </row>
    <row r="934" spans="49:49" ht="15" customHeight="1" x14ac:dyDescent="0.35">
      <c r="AW934" s="132">
        <v>653</v>
      </c>
    </row>
    <row r="935" spans="49:49" ht="15" customHeight="1" x14ac:dyDescent="0.35">
      <c r="AW935" s="132">
        <v>654</v>
      </c>
    </row>
    <row r="936" spans="49:49" ht="15" customHeight="1" x14ac:dyDescent="0.35">
      <c r="AW936" s="132">
        <v>655</v>
      </c>
    </row>
    <row r="937" spans="49:49" ht="15" customHeight="1" x14ac:dyDescent="0.35">
      <c r="AW937" s="132">
        <v>656</v>
      </c>
    </row>
    <row r="938" spans="49:49" ht="15" customHeight="1" x14ac:dyDescent="0.35">
      <c r="AW938" s="132">
        <v>657</v>
      </c>
    </row>
    <row r="939" spans="49:49" ht="15" customHeight="1" x14ac:dyDescent="0.35">
      <c r="AW939" s="132">
        <v>658</v>
      </c>
    </row>
    <row r="940" spans="49:49" ht="15" customHeight="1" x14ac:dyDescent="0.35">
      <c r="AW940" s="132">
        <v>659</v>
      </c>
    </row>
    <row r="941" spans="49:49" ht="15" customHeight="1" x14ac:dyDescent="0.35">
      <c r="AW941" s="132">
        <v>660</v>
      </c>
    </row>
    <row r="942" spans="49:49" ht="15" customHeight="1" x14ac:dyDescent="0.35">
      <c r="AW942" s="132">
        <v>661</v>
      </c>
    </row>
    <row r="943" spans="49:49" ht="15" customHeight="1" x14ac:dyDescent="0.35">
      <c r="AW943" s="132">
        <v>662</v>
      </c>
    </row>
    <row r="944" spans="49:49" ht="15" customHeight="1" x14ac:dyDescent="0.35">
      <c r="AW944" s="132">
        <v>663</v>
      </c>
    </row>
    <row r="945" spans="49:49" ht="15" customHeight="1" x14ac:dyDescent="0.35">
      <c r="AW945" s="132">
        <v>664</v>
      </c>
    </row>
    <row r="946" spans="49:49" ht="15" customHeight="1" x14ac:dyDescent="0.35">
      <c r="AW946" s="132">
        <v>665</v>
      </c>
    </row>
    <row r="947" spans="49:49" ht="15" customHeight="1" x14ac:dyDescent="0.35">
      <c r="AW947" s="132">
        <v>666</v>
      </c>
    </row>
    <row r="948" spans="49:49" ht="15" customHeight="1" x14ac:dyDescent="0.35">
      <c r="AW948" s="132">
        <v>667</v>
      </c>
    </row>
    <row r="949" spans="49:49" ht="15" customHeight="1" x14ac:dyDescent="0.35">
      <c r="AW949" s="132">
        <v>668</v>
      </c>
    </row>
    <row r="950" spans="49:49" ht="15" customHeight="1" x14ac:dyDescent="0.35">
      <c r="AW950" s="132">
        <v>669</v>
      </c>
    </row>
    <row r="951" spans="49:49" ht="15" customHeight="1" x14ac:dyDescent="0.35">
      <c r="AW951" s="132">
        <v>670</v>
      </c>
    </row>
    <row r="952" spans="49:49" ht="15" customHeight="1" x14ac:dyDescent="0.35">
      <c r="AW952" s="132">
        <v>671</v>
      </c>
    </row>
    <row r="953" spans="49:49" ht="15" customHeight="1" x14ac:dyDescent="0.35">
      <c r="AW953" s="132">
        <v>672</v>
      </c>
    </row>
    <row r="954" spans="49:49" ht="15" customHeight="1" x14ac:dyDescent="0.35">
      <c r="AW954" s="132">
        <v>673</v>
      </c>
    </row>
    <row r="955" spans="49:49" ht="15" customHeight="1" x14ac:dyDescent="0.35">
      <c r="AW955" s="132">
        <v>674</v>
      </c>
    </row>
    <row r="956" spans="49:49" ht="15" customHeight="1" x14ac:dyDescent="0.35">
      <c r="AW956" s="132">
        <v>675</v>
      </c>
    </row>
    <row r="957" spans="49:49" ht="15" customHeight="1" x14ac:dyDescent="0.35">
      <c r="AW957" s="132">
        <v>676</v>
      </c>
    </row>
    <row r="958" spans="49:49" ht="15" customHeight="1" x14ac:dyDescent="0.35">
      <c r="AW958" s="132">
        <v>677</v>
      </c>
    </row>
    <row r="959" spans="49:49" ht="15" customHeight="1" x14ac:dyDescent="0.35">
      <c r="AW959" s="132">
        <v>678</v>
      </c>
    </row>
    <row r="960" spans="49:49" ht="15" customHeight="1" x14ac:dyDescent="0.35">
      <c r="AW960" s="132">
        <v>679</v>
      </c>
    </row>
    <row r="961" spans="49:49" ht="15" customHeight="1" x14ac:dyDescent="0.35">
      <c r="AW961" s="132">
        <v>680</v>
      </c>
    </row>
    <row r="962" spans="49:49" ht="15" customHeight="1" x14ac:dyDescent="0.35">
      <c r="AW962" s="132">
        <v>681</v>
      </c>
    </row>
    <row r="963" spans="49:49" ht="15" customHeight="1" x14ac:dyDescent="0.35">
      <c r="AW963" s="132">
        <v>682</v>
      </c>
    </row>
    <row r="964" spans="49:49" ht="15" customHeight="1" x14ac:dyDescent="0.35">
      <c r="AW964" s="132">
        <v>683</v>
      </c>
    </row>
    <row r="965" spans="49:49" ht="15" customHeight="1" x14ac:dyDescent="0.35">
      <c r="AW965" s="132">
        <v>684</v>
      </c>
    </row>
    <row r="966" spans="49:49" ht="15" customHeight="1" x14ac:dyDescent="0.35">
      <c r="AW966" s="132">
        <v>685</v>
      </c>
    </row>
    <row r="967" spans="49:49" ht="15" customHeight="1" x14ac:dyDescent="0.35">
      <c r="AW967" s="132">
        <v>686</v>
      </c>
    </row>
    <row r="968" spans="49:49" ht="15" customHeight="1" x14ac:dyDescent="0.35">
      <c r="AW968" s="132">
        <v>687</v>
      </c>
    </row>
    <row r="969" spans="49:49" ht="15" customHeight="1" x14ac:dyDescent="0.35">
      <c r="AW969" s="132">
        <v>688</v>
      </c>
    </row>
    <row r="970" spans="49:49" ht="15" customHeight="1" x14ac:dyDescent="0.35">
      <c r="AW970" s="132">
        <v>689</v>
      </c>
    </row>
    <row r="971" spans="49:49" ht="15" customHeight="1" x14ac:dyDescent="0.35">
      <c r="AW971" s="132">
        <v>690</v>
      </c>
    </row>
    <row r="972" spans="49:49" ht="15" customHeight="1" x14ac:dyDescent="0.35">
      <c r="AW972" s="132">
        <v>691</v>
      </c>
    </row>
    <row r="973" spans="49:49" ht="15" customHeight="1" x14ac:dyDescent="0.35">
      <c r="AW973" s="132">
        <v>692</v>
      </c>
    </row>
    <row r="974" spans="49:49" ht="15" customHeight="1" x14ac:dyDescent="0.35">
      <c r="AW974" s="132">
        <v>693</v>
      </c>
    </row>
    <row r="975" spans="49:49" ht="15" customHeight="1" x14ac:dyDescent="0.35">
      <c r="AW975" s="132">
        <v>694</v>
      </c>
    </row>
    <row r="976" spans="49:49" ht="15" customHeight="1" x14ac:dyDescent="0.35">
      <c r="AW976" s="132">
        <v>695</v>
      </c>
    </row>
    <row r="977" spans="49:49" ht="15" customHeight="1" x14ac:dyDescent="0.35">
      <c r="AW977" s="132">
        <v>696</v>
      </c>
    </row>
    <row r="978" spans="49:49" ht="15" customHeight="1" x14ac:dyDescent="0.35">
      <c r="AW978" s="132">
        <v>697</v>
      </c>
    </row>
    <row r="979" spans="49:49" ht="15" customHeight="1" x14ac:dyDescent="0.35">
      <c r="AW979" s="132">
        <v>698</v>
      </c>
    </row>
    <row r="980" spans="49:49" ht="15" customHeight="1" x14ac:dyDescent="0.35">
      <c r="AW980" s="132">
        <v>699</v>
      </c>
    </row>
    <row r="981" spans="49:49" ht="15" customHeight="1" x14ac:dyDescent="0.35">
      <c r="AW981" s="132">
        <v>700</v>
      </c>
    </row>
    <row r="982" spans="49:49" ht="15" customHeight="1" x14ac:dyDescent="0.35">
      <c r="AW982" s="132">
        <v>701</v>
      </c>
    </row>
    <row r="983" spans="49:49" ht="15" customHeight="1" x14ac:dyDescent="0.35">
      <c r="AW983" s="132">
        <v>702</v>
      </c>
    </row>
    <row r="984" spans="49:49" ht="15" customHeight="1" x14ac:dyDescent="0.35">
      <c r="AW984" s="132">
        <v>703</v>
      </c>
    </row>
    <row r="985" spans="49:49" ht="15" customHeight="1" x14ac:dyDescent="0.35">
      <c r="AW985" s="132">
        <v>704</v>
      </c>
    </row>
    <row r="986" spans="49:49" ht="15" customHeight="1" x14ac:dyDescent="0.35">
      <c r="AW986" s="132">
        <v>705</v>
      </c>
    </row>
    <row r="987" spans="49:49" ht="15" customHeight="1" x14ac:dyDescent="0.35">
      <c r="AW987" s="132">
        <v>706</v>
      </c>
    </row>
    <row r="988" spans="49:49" ht="15" customHeight="1" x14ac:dyDescent="0.35">
      <c r="AW988" s="132">
        <v>707</v>
      </c>
    </row>
    <row r="989" spans="49:49" ht="15" customHeight="1" x14ac:dyDescent="0.35">
      <c r="AW989" s="132">
        <v>708</v>
      </c>
    </row>
    <row r="990" spans="49:49" ht="15" customHeight="1" x14ac:dyDescent="0.35">
      <c r="AW990" s="132">
        <v>709</v>
      </c>
    </row>
    <row r="991" spans="49:49" ht="15" customHeight="1" x14ac:dyDescent="0.35">
      <c r="AW991" s="132">
        <v>710</v>
      </c>
    </row>
    <row r="992" spans="49:49" ht="15" customHeight="1" x14ac:dyDescent="0.35">
      <c r="AW992" s="132">
        <v>711</v>
      </c>
    </row>
    <row r="993" spans="49:49" ht="15" customHeight="1" x14ac:dyDescent="0.35">
      <c r="AW993" s="132">
        <v>712</v>
      </c>
    </row>
    <row r="994" spans="49:49" ht="15" customHeight="1" x14ac:dyDescent="0.35">
      <c r="AW994" s="132">
        <v>713</v>
      </c>
    </row>
    <row r="995" spans="49:49" ht="15" customHeight="1" x14ac:dyDescent="0.35">
      <c r="AW995" s="132">
        <v>714</v>
      </c>
    </row>
    <row r="996" spans="49:49" ht="15" customHeight="1" x14ac:dyDescent="0.35">
      <c r="AW996" s="132">
        <v>715</v>
      </c>
    </row>
    <row r="997" spans="49:49" ht="15" customHeight="1" x14ac:dyDescent="0.35">
      <c r="AW997" s="132">
        <v>716</v>
      </c>
    </row>
    <row r="998" spans="49:49" ht="15" customHeight="1" x14ac:dyDescent="0.35">
      <c r="AW998" s="132">
        <v>717</v>
      </c>
    </row>
    <row r="999" spans="49:49" ht="15" customHeight="1" x14ac:dyDescent="0.35">
      <c r="AW999" s="132">
        <v>718</v>
      </c>
    </row>
    <row r="1000" spans="49:49" ht="15" customHeight="1" x14ac:dyDescent="0.35">
      <c r="AW1000" s="132">
        <v>719</v>
      </c>
    </row>
    <row r="1001" spans="49:49" ht="15" customHeight="1" x14ac:dyDescent="0.35">
      <c r="AW1001" s="132">
        <v>720</v>
      </c>
    </row>
    <row r="1002" spans="49:49" ht="15" customHeight="1" x14ac:dyDescent="0.35">
      <c r="AW1002" s="132">
        <v>721</v>
      </c>
    </row>
    <row r="1003" spans="49:49" ht="15" customHeight="1" x14ac:dyDescent="0.35">
      <c r="AW1003" s="132">
        <v>722</v>
      </c>
    </row>
    <row r="1004" spans="49:49" ht="15" customHeight="1" x14ac:dyDescent="0.35">
      <c r="AW1004" s="132">
        <v>723</v>
      </c>
    </row>
    <row r="1005" spans="49:49" ht="15" customHeight="1" x14ac:dyDescent="0.35">
      <c r="AW1005" s="132">
        <v>724</v>
      </c>
    </row>
    <row r="1006" spans="49:49" ht="15" customHeight="1" x14ac:dyDescent="0.35">
      <c r="AW1006" s="132">
        <v>725</v>
      </c>
    </row>
    <row r="1007" spans="49:49" ht="15" customHeight="1" x14ac:dyDescent="0.35">
      <c r="AW1007" s="132">
        <v>726</v>
      </c>
    </row>
    <row r="1008" spans="49:49" ht="15" customHeight="1" x14ac:dyDescent="0.35">
      <c r="AW1008" s="132">
        <v>727</v>
      </c>
    </row>
    <row r="1009" spans="49:49" ht="15" customHeight="1" x14ac:dyDescent="0.35">
      <c r="AW1009" s="132">
        <v>728</v>
      </c>
    </row>
    <row r="1010" spans="49:49" ht="15" customHeight="1" x14ac:dyDescent="0.35">
      <c r="AW1010" s="132">
        <v>729</v>
      </c>
    </row>
    <row r="1011" spans="49:49" ht="15" customHeight="1" x14ac:dyDescent="0.35">
      <c r="AW1011" s="132">
        <v>730</v>
      </c>
    </row>
    <row r="1012" spans="49:49" ht="15" customHeight="1" x14ac:dyDescent="0.35">
      <c r="AW1012" s="132">
        <v>731</v>
      </c>
    </row>
    <row r="1013" spans="49:49" ht="15" customHeight="1" x14ac:dyDescent="0.35">
      <c r="AW1013" s="132">
        <v>732</v>
      </c>
    </row>
    <row r="1014" spans="49:49" ht="15" customHeight="1" x14ac:dyDescent="0.35">
      <c r="AW1014" s="132">
        <v>733</v>
      </c>
    </row>
    <row r="1015" spans="49:49" ht="15" customHeight="1" x14ac:dyDescent="0.35">
      <c r="AW1015" s="132">
        <v>734</v>
      </c>
    </row>
    <row r="1016" spans="49:49" ht="15" customHeight="1" x14ac:dyDescent="0.35">
      <c r="AW1016" s="132">
        <v>735</v>
      </c>
    </row>
    <row r="1017" spans="49:49" ht="15" customHeight="1" x14ac:dyDescent="0.35">
      <c r="AW1017" s="132">
        <v>736</v>
      </c>
    </row>
    <row r="1018" spans="49:49" ht="15" customHeight="1" x14ac:dyDescent="0.35">
      <c r="AW1018" s="132">
        <v>737</v>
      </c>
    </row>
    <row r="1019" spans="49:49" ht="15" customHeight="1" x14ac:dyDescent="0.35">
      <c r="AW1019" s="132">
        <v>738</v>
      </c>
    </row>
    <row r="1020" spans="49:49" ht="15" customHeight="1" x14ac:dyDescent="0.35">
      <c r="AW1020" s="132">
        <v>739</v>
      </c>
    </row>
    <row r="1021" spans="49:49" ht="15" customHeight="1" x14ac:dyDescent="0.35">
      <c r="AW1021" s="132">
        <v>740</v>
      </c>
    </row>
    <row r="1022" spans="49:49" ht="15" customHeight="1" x14ac:dyDescent="0.35">
      <c r="AW1022" s="132">
        <v>741</v>
      </c>
    </row>
    <row r="1023" spans="49:49" ht="15" customHeight="1" x14ac:dyDescent="0.35">
      <c r="AW1023" s="132">
        <v>742</v>
      </c>
    </row>
    <row r="1024" spans="49:49" ht="15" customHeight="1" x14ac:dyDescent="0.35">
      <c r="AW1024" s="132">
        <v>743</v>
      </c>
    </row>
    <row r="1025" spans="49:49" ht="15" customHeight="1" x14ac:dyDescent="0.35">
      <c r="AW1025" s="132">
        <v>744</v>
      </c>
    </row>
    <row r="1026" spans="49:49" ht="15" customHeight="1" x14ac:dyDescent="0.35">
      <c r="AW1026" s="132">
        <v>745</v>
      </c>
    </row>
    <row r="1027" spans="49:49" ht="15" customHeight="1" x14ac:dyDescent="0.35">
      <c r="AW1027" s="132">
        <v>746</v>
      </c>
    </row>
    <row r="1028" spans="49:49" ht="15" customHeight="1" x14ac:dyDescent="0.35">
      <c r="AW1028" s="132">
        <v>747</v>
      </c>
    </row>
    <row r="1029" spans="49:49" ht="15" customHeight="1" x14ac:dyDescent="0.35">
      <c r="AW1029" s="132">
        <v>748</v>
      </c>
    </row>
    <row r="1030" spans="49:49" ht="15" customHeight="1" x14ac:dyDescent="0.35">
      <c r="AW1030" s="132">
        <v>749</v>
      </c>
    </row>
    <row r="1031" spans="49:49" ht="15" customHeight="1" x14ac:dyDescent="0.35">
      <c r="AW1031" s="132">
        <v>750</v>
      </c>
    </row>
    <row r="1032" spans="49:49" ht="15" customHeight="1" x14ac:dyDescent="0.35">
      <c r="AW1032" s="132">
        <v>751</v>
      </c>
    </row>
    <row r="1033" spans="49:49" ht="15" customHeight="1" x14ac:dyDescent="0.35">
      <c r="AW1033" s="132">
        <v>752</v>
      </c>
    </row>
    <row r="1034" spans="49:49" ht="15" customHeight="1" x14ac:dyDescent="0.35">
      <c r="AW1034" s="132">
        <v>753</v>
      </c>
    </row>
    <row r="1035" spans="49:49" ht="15" customHeight="1" x14ac:dyDescent="0.35">
      <c r="AW1035" s="132">
        <v>754</v>
      </c>
    </row>
    <row r="1036" spans="49:49" ht="15" customHeight="1" x14ac:dyDescent="0.35">
      <c r="AW1036" s="132">
        <v>755</v>
      </c>
    </row>
    <row r="1037" spans="49:49" ht="15" customHeight="1" x14ac:dyDescent="0.35">
      <c r="AW1037" s="132">
        <v>756</v>
      </c>
    </row>
    <row r="1038" spans="49:49" ht="15" customHeight="1" x14ac:dyDescent="0.35">
      <c r="AW1038" s="132">
        <v>757</v>
      </c>
    </row>
    <row r="1039" spans="49:49" ht="15" customHeight="1" x14ac:dyDescent="0.35">
      <c r="AW1039" s="132">
        <v>758</v>
      </c>
    </row>
    <row r="1040" spans="49:49" ht="15" customHeight="1" x14ac:dyDescent="0.35">
      <c r="AW1040" s="132">
        <v>759</v>
      </c>
    </row>
    <row r="1041" spans="49:49" ht="15" customHeight="1" x14ac:dyDescent="0.35">
      <c r="AW1041" s="132">
        <v>760</v>
      </c>
    </row>
    <row r="1042" spans="49:49" ht="15" customHeight="1" x14ac:dyDescent="0.35">
      <c r="AW1042" s="132">
        <v>761</v>
      </c>
    </row>
    <row r="1043" spans="49:49" ht="15" customHeight="1" x14ac:dyDescent="0.35">
      <c r="AW1043" s="132">
        <v>762</v>
      </c>
    </row>
    <row r="1044" spans="49:49" ht="15" customHeight="1" x14ac:dyDescent="0.35">
      <c r="AW1044" s="132">
        <v>763</v>
      </c>
    </row>
    <row r="1045" spans="49:49" ht="15" customHeight="1" x14ac:dyDescent="0.35">
      <c r="AW1045" s="132">
        <v>764</v>
      </c>
    </row>
    <row r="1046" spans="49:49" ht="15" customHeight="1" x14ac:dyDescent="0.35">
      <c r="AW1046" s="132">
        <v>765</v>
      </c>
    </row>
    <row r="1047" spans="49:49" ht="15" customHeight="1" x14ac:dyDescent="0.35">
      <c r="AW1047" s="132">
        <v>766</v>
      </c>
    </row>
    <row r="1048" spans="49:49" ht="15" customHeight="1" x14ac:dyDescent="0.35">
      <c r="AW1048" s="132">
        <v>767</v>
      </c>
    </row>
    <row r="1049" spans="49:49" ht="15" customHeight="1" x14ac:dyDescent="0.35">
      <c r="AW1049" s="132">
        <v>768</v>
      </c>
    </row>
    <row r="1050" spans="49:49" ht="15" customHeight="1" x14ac:dyDescent="0.35">
      <c r="AW1050" s="132">
        <v>769</v>
      </c>
    </row>
    <row r="1051" spans="49:49" ht="15" customHeight="1" x14ac:dyDescent="0.35">
      <c r="AW1051" s="132">
        <v>770</v>
      </c>
    </row>
    <row r="1052" spans="49:49" ht="15" customHeight="1" x14ac:dyDescent="0.35">
      <c r="AW1052" s="132">
        <v>771</v>
      </c>
    </row>
    <row r="1053" spans="49:49" ht="15" customHeight="1" x14ac:dyDescent="0.35">
      <c r="AW1053" s="132">
        <v>772</v>
      </c>
    </row>
    <row r="1054" spans="49:49" ht="15" customHeight="1" x14ac:dyDescent="0.35">
      <c r="AW1054" s="132">
        <v>773</v>
      </c>
    </row>
    <row r="1055" spans="49:49" ht="15" customHeight="1" x14ac:dyDescent="0.35">
      <c r="AW1055" s="132">
        <v>774</v>
      </c>
    </row>
    <row r="1056" spans="49:49" ht="15" customHeight="1" x14ac:dyDescent="0.35">
      <c r="AW1056" s="132">
        <v>775</v>
      </c>
    </row>
    <row r="1057" spans="49:49" ht="15" customHeight="1" x14ac:dyDescent="0.35">
      <c r="AW1057" s="132">
        <v>776</v>
      </c>
    </row>
    <row r="1058" spans="49:49" ht="15" customHeight="1" x14ac:dyDescent="0.35">
      <c r="AW1058" s="132">
        <v>777</v>
      </c>
    </row>
    <row r="1059" spans="49:49" ht="15" customHeight="1" x14ac:dyDescent="0.35">
      <c r="AW1059" s="132">
        <v>778</v>
      </c>
    </row>
    <row r="1060" spans="49:49" ht="15" customHeight="1" x14ac:dyDescent="0.35">
      <c r="AW1060" s="132">
        <v>779</v>
      </c>
    </row>
    <row r="1061" spans="49:49" ht="15" customHeight="1" x14ac:dyDescent="0.35">
      <c r="AW1061" s="132">
        <v>780</v>
      </c>
    </row>
    <row r="1062" spans="49:49" ht="15" customHeight="1" x14ac:dyDescent="0.35">
      <c r="AW1062" s="132">
        <v>781</v>
      </c>
    </row>
    <row r="1063" spans="49:49" ht="15" customHeight="1" x14ac:dyDescent="0.35">
      <c r="AW1063" s="132">
        <v>782</v>
      </c>
    </row>
    <row r="1064" spans="49:49" ht="15" customHeight="1" x14ac:dyDescent="0.35">
      <c r="AW1064" s="132">
        <v>783</v>
      </c>
    </row>
    <row r="1065" spans="49:49" ht="15" customHeight="1" x14ac:dyDescent="0.35">
      <c r="AW1065" s="132">
        <v>784</v>
      </c>
    </row>
    <row r="1066" spans="49:49" ht="15" customHeight="1" x14ac:dyDescent="0.35">
      <c r="AW1066" s="132">
        <v>785</v>
      </c>
    </row>
    <row r="1067" spans="49:49" ht="15" customHeight="1" x14ac:dyDescent="0.35">
      <c r="AW1067" s="132">
        <v>786</v>
      </c>
    </row>
    <row r="1068" spans="49:49" ht="15" customHeight="1" x14ac:dyDescent="0.35">
      <c r="AW1068" s="132">
        <v>787</v>
      </c>
    </row>
    <row r="1069" spans="49:49" ht="15" customHeight="1" x14ac:dyDescent="0.35">
      <c r="AW1069" s="132">
        <v>788</v>
      </c>
    </row>
    <row r="1070" spans="49:49" ht="15" customHeight="1" x14ac:dyDescent="0.35">
      <c r="AW1070" s="132">
        <v>789</v>
      </c>
    </row>
    <row r="1071" spans="49:49" ht="15" customHeight="1" x14ac:dyDescent="0.35">
      <c r="AW1071" s="132">
        <v>790</v>
      </c>
    </row>
    <row r="1072" spans="49:49" ht="15" customHeight="1" x14ac:dyDescent="0.35">
      <c r="AW1072" s="132">
        <v>791</v>
      </c>
    </row>
    <row r="1073" spans="49:49" ht="15" customHeight="1" x14ac:dyDescent="0.35">
      <c r="AW1073" s="132">
        <v>792</v>
      </c>
    </row>
    <row r="1074" spans="49:49" ht="15" customHeight="1" x14ac:dyDescent="0.35">
      <c r="AW1074" s="132">
        <v>793</v>
      </c>
    </row>
    <row r="1075" spans="49:49" ht="15" customHeight="1" x14ac:dyDescent="0.35">
      <c r="AW1075" s="132">
        <v>794</v>
      </c>
    </row>
    <row r="1076" spans="49:49" ht="15" customHeight="1" x14ac:dyDescent="0.35">
      <c r="AW1076" s="132">
        <v>795</v>
      </c>
    </row>
    <row r="1077" spans="49:49" ht="15" customHeight="1" x14ac:dyDescent="0.35">
      <c r="AW1077" s="132">
        <v>796</v>
      </c>
    </row>
    <row r="1078" spans="49:49" ht="15" customHeight="1" x14ac:dyDescent="0.35">
      <c r="AW1078" s="132">
        <v>797</v>
      </c>
    </row>
    <row r="1079" spans="49:49" ht="15" customHeight="1" x14ac:dyDescent="0.35">
      <c r="AW1079" s="132">
        <v>798</v>
      </c>
    </row>
    <row r="1080" spans="49:49" ht="15" customHeight="1" x14ac:dyDescent="0.35">
      <c r="AW1080" s="132">
        <v>799</v>
      </c>
    </row>
    <row r="1081" spans="49:49" ht="15" customHeight="1" x14ac:dyDescent="0.35">
      <c r="AW1081" s="132">
        <v>800</v>
      </c>
    </row>
    <row r="1082" spans="49:49" ht="15" customHeight="1" x14ac:dyDescent="0.35">
      <c r="AW1082" s="132">
        <v>801</v>
      </c>
    </row>
    <row r="1083" spans="49:49" ht="15" customHeight="1" x14ac:dyDescent="0.35">
      <c r="AW1083" s="132">
        <v>802</v>
      </c>
    </row>
    <row r="1084" spans="49:49" ht="15" customHeight="1" x14ac:dyDescent="0.35">
      <c r="AW1084" s="132">
        <v>803</v>
      </c>
    </row>
    <row r="1085" spans="49:49" ht="15" customHeight="1" x14ac:dyDescent="0.35">
      <c r="AW1085" s="132">
        <v>804</v>
      </c>
    </row>
    <row r="1086" spans="49:49" ht="15" customHeight="1" x14ac:dyDescent="0.35">
      <c r="AW1086" s="132">
        <v>805</v>
      </c>
    </row>
    <row r="1087" spans="49:49" ht="15" customHeight="1" x14ac:dyDescent="0.35">
      <c r="AW1087" s="132">
        <v>806</v>
      </c>
    </row>
    <row r="1088" spans="49:49" ht="15" customHeight="1" x14ac:dyDescent="0.35">
      <c r="AW1088" s="132">
        <v>807</v>
      </c>
    </row>
    <row r="1089" spans="49:49" ht="15" customHeight="1" x14ac:dyDescent="0.35">
      <c r="AW1089" s="132">
        <v>808</v>
      </c>
    </row>
    <row r="1090" spans="49:49" ht="15" customHeight="1" x14ac:dyDescent="0.35">
      <c r="AW1090" s="132">
        <v>809</v>
      </c>
    </row>
    <row r="1091" spans="49:49" ht="15" customHeight="1" x14ac:dyDescent="0.35">
      <c r="AW1091" s="132">
        <v>810</v>
      </c>
    </row>
    <row r="1092" spans="49:49" ht="15" customHeight="1" x14ac:dyDescent="0.35">
      <c r="AW1092" s="132">
        <v>811</v>
      </c>
    </row>
    <row r="1093" spans="49:49" ht="15" customHeight="1" x14ac:dyDescent="0.35">
      <c r="AW1093" s="132">
        <v>812</v>
      </c>
    </row>
    <row r="1094" spans="49:49" ht="15" customHeight="1" x14ac:dyDescent="0.35">
      <c r="AW1094" s="132">
        <v>813</v>
      </c>
    </row>
    <row r="1095" spans="49:49" ht="15" customHeight="1" x14ac:dyDescent="0.35">
      <c r="AW1095" s="132">
        <v>814</v>
      </c>
    </row>
    <row r="1096" spans="49:49" ht="15" customHeight="1" x14ac:dyDescent="0.35">
      <c r="AW1096" s="132">
        <v>815</v>
      </c>
    </row>
    <row r="1097" spans="49:49" ht="15" customHeight="1" x14ac:dyDescent="0.35">
      <c r="AW1097" s="132">
        <v>816</v>
      </c>
    </row>
    <row r="1098" spans="49:49" ht="15" customHeight="1" x14ac:dyDescent="0.35">
      <c r="AW1098" s="132">
        <v>817</v>
      </c>
    </row>
    <row r="1099" spans="49:49" ht="15" customHeight="1" x14ac:dyDescent="0.35">
      <c r="AW1099" s="132">
        <v>818</v>
      </c>
    </row>
    <row r="1100" spans="49:49" ht="15" customHeight="1" x14ac:dyDescent="0.35">
      <c r="AW1100" s="132">
        <v>819</v>
      </c>
    </row>
    <row r="1101" spans="49:49" ht="15" customHeight="1" x14ac:dyDescent="0.35">
      <c r="AW1101" s="132">
        <v>820</v>
      </c>
    </row>
    <row r="1102" spans="49:49" ht="15" customHeight="1" x14ac:dyDescent="0.35">
      <c r="AW1102" s="132">
        <v>821</v>
      </c>
    </row>
    <row r="1103" spans="49:49" ht="15" customHeight="1" x14ac:dyDescent="0.35">
      <c r="AW1103" s="132">
        <v>822</v>
      </c>
    </row>
    <row r="1104" spans="49:49" ht="15" customHeight="1" x14ac:dyDescent="0.35">
      <c r="AW1104" s="132">
        <v>823</v>
      </c>
    </row>
    <row r="1105" spans="49:49" ht="15" customHeight="1" x14ac:dyDescent="0.35">
      <c r="AW1105" s="132">
        <v>824</v>
      </c>
    </row>
    <row r="1106" spans="49:49" ht="15" customHeight="1" x14ac:dyDescent="0.35">
      <c r="AW1106" s="132">
        <v>825</v>
      </c>
    </row>
    <row r="1107" spans="49:49" ht="15" customHeight="1" x14ac:dyDescent="0.35">
      <c r="AW1107" s="132">
        <v>826</v>
      </c>
    </row>
    <row r="1108" spans="49:49" ht="15" customHeight="1" x14ac:dyDescent="0.35">
      <c r="AW1108" s="132">
        <v>827</v>
      </c>
    </row>
    <row r="1109" spans="49:49" ht="15" customHeight="1" x14ac:dyDescent="0.35">
      <c r="AW1109" s="132">
        <v>828</v>
      </c>
    </row>
    <row r="1110" spans="49:49" ht="15" customHeight="1" x14ac:dyDescent="0.35">
      <c r="AW1110" s="132">
        <v>829</v>
      </c>
    </row>
    <row r="1111" spans="49:49" ht="15" customHeight="1" x14ac:dyDescent="0.35">
      <c r="AW1111" s="132">
        <v>830</v>
      </c>
    </row>
    <row r="1112" spans="49:49" ht="15" customHeight="1" x14ac:dyDescent="0.35">
      <c r="AW1112" s="132">
        <v>831</v>
      </c>
    </row>
    <row r="1113" spans="49:49" ht="15" customHeight="1" x14ac:dyDescent="0.35">
      <c r="AW1113" s="132">
        <v>832</v>
      </c>
    </row>
    <row r="1114" spans="49:49" ht="15" customHeight="1" x14ac:dyDescent="0.35">
      <c r="AW1114" s="132">
        <v>833</v>
      </c>
    </row>
    <row r="1115" spans="49:49" ht="15" customHeight="1" x14ac:dyDescent="0.35">
      <c r="AW1115" s="132">
        <v>834</v>
      </c>
    </row>
    <row r="1116" spans="49:49" ht="15" customHeight="1" x14ac:dyDescent="0.35">
      <c r="AW1116" s="132">
        <v>835</v>
      </c>
    </row>
    <row r="1117" spans="49:49" ht="15" customHeight="1" x14ac:dyDescent="0.35">
      <c r="AW1117" s="132">
        <v>836</v>
      </c>
    </row>
    <row r="1118" spans="49:49" ht="15" customHeight="1" x14ac:dyDescent="0.35">
      <c r="AW1118" s="132">
        <v>837</v>
      </c>
    </row>
    <row r="1119" spans="49:49" ht="15" customHeight="1" x14ac:dyDescent="0.35">
      <c r="AW1119" s="132">
        <v>838</v>
      </c>
    </row>
    <row r="1120" spans="49:49" ht="15" customHeight="1" x14ac:dyDescent="0.35">
      <c r="AW1120" s="132">
        <v>839</v>
      </c>
    </row>
    <row r="1121" spans="49:49" ht="15" customHeight="1" x14ac:dyDescent="0.35">
      <c r="AW1121" s="132">
        <v>840</v>
      </c>
    </row>
    <row r="1122" spans="49:49" ht="15" customHeight="1" x14ac:dyDescent="0.35">
      <c r="AW1122" s="132">
        <v>841</v>
      </c>
    </row>
    <row r="1123" spans="49:49" ht="15" customHeight="1" x14ac:dyDescent="0.35">
      <c r="AW1123" s="132">
        <v>842</v>
      </c>
    </row>
    <row r="1124" spans="49:49" ht="15" customHeight="1" x14ac:dyDescent="0.35">
      <c r="AW1124" s="132">
        <v>843</v>
      </c>
    </row>
    <row r="1125" spans="49:49" ht="15" customHeight="1" x14ac:dyDescent="0.35">
      <c r="AW1125" s="132">
        <v>844</v>
      </c>
    </row>
    <row r="1126" spans="49:49" ht="15" customHeight="1" x14ac:dyDescent="0.35">
      <c r="AW1126" s="132">
        <v>845</v>
      </c>
    </row>
    <row r="1127" spans="49:49" ht="15" customHeight="1" x14ac:dyDescent="0.35">
      <c r="AW1127" s="132">
        <v>846</v>
      </c>
    </row>
    <row r="1128" spans="49:49" ht="15" customHeight="1" x14ac:dyDescent="0.35">
      <c r="AW1128" s="132">
        <v>847</v>
      </c>
    </row>
    <row r="1129" spans="49:49" ht="15" customHeight="1" x14ac:dyDescent="0.35">
      <c r="AW1129" s="132">
        <v>848</v>
      </c>
    </row>
    <row r="1130" spans="49:49" ht="15" customHeight="1" x14ac:dyDescent="0.35">
      <c r="AW1130" s="132">
        <v>849</v>
      </c>
    </row>
    <row r="1131" spans="49:49" ht="15" customHeight="1" x14ac:dyDescent="0.35">
      <c r="AW1131" s="132">
        <v>850</v>
      </c>
    </row>
    <row r="1132" spans="49:49" ht="15" customHeight="1" x14ac:dyDescent="0.35">
      <c r="AW1132" s="132">
        <v>851</v>
      </c>
    </row>
    <row r="1133" spans="49:49" ht="15" customHeight="1" x14ac:dyDescent="0.35">
      <c r="AW1133" s="132">
        <v>852</v>
      </c>
    </row>
    <row r="1134" spans="49:49" ht="15" customHeight="1" x14ac:dyDescent="0.35">
      <c r="AW1134" s="132">
        <v>853</v>
      </c>
    </row>
    <row r="1135" spans="49:49" ht="15" customHeight="1" x14ac:dyDescent="0.35">
      <c r="AW1135" s="132">
        <v>854</v>
      </c>
    </row>
    <row r="1136" spans="49:49" ht="15" customHeight="1" x14ac:dyDescent="0.35">
      <c r="AW1136" s="132">
        <v>855</v>
      </c>
    </row>
    <row r="1137" spans="49:49" ht="15" customHeight="1" x14ac:dyDescent="0.35">
      <c r="AW1137" s="132">
        <v>856</v>
      </c>
    </row>
    <row r="1138" spans="49:49" ht="15" customHeight="1" x14ac:dyDescent="0.35">
      <c r="AW1138" s="132">
        <v>857</v>
      </c>
    </row>
    <row r="1139" spans="49:49" ht="15" customHeight="1" x14ac:dyDescent="0.35">
      <c r="AW1139" s="132">
        <v>858</v>
      </c>
    </row>
    <row r="1140" spans="49:49" ht="15" customHeight="1" x14ac:dyDescent="0.35">
      <c r="AW1140" s="132">
        <v>859</v>
      </c>
    </row>
    <row r="1141" spans="49:49" ht="15" customHeight="1" x14ac:dyDescent="0.35">
      <c r="AW1141" s="132">
        <v>860</v>
      </c>
    </row>
    <row r="1142" spans="49:49" ht="15" customHeight="1" x14ac:dyDescent="0.35">
      <c r="AW1142" s="132">
        <v>861</v>
      </c>
    </row>
    <row r="1143" spans="49:49" ht="15" customHeight="1" x14ac:dyDescent="0.35">
      <c r="AW1143" s="132">
        <v>862</v>
      </c>
    </row>
    <row r="1144" spans="49:49" ht="15" customHeight="1" x14ac:dyDescent="0.35">
      <c r="AW1144" s="132">
        <v>863</v>
      </c>
    </row>
    <row r="1145" spans="49:49" ht="15" customHeight="1" x14ac:dyDescent="0.35">
      <c r="AW1145" s="132">
        <v>864</v>
      </c>
    </row>
    <row r="1146" spans="49:49" ht="15" customHeight="1" x14ac:dyDescent="0.35">
      <c r="AW1146" s="132">
        <v>865</v>
      </c>
    </row>
    <row r="1147" spans="49:49" ht="15" customHeight="1" x14ac:dyDescent="0.35">
      <c r="AW1147" s="132">
        <v>866</v>
      </c>
    </row>
    <row r="1148" spans="49:49" ht="15" customHeight="1" x14ac:dyDescent="0.35">
      <c r="AW1148" s="132">
        <v>867</v>
      </c>
    </row>
    <row r="1149" spans="49:49" ht="15" customHeight="1" x14ac:dyDescent="0.35">
      <c r="AW1149" s="132">
        <v>868</v>
      </c>
    </row>
    <row r="1150" spans="49:49" ht="15" customHeight="1" x14ac:dyDescent="0.35">
      <c r="AW1150" s="132">
        <v>869</v>
      </c>
    </row>
    <row r="1151" spans="49:49" ht="15" customHeight="1" x14ac:dyDescent="0.35">
      <c r="AW1151" s="132">
        <v>870</v>
      </c>
    </row>
    <row r="1152" spans="49:49" ht="15" customHeight="1" x14ac:dyDescent="0.35">
      <c r="AW1152" s="132">
        <v>871</v>
      </c>
    </row>
    <row r="1153" spans="49:49" ht="15" customHeight="1" x14ac:dyDescent="0.35">
      <c r="AW1153" s="132">
        <v>872</v>
      </c>
    </row>
    <row r="1154" spans="49:49" ht="15" customHeight="1" x14ac:dyDescent="0.35">
      <c r="AW1154" s="132">
        <v>873</v>
      </c>
    </row>
    <row r="1155" spans="49:49" ht="15" customHeight="1" x14ac:dyDescent="0.35">
      <c r="AW1155" s="132">
        <v>874</v>
      </c>
    </row>
    <row r="1156" spans="49:49" ht="15" customHeight="1" x14ac:dyDescent="0.35">
      <c r="AW1156" s="132">
        <v>875</v>
      </c>
    </row>
    <row r="1157" spans="49:49" ht="15" customHeight="1" x14ac:dyDescent="0.35">
      <c r="AW1157" s="132">
        <v>876</v>
      </c>
    </row>
    <row r="1158" spans="49:49" ht="15" customHeight="1" x14ac:dyDescent="0.35">
      <c r="AW1158" s="132">
        <v>877</v>
      </c>
    </row>
    <row r="1159" spans="49:49" ht="15" customHeight="1" x14ac:dyDescent="0.35">
      <c r="AW1159" s="132">
        <v>878</v>
      </c>
    </row>
    <row r="1160" spans="49:49" ht="15" customHeight="1" x14ac:dyDescent="0.35">
      <c r="AW1160" s="132">
        <v>879</v>
      </c>
    </row>
    <row r="1161" spans="49:49" ht="15" customHeight="1" x14ac:dyDescent="0.35">
      <c r="AW1161" s="132">
        <v>880</v>
      </c>
    </row>
    <row r="1162" spans="49:49" ht="15" customHeight="1" x14ac:dyDescent="0.35">
      <c r="AW1162" s="132">
        <v>881</v>
      </c>
    </row>
    <row r="1163" spans="49:49" ht="15" customHeight="1" x14ac:dyDescent="0.35">
      <c r="AW1163" s="132">
        <v>882</v>
      </c>
    </row>
    <row r="1164" spans="49:49" ht="15" customHeight="1" x14ac:dyDescent="0.35">
      <c r="AW1164" s="132">
        <v>883</v>
      </c>
    </row>
    <row r="1165" spans="49:49" ht="15" customHeight="1" x14ac:dyDescent="0.35">
      <c r="AW1165" s="132">
        <v>884</v>
      </c>
    </row>
    <row r="1166" spans="49:49" ht="15" customHeight="1" x14ac:dyDescent="0.35">
      <c r="AW1166" s="132">
        <v>885</v>
      </c>
    </row>
    <row r="1167" spans="49:49" ht="15" customHeight="1" x14ac:dyDescent="0.35">
      <c r="AW1167" s="132">
        <v>886</v>
      </c>
    </row>
    <row r="1168" spans="49:49" ht="15" customHeight="1" x14ac:dyDescent="0.35">
      <c r="AW1168" s="132">
        <v>887</v>
      </c>
    </row>
    <row r="1169" spans="49:49" ht="15" customHeight="1" x14ac:dyDescent="0.35">
      <c r="AW1169" s="132">
        <v>888</v>
      </c>
    </row>
    <row r="1170" spans="49:49" ht="15" customHeight="1" x14ac:dyDescent="0.35">
      <c r="AW1170" s="132">
        <v>889</v>
      </c>
    </row>
    <row r="1171" spans="49:49" ht="15" customHeight="1" x14ac:dyDescent="0.35">
      <c r="AW1171" s="132">
        <v>890</v>
      </c>
    </row>
    <row r="1172" spans="49:49" ht="15" customHeight="1" x14ac:dyDescent="0.35">
      <c r="AW1172" s="132">
        <v>891</v>
      </c>
    </row>
    <row r="1173" spans="49:49" ht="15" customHeight="1" x14ac:dyDescent="0.35">
      <c r="AW1173" s="132">
        <v>892</v>
      </c>
    </row>
    <row r="1174" spans="49:49" ht="15" customHeight="1" x14ac:dyDescent="0.35">
      <c r="AW1174" s="132">
        <v>893</v>
      </c>
    </row>
    <row r="1175" spans="49:49" ht="15" customHeight="1" x14ac:dyDescent="0.35">
      <c r="AW1175" s="132">
        <v>894</v>
      </c>
    </row>
    <row r="1176" spans="49:49" ht="15" customHeight="1" x14ac:dyDescent="0.35">
      <c r="AW1176" s="132">
        <v>895</v>
      </c>
    </row>
    <row r="1177" spans="49:49" ht="15" customHeight="1" x14ac:dyDescent="0.35">
      <c r="AW1177" s="132">
        <v>896</v>
      </c>
    </row>
    <row r="1178" spans="49:49" ht="15" customHeight="1" x14ac:dyDescent="0.35">
      <c r="AW1178" s="132">
        <v>897</v>
      </c>
    </row>
    <row r="1179" spans="49:49" ht="15" customHeight="1" x14ac:dyDescent="0.35">
      <c r="AW1179" s="132">
        <v>898</v>
      </c>
    </row>
    <row r="1180" spans="49:49" ht="15" customHeight="1" x14ac:dyDescent="0.35">
      <c r="AW1180" s="132">
        <v>899</v>
      </c>
    </row>
    <row r="1181" spans="49:49" ht="15" customHeight="1" x14ac:dyDescent="0.35">
      <c r="AW1181" s="132">
        <v>900</v>
      </c>
    </row>
    <row r="1182" spans="49:49" ht="15" customHeight="1" x14ac:dyDescent="0.35">
      <c r="AW1182" s="132">
        <v>901</v>
      </c>
    </row>
    <row r="1183" spans="49:49" ht="15" customHeight="1" x14ac:dyDescent="0.35">
      <c r="AW1183" s="132">
        <v>902</v>
      </c>
    </row>
    <row r="1184" spans="49:49" ht="15" customHeight="1" x14ac:dyDescent="0.35">
      <c r="AW1184" s="132">
        <v>903</v>
      </c>
    </row>
    <row r="1185" spans="49:49" ht="15" customHeight="1" x14ac:dyDescent="0.35">
      <c r="AW1185" s="132">
        <v>904</v>
      </c>
    </row>
    <row r="1186" spans="49:49" ht="15" customHeight="1" x14ac:dyDescent="0.35">
      <c r="AW1186" s="132">
        <v>905</v>
      </c>
    </row>
    <row r="1187" spans="49:49" ht="15" customHeight="1" x14ac:dyDescent="0.35">
      <c r="AW1187" s="132">
        <v>906</v>
      </c>
    </row>
    <row r="1188" spans="49:49" ht="15" customHeight="1" x14ac:dyDescent="0.35">
      <c r="AW1188" s="132">
        <v>907</v>
      </c>
    </row>
    <row r="1189" spans="49:49" ht="15" customHeight="1" x14ac:dyDescent="0.35">
      <c r="AW1189" s="132">
        <v>908</v>
      </c>
    </row>
    <row r="1190" spans="49:49" ht="15" customHeight="1" x14ac:dyDescent="0.35">
      <c r="AW1190" s="132">
        <v>909</v>
      </c>
    </row>
    <row r="1191" spans="49:49" ht="15" customHeight="1" x14ac:dyDescent="0.35">
      <c r="AW1191" s="132">
        <v>910</v>
      </c>
    </row>
    <row r="1192" spans="49:49" ht="15" customHeight="1" x14ac:dyDescent="0.35">
      <c r="AW1192" s="132">
        <v>911</v>
      </c>
    </row>
    <row r="1193" spans="49:49" ht="15" customHeight="1" x14ac:dyDescent="0.35">
      <c r="AW1193" s="132">
        <v>912</v>
      </c>
    </row>
    <row r="1194" spans="49:49" ht="15" customHeight="1" x14ac:dyDescent="0.35">
      <c r="AW1194" s="132">
        <v>913</v>
      </c>
    </row>
    <row r="1195" spans="49:49" ht="15" customHeight="1" x14ac:dyDescent="0.35">
      <c r="AW1195" s="132">
        <v>914</v>
      </c>
    </row>
    <row r="1196" spans="49:49" ht="15" customHeight="1" x14ac:dyDescent="0.35">
      <c r="AW1196" s="132">
        <v>915</v>
      </c>
    </row>
    <row r="1197" spans="49:49" ht="15" customHeight="1" x14ac:dyDescent="0.35">
      <c r="AW1197" s="132">
        <v>916</v>
      </c>
    </row>
    <row r="1198" spans="49:49" ht="15" customHeight="1" x14ac:dyDescent="0.35">
      <c r="AW1198" s="132">
        <v>917</v>
      </c>
    </row>
    <row r="1199" spans="49:49" ht="15" customHeight="1" x14ac:dyDescent="0.35">
      <c r="AW1199" s="132">
        <v>918</v>
      </c>
    </row>
    <row r="1200" spans="49:49" ht="15" customHeight="1" x14ac:dyDescent="0.35">
      <c r="AW1200" s="132">
        <v>919</v>
      </c>
    </row>
    <row r="1201" spans="49:49" ht="15" customHeight="1" x14ac:dyDescent="0.35">
      <c r="AW1201" s="132">
        <v>920</v>
      </c>
    </row>
    <row r="1202" spans="49:49" ht="15" customHeight="1" x14ac:dyDescent="0.35">
      <c r="AW1202" s="132">
        <v>921</v>
      </c>
    </row>
    <row r="1203" spans="49:49" ht="15" customHeight="1" x14ac:dyDescent="0.35">
      <c r="AW1203" s="132">
        <v>922</v>
      </c>
    </row>
    <row r="1204" spans="49:49" ht="15" customHeight="1" x14ac:dyDescent="0.35">
      <c r="AW1204" s="132">
        <v>923</v>
      </c>
    </row>
    <row r="1205" spans="49:49" ht="15" customHeight="1" x14ac:dyDescent="0.35">
      <c r="AW1205" s="132">
        <v>924</v>
      </c>
    </row>
    <row r="1206" spans="49:49" ht="15" customHeight="1" x14ac:dyDescent="0.35">
      <c r="AW1206" s="132">
        <v>925</v>
      </c>
    </row>
    <row r="1207" spans="49:49" ht="15" customHeight="1" x14ac:dyDescent="0.35">
      <c r="AW1207" s="132">
        <v>926</v>
      </c>
    </row>
    <row r="1208" spans="49:49" ht="15" customHeight="1" x14ac:dyDescent="0.35">
      <c r="AW1208" s="132">
        <v>927</v>
      </c>
    </row>
    <row r="1209" spans="49:49" ht="15" customHeight="1" x14ac:dyDescent="0.35">
      <c r="AW1209" s="132">
        <v>928</v>
      </c>
    </row>
    <row r="1210" spans="49:49" ht="15" customHeight="1" x14ac:dyDescent="0.35">
      <c r="AW1210" s="132">
        <v>929</v>
      </c>
    </row>
    <row r="1211" spans="49:49" ht="15" customHeight="1" x14ac:dyDescent="0.35">
      <c r="AW1211" s="132">
        <v>930</v>
      </c>
    </row>
    <row r="1212" spans="49:49" ht="15" customHeight="1" x14ac:dyDescent="0.35">
      <c r="AW1212" s="132">
        <v>931</v>
      </c>
    </row>
    <row r="1213" spans="49:49" ht="15" customHeight="1" x14ac:dyDescent="0.35">
      <c r="AW1213" s="132">
        <v>932</v>
      </c>
    </row>
    <row r="1214" spans="49:49" ht="15" customHeight="1" x14ac:dyDescent="0.35">
      <c r="AW1214" s="132">
        <v>933</v>
      </c>
    </row>
    <row r="1215" spans="49:49" ht="15" customHeight="1" x14ac:dyDescent="0.35">
      <c r="AW1215" s="132">
        <v>934</v>
      </c>
    </row>
    <row r="1216" spans="49:49" ht="15" customHeight="1" x14ac:dyDescent="0.35">
      <c r="AW1216" s="132">
        <v>935</v>
      </c>
    </row>
    <row r="1217" spans="49:49" ht="15" customHeight="1" x14ac:dyDescent="0.35">
      <c r="AW1217" s="132">
        <v>936</v>
      </c>
    </row>
    <row r="1218" spans="49:49" ht="15" customHeight="1" x14ac:dyDescent="0.35">
      <c r="AW1218" s="132">
        <v>937</v>
      </c>
    </row>
    <row r="1219" spans="49:49" ht="15" customHeight="1" x14ac:dyDescent="0.35">
      <c r="AW1219" s="132">
        <v>938</v>
      </c>
    </row>
    <row r="1220" spans="49:49" ht="15" customHeight="1" x14ac:dyDescent="0.35">
      <c r="AW1220" s="132">
        <v>939</v>
      </c>
    </row>
    <row r="1221" spans="49:49" ht="15" customHeight="1" x14ac:dyDescent="0.35">
      <c r="AW1221" s="132">
        <v>940</v>
      </c>
    </row>
    <row r="1222" spans="49:49" ht="15" customHeight="1" x14ac:dyDescent="0.35">
      <c r="AW1222" s="132">
        <v>941</v>
      </c>
    </row>
    <row r="1223" spans="49:49" ht="15" customHeight="1" x14ac:dyDescent="0.35">
      <c r="AW1223" s="132">
        <v>942</v>
      </c>
    </row>
    <row r="1224" spans="49:49" ht="15" customHeight="1" x14ac:dyDescent="0.35">
      <c r="AW1224" s="132">
        <v>943</v>
      </c>
    </row>
    <row r="1225" spans="49:49" ht="15" customHeight="1" x14ac:dyDescent="0.35">
      <c r="AW1225" s="132">
        <v>944</v>
      </c>
    </row>
    <row r="1226" spans="49:49" ht="15" customHeight="1" x14ac:dyDescent="0.35">
      <c r="AW1226" s="132">
        <v>945</v>
      </c>
    </row>
    <row r="1227" spans="49:49" ht="15" customHeight="1" x14ac:dyDescent="0.35">
      <c r="AW1227" s="132">
        <v>946</v>
      </c>
    </row>
    <row r="1228" spans="49:49" ht="15" customHeight="1" x14ac:dyDescent="0.35">
      <c r="AW1228" s="132">
        <v>947</v>
      </c>
    </row>
    <row r="1229" spans="49:49" ht="15" customHeight="1" x14ac:dyDescent="0.35">
      <c r="AW1229" s="132">
        <v>948</v>
      </c>
    </row>
    <row r="1230" spans="49:49" ht="15" customHeight="1" x14ac:dyDescent="0.35">
      <c r="AW1230" s="132">
        <v>949</v>
      </c>
    </row>
    <row r="1231" spans="49:49" ht="15" customHeight="1" x14ac:dyDescent="0.35">
      <c r="AW1231" s="132">
        <v>950</v>
      </c>
    </row>
    <row r="1232" spans="49:49" ht="15" customHeight="1" x14ac:dyDescent="0.35">
      <c r="AW1232" s="132">
        <v>951</v>
      </c>
    </row>
    <row r="1233" spans="49:49" ht="15" customHeight="1" x14ac:dyDescent="0.35">
      <c r="AW1233" s="132">
        <v>952</v>
      </c>
    </row>
    <row r="1234" spans="49:49" ht="15" customHeight="1" x14ac:dyDescent="0.35">
      <c r="AW1234" s="132">
        <v>953</v>
      </c>
    </row>
    <row r="1235" spans="49:49" ht="15" customHeight="1" x14ac:dyDescent="0.35">
      <c r="AW1235" s="132">
        <v>954</v>
      </c>
    </row>
    <row r="1236" spans="49:49" ht="15" customHeight="1" x14ac:dyDescent="0.35">
      <c r="AW1236" s="132">
        <v>955</v>
      </c>
    </row>
    <row r="1237" spans="49:49" ht="15" customHeight="1" x14ac:dyDescent="0.35">
      <c r="AW1237" s="132">
        <v>956</v>
      </c>
    </row>
    <row r="1238" spans="49:49" ht="15" customHeight="1" x14ac:dyDescent="0.35">
      <c r="AW1238" s="132">
        <v>957</v>
      </c>
    </row>
    <row r="1239" spans="49:49" ht="15" customHeight="1" x14ac:dyDescent="0.35">
      <c r="AW1239" s="132">
        <v>958</v>
      </c>
    </row>
    <row r="1240" spans="49:49" ht="15" customHeight="1" x14ac:dyDescent="0.35">
      <c r="AW1240" s="132">
        <v>959</v>
      </c>
    </row>
    <row r="1241" spans="49:49" ht="15" customHeight="1" x14ac:dyDescent="0.35">
      <c r="AW1241" s="132">
        <v>960</v>
      </c>
    </row>
    <row r="1242" spans="49:49" ht="15" customHeight="1" x14ac:dyDescent="0.35">
      <c r="AW1242" s="132">
        <v>961</v>
      </c>
    </row>
    <row r="1243" spans="49:49" ht="15" customHeight="1" x14ac:dyDescent="0.35">
      <c r="AW1243" s="132">
        <v>962</v>
      </c>
    </row>
    <row r="1244" spans="49:49" ht="15" customHeight="1" x14ac:dyDescent="0.35">
      <c r="AW1244" s="132">
        <v>963</v>
      </c>
    </row>
    <row r="1245" spans="49:49" ht="15" customHeight="1" x14ac:dyDescent="0.35">
      <c r="AW1245" s="132">
        <v>964</v>
      </c>
    </row>
    <row r="1246" spans="49:49" ht="15" customHeight="1" x14ac:dyDescent="0.35">
      <c r="AW1246" s="132">
        <v>965</v>
      </c>
    </row>
    <row r="1247" spans="49:49" ht="15" customHeight="1" x14ac:dyDescent="0.35">
      <c r="AW1247" s="132">
        <v>966</v>
      </c>
    </row>
    <row r="1248" spans="49:49" ht="15" customHeight="1" x14ac:dyDescent="0.35">
      <c r="AW1248" s="132">
        <v>967</v>
      </c>
    </row>
    <row r="1249" spans="49:49" ht="15" customHeight="1" x14ac:dyDescent="0.35">
      <c r="AW1249" s="132">
        <v>968</v>
      </c>
    </row>
    <row r="1250" spans="49:49" ht="15" customHeight="1" x14ac:dyDescent="0.35">
      <c r="AW1250" s="132">
        <v>969</v>
      </c>
    </row>
    <row r="1251" spans="49:49" ht="15" customHeight="1" x14ac:dyDescent="0.35">
      <c r="AW1251" s="132">
        <v>970</v>
      </c>
    </row>
    <row r="1252" spans="49:49" ht="15" customHeight="1" x14ac:dyDescent="0.35">
      <c r="AW1252" s="132">
        <v>971</v>
      </c>
    </row>
    <row r="1253" spans="49:49" ht="15" customHeight="1" x14ac:dyDescent="0.35">
      <c r="AW1253" s="132">
        <v>972</v>
      </c>
    </row>
    <row r="1254" spans="49:49" ht="15" customHeight="1" x14ac:dyDescent="0.35">
      <c r="AW1254" s="132">
        <v>973</v>
      </c>
    </row>
    <row r="1255" spans="49:49" ht="15" customHeight="1" x14ac:dyDescent="0.35">
      <c r="AW1255" s="132">
        <v>974</v>
      </c>
    </row>
    <row r="1256" spans="49:49" ht="15" customHeight="1" x14ac:dyDescent="0.35">
      <c r="AW1256" s="132">
        <v>975</v>
      </c>
    </row>
    <row r="1257" spans="49:49" ht="15" customHeight="1" x14ac:dyDescent="0.35">
      <c r="AW1257" s="132">
        <v>976</v>
      </c>
    </row>
    <row r="1258" spans="49:49" ht="15" customHeight="1" x14ac:dyDescent="0.35">
      <c r="AW1258" s="132">
        <v>977</v>
      </c>
    </row>
    <row r="1259" spans="49:49" ht="15" customHeight="1" x14ac:dyDescent="0.35">
      <c r="AW1259" s="132">
        <v>978</v>
      </c>
    </row>
    <row r="1260" spans="49:49" ht="15" customHeight="1" x14ac:dyDescent="0.35">
      <c r="AW1260" s="132">
        <v>979</v>
      </c>
    </row>
    <row r="1261" spans="49:49" ht="15" customHeight="1" x14ac:dyDescent="0.35">
      <c r="AW1261" s="132">
        <v>980</v>
      </c>
    </row>
    <row r="1262" spans="49:49" ht="15" customHeight="1" x14ac:dyDescent="0.35">
      <c r="AW1262" s="132">
        <v>981</v>
      </c>
    </row>
    <row r="1263" spans="49:49" ht="15" customHeight="1" x14ac:dyDescent="0.35">
      <c r="AW1263" s="132">
        <v>982</v>
      </c>
    </row>
    <row r="1264" spans="49:49" ht="15" customHeight="1" x14ac:dyDescent="0.35">
      <c r="AW1264" s="132">
        <v>983</v>
      </c>
    </row>
    <row r="1265" spans="49:49" ht="15" customHeight="1" x14ac:dyDescent="0.35">
      <c r="AW1265" s="132">
        <v>984</v>
      </c>
    </row>
    <row r="1266" spans="49:49" ht="15" customHeight="1" x14ac:dyDescent="0.35">
      <c r="AW1266" s="132">
        <v>985</v>
      </c>
    </row>
    <row r="1267" spans="49:49" ht="15" customHeight="1" x14ac:dyDescent="0.35">
      <c r="AW1267" s="132">
        <v>986</v>
      </c>
    </row>
    <row r="1268" spans="49:49" ht="15" customHeight="1" x14ac:dyDescent="0.35">
      <c r="AW1268" s="132">
        <v>987</v>
      </c>
    </row>
    <row r="1269" spans="49:49" ht="15" customHeight="1" x14ac:dyDescent="0.35">
      <c r="AW1269" s="132">
        <v>988</v>
      </c>
    </row>
    <row r="1270" spans="49:49" ht="15" customHeight="1" x14ac:dyDescent="0.35">
      <c r="AW1270" s="132">
        <v>989</v>
      </c>
    </row>
    <row r="1271" spans="49:49" ht="15" customHeight="1" x14ac:dyDescent="0.35">
      <c r="AW1271" s="132">
        <v>990</v>
      </c>
    </row>
    <row r="1272" spans="49:49" ht="15" customHeight="1" x14ac:dyDescent="0.35">
      <c r="AW1272" s="132">
        <v>991</v>
      </c>
    </row>
    <row r="1273" spans="49:49" ht="15" customHeight="1" x14ac:dyDescent="0.35">
      <c r="AW1273" s="132">
        <v>992</v>
      </c>
    </row>
    <row r="1274" spans="49:49" ht="15" customHeight="1" x14ac:dyDescent="0.35">
      <c r="AW1274" s="132">
        <v>993</v>
      </c>
    </row>
    <row r="1275" spans="49:49" ht="15" customHeight="1" x14ac:dyDescent="0.35">
      <c r="AW1275" s="132">
        <v>994</v>
      </c>
    </row>
    <row r="1276" spans="49:49" ht="15" customHeight="1" x14ac:dyDescent="0.35">
      <c r="AW1276" s="132">
        <v>995</v>
      </c>
    </row>
    <row r="1277" spans="49:49" ht="15" customHeight="1" x14ac:dyDescent="0.35">
      <c r="AW1277" s="132">
        <v>996</v>
      </c>
    </row>
    <row r="1278" spans="49:49" ht="15" customHeight="1" x14ac:dyDescent="0.35">
      <c r="AW1278" s="132">
        <v>997</v>
      </c>
    </row>
    <row r="1279" spans="49:49" ht="15" customHeight="1" x14ac:dyDescent="0.35">
      <c r="AW1279" s="132">
        <v>998</v>
      </c>
    </row>
    <row r="1280" spans="49:49" ht="15" customHeight="1" x14ac:dyDescent="0.35">
      <c r="AW1280" s="132">
        <v>999</v>
      </c>
    </row>
    <row r="1281" spans="49:49" ht="15" customHeight="1" x14ac:dyDescent="0.35">
      <c r="AW1281" s="132">
        <v>1000</v>
      </c>
    </row>
    <row r="1282" spans="49:49" ht="15" customHeight="1" x14ac:dyDescent="0.35">
      <c r="AW1282" s="132">
        <v>1001</v>
      </c>
    </row>
    <row r="1283" spans="49:49" ht="15" customHeight="1" x14ac:dyDescent="0.35">
      <c r="AW1283" s="132">
        <v>1002</v>
      </c>
    </row>
    <row r="1284" spans="49:49" ht="15" customHeight="1" x14ac:dyDescent="0.35">
      <c r="AW1284" s="132">
        <v>1003</v>
      </c>
    </row>
    <row r="1285" spans="49:49" ht="15" customHeight="1" x14ac:dyDescent="0.35">
      <c r="AW1285" s="132">
        <v>1004</v>
      </c>
    </row>
    <row r="1286" spans="49:49" ht="15" customHeight="1" x14ac:dyDescent="0.35">
      <c r="AW1286" s="132">
        <v>1005</v>
      </c>
    </row>
    <row r="1287" spans="49:49" ht="15" customHeight="1" x14ac:dyDescent="0.35">
      <c r="AW1287" s="132">
        <v>1006</v>
      </c>
    </row>
    <row r="1288" spans="49:49" ht="15" customHeight="1" x14ac:dyDescent="0.35">
      <c r="AW1288" s="132">
        <v>1007</v>
      </c>
    </row>
    <row r="1289" spans="49:49" ht="15" customHeight="1" x14ac:dyDescent="0.35">
      <c r="AW1289" s="132">
        <v>1008</v>
      </c>
    </row>
    <row r="1290" spans="49:49" ht="15" customHeight="1" x14ac:dyDescent="0.35">
      <c r="AW1290" s="132">
        <v>1009</v>
      </c>
    </row>
    <row r="1291" spans="49:49" ht="15" customHeight="1" x14ac:dyDescent="0.35">
      <c r="AW1291" s="132">
        <v>1010</v>
      </c>
    </row>
    <row r="1292" spans="49:49" ht="15" customHeight="1" x14ac:dyDescent="0.35">
      <c r="AW1292" s="132">
        <v>1011</v>
      </c>
    </row>
    <row r="1293" spans="49:49" ht="15" customHeight="1" x14ac:dyDescent="0.35">
      <c r="AW1293" s="132">
        <v>1012</v>
      </c>
    </row>
    <row r="1294" spans="49:49" ht="15" customHeight="1" x14ac:dyDescent="0.35">
      <c r="AW1294" s="132">
        <v>1013</v>
      </c>
    </row>
    <row r="1295" spans="49:49" ht="15" customHeight="1" x14ac:dyDescent="0.35">
      <c r="AW1295" s="132">
        <v>1014</v>
      </c>
    </row>
    <row r="1296" spans="49:49" ht="15" customHeight="1" x14ac:dyDescent="0.35">
      <c r="AW1296" s="132">
        <v>1015</v>
      </c>
    </row>
    <row r="1297" spans="49:49" ht="15" customHeight="1" x14ac:dyDescent="0.35">
      <c r="AW1297" s="132">
        <v>1016</v>
      </c>
    </row>
    <row r="1298" spans="49:49" ht="15" customHeight="1" x14ac:dyDescent="0.35">
      <c r="AW1298" s="132">
        <v>1017</v>
      </c>
    </row>
    <row r="1299" spans="49:49" ht="15" customHeight="1" x14ac:dyDescent="0.35">
      <c r="AW1299" s="132">
        <v>1018</v>
      </c>
    </row>
    <row r="1300" spans="49:49" ht="15" customHeight="1" x14ac:dyDescent="0.35">
      <c r="AW1300" s="132">
        <v>1019</v>
      </c>
    </row>
    <row r="1301" spans="49:49" ht="15" customHeight="1" x14ac:dyDescent="0.35">
      <c r="AW1301" s="132">
        <v>1020</v>
      </c>
    </row>
    <row r="1302" spans="49:49" ht="15" customHeight="1" x14ac:dyDescent="0.35">
      <c r="AW1302" s="132">
        <v>1021</v>
      </c>
    </row>
    <row r="1303" spans="49:49" ht="15" customHeight="1" x14ac:dyDescent="0.35">
      <c r="AW1303" s="132">
        <v>1022</v>
      </c>
    </row>
    <row r="1304" spans="49:49" ht="15" customHeight="1" x14ac:dyDescent="0.35">
      <c r="AW1304" s="132">
        <v>1023</v>
      </c>
    </row>
    <row r="1305" spans="49:49" ht="15" customHeight="1" x14ac:dyDescent="0.35">
      <c r="AW1305" s="132">
        <v>1024</v>
      </c>
    </row>
    <row r="1306" spans="49:49" ht="15" customHeight="1" x14ac:dyDescent="0.35">
      <c r="AW1306" s="132">
        <v>1025</v>
      </c>
    </row>
    <row r="1307" spans="49:49" ht="15" customHeight="1" x14ac:dyDescent="0.35">
      <c r="AW1307" s="132">
        <v>1026</v>
      </c>
    </row>
    <row r="1308" spans="49:49" ht="15" customHeight="1" x14ac:dyDescent="0.35">
      <c r="AW1308" s="132">
        <v>1027</v>
      </c>
    </row>
    <row r="1309" spans="49:49" ht="15" customHeight="1" x14ac:dyDescent="0.35">
      <c r="AW1309" s="132">
        <v>1028</v>
      </c>
    </row>
    <row r="1310" spans="49:49" ht="15" customHeight="1" x14ac:dyDescent="0.35">
      <c r="AW1310" s="132">
        <v>1029</v>
      </c>
    </row>
    <row r="1311" spans="49:49" ht="15" customHeight="1" x14ac:dyDescent="0.35">
      <c r="AW1311" s="132">
        <v>1030</v>
      </c>
    </row>
    <row r="1312" spans="49:49" ht="15" customHeight="1" x14ac:dyDescent="0.35">
      <c r="AW1312" s="132">
        <v>1031</v>
      </c>
    </row>
    <row r="1313" spans="49:49" ht="15" customHeight="1" x14ac:dyDescent="0.35">
      <c r="AW1313" s="132">
        <v>1032</v>
      </c>
    </row>
    <row r="1314" spans="49:49" ht="15" customHeight="1" x14ac:dyDescent="0.35">
      <c r="AW1314" s="132">
        <v>1033</v>
      </c>
    </row>
    <row r="1315" spans="49:49" ht="15" customHeight="1" x14ac:dyDescent="0.35">
      <c r="AW1315" s="132">
        <v>1034</v>
      </c>
    </row>
    <row r="1316" spans="49:49" ht="15" customHeight="1" x14ac:dyDescent="0.35">
      <c r="AW1316" s="132">
        <v>1035</v>
      </c>
    </row>
    <row r="1317" spans="49:49" ht="15" customHeight="1" x14ac:dyDescent="0.35">
      <c r="AW1317" s="132">
        <v>1036</v>
      </c>
    </row>
    <row r="1318" spans="49:49" ht="15" customHeight="1" x14ac:dyDescent="0.35">
      <c r="AW1318" s="132">
        <v>1037</v>
      </c>
    </row>
    <row r="1319" spans="49:49" ht="15" customHeight="1" x14ac:dyDescent="0.35">
      <c r="AW1319" s="132">
        <v>1038</v>
      </c>
    </row>
    <row r="1320" spans="49:49" ht="15" customHeight="1" x14ac:dyDescent="0.35">
      <c r="AW1320" s="132">
        <v>1039</v>
      </c>
    </row>
    <row r="1321" spans="49:49" ht="15" customHeight="1" x14ac:dyDescent="0.35">
      <c r="AW1321" s="132">
        <v>1040</v>
      </c>
    </row>
    <row r="1322" spans="49:49" ht="15" customHeight="1" x14ac:dyDescent="0.35">
      <c r="AW1322" s="132">
        <v>1041</v>
      </c>
    </row>
    <row r="1323" spans="49:49" ht="15" customHeight="1" x14ac:dyDescent="0.35">
      <c r="AW1323" s="132">
        <v>1042</v>
      </c>
    </row>
    <row r="1324" spans="49:49" ht="15" customHeight="1" x14ac:dyDescent="0.35">
      <c r="AW1324" s="132">
        <v>1043</v>
      </c>
    </row>
    <row r="1325" spans="49:49" ht="15" customHeight="1" x14ac:dyDescent="0.35">
      <c r="AW1325" s="132">
        <v>1044</v>
      </c>
    </row>
    <row r="1326" spans="49:49" ht="15" customHeight="1" x14ac:dyDescent="0.35">
      <c r="AW1326" s="132">
        <v>1045</v>
      </c>
    </row>
    <row r="1327" spans="49:49" ht="15" customHeight="1" x14ac:dyDescent="0.35">
      <c r="AW1327" s="132">
        <v>1046</v>
      </c>
    </row>
    <row r="1328" spans="49:49" ht="15" customHeight="1" x14ac:dyDescent="0.35">
      <c r="AW1328" s="132">
        <v>1047</v>
      </c>
    </row>
    <row r="1329" spans="49:49" ht="15" customHeight="1" x14ac:dyDescent="0.35">
      <c r="AW1329" s="132">
        <v>1048</v>
      </c>
    </row>
    <row r="1330" spans="49:49" ht="15" customHeight="1" x14ac:dyDescent="0.35">
      <c r="AW1330" s="132">
        <v>1049</v>
      </c>
    </row>
    <row r="1331" spans="49:49" ht="15" customHeight="1" x14ac:dyDescent="0.35">
      <c r="AW1331" s="132">
        <v>1050</v>
      </c>
    </row>
    <row r="1332" spans="49:49" ht="15" customHeight="1" x14ac:dyDescent="0.35">
      <c r="AW1332" s="132">
        <v>1051</v>
      </c>
    </row>
    <row r="1333" spans="49:49" ht="15" customHeight="1" x14ac:dyDescent="0.35">
      <c r="AW1333" s="132">
        <v>1052</v>
      </c>
    </row>
    <row r="1334" spans="49:49" ht="15" customHeight="1" x14ac:dyDescent="0.35">
      <c r="AW1334" s="132">
        <v>1053</v>
      </c>
    </row>
    <row r="1335" spans="49:49" ht="15" customHeight="1" x14ac:dyDescent="0.35">
      <c r="AW1335" s="132">
        <v>1054</v>
      </c>
    </row>
    <row r="1336" spans="49:49" ht="15" customHeight="1" x14ac:dyDescent="0.35">
      <c r="AW1336" s="132">
        <v>1055</v>
      </c>
    </row>
    <row r="1337" spans="49:49" ht="15" customHeight="1" x14ac:dyDescent="0.35">
      <c r="AW1337" s="132">
        <v>1056</v>
      </c>
    </row>
    <row r="1338" spans="49:49" ht="15" customHeight="1" x14ac:dyDescent="0.35">
      <c r="AW1338" s="132">
        <v>1057</v>
      </c>
    </row>
    <row r="1339" spans="49:49" ht="15" customHeight="1" x14ac:dyDescent="0.35">
      <c r="AW1339" s="132">
        <v>1058</v>
      </c>
    </row>
    <row r="1340" spans="49:49" ht="15" customHeight="1" x14ac:dyDescent="0.35">
      <c r="AW1340" s="132">
        <v>1059</v>
      </c>
    </row>
    <row r="1341" spans="49:49" ht="15" customHeight="1" x14ac:dyDescent="0.35">
      <c r="AW1341" s="132">
        <v>1060</v>
      </c>
    </row>
    <row r="1342" spans="49:49" ht="15" customHeight="1" x14ac:dyDescent="0.35">
      <c r="AW1342" s="132">
        <v>1061</v>
      </c>
    </row>
    <row r="1343" spans="49:49" ht="15" customHeight="1" x14ac:dyDescent="0.35">
      <c r="AW1343" s="132">
        <v>1062</v>
      </c>
    </row>
    <row r="1344" spans="49:49" ht="15" customHeight="1" x14ac:dyDescent="0.35">
      <c r="AW1344" s="132">
        <v>1063</v>
      </c>
    </row>
    <row r="1345" spans="49:49" ht="15" customHeight="1" x14ac:dyDescent="0.35">
      <c r="AW1345" s="132">
        <v>1064</v>
      </c>
    </row>
    <row r="1346" spans="49:49" ht="15" customHeight="1" x14ac:dyDescent="0.35">
      <c r="AW1346" s="132">
        <v>1065</v>
      </c>
    </row>
    <row r="1347" spans="49:49" ht="15" customHeight="1" x14ac:dyDescent="0.35">
      <c r="AW1347" s="132">
        <v>1066</v>
      </c>
    </row>
    <row r="1348" spans="49:49" ht="15" customHeight="1" x14ac:dyDescent="0.35">
      <c r="AW1348" s="132">
        <v>1067</v>
      </c>
    </row>
    <row r="1349" spans="49:49" ht="15" customHeight="1" x14ac:dyDescent="0.35">
      <c r="AW1349" s="132">
        <v>1068</v>
      </c>
    </row>
    <row r="1350" spans="49:49" ht="15" customHeight="1" x14ac:dyDescent="0.35">
      <c r="AW1350" s="132">
        <v>1069</v>
      </c>
    </row>
    <row r="1351" spans="49:49" ht="15" customHeight="1" x14ac:dyDescent="0.35">
      <c r="AW1351" s="132">
        <v>1070</v>
      </c>
    </row>
    <row r="1352" spans="49:49" ht="15" customHeight="1" x14ac:dyDescent="0.35">
      <c r="AW1352" s="132">
        <v>1071</v>
      </c>
    </row>
    <row r="1353" spans="49:49" ht="15" customHeight="1" x14ac:dyDescent="0.35">
      <c r="AW1353" s="132">
        <v>1072</v>
      </c>
    </row>
    <row r="1354" spans="49:49" ht="15" customHeight="1" x14ac:dyDescent="0.35">
      <c r="AW1354" s="132">
        <v>1073</v>
      </c>
    </row>
    <row r="1355" spans="49:49" ht="15" customHeight="1" x14ac:dyDescent="0.35">
      <c r="AW1355" s="132">
        <v>1074</v>
      </c>
    </row>
    <row r="1356" spans="49:49" ht="15" customHeight="1" x14ac:dyDescent="0.35">
      <c r="AW1356" s="132">
        <v>1075</v>
      </c>
    </row>
    <row r="1357" spans="49:49" ht="15" customHeight="1" x14ac:dyDescent="0.35">
      <c r="AW1357" s="132">
        <v>1076</v>
      </c>
    </row>
    <row r="1358" spans="49:49" ht="15" customHeight="1" x14ac:dyDescent="0.35">
      <c r="AW1358" s="132">
        <v>1077</v>
      </c>
    </row>
    <row r="1359" spans="49:49" ht="15" customHeight="1" x14ac:dyDescent="0.35">
      <c r="AW1359" s="132">
        <v>1078</v>
      </c>
    </row>
    <row r="1360" spans="49:49" ht="15" customHeight="1" x14ac:dyDescent="0.35">
      <c r="AW1360" s="132">
        <v>1079</v>
      </c>
    </row>
    <row r="1361" spans="49:49" ht="15" customHeight="1" x14ac:dyDescent="0.35">
      <c r="AW1361" s="132">
        <v>1080</v>
      </c>
    </row>
    <row r="1362" spans="49:49" ht="15" customHeight="1" x14ac:dyDescent="0.35">
      <c r="AW1362" s="132">
        <v>1081</v>
      </c>
    </row>
    <row r="1363" spans="49:49" ht="15" customHeight="1" x14ac:dyDescent="0.35">
      <c r="AW1363" s="132">
        <v>1082</v>
      </c>
    </row>
    <row r="1364" spans="49:49" ht="15" customHeight="1" x14ac:dyDescent="0.35">
      <c r="AW1364" s="132">
        <v>1083</v>
      </c>
    </row>
    <row r="1365" spans="49:49" ht="15" customHeight="1" x14ac:dyDescent="0.35">
      <c r="AW1365" s="132">
        <v>1084</v>
      </c>
    </row>
    <row r="1366" spans="49:49" ht="15" customHeight="1" x14ac:dyDescent="0.35">
      <c r="AW1366" s="132">
        <v>1085</v>
      </c>
    </row>
    <row r="1367" spans="49:49" ht="15" customHeight="1" x14ac:dyDescent="0.35">
      <c r="AW1367" s="132">
        <v>1086</v>
      </c>
    </row>
    <row r="1368" spans="49:49" ht="15" customHeight="1" x14ac:dyDescent="0.35">
      <c r="AW1368" s="132">
        <v>1087</v>
      </c>
    </row>
    <row r="1369" spans="49:49" ht="15" customHeight="1" x14ac:dyDescent="0.35">
      <c r="AW1369" s="132">
        <v>1088</v>
      </c>
    </row>
    <row r="1370" spans="49:49" ht="15" customHeight="1" x14ac:dyDescent="0.35">
      <c r="AW1370" s="132">
        <v>1089</v>
      </c>
    </row>
    <row r="1371" spans="49:49" ht="15" customHeight="1" x14ac:dyDescent="0.35">
      <c r="AW1371" s="132">
        <v>1090</v>
      </c>
    </row>
    <row r="1372" spans="49:49" ht="15" customHeight="1" x14ac:dyDescent="0.35">
      <c r="AW1372" s="132">
        <v>1091</v>
      </c>
    </row>
    <row r="1373" spans="49:49" ht="15" customHeight="1" x14ac:dyDescent="0.35">
      <c r="AW1373" s="132">
        <v>1092</v>
      </c>
    </row>
    <row r="1374" spans="49:49" ht="15" customHeight="1" x14ac:dyDescent="0.35">
      <c r="AW1374" s="132">
        <v>1093</v>
      </c>
    </row>
    <row r="1375" spans="49:49" ht="15" customHeight="1" x14ac:dyDescent="0.35">
      <c r="AW1375" s="132">
        <v>1094</v>
      </c>
    </row>
    <row r="1376" spans="49:49" ht="15" customHeight="1" x14ac:dyDescent="0.35">
      <c r="AW1376" s="132">
        <v>1095</v>
      </c>
    </row>
    <row r="1377" spans="49:49" ht="15" customHeight="1" x14ac:dyDescent="0.35">
      <c r="AW1377" s="132">
        <v>1096</v>
      </c>
    </row>
    <row r="1378" spans="49:49" ht="15" customHeight="1" x14ac:dyDescent="0.35">
      <c r="AW1378" s="132">
        <v>1097</v>
      </c>
    </row>
    <row r="1379" spans="49:49" ht="15" customHeight="1" x14ac:dyDescent="0.35">
      <c r="AW1379" s="132">
        <v>1098</v>
      </c>
    </row>
    <row r="1380" spans="49:49" ht="15" customHeight="1" x14ac:dyDescent="0.35">
      <c r="AW1380" s="132">
        <v>1099</v>
      </c>
    </row>
    <row r="1381" spans="49:49" ht="15" customHeight="1" x14ac:dyDescent="0.35">
      <c r="AW1381" s="132">
        <v>1100</v>
      </c>
    </row>
    <row r="1382" spans="49:49" ht="15" customHeight="1" x14ac:dyDescent="0.35">
      <c r="AW1382" s="132">
        <v>1101</v>
      </c>
    </row>
    <row r="1383" spans="49:49" ht="15" customHeight="1" x14ac:dyDescent="0.35">
      <c r="AW1383" s="132">
        <v>1102</v>
      </c>
    </row>
    <row r="1384" spans="49:49" ht="15" customHeight="1" x14ac:dyDescent="0.35">
      <c r="AW1384" s="132">
        <v>1103</v>
      </c>
    </row>
    <row r="1385" spans="49:49" ht="15" customHeight="1" x14ac:dyDescent="0.35">
      <c r="AW1385" s="132">
        <v>1104</v>
      </c>
    </row>
    <row r="1386" spans="49:49" ht="15" customHeight="1" x14ac:dyDescent="0.35">
      <c r="AW1386" s="132">
        <v>1105</v>
      </c>
    </row>
    <row r="1387" spans="49:49" ht="15" customHeight="1" x14ac:dyDescent="0.35">
      <c r="AW1387" s="132">
        <v>1106</v>
      </c>
    </row>
    <row r="1388" spans="49:49" ht="15" customHeight="1" x14ac:dyDescent="0.35">
      <c r="AW1388" s="132">
        <v>1107</v>
      </c>
    </row>
    <row r="1389" spans="49:49" ht="15" customHeight="1" x14ac:dyDescent="0.35">
      <c r="AW1389" s="132">
        <v>1108</v>
      </c>
    </row>
    <row r="1390" spans="49:49" ht="15" customHeight="1" x14ac:dyDescent="0.35">
      <c r="AW1390" s="132">
        <v>1109</v>
      </c>
    </row>
    <row r="1391" spans="49:49" ht="15" customHeight="1" x14ac:dyDescent="0.35">
      <c r="AW1391" s="132">
        <v>1110</v>
      </c>
    </row>
    <row r="1392" spans="49:49" ht="15" customHeight="1" x14ac:dyDescent="0.35">
      <c r="AW1392" s="132">
        <v>1111</v>
      </c>
    </row>
    <row r="1393" spans="49:49" ht="15" customHeight="1" x14ac:dyDescent="0.35">
      <c r="AW1393" s="132">
        <v>1112</v>
      </c>
    </row>
    <row r="1394" spans="49:49" ht="15" customHeight="1" x14ac:dyDescent="0.35">
      <c r="AW1394" s="132">
        <v>1113</v>
      </c>
    </row>
    <row r="1395" spans="49:49" ht="15" customHeight="1" x14ac:dyDescent="0.35">
      <c r="AW1395" s="132">
        <v>1114</v>
      </c>
    </row>
    <row r="1396" spans="49:49" ht="15" customHeight="1" x14ac:dyDescent="0.35">
      <c r="AW1396" s="132">
        <v>1115</v>
      </c>
    </row>
    <row r="1397" spans="49:49" ht="15" customHeight="1" x14ac:dyDescent="0.35">
      <c r="AW1397" s="132">
        <v>1116</v>
      </c>
    </row>
    <row r="1398" spans="49:49" ht="15" customHeight="1" x14ac:dyDescent="0.35">
      <c r="AW1398" s="132">
        <v>1117</v>
      </c>
    </row>
    <row r="1399" spans="49:49" ht="15" customHeight="1" x14ac:dyDescent="0.35">
      <c r="AW1399" s="132">
        <v>1118</v>
      </c>
    </row>
    <row r="1400" spans="49:49" ht="15" customHeight="1" x14ac:dyDescent="0.35">
      <c r="AW1400" s="132">
        <v>1119</v>
      </c>
    </row>
    <row r="1401" spans="49:49" ht="15" customHeight="1" x14ac:dyDescent="0.35">
      <c r="AW1401" s="132">
        <v>1120</v>
      </c>
    </row>
    <row r="1402" spans="49:49" ht="15" customHeight="1" x14ac:dyDescent="0.35">
      <c r="AW1402" s="132">
        <v>1121</v>
      </c>
    </row>
    <row r="1403" spans="49:49" ht="15" customHeight="1" x14ac:dyDescent="0.35">
      <c r="AW1403" s="132">
        <v>1122</v>
      </c>
    </row>
    <row r="1404" spans="49:49" ht="15" customHeight="1" x14ac:dyDescent="0.35">
      <c r="AW1404" s="132">
        <v>1123</v>
      </c>
    </row>
    <row r="1405" spans="49:49" ht="15" customHeight="1" x14ac:dyDescent="0.35">
      <c r="AW1405" s="132">
        <v>1124</v>
      </c>
    </row>
    <row r="1406" spans="49:49" ht="15" customHeight="1" x14ac:dyDescent="0.35">
      <c r="AW1406" s="132">
        <v>1125</v>
      </c>
    </row>
    <row r="1407" spans="49:49" ht="15" customHeight="1" x14ac:dyDescent="0.35">
      <c r="AW1407" s="132">
        <v>1126</v>
      </c>
    </row>
    <row r="1408" spans="49:49" ht="15" customHeight="1" x14ac:dyDescent="0.35">
      <c r="AW1408" s="132">
        <v>1127</v>
      </c>
    </row>
    <row r="1409" spans="49:49" ht="15" customHeight="1" x14ac:dyDescent="0.35">
      <c r="AW1409" s="132">
        <v>1128</v>
      </c>
    </row>
    <row r="1410" spans="49:49" ht="15" customHeight="1" x14ac:dyDescent="0.35">
      <c r="AW1410" s="132">
        <v>1129</v>
      </c>
    </row>
    <row r="1411" spans="49:49" ht="15" customHeight="1" x14ac:dyDescent="0.35">
      <c r="AW1411" s="132">
        <v>1130</v>
      </c>
    </row>
    <row r="1412" spans="49:49" ht="15" customHeight="1" x14ac:dyDescent="0.35">
      <c r="AW1412" s="132">
        <v>1131</v>
      </c>
    </row>
    <row r="1413" spans="49:49" ht="15" customHeight="1" x14ac:dyDescent="0.35">
      <c r="AW1413" s="132">
        <v>1132</v>
      </c>
    </row>
    <row r="1414" spans="49:49" ht="15" customHeight="1" x14ac:dyDescent="0.35">
      <c r="AW1414" s="132">
        <v>1133</v>
      </c>
    </row>
    <row r="1415" spans="49:49" ht="15" customHeight="1" x14ac:dyDescent="0.35">
      <c r="AW1415" s="132">
        <v>1134</v>
      </c>
    </row>
    <row r="1416" spans="49:49" ht="15" customHeight="1" x14ac:dyDescent="0.35">
      <c r="AW1416" s="132">
        <v>1135</v>
      </c>
    </row>
    <row r="1417" spans="49:49" ht="15" customHeight="1" x14ac:dyDescent="0.35">
      <c r="AW1417" s="132">
        <v>1136</v>
      </c>
    </row>
    <row r="1418" spans="49:49" ht="15" customHeight="1" x14ac:dyDescent="0.35">
      <c r="AW1418" s="132">
        <v>1137</v>
      </c>
    </row>
    <row r="1419" spans="49:49" ht="15" customHeight="1" x14ac:dyDescent="0.35">
      <c r="AW1419" s="132">
        <v>1138</v>
      </c>
    </row>
    <row r="1420" spans="49:49" ht="15" customHeight="1" x14ac:dyDescent="0.35">
      <c r="AW1420" s="132">
        <v>1139</v>
      </c>
    </row>
    <row r="1421" spans="49:49" ht="15" customHeight="1" x14ac:dyDescent="0.35">
      <c r="AW1421" s="132">
        <v>1140</v>
      </c>
    </row>
    <row r="1422" spans="49:49" ht="15" customHeight="1" x14ac:dyDescent="0.35">
      <c r="AW1422" s="132">
        <v>1141</v>
      </c>
    </row>
    <row r="1423" spans="49:49" ht="15" customHeight="1" x14ac:dyDescent="0.35">
      <c r="AW1423" s="132">
        <v>1142</v>
      </c>
    </row>
    <row r="1424" spans="49:49" ht="15" customHeight="1" x14ac:dyDescent="0.35">
      <c r="AW1424" s="132">
        <v>1143</v>
      </c>
    </row>
    <row r="1425" spans="49:49" ht="15" customHeight="1" x14ac:dyDescent="0.35">
      <c r="AW1425" s="132">
        <v>1144</v>
      </c>
    </row>
    <row r="1426" spans="49:49" ht="15" customHeight="1" x14ac:dyDescent="0.35">
      <c r="AW1426" s="132">
        <v>1145</v>
      </c>
    </row>
    <row r="1427" spans="49:49" ht="15" customHeight="1" x14ac:dyDescent="0.35">
      <c r="AW1427" s="132">
        <v>1146</v>
      </c>
    </row>
    <row r="1428" spans="49:49" ht="15" customHeight="1" x14ac:dyDescent="0.35">
      <c r="AW1428" s="132">
        <v>1147</v>
      </c>
    </row>
    <row r="1429" spans="49:49" ht="15" customHeight="1" x14ac:dyDescent="0.35">
      <c r="AW1429" s="132">
        <v>1148</v>
      </c>
    </row>
    <row r="1430" spans="49:49" ht="15" customHeight="1" x14ac:dyDescent="0.35">
      <c r="AW1430" s="132">
        <v>1149</v>
      </c>
    </row>
    <row r="1431" spans="49:49" ht="15" customHeight="1" x14ac:dyDescent="0.35">
      <c r="AW1431" s="132">
        <v>1150</v>
      </c>
    </row>
    <row r="1432" spans="49:49" ht="15" customHeight="1" x14ac:dyDescent="0.35">
      <c r="AW1432" s="132">
        <v>1151</v>
      </c>
    </row>
    <row r="1433" spans="49:49" ht="15" customHeight="1" x14ac:dyDescent="0.35">
      <c r="AW1433" s="132">
        <v>1152</v>
      </c>
    </row>
    <row r="1434" spans="49:49" ht="15" customHeight="1" x14ac:dyDescent="0.35">
      <c r="AW1434" s="132">
        <v>1153</v>
      </c>
    </row>
    <row r="1435" spans="49:49" ht="15" customHeight="1" x14ac:dyDescent="0.35">
      <c r="AW1435" s="132">
        <v>1154</v>
      </c>
    </row>
    <row r="1436" spans="49:49" ht="15" customHeight="1" x14ac:dyDescent="0.35">
      <c r="AW1436" s="132">
        <v>1155</v>
      </c>
    </row>
    <row r="1437" spans="49:49" ht="15" customHeight="1" x14ac:dyDescent="0.35">
      <c r="AW1437" s="132">
        <v>1156</v>
      </c>
    </row>
    <row r="1438" spans="49:49" ht="15" customHeight="1" x14ac:dyDescent="0.35">
      <c r="AW1438" s="132">
        <v>1157</v>
      </c>
    </row>
    <row r="1439" spans="49:49" ht="15" customHeight="1" x14ac:dyDescent="0.35">
      <c r="AW1439" s="132">
        <v>1158</v>
      </c>
    </row>
    <row r="1440" spans="49:49" ht="15" customHeight="1" x14ac:dyDescent="0.35">
      <c r="AW1440" s="132">
        <v>1159</v>
      </c>
    </row>
    <row r="1441" spans="49:49" ht="15" customHeight="1" x14ac:dyDescent="0.35">
      <c r="AW1441" s="132">
        <v>1160</v>
      </c>
    </row>
    <row r="1442" spans="49:49" ht="15" customHeight="1" x14ac:dyDescent="0.35">
      <c r="AW1442" s="132">
        <v>1161</v>
      </c>
    </row>
    <row r="1443" spans="49:49" ht="15" customHeight="1" x14ac:dyDescent="0.35">
      <c r="AW1443" s="132">
        <v>1162</v>
      </c>
    </row>
    <row r="1444" spans="49:49" ht="15" customHeight="1" x14ac:dyDescent="0.35">
      <c r="AW1444" s="132">
        <v>1163</v>
      </c>
    </row>
    <row r="1445" spans="49:49" ht="15" customHeight="1" x14ac:dyDescent="0.35">
      <c r="AW1445" s="132">
        <v>1164</v>
      </c>
    </row>
    <row r="1446" spans="49:49" ht="15" customHeight="1" x14ac:dyDescent="0.35">
      <c r="AW1446" s="132">
        <v>1165</v>
      </c>
    </row>
    <row r="1447" spans="49:49" ht="15" customHeight="1" x14ac:dyDescent="0.35">
      <c r="AW1447" s="132">
        <v>1166</v>
      </c>
    </row>
    <row r="1448" spans="49:49" ht="15" customHeight="1" x14ac:dyDescent="0.35">
      <c r="AW1448" s="132">
        <v>1167</v>
      </c>
    </row>
    <row r="1449" spans="49:49" ht="15" customHeight="1" x14ac:dyDescent="0.35">
      <c r="AW1449" s="132">
        <v>1168</v>
      </c>
    </row>
    <row r="1450" spans="49:49" ht="15" customHeight="1" x14ac:dyDescent="0.35">
      <c r="AW1450" s="132">
        <v>1169</v>
      </c>
    </row>
    <row r="1451" spans="49:49" ht="15" customHeight="1" x14ac:dyDescent="0.35">
      <c r="AW1451" s="132">
        <v>1170</v>
      </c>
    </row>
    <row r="1452" spans="49:49" ht="15" customHeight="1" x14ac:dyDescent="0.35">
      <c r="AW1452" s="132">
        <v>1171</v>
      </c>
    </row>
    <row r="1453" spans="49:49" ht="15" customHeight="1" x14ac:dyDescent="0.35">
      <c r="AW1453" s="132">
        <v>1172</v>
      </c>
    </row>
    <row r="1454" spans="49:49" ht="15" customHeight="1" x14ac:dyDescent="0.35">
      <c r="AW1454" s="132">
        <v>1173</v>
      </c>
    </row>
    <row r="1455" spans="49:49" ht="15" customHeight="1" x14ac:dyDescent="0.35">
      <c r="AW1455" s="132">
        <v>1174</v>
      </c>
    </row>
    <row r="1456" spans="49:49" ht="15" customHeight="1" x14ac:dyDescent="0.35">
      <c r="AW1456" s="132">
        <v>1175</v>
      </c>
    </row>
    <row r="1457" spans="49:49" ht="15" customHeight="1" x14ac:dyDescent="0.35">
      <c r="AW1457" s="132">
        <v>1176</v>
      </c>
    </row>
    <row r="1458" spans="49:49" ht="15" customHeight="1" x14ac:dyDescent="0.35">
      <c r="AW1458" s="132">
        <v>1177</v>
      </c>
    </row>
    <row r="1459" spans="49:49" ht="15" customHeight="1" x14ac:dyDescent="0.35">
      <c r="AW1459" s="132">
        <v>1178</v>
      </c>
    </row>
    <row r="1460" spans="49:49" ht="15" customHeight="1" x14ac:dyDescent="0.35">
      <c r="AW1460" s="132">
        <v>1179</v>
      </c>
    </row>
    <row r="1461" spans="49:49" ht="15" customHeight="1" x14ac:dyDescent="0.35">
      <c r="AW1461" s="132">
        <v>1180</v>
      </c>
    </row>
    <row r="1462" spans="49:49" ht="15" customHeight="1" x14ac:dyDescent="0.35">
      <c r="AW1462" s="132">
        <v>1181</v>
      </c>
    </row>
    <row r="1463" spans="49:49" ht="15" customHeight="1" x14ac:dyDescent="0.35">
      <c r="AW1463" s="132">
        <v>1182</v>
      </c>
    </row>
    <row r="1464" spans="49:49" ht="15" customHeight="1" x14ac:dyDescent="0.35">
      <c r="AW1464" s="132">
        <v>1183</v>
      </c>
    </row>
    <row r="1465" spans="49:49" ht="15" customHeight="1" x14ac:dyDescent="0.35">
      <c r="AW1465" s="132">
        <v>1184</v>
      </c>
    </row>
    <row r="1466" spans="49:49" ht="15" customHeight="1" x14ac:dyDescent="0.35">
      <c r="AW1466" s="132">
        <v>1185</v>
      </c>
    </row>
    <row r="1467" spans="49:49" ht="15" customHeight="1" x14ac:dyDescent="0.35">
      <c r="AW1467" s="132">
        <v>1186</v>
      </c>
    </row>
    <row r="1468" spans="49:49" ht="15" customHeight="1" x14ac:dyDescent="0.35">
      <c r="AW1468" s="132">
        <v>1187</v>
      </c>
    </row>
    <row r="1469" spans="49:49" ht="15" customHeight="1" x14ac:dyDescent="0.35">
      <c r="AW1469" s="132">
        <v>1188</v>
      </c>
    </row>
    <row r="1470" spans="49:49" ht="15" customHeight="1" x14ac:dyDescent="0.35">
      <c r="AW1470" s="132">
        <v>1189</v>
      </c>
    </row>
    <row r="1471" spans="49:49" ht="15" customHeight="1" x14ac:dyDescent="0.35">
      <c r="AW1471" s="132">
        <v>1190</v>
      </c>
    </row>
    <row r="1472" spans="49:49" ht="15" customHeight="1" x14ac:dyDescent="0.35">
      <c r="AW1472" s="132">
        <v>1191</v>
      </c>
    </row>
    <row r="1473" spans="49:49" ht="15" customHeight="1" x14ac:dyDescent="0.35">
      <c r="AW1473" s="132">
        <v>1192</v>
      </c>
    </row>
    <row r="1474" spans="49:49" ht="15" customHeight="1" x14ac:dyDescent="0.35">
      <c r="AW1474" s="132">
        <v>1193</v>
      </c>
    </row>
    <row r="1475" spans="49:49" ht="15" customHeight="1" x14ac:dyDescent="0.35">
      <c r="AW1475" s="132">
        <v>1194</v>
      </c>
    </row>
    <row r="1476" spans="49:49" ht="15" customHeight="1" x14ac:dyDescent="0.35">
      <c r="AW1476" s="132">
        <v>1195</v>
      </c>
    </row>
    <row r="1477" spans="49:49" ht="15" customHeight="1" x14ac:dyDescent="0.35">
      <c r="AW1477" s="132">
        <v>1196</v>
      </c>
    </row>
    <row r="1478" spans="49:49" ht="15" customHeight="1" x14ac:dyDescent="0.35">
      <c r="AW1478" s="132">
        <v>1197</v>
      </c>
    </row>
    <row r="1479" spans="49:49" ht="15" customHeight="1" x14ac:dyDescent="0.35">
      <c r="AW1479" s="132">
        <v>1198</v>
      </c>
    </row>
    <row r="1480" spans="49:49" ht="15" customHeight="1" x14ac:dyDescent="0.35">
      <c r="AW1480" s="132">
        <v>1199</v>
      </c>
    </row>
    <row r="1481" spans="49:49" ht="15" customHeight="1" x14ac:dyDescent="0.35">
      <c r="AW1481" s="132">
        <v>1200</v>
      </c>
    </row>
    <row r="1482" spans="49:49" ht="15" customHeight="1" x14ac:dyDescent="0.35">
      <c r="AW1482" s="132">
        <v>1201</v>
      </c>
    </row>
    <row r="1483" spans="49:49" ht="15" customHeight="1" x14ac:dyDescent="0.35">
      <c r="AW1483" s="132">
        <v>1202</v>
      </c>
    </row>
    <row r="1484" spans="49:49" ht="15" customHeight="1" x14ac:dyDescent="0.35">
      <c r="AW1484" s="132">
        <v>1203</v>
      </c>
    </row>
    <row r="1485" spans="49:49" ht="15" customHeight="1" x14ac:dyDescent="0.35">
      <c r="AW1485" s="132">
        <v>1204</v>
      </c>
    </row>
    <row r="1486" spans="49:49" ht="15" customHeight="1" x14ac:dyDescent="0.35">
      <c r="AW1486" s="132">
        <v>1205</v>
      </c>
    </row>
    <row r="1487" spans="49:49" ht="15" customHeight="1" x14ac:dyDescent="0.35">
      <c r="AW1487" s="132">
        <v>1206</v>
      </c>
    </row>
    <row r="1488" spans="49:49" ht="15" customHeight="1" x14ac:dyDescent="0.35">
      <c r="AW1488" s="132">
        <v>1207</v>
      </c>
    </row>
    <row r="1489" spans="49:49" ht="15" customHeight="1" x14ac:dyDescent="0.35">
      <c r="AW1489" s="132">
        <v>1208</v>
      </c>
    </row>
    <row r="1490" spans="49:49" ht="15" customHeight="1" x14ac:dyDescent="0.35">
      <c r="AW1490" s="132">
        <v>1209</v>
      </c>
    </row>
    <row r="1491" spans="49:49" ht="15" customHeight="1" x14ac:dyDescent="0.35">
      <c r="AW1491" s="132">
        <v>1210</v>
      </c>
    </row>
    <row r="1492" spans="49:49" ht="15" customHeight="1" x14ac:dyDescent="0.35">
      <c r="AW1492" s="132">
        <v>1211</v>
      </c>
    </row>
    <row r="1493" spans="49:49" ht="15" customHeight="1" x14ac:dyDescent="0.35">
      <c r="AW1493" s="132">
        <v>1212</v>
      </c>
    </row>
    <row r="1494" spans="49:49" ht="15" customHeight="1" x14ac:dyDescent="0.35">
      <c r="AW1494" s="132">
        <v>1213</v>
      </c>
    </row>
    <row r="1495" spans="49:49" ht="15" customHeight="1" x14ac:dyDescent="0.35">
      <c r="AW1495" s="132">
        <v>1214</v>
      </c>
    </row>
    <row r="1496" spans="49:49" ht="15" customHeight="1" x14ac:dyDescent="0.35">
      <c r="AW1496" s="132">
        <v>1215</v>
      </c>
    </row>
    <row r="1497" spans="49:49" ht="15" customHeight="1" x14ac:dyDescent="0.35">
      <c r="AW1497" s="132">
        <v>1216</v>
      </c>
    </row>
    <row r="1498" spans="49:49" ht="15" customHeight="1" x14ac:dyDescent="0.35">
      <c r="AW1498" s="132">
        <v>1217</v>
      </c>
    </row>
    <row r="1499" spans="49:49" ht="15" customHeight="1" x14ac:dyDescent="0.35">
      <c r="AW1499" s="132">
        <v>1218</v>
      </c>
    </row>
    <row r="1500" spans="49:49" ht="15" customHeight="1" x14ac:dyDescent="0.35">
      <c r="AW1500" s="132">
        <v>1219</v>
      </c>
    </row>
    <row r="1501" spans="49:49" ht="15" customHeight="1" x14ac:dyDescent="0.35">
      <c r="AW1501" s="132">
        <v>1220</v>
      </c>
    </row>
    <row r="1502" spans="49:49" ht="15" customHeight="1" x14ac:dyDescent="0.35">
      <c r="AW1502" s="132">
        <v>1221</v>
      </c>
    </row>
    <row r="1503" spans="49:49" ht="15" customHeight="1" x14ac:dyDescent="0.35">
      <c r="AW1503" s="132">
        <v>1222</v>
      </c>
    </row>
    <row r="1504" spans="49:49" ht="15" customHeight="1" x14ac:dyDescent="0.35">
      <c r="AW1504" s="132">
        <v>1223</v>
      </c>
    </row>
    <row r="1505" spans="49:49" ht="15" customHeight="1" x14ac:dyDescent="0.35">
      <c r="AW1505" s="132">
        <v>1224</v>
      </c>
    </row>
    <row r="1506" spans="49:49" ht="15" customHeight="1" x14ac:dyDescent="0.35">
      <c r="AW1506" s="132">
        <v>1225</v>
      </c>
    </row>
    <row r="1507" spans="49:49" ht="15" customHeight="1" x14ac:dyDescent="0.35">
      <c r="AW1507" s="132">
        <v>1226</v>
      </c>
    </row>
    <row r="1508" spans="49:49" ht="15" customHeight="1" x14ac:dyDescent="0.35">
      <c r="AW1508" s="132">
        <v>1227</v>
      </c>
    </row>
    <row r="1509" spans="49:49" ht="15" customHeight="1" x14ac:dyDescent="0.35">
      <c r="AW1509" s="132">
        <v>1228</v>
      </c>
    </row>
    <row r="1510" spans="49:49" ht="15" customHeight="1" x14ac:dyDescent="0.35">
      <c r="AW1510" s="132">
        <v>1229</v>
      </c>
    </row>
    <row r="1511" spans="49:49" ht="15" customHeight="1" x14ac:dyDescent="0.35">
      <c r="AW1511" s="132">
        <v>1230</v>
      </c>
    </row>
    <row r="1512" spans="49:49" ht="15" customHeight="1" x14ac:dyDescent="0.35">
      <c r="AW1512" s="132">
        <v>1231</v>
      </c>
    </row>
    <row r="1513" spans="49:49" ht="15" customHeight="1" x14ac:dyDescent="0.35">
      <c r="AW1513" s="132">
        <v>1232</v>
      </c>
    </row>
    <row r="1514" spans="49:49" ht="15" customHeight="1" x14ac:dyDescent="0.35">
      <c r="AW1514" s="132">
        <v>1233</v>
      </c>
    </row>
    <row r="1515" spans="49:49" ht="15" customHeight="1" x14ac:dyDescent="0.35">
      <c r="AW1515" s="132">
        <v>1234</v>
      </c>
    </row>
    <row r="1516" spans="49:49" ht="15" customHeight="1" x14ac:dyDescent="0.35">
      <c r="AW1516" s="132">
        <v>1235</v>
      </c>
    </row>
    <row r="1517" spans="49:49" ht="15" customHeight="1" x14ac:dyDescent="0.35">
      <c r="AW1517" s="132">
        <v>1236</v>
      </c>
    </row>
    <row r="1518" spans="49:49" ht="15" customHeight="1" x14ac:dyDescent="0.35">
      <c r="AW1518" s="132">
        <v>1237</v>
      </c>
    </row>
    <row r="1519" spans="49:49" ht="15" customHeight="1" x14ac:dyDescent="0.35">
      <c r="AW1519" s="132">
        <v>1238</v>
      </c>
    </row>
    <row r="1520" spans="49:49" ht="15" customHeight="1" x14ac:dyDescent="0.35">
      <c r="AW1520" s="132">
        <v>1239</v>
      </c>
    </row>
    <row r="1521" spans="49:49" ht="15" customHeight="1" x14ac:dyDescent="0.35">
      <c r="AW1521" s="132">
        <v>1240</v>
      </c>
    </row>
    <row r="1522" spans="49:49" ht="15" customHeight="1" x14ac:dyDescent="0.35">
      <c r="AW1522" s="132">
        <v>1241</v>
      </c>
    </row>
    <row r="1523" spans="49:49" ht="15" customHeight="1" x14ac:dyDescent="0.35">
      <c r="AW1523" s="132">
        <v>1242</v>
      </c>
    </row>
    <row r="1524" spans="49:49" ht="15" customHeight="1" x14ac:dyDescent="0.35">
      <c r="AW1524" s="132">
        <v>1243</v>
      </c>
    </row>
    <row r="1525" spans="49:49" ht="15" customHeight="1" x14ac:dyDescent="0.35">
      <c r="AW1525" s="132">
        <v>1244</v>
      </c>
    </row>
    <row r="1526" spans="49:49" ht="15" customHeight="1" x14ac:dyDescent="0.35">
      <c r="AW1526" s="132">
        <v>1245</v>
      </c>
    </row>
    <row r="1527" spans="49:49" ht="15" customHeight="1" x14ac:dyDescent="0.35">
      <c r="AW1527" s="132">
        <v>1246</v>
      </c>
    </row>
    <row r="1528" spans="49:49" ht="15" customHeight="1" x14ac:dyDescent="0.35">
      <c r="AW1528" s="132">
        <v>1247</v>
      </c>
    </row>
    <row r="1529" spans="49:49" ht="15" customHeight="1" x14ac:dyDescent="0.35">
      <c r="AW1529" s="132">
        <v>1248</v>
      </c>
    </row>
    <row r="1530" spans="49:49" ht="15" customHeight="1" x14ac:dyDescent="0.35">
      <c r="AW1530" s="132">
        <v>1249</v>
      </c>
    </row>
    <row r="1531" spans="49:49" ht="15" customHeight="1" x14ac:dyDescent="0.35">
      <c r="AW1531" s="132">
        <v>1250</v>
      </c>
    </row>
    <row r="1532" spans="49:49" ht="15" customHeight="1" x14ac:dyDescent="0.35">
      <c r="AW1532" s="132">
        <v>1251</v>
      </c>
    </row>
    <row r="1533" spans="49:49" ht="15" customHeight="1" x14ac:dyDescent="0.35">
      <c r="AW1533" s="132">
        <v>1252</v>
      </c>
    </row>
    <row r="1534" spans="49:49" ht="15" customHeight="1" x14ac:dyDescent="0.35">
      <c r="AW1534" s="132">
        <v>1253</v>
      </c>
    </row>
    <row r="1535" spans="49:49" ht="15" customHeight="1" x14ac:dyDescent="0.35">
      <c r="AW1535" s="132">
        <v>1254</v>
      </c>
    </row>
    <row r="1536" spans="49:49" ht="15" customHeight="1" x14ac:dyDescent="0.35">
      <c r="AW1536" s="132">
        <v>1255</v>
      </c>
    </row>
    <row r="1537" spans="49:49" ht="15" customHeight="1" x14ac:dyDescent="0.35">
      <c r="AW1537" s="132">
        <v>1256</v>
      </c>
    </row>
    <row r="1538" spans="49:49" ht="15" customHeight="1" x14ac:dyDescent="0.35">
      <c r="AW1538" s="132">
        <v>1257</v>
      </c>
    </row>
    <row r="1539" spans="49:49" ht="15" customHeight="1" x14ac:dyDescent="0.35">
      <c r="AW1539" s="132">
        <v>1258</v>
      </c>
    </row>
    <row r="1540" spans="49:49" ht="15" customHeight="1" x14ac:dyDescent="0.35">
      <c r="AW1540" s="132">
        <v>1259</v>
      </c>
    </row>
    <row r="1541" spans="49:49" ht="15" customHeight="1" x14ac:dyDescent="0.35">
      <c r="AW1541" s="132">
        <v>1260</v>
      </c>
    </row>
    <row r="1542" spans="49:49" ht="15" customHeight="1" x14ac:dyDescent="0.35">
      <c r="AW1542" s="132">
        <v>1261</v>
      </c>
    </row>
    <row r="1543" spans="49:49" ht="15" customHeight="1" x14ac:dyDescent="0.35">
      <c r="AW1543" s="132">
        <v>1262</v>
      </c>
    </row>
    <row r="1544" spans="49:49" ht="15" customHeight="1" x14ac:dyDescent="0.35">
      <c r="AW1544" s="132">
        <v>1263</v>
      </c>
    </row>
    <row r="1545" spans="49:49" ht="15" customHeight="1" x14ac:dyDescent="0.35">
      <c r="AW1545" s="132">
        <v>1264</v>
      </c>
    </row>
    <row r="1546" spans="49:49" ht="15" customHeight="1" x14ac:dyDescent="0.35">
      <c r="AW1546" s="132">
        <v>1265</v>
      </c>
    </row>
    <row r="1547" spans="49:49" ht="15" customHeight="1" x14ac:dyDescent="0.35">
      <c r="AW1547" s="132">
        <v>1266</v>
      </c>
    </row>
    <row r="1548" spans="49:49" ht="15" customHeight="1" x14ac:dyDescent="0.35">
      <c r="AW1548" s="132">
        <v>1267</v>
      </c>
    </row>
    <row r="1549" spans="49:49" ht="15" customHeight="1" x14ac:dyDescent="0.35">
      <c r="AW1549" s="132">
        <v>1268</v>
      </c>
    </row>
    <row r="1550" spans="49:49" ht="15" customHeight="1" x14ac:dyDescent="0.35">
      <c r="AW1550" s="132">
        <v>1269</v>
      </c>
    </row>
    <row r="1551" spans="49:49" ht="15" customHeight="1" x14ac:dyDescent="0.35">
      <c r="AW1551" s="132">
        <v>1270</v>
      </c>
    </row>
    <row r="1552" spans="49:49" ht="15" customHeight="1" x14ac:dyDescent="0.35">
      <c r="AW1552" s="132">
        <v>1271</v>
      </c>
    </row>
    <row r="1553" spans="49:49" ht="15" customHeight="1" x14ac:dyDescent="0.35">
      <c r="AW1553" s="132">
        <v>1272</v>
      </c>
    </row>
    <row r="1554" spans="49:49" ht="15" customHeight="1" x14ac:dyDescent="0.35">
      <c r="AW1554" s="132">
        <v>1273</v>
      </c>
    </row>
    <row r="1555" spans="49:49" ht="15" customHeight="1" x14ac:dyDescent="0.35">
      <c r="AW1555" s="132">
        <v>1274</v>
      </c>
    </row>
    <row r="1556" spans="49:49" ht="15" customHeight="1" x14ac:dyDescent="0.35">
      <c r="AW1556" s="132">
        <v>1275</v>
      </c>
    </row>
    <row r="1557" spans="49:49" ht="15" customHeight="1" x14ac:dyDescent="0.35">
      <c r="AW1557" s="132">
        <v>1276</v>
      </c>
    </row>
    <row r="1558" spans="49:49" ht="15" customHeight="1" x14ac:dyDescent="0.35">
      <c r="AW1558" s="132">
        <v>1277</v>
      </c>
    </row>
    <row r="1559" spans="49:49" ht="15" customHeight="1" x14ac:dyDescent="0.35">
      <c r="AW1559" s="132">
        <v>1278</v>
      </c>
    </row>
    <row r="1560" spans="49:49" ht="15" customHeight="1" x14ac:dyDescent="0.35">
      <c r="AW1560" s="132">
        <v>1279</v>
      </c>
    </row>
    <row r="1561" spans="49:49" ht="15" customHeight="1" x14ac:dyDescent="0.35">
      <c r="AW1561" s="132">
        <v>1280</v>
      </c>
    </row>
    <row r="1562" spans="49:49" ht="15" customHeight="1" x14ac:dyDescent="0.35">
      <c r="AW1562" s="132">
        <v>1281</v>
      </c>
    </row>
    <row r="1563" spans="49:49" ht="15" customHeight="1" x14ac:dyDescent="0.35">
      <c r="AW1563" s="132">
        <v>1282</v>
      </c>
    </row>
    <row r="1564" spans="49:49" ht="15" customHeight="1" x14ac:dyDescent="0.35">
      <c r="AW1564" s="132">
        <v>1283</v>
      </c>
    </row>
    <row r="1565" spans="49:49" ht="15" customHeight="1" x14ac:dyDescent="0.35">
      <c r="AW1565" s="132">
        <v>1284</v>
      </c>
    </row>
    <row r="1566" spans="49:49" ht="15" customHeight="1" x14ac:dyDescent="0.35">
      <c r="AW1566" s="132">
        <v>1285</v>
      </c>
    </row>
    <row r="1567" spans="49:49" ht="15" customHeight="1" x14ac:dyDescent="0.35">
      <c r="AW1567" s="132">
        <v>1286</v>
      </c>
    </row>
    <row r="1568" spans="49:49" ht="15" customHeight="1" x14ac:dyDescent="0.35">
      <c r="AW1568" s="132">
        <v>1287</v>
      </c>
    </row>
    <row r="1569" spans="49:49" ht="15" customHeight="1" x14ac:dyDescent="0.35">
      <c r="AW1569" s="132">
        <v>1288</v>
      </c>
    </row>
    <row r="1570" spans="49:49" ht="15" customHeight="1" x14ac:dyDescent="0.35">
      <c r="AW1570" s="132">
        <v>1289</v>
      </c>
    </row>
    <row r="1571" spans="49:49" ht="15" customHeight="1" x14ac:dyDescent="0.35">
      <c r="AW1571" s="132">
        <v>1290</v>
      </c>
    </row>
    <row r="1572" spans="49:49" ht="15" customHeight="1" x14ac:dyDescent="0.35">
      <c r="AW1572" s="132">
        <v>1291</v>
      </c>
    </row>
    <row r="1573" spans="49:49" ht="15" customHeight="1" x14ac:dyDescent="0.35">
      <c r="AW1573" s="132">
        <v>1292</v>
      </c>
    </row>
    <row r="1574" spans="49:49" ht="15" customHeight="1" x14ac:dyDescent="0.35">
      <c r="AW1574" s="132">
        <v>1293</v>
      </c>
    </row>
    <row r="1575" spans="49:49" ht="15" customHeight="1" x14ac:dyDescent="0.35">
      <c r="AW1575" s="132">
        <v>1294</v>
      </c>
    </row>
    <row r="1576" spans="49:49" ht="15" customHeight="1" x14ac:dyDescent="0.35">
      <c r="AW1576" s="132">
        <v>1295</v>
      </c>
    </row>
    <row r="1577" spans="49:49" ht="15" customHeight="1" x14ac:dyDescent="0.35">
      <c r="AW1577" s="132">
        <v>1296</v>
      </c>
    </row>
    <row r="1578" spans="49:49" ht="15" customHeight="1" x14ac:dyDescent="0.35">
      <c r="AW1578" s="132">
        <v>1297</v>
      </c>
    </row>
    <row r="1579" spans="49:49" ht="15" customHeight="1" x14ac:dyDescent="0.35">
      <c r="AW1579" s="132">
        <v>1298</v>
      </c>
    </row>
    <row r="1580" spans="49:49" ht="15" customHeight="1" x14ac:dyDescent="0.35">
      <c r="AW1580" s="132">
        <v>1299</v>
      </c>
    </row>
    <row r="1581" spans="49:49" ht="15" customHeight="1" x14ac:dyDescent="0.35">
      <c r="AW1581" s="132">
        <v>1300</v>
      </c>
    </row>
    <row r="1582" spans="49:49" ht="15" customHeight="1" x14ac:dyDescent="0.35">
      <c r="AW1582" s="132">
        <v>1301</v>
      </c>
    </row>
    <row r="1583" spans="49:49" ht="15" customHeight="1" x14ac:dyDescent="0.35">
      <c r="AW1583" s="132">
        <v>1302</v>
      </c>
    </row>
    <row r="1584" spans="49:49" ht="15" customHeight="1" x14ac:dyDescent="0.35">
      <c r="AW1584" s="132">
        <v>1303</v>
      </c>
    </row>
    <row r="1585" spans="49:49" ht="15" customHeight="1" x14ac:dyDescent="0.35">
      <c r="AW1585" s="132">
        <v>1304</v>
      </c>
    </row>
    <row r="1586" spans="49:49" ht="15" customHeight="1" x14ac:dyDescent="0.35">
      <c r="AW1586" s="132">
        <v>1305</v>
      </c>
    </row>
    <row r="1587" spans="49:49" ht="15" customHeight="1" x14ac:dyDescent="0.35">
      <c r="AW1587" s="132">
        <v>1306</v>
      </c>
    </row>
    <row r="1588" spans="49:49" ht="15" customHeight="1" x14ac:dyDescent="0.35">
      <c r="AW1588" s="132">
        <v>1307</v>
      </c>
    </row>
    <row r="1589" spans="49:49" ht="15" customHeight="1" x14ac:dyDescent="0.35">
      <c r="AW1589" s="132">
        <v>1308</v>
      </c>
    </row>
    <row r="1590" spans="49:49" ht="15" customHeight="1" x14ac:dyDescent="0.35">
      <c r="AW1590" s="132">
        <v>1309</v>
      </c>
    </row>
    <row r="1591" spans="49:49" ht="15" customHeight="1" x14ac:dyDescent="0.35">
      <c r="AW1591" s="132">
        <v>1310</v>
      </c>
    </row>
    <row r="1592" spans="49:49" ht="15" customHeight="1" x14ac:dyDescent="0.35">
      <c r="AW1592" s="132">
        <v>1311</v>
      </c>
    </row>
    <row r="1593" spans="49:49" ht="15" customHeight="1" x14ac:dyDescent="0.35">
      <c r="AW1593" s="132">
        <v>1312</v>
      </c>
    </row>
    <row r="1594" spans="49:49" ht="15" customHeight="1" x14ac:dyDescent="0.35">
      <c r="AW1594" s="132">
        <v>1313</v>
      </c>
    </row>
    <row r="1595" spans="49:49" ht="15" customHeight="1" x14ac:dyDescent="0.35">
      <c r="AW1595" s="132">
        <v>1314</v>
      </c>
    </row>
    <row r="1596" spans="49:49" ht="15" customHeight="1" x14ac:dyDescent="0.35">
      <c r="AW1596" s="132">
        <v>1315</v>
      </c>
    </row>
    <row r="1597" spans="49:49" ht="15" customHeight="1" x14ac:dyDescent="0.35">
      <c r="AW1597" s="132">
        <v>1316</v>
      </c>
    </row>
    <row r="1598" spans="49:49" ht="15" customHeight="1" x14ac:dyDescent="0.35">
      <c r="AW1598" s="132">
        <v>1317</v>
      </c>
    </row>
    <row r="1599" spans="49:49" ht="15" customHeight="1" x14ac:dyDescent="0.35">
      <c r="AW1599" s="132">
        <v>1318</v>
      </c>
    </row>
    <row r="1600" spans="49:49" ht="15" customHeight="1" x14ac:dyDescent="0.35">
      <c r="AW1600" s="132">
        <v>1319</v>
      </c>
    </row>
    <row r="1601" spans="49:49" ht="15" customHeight="1" x14ac:dyDescent="0.35">
      <c r="AW1601" s="132">
        <v>1320</v>
      </c>
    </row>
    <row r="1602" spans="49:49" ht="15" customHeight="1" x14ac:dyDescent="0.35">
      <c r="AW1602" s="132">
        <v>1321</v>
      </c>
    </row>
    <row r="1603" spans="49:49" ht="15" customHeight="1" x14ac:dyDescent="0.35">
      <c r="AW1603" s="132">
        <v>1322</v>
      </c>
    </row>
    <row r="1604" spans="49:49" ht="15" customHeight="1" x14ac:dyDescent="0.35">
      <c r="AW1604" s="132">
        <v>1323</v>
      </c>
    </row>
    <row r="1605" spans="49:49" ht="15" customHeight="1" x14ac:dyDescent="0.35">
      <c r="AW1605" s="132">
        <v>1324</v>
      </c>
    </row>
    <row r="1606" spans="49:49" ht="15" customHeight="1" x14ac:dyDescent="0.35">
      <c r="AW1606" s="132">
        <v>1325</v>
      </c>
    </row>
    <row r="1607" spans="49:49" ht="15" customHeight="1" x14ac:dyDescent="0.35">
      <c r="AW1607" s="132">
        <v>1326</v>
      </c>
    </row>
    <row r="1608" spans="49:49" ht="15" customHeight="1" x14ac:dyDescent="0.35">
      <c r="AW1608" s="132">
        <v>1327</v>
      </c>
    </row>
    <row r="1609" spans="49:49" ht="15" customHeight="1" x14ac:dyDescent="0.35">
      <c r="AW1609" s="132">
        <v>1328</v>
      </c>
    </row>
    <row r="1610" spans="49:49" ht="15" customHeight="1" x14ac:dyDescent="0.35">
      <c r="AW1610" s="132">
        <v>1329</v>
      </c>
    </row>
    <row r="1611" spans="49:49" ht="15" customHeight="1" x14ac:dyDescent="0.35">
      <c r="AW1611" s="132">
        <v>1330</v>
      </c>
    </row>
    <row r="1612" spans="49:49" ht="15" customHeight="1" x14ac:dyDescent="0.35">
      <c r="AW1612" s="132">
        <v>1331</v>
      </c>
    </row>
    <row r="1613" spans="49:49" ht="15" customHeight="1" x14ac:dyDescent="0.35">
      <c r="AW1613" s="132">
        <v>1332</v>
      </c>
    </row>
    <row r="1614" spans="49:49" ht="15" customHeight="1" x14ac:dyDescent="0.35">
      <c r="AW1614" s="132">
        <v>1333</v>
      </c>
    </row>
    <row r="1615" spans="49:49" ht="15" customHeight="1" x14ac:dyDescent="0.35">
      <c r="AW1615" s="132">
        <v>1334</v>
      </c>
    </row>
    <row r="1616" spans="49:49" ht="15" customHeight="1" x14ac:dyDescent="0.35">
      <c r="AW1616" s="132">
        <v>1335</v>
      </c>
    </row>
    <row r="1617" spans="49:49" ht="15" customHeight="1" x14ac:dyDescent="0.35">
      <c r="AW1617" s="132">
        <v>1336</v>
      </c>
    </row>
    <row r="1618" spans="49:49" ht="15" customHeight="1" x14ac:dyDescent="0.35">
      <c r="AW1618" s="132">
        <v>1337</v>
      </c>
    </row>
    <row r="1619" spans="49:49" ht="15" customHeight="1" x14ac:dyDescent="0.35">
      <c r="AW1619" s="132">
        <v>1338</v>
      </c>
    </row>
    <row r="1620" spans="49:49" ht="15" customHeight="1" x14ac:dyDescent="0.35">
      <c r="AW1620" s="132">
        <v>1339</v>
      </c>
    </row>
    <row r="1621" spans="49:49" ht="15" customHeight="1" x14ac:dyDescent="0.35">
      <c r="AW1621" s="132">
        <v>1340</v>
      </c>
    </row>
    <row r="1622" spans="49:49" ht="15" customHeight="1" x14ac:dyDescent="0.35">
      <c r="AW1622" s="132">
        <v>1341</v>
      </c>
    </row>
    <row r="1623" spans="49:49" ht="15" customHeight="1" x14ac:dyDescent="0.35">
      <c r="AW1623" s="132">
        <v>1342</v>
      </c>
    </row>
    <row r="1624" spans="49:49" ht="15" customHeight="1" x14ac:dyDescent="0.35">
      <c r="AW1624" s="132">
        <v>1343</v>
      </c>
    </row>
    <row r="1625" spans="49:49" ht="15" customHeight="1" x14ac:dyDescent="0.35">
      <c r="AW1625" s="132">
        <v>1344</v>
      </c>
    </row>
    <row r="1626" spans="49:49" ht="15" customHeight="1" x14ac:dyDescent="0.35">
      <c r="AW1626" s="132">
        <v>1345</v>
      </c>
    </row>
    <row r="1627" spans="49:49" ht="15" customHeight="1" x14ac:dyDescent="0.35">
      <c r="AW1627" s="132">
        <v>1346</v>
      </c>
    </row>
    <row r="1628" spans="49:49" ht="15" customHeight="1" x14ac:dyDescent="0.35">
      <c r="AW1628" s="132">
        <v>1347</v>
      </c>
    </row>
    <row r="1629" spans="49:49" ht="15" customHeight="1" x14ac:dyDescent="0.35">
      <c r="AW1629" s="132">
        <v>1348</v>
      </c>
    </row>
    <row r="1630" spans="49:49" ht="15" customHeight="1" x14ac:dyDescent="0.35">
      <c r="AW1630" s="132">
        <v>1349</v>
      </c>
    </row>
    <row r="1631" spans="49:49" ht="15" customHeight="1" x14ac:dyDescent="0.35">
      <c r="AW1631" s="132">
        <v>1350</v>
      </c>
    </row>
    <row r="1632" spans="49:49" ht="15" customHeight="1" x14ac:dyDescent="0.35">
      <c r="AW1632" s="132">
        <v>1351</v>
      </c>
    </row>
    <row r="1633" spans="49:49" ht="15" customHeight="1" x14ac:dyDescent="0.35">
      <c r="AW1633" s="132">
        <v>1352</v>
      </c>
    </row>
    <row r="1634" spans="49:49" ht="15" customHeight="1" x14ac:dyDescent="0.35">
      <c r="AW1634" s="132">
        <v>1353</v>
      </c>
    </row>
    <row r="1635" spans="49:49" ht="15" customHeight="1" x14ac:dyDescent="0.35">
      <c r="AW1635" s="132">
        <v>1354</v>
      </c>
    </row>
    <row r="1636" spans="49:49" ht="15" customHeight="1" x14ac:dyDescent="0.35">
      <c r="AW1636" s="132">
        <v>1355</v>
      </c>
    </row>
    <row r="1637" spans="49:49" ht="15" customHeight="1" x14ac:dyDescent="0.35">
      <c r="AW1637" s="132">
        <v>1356</v>
      </c>
    </row>
    <row r="1638" spans="49:49" ht="15" customHeight="1" x14ac:dyDescent="0.35">
      <c r="AW1638" s="132">
        <v>1357</v>
      </c>
    </row>
    <row r="1639" spans="49:49" ht="15" customHeight="1" x14ac:dyDescent="0.35">
      <c r="AW1639" s="132">
        <v>1358</v>
      </c>
    </row>
    <row r="1640" spans="49:49" ht="15" customHeight="1" x14ac:dyDescent="0.35">
      <c r="AW1640" s="132">
        <v>1359</v>
      </c>
    </row>
    <row r="1641" spans="49:49" ht="15" customHeight="1" x14ac:dyDescent="0.35">
      <c r="AW1641" s="132">
        <v>1360</v>
      </c>
    </row>
    <row r="1642" spans="49:49" ht="15" customHeight="1" x14ac:dyDescent="0.35">
      <c r="AW1642" s="132">
        <v>1361</v>
      </c>
    </row>
    <row r="1643" spans="49:49" ht="15" customHeight="1" x14ac:dyDescent="0.35">
      <c r="AW1643" s="132">
        <v>1362</v>
      </c>
    </row>
    <row r="1644" spans="49:49" ht="15" customHeight="1" x14ac:dyDescent="0.35">
      <c r="AW1644" s="132">
        <v>1363</v>
      </c>
    </row>
    <row r="1645" spans="49:49" ht="15" customHeight="1" x14ac:dyDescent="0.35">
      <c r="AW1645" s="132">
        <v>1364</v>
      </c>
    </row>
    <row r="1646" spans="49:49" ht="15" customHeight="1" x14ac:dyDescent="0.35">
      <c r="AW1646" s="132">
        <v>1365</v>
      </c>
    </row>
    <row r="1647" spans="49:49" ht="15" customHeight="1" x14ac:dyDescent="0.35">
      <c r="AW1647" s="132">
        <v>1366</v>
      </c>
    </row>
    <row r="1648" spans="49:49" ht="15" customHeight="1" x14ac:dyDescent="0.35">
      <c r="AW1648" s="132">
        <v>1367</v>
      </c>
    </row>
    <row r="1649" spans="49:49" ht="15" customHeight="1" x14ac:dyDescent="0.35">
      <c r="AW1649" s="132">
        <v>1368</v>
      </c>
    </row>
    <row r="1650" spans="49:49" ht="15" customHeight="1" x14ac:dyDescent="0.35">
      <c r="AW1650" s="132">
        <v>1369</v>
      </c>
    </row>
    <row r="1651" spans="49:49" ht="15" customHeight="1" x14ac:dyDescent="0.35">
      <c r="AW1651" s="132">
        <v>1370</v>
      </c>
    </row>
    <row r="1652" spans="49:49" ht="15" customHeight="1" x14ac:dyDescent="0.35">
      <c r="AW1652" s="132">
        <v>1371</v>
      </c>
    </row>
    <row r="1653" spans="49:49" ht="15" customHeight="1" x14ac:dyDescent="0.35">
      <c r="AW1653" s="132">
        <v>1372</v>
      </c>
    </row>
    <row r="1654" spans="49:49" ht="15" customHeight="1" x14ac:dyDescent="0.35">
      <c r="AW1654" s="132">
        <v>1373</v>
      </c>
    </row>
    <row r="1655" spans="49:49" ht="15" customHeight="1" x14ac:dyDescent="0.35">
      <c r="AW1655" s="132">
        <v>1374</v>
      </c>
    </row>
    <row r="1656" spans="49:49" ht="15" customHeight="1" x14ac:dyDescent="0.35">
      <c r="AW1656" s="132">
        <v>1375</v>
      </c>
    </row>
    <row r="1657" spans="49:49" ht="15" customHeight="1" x14ac:dyDescent="0.35">
      <c r="AW1657" s="132">
        <v>1376</v>
      </c>
    </row>
    <row r="1658" spans="49:49" ht="15" customHeight="1" x14ac:dyDescent="0.35">
      <c r="AW1658" s="132">
        <v>1377</v>
      </c>
    </row>
    <row r="1659" spans="49:49" ht="15" customHeight="1" x14ac:dyDescent="0.35">
      <c r="AW1659" s="132">
        <v>1378</v>
      </c>
    </row>
    <row r="1660" spans="49:49" ht="15" customHeight="1" x14ac:dyDescent="0.35">
      <c r="AW1660" s="132">
        <v>1379</v>
      </c>
    </row>
    <row r="1661" spans="49:49" ht="15" customHeight="1" x14ac:dyDescent="0.35">
      <c r="AW1661" s="132">
        <v>1380</v>
      </c>
    </row>
    <row r="1662" spans="49:49" ht="15" customHeight="1" x14ac:dyDescent="0.35">
      <c r="AW1662" s="132">
        <v>1381</v>
      </c>
    </row>
    <row r="1663" spans="49:49" ht="15" customHeight="1" x14ac:dyDescent="0.35">
      <c r="AW1663" s="132">
        <v>1382</v>
      </c>
    </row>
    <row r="1664" spans="49:49" ht="15" customHeight="1" x14ac:dyDescent="0.35">
      <c r="AW1664" s="132">
        <v>1383</v>
      </c>
    </row>
    <row r="1665" spans="49:49" ht="15" customHeight="1" x14ac:dyDescent="0.35">
      <c r="AW1665" s="132">
        <v>1384</v>
      </c>
    </row>
    <row r="1666" spans="49:49" ht="15" customHeight="1" x14ac:dyDescent="0.35">
      <c r="AW1666" s="132">
        <v>1385</v>
      </c>
    </row>
    <row r="1667" spans="49:49" ht="15" customHeight="1" x14ac:dyDescent="0.35">
      <c r="AW1667" s="132">
        <v>1386</v>
      </c>
    </row>
    <row r="1668" spans="49:49" ht="15" customHeight="1" x14ac:dyDescent="0.35">
      <c r="AW1668" s="132">
        <v>1387</v>
      </c>
    </row>
    <row r="1669" spans="49:49" ht="15" customHeight="1" x14ac:dyDescent="0.35">
      <c r="AW1669" s="132">
        <v>1388</v>
      </c>
    </row>
    <row r="1670" spans="49:49" ht="15" customHeight="1" x14ac:dyDescent="0.35">
      <c r="AW1670" s="132">
        <v>1389</v>
      </c>
    </row>
    <row r="1671" spans="49:49" ht="15" customHeight="1" x14ac:dyDescent="0.35">
      <c r="AW1671" s="132">
        <v>1390</v>
      </c>
    </row>
    <row r="1672" spans="49:49" ht="15" customHeight="1" x14ac:dyDescent="0.35">
      <c r="AW1672" s="132">
        <v>1391</v>
      </c>
    </row>
    <row r="1673" spans="49:49" ht="15" customHeight="1" x14ac:dyDescent="0.35">
      <c r="AW1673" s="132">
        <v>1392</v>
      </c>
    </row>
    <row r="1674" spans="49:49" ht="15" customHeight="1" x14ac:dyDescent="0.35">
      <c r="AW1674" s="132">
        <v>1393</v>
      </c>
    </row>
    <row r="1675" spans="49:49" ht="15" customHeight="1" x14ac:dyDescent="0.35">
      <c r="AW1675" s="132">
        <v>1394</v>
      </c>
    </row>
    <row r="1676" spans="49:49" ht="15" customHeight="1" x14ac:dyDescent="0.35">
      <c r="AW1676" s="132">
        <v>1395</v>
      </c>
    </row>
    <row r="1677" spans="49:49" ht="15" customHeight="1" x14ac:dyDescent="0.35">
      <c r="AW1677" s="132">
        <v>1396</v>
      </c>
    </row>
    <row r="1678" spans="49:49" ht="15" customHeight="1" x14ac:dyDescent="0.35">
      <c r="AW1678" s="132">
        <v>1397</v>
      </c>
    </row>
    <row r="1679" spans="49:49" ht="15" customHeight="1" x14ac:dyDescent="0.35">
      <c r="AW1679" s="132">
        <v>1398</v>
      </c>
    </row>
    <row r="1680" spans="49:49" ht="15" customHeight="1" x14ac:dyDescent="0.35">
      <c r="AW1680" s="132">
        <v>1399</v>
      </c>
    </row>
    <row r="1681" spans="49:49" ht="15" customHeight="1" x14ac:dyDescent="0.35">
      <c r="AW1681" s="132">
        <v>1400</v>
      </c>
    </row>
    <row r="1682" spans="49:49" ht="15" customHeight="1" x14ac:dyDescent="0.35">
      <c r="AW1682" s="132">
        <v>1401</v>
      </c>
    </row>
    <row r="1683" spans="49:49" ht="15" customHeight="1" x14ac:dyDescent="0.35">
      <c r="AW1683" s="132">
        <v>1402</v>
      </c>
    </row>
    <row r="1684" spans="49:49" ht="15" customHeight="1" x14ac:dyDescent="0.35">
      <c r="AW1684" s="132">
        <v>1403</v>
      </c>
    </row>
    <row r="1685" spans="49:49" ht="15" customHeight="1" x14ac:dyDescent="0.35">
      <c r="AW1685" s="132">
        <v>1404</v>
      </c>
    </row>
    <row r="1686" spans="49:49" ht="15" customHeight="1" x14ac:dyDescent="0.35">
      <c r="AW1686" s="132">
        <v>1405</v>
      </c>
    </row>
    <row r="1687" spans="49:49" ht="15" customHeight="1" x14ac:dyDescent="0.35">
      <c r="AW1687" s="132">
        <v>1406</v>
      </c>
    </row>
    <row r="1688" spans="49:49" ht="15" customHeight="1" x14ac:dyDescent="0.35">
      <c r="AW1688" s="132">
        <v>1407</v>
      </c>
    </row>
    <row r="1689" spans="49:49" ht="15" customHeight="1" x14ac:dyDescent="0.35">
      <c r="AW1689" s="132">
        <v>1408</v>
      </c>
    </row>
    <row r="1690" spans="49:49" ht="15" customHeight="1" x14ac:dyDescent="0.35">
      <c r="AW1690" s="132">
        <v>1409</v>
      </c>
    </row>
    <row r="1691" spans="49:49" ht="15" customHeight="1" x14ac:dyDescent="0.35">
      <c r="AW1691" s="132">
        <v>1410</v>
      </c>
    </row>
    <row r="1692" spans="49:49" ht="15" customHeight="1" x14ac:dyDescent="0.35">
      <c r="AW1692" s="132">
        <v>1411</v>
      </c>
    </row>
    <row r="1693" spans="49:49" ht="15" customHeight="1" x14ac:dyDescent="0.35">
      <c r="AW1693" s="132">
        <v>1412</v>
      </c>
    </row>
    <row r="1694" spans="49:49" ht="15" customHeight="1" x14ac:dyDescent="0.35">
      <c r="AW1694" s="132">
        <v>1413</v>
      </c>
    </row>
    <row r="1695" spans="49:49" ht="15" customHeight="1" x14ac:dyDescent="0.35">
      <c r="AW1695" s="132">
        <v>1414</v>
      </c>
    </row>
    <row r="1696" spans="49:49" ht="15" customHeight="1" x14ac:dyDescent="0.35">
      <c r="AW1696" s="132">
        <v>1415</v>
      </c>
    </row>
    <row r="1697" spans="49:49" ht="15" customHeight="1" x14ac:dyDescent="0.35">
      <c r="AW1697" s="132">
        <v>1416</v>
      </c>
    </row>
    <row r="1698" spans="49:49" ht="15" customHeight="1" x14ac:dyDescent="0.35">
      <c r="AW1698" s="132">
        <v>1417</v>
      </c>
    </row>
    <row r="1699" spans="49:49" ht="15" customHeight="1" x14ac:dyDescent="0.35">
      <c r="AW1699" s="132">
        <v>1418</v>
      </c>
    </row>
    <row r="1700" spans="49:49" ht="15" customHeight="1" x14ac:dyDescent="0.35">
      <c r="AW1700" s="132">
        <v>1419</v>
      </c>
    </row>
    <row r="1701" spans="49:49" ht="15" customHeight="1" x14ac:dyDescent="0.35">
      <c r="AW1701" s="132">
        <v>1420</v>
      </c>
    </row>
    <row r="1702" spans="49:49" ht="15" customHeight="1" x14ac:dyDescent="0.35">
      <c r="AW1702" s="132">
        <v>1421</v>
      </c>
    </row>
    <row r="1703" spans="49:49" ht="15" customHeight="1" x14ac:dyDescent="0.35">
      <c r="AW1703" s="132">
        <v>1422</v>
      </c>
    </row>
    <row r="1704" spans="49:49" ht="15" customHeight="1" x14ac:dyDescent="0.35">
      <c r="AW1704" s="132">
        <v>1423</v>
      </c>
    </row>
    <row r="1705" spans="49:49" ht="15" customHeight="1" x14ac:dyDescent="0.35">
      <c r="AW1705" s="132">
        <v>1424</v>
      </c>
    </row>
    <row r="1706" spans="49:49" ht="15" customHeight="1" x14ac:dyDescent="0.35">
      <c r="AW1706" s="132">
        <v>1425</v>
      </c>
    </row>
    <row r="1707" spans="49:49" ht="15" customHeight="1" x14ac:dyDescent="0.35">
      <c r="AW1707" s="132">
        <v>1426</v>
      </c>
    </row>
    <row r="1708" spans="49:49" ht="15" customHeight="1" x14ac:dyDescent="0.35">
      <c r="AW1708" s="132">
        <v>1427</v>
      </c>
    </row>
    <row r="1709" spans="49:49" ht="15" customHeight="1" x14ac:dyDescent="0.35">
      <c r="AW1709" s="132">
        <v>1428</v>
      </c>
    </row>
    <row r="1710" spans="49:49" ht="15" customHeight="1" x14ac:dyDescent="0.35">
      <c r="AW1710" s="132">
        <v>1429</v>
      </c>
    </row>
    <row r="1711" spans="49:49" ht="15" customHeight="1" x14ac:dyDescent="0.35">
      <c r="AW1711" s="132">
        <v>1430</v>
      </c>
    </row>
    <row r="1712" spans="49:49" ht="15" customHeight="1" x14ac:dyDescent="0.35">
      <c r="AW1712" s="132">
        <v>1431</v>
      </c>
    </row>
    <row r="1713" spans="49:49" ht="15" customHeight="1" x14ac:dyDescent="0.35">
      <c r="AW1713" s="132">
        <v>1432</v>
      </c>
    </row>
    <row r="1714" spans="49:49" ht="15" customHeight="1" x14ac:dyDescent="0.35">
      <c r="AW1714" s="132">
        <v>1433</v>
      </c>
    </row>
    <row r="1715" spans="49:49" ht="15" customHeight="1" x14ac:dyDescent="0.35">
      <c r="AW1715" s="132">
        <v>1434</v>
      </c>
    </row>
    <row r="1716" spans="49:49" ht="15" customHeight="1" x14ac:dyDescent="0.35">
      <c r="AW1716" s="132">
        <v>1435</v>
      </c>
    </row>
    <row r="1717" spans="49:49" ht="15" customHeight="1" x14ac:dyDescent="0.35">
      <c r="AW1717" s="132">
        <v>1436</v>
      </c>
    </row>
    <row r="1718" spans="49:49" ht="15" customHeight="1" x14ac:dyDescent="0.35">
      <c r="AW1718" s="132">
        <v>1437</v>
      </c>
    </row>
    <row r="1719" spans="49:49" ht="15" customHeight="1" x14ac:dyDescent="0.35">
      <c r="AW1719" s="132">
        <v>1438</v>
      </c>
    </row>
    <row r="1720" spans="49:49" ht="15" customHeight="1" x14ac:dyDescent="0.35">
      <c r="AW1720" s="132">
        <v>1439</v>
      </c>
    </row>
    <row r="1721" spans="49:49" ht="15" customHeight="1" x14ac:dyDescent="0.35">
      <c r="AW1721" s="132">
        <v>1440</v>
      </c>
    </row>
    <row r="1722" spans="49:49" ht="15" customHeight="1" x14ac:dyDescent="0.35">
      <c r="AW1722" s="132">
        <v>1441</v>
      </c>
    </row>
    <row r="1723" spans="49:49" ht="15" customHeight="1" x14ac:dyDescent="0.35">
      <c r="AW1723" s="132">
        <v>1442</v>
      </c>
    </row>
    <row r="1724" spans="49:49" ht="15" customHeight="1" x14ac:dyDescent="0.35">
      <c r="AW1724" s="132">
        <v>1443</v>
      </c>
    </row>
    <row r="1725" spans="49:49" ht="15" customHeight="1" x14ac:dyDescent="0.35">
      <c r="AW1725" s="132">
        <v>1444</v>
      </c>
    </row>
    <row r="1726" spans="49:49" ht="15" customHeight="1" x14ac:dyDescent="0.35">
      <c r="AW1726" s="132">
        <v>1445</v>
      </c>
    </row>
    <row r="1727" spans="49:49" ht="15" customHeight="1" x14ac:dyDescent="0.35">
      <c r="AW1727" s="132">
        <v>1446</v>
      </c>
    </row>
    <row r="1728" spans="49:49" ht="15" customHeight="1" x14ac:dyDescent="0.35">
      <c r="AW1728" s="132">
        <v>1447</v>
      </c>
    </row>
    <row r="1729" spans="49:49" ht="15" customHeight="1" x14ac:dyDescent="0.35">
      <c r="AW1729" s="132">
        <v>1448</v>
      </c>
    </row>
    <row r="1730" spans="49:49" ht="15" customHeight="1" x14ac:dyDescent="0.35">
      <c r="AW1730" s="132">
        <v>1449</v>
      </c>
    </row>
    <row r="1731" spans="49:49" ht="15" customHeight="1" x14ac:dyDescent="0.35">
      <c r="AW1731" s="132">
        <v>1450</v>
      </c>
    </row>
    <row r="1732" spans="49:49" ht="15" customHeight="1" x14ac:dyDescent="0.35">
      <c r="AW1732" s="132">
        <v>1451</v>
      </c>
    </row>
    <row r="1733" spans="49:49" ht="15" customHeight="1" x14ac:dyDescent="0.35">
      <c r="AW1733" s="132">
        <v>1452</v>
      </c>
    </row>
    <row r="1734" spans="49:49" ht="15" customHeight="1" x14ac:dyDescent="0.35">
      <c r="AW1734" s="132">
        <v>1453</v>
      </c>
    </row>
    <row r="1735" spans="49:49" ht="15" customHeight="1" x14ac:dyDescent="0.35">
      <c r="AW1735" s="132">
        <v>1454</v>
      </c>
    </row>
    <row r="1736" spans="49:49" ht="15" customHeight="1" x14ac:dyDescent="0.35">
      <c r="AW1736" s="132">
        <v>1455</v>
      </c>
    </row>
    <row r="1737" spans="49:49" ht="15" customHeight="1" x14ac:dyDescent="0.35">
      <c r="AW1737" s="132">
        <v>1456</v>
      </c>
    </row>
    <row r="1738" spans="49:49" ht="15" customHeight="1" x14ac:dyDescent="0.35">
      <c r="AW1738" s="132">
        <v>1457</v>
      </c>
    </row>
    <row r="1739" spans="49:49" ht="15" customHeight="1" x14ac:dyDescent="0.35">
      <c r="AW1739" s="132">
        <v>1458</v>
      </c>
    </row>
    <row r="1740" spans="49:49" ht="15" customHeight="1" x14ac:dyDescent="0.35">
      <c r="AW1740" s="132">
        <v>1459</v>
      </c>
    </row>
    <row r="1741" spans="49:49" ht="15" customHeight="1" x14ac:dyDescent="0.35">
      <c r="AW1741" s="132">
        <v>1460</v>
      </c>
    </row>
    <row r="1742" spans="49:49" ht="15" customHeight="1" x14ac:dyDescent="0.35">
      <c r="AW1742" s="132">
        <v>1461</v>
      </c>
    </row>
    <row r="1743" spans="49:49" ht="15" customHeight="1" x14ac:dyDescent="0.35">
      <c r="AW1743" s="132">
        <v>1462</v>
      </c>
    </row>
    <row r="1744" spans="49:49" ht="15" customHeight="1" x14ac:dyDescent="0.35">
      <c r="AW1744" s="132">
        <v>1463</v>
      </c>
    </row>
    <row r="1745" spans="49:49" ht="15" customHeight="1" x14ac:dyDescent="0.35">
      <c r="AW1745" s="132">
        <v>1464</v>
      </c>
    </row>
    <row r="1746" spans="49:49" ht="15" customHeight="1" x14ac:dyDescent="0.35">
      <c r="AW1746" s="132">
        <v>1465</v>
      </c>
    </row>
    <row r="1747" spans="49:49" ht="15" customHeight="1" x14ac:dyDescent="0.35">
      <c r="AW1747" s="132">
        <v>1466</v>
      </c>
    </row>
    <row r="1748" spans="49:49" ht="15" customHeight="1" x14ac:dyDescent="0.35">
      <c r="AW1748" s="132">
        <v>1467</v>
      </c>
    </row>
    <row r="1749" spans="49:49" ht="15" customHeight="1" x14ac:dyDescent="0.35">
      <c r="AW1749" s="132">
        <v>1468</v>
      </c>
    </row>
    <row r="1750" spans="49:49" ht="15" customHeight="1" x14ac:dyDescent="0.35">
      <c r="AW1750" s="132">
        <v>1469</v>
      </c>
    </row>
    <row r="1751" spans="49:49" ht="15" customHeight="1" x14ac:dyDescent="0.35">
      <c r="AW1751" s="132">
        <v>1470</v>
      </c>
    </row>
    <row r="1752" spans="49:49" ht="15" customHeight="1" x14ac:dyDescent="0.35">
      <c r="AW1752" s="132">
        <v>1471</v>
      </c>
    </row>
    <row r="1753" spans="49:49" ht="15" customHeight="1" x14ac:dyDescent="0.35">
      <c r="AW1753" s="132">
        <v>1472</v>
      </c>
    </row>
    <row r="1754" spans="49:49" ht="15" customHeight="1" x14ac:dyDescent="0.35">
      <c r="AW1754" s="132">
        <v>1473</v>
      </c>
    </row>
    <row r="1755" spans="49:49" ht="15" customHeight="1" x14ac:dyDescent="0.35">
      <c r="AW1755" s="132">
        <v>1474</v>
      </c>
    </row>
    <row r="1756" spans="49:49" ht="15" customHeight="1" x14ac:dyDescent="0.35">
      <c r="AW1756" s="132">
        <v>1475</v>
      </c>
    </row>
    <row r="1757" spans="49:49" ht="15" customHeight="1" x14ac:dyDescent="0.35">
      <c r="AW1757" s="132">
        <v>1476</v>
      </c>
    </row>
    <row r="1758" spans="49:49" ht="15" customHeight="1" x14ac:dyDescent="0.35">
      <c r="AW1758" s="132">
        <v>1477</v>
      </c>
    </row>
    <row r="1759" spans="49:49" ht="15" customHeight="1" x14ac:dyDescent="0.35">
      <c r="AW1759" s="132">
        <v>1478</v>
      </c>
    </row>
    <row r="1760" spans="49:49" ht="15" customHeight="1" x14ac:dyDescent="0.35">
      <c r="AW1760" s="132">
        <v>1479</v>
      </c>
    </row>
    <row r="1761" spans="49:49" ht="15" customHeight="1" x14ac:dyDescent="0.35">
      <c r="AW1761" s="132">
        <v>1480</v>
      </c>
    </row>
    <row r="1762" spans="49:49" ht="15" customHeight="1" x14ac:dyDescent="0.35">
      <c r="AW1762" s="132">
        <v>1481</v>
      </c>
    </row>
    <row r="1763" spans="49:49" ht="15" customHeight="1" x14ac:dyDescent="0.35">
      <c r="AW1763" s="132">
        <v>1482</v>
      </c>
    </row>
    <row r="1764" spans="49:49" ht="15" customHeight="1" x14ac:dyDescent="0.35">
      <c r="AW1764" s="132">
        <v>1483</v>
      </c>
    </row>
    <row r="1765" spans="49:49" ht="15" customHeight="1" x14ac:dyDescent="0.35">
      <c r="AW1765" s="132">
        <v>1484</v>
      </c>
    </row>
    <row r="1766" spans="49:49" ht="15" customHeight="1" x14ac:dyDescent="0.35">
      <c r="AW1766" s="132">
        <v>1485</v>
      </c>
    </row>
    <row r="1767" spans="49:49" ht="15" customHeight="1" x14ac:dyDescent="0.35">
      <c r="AW1767" s="132">
        <v>1486</v>
      </c>
    </row>
    <row r="1768" spans="49:49" ht="15" customHeight="1" x14ac:dyDescent="0.35">
      <c r="AW1768" s="132">
        <v>1487</v>
      </c>
    </row>
    <row r="1769" spans="49:49" ht="15" customHeight="1" x14ac:dyDescent="0.35">
      <c r="AW1769" s="132">
        <v>1488</v>
      </c>
    </row>
    <row r="1770" spans="49:49" ht="15" customHeight="1" x14ac:dyDescent="0.35">
      <c r="AW1770" s="132">
        <v>1489</v>
      </c>
    </row>
    <row r="1771" spans="49:49" ht="15" customHeight="1" x14ac:dyDescent="0.35">
      <c r="AW1771" s="132">
        <v>1490</v>
      </c>
    </row>
    <row r="1772" spans="49:49" ht="15" customHeight="1" x14ac:dyDescent="0.35">
      <c r="AW1772" s="132">
        <v>1491</v>
      </c>
    </row>
    <row r="1773" spans="49:49" ht="15" customHeight="1" x14ac:dyDescent="0.35">
      <c r="AW1773" s="132">
        <v>1492</v>
      </c>
    </row>
  </sheetData>
  <mergeCells count="15">
    <mergeCell ref="B280:C280"/>
    <mergeCell ref="D279:N279"/>
    <mergeCell ref="D280:N280"/>
    <mergeCell ref="B276:C276"/>
    <mergeCell ref="D276:N276"/>
    <mergeCell ref="B277:C277"/>
    <mergeCell ref="D277:O277"/>
    <mergeCell ref="B278:C278"/>
    <mergeCell ref="D278:O278"/>
    <mergeCell ref="B273:C273"/>
    <mergeCell ref="D273:O273"/>
    <mergeCell ref="B274:C274"/>
    <mergeCell ref="D274:N274"/>
    <mergeCell ref="B275:C275"/>
    <mergeCell ref="D275:N275"/>
  </mergeCells>
  <conditionalFormatting sqref="AP296:AR298">
    <cfRule type="colorScale" priority="2">
      <colorScale>
        <cfvo type="formula" val="$Q$210*0.5"/>
        <cfvo type="num" val="$Q$210"/>
        <cfvo type="formula" val="$Q$210*2"/>
        <color rgb="FFF8696B"/>
        <color rgb="FFFCFCFF"/>
        <color rgb="FF63BE7B"/>
      </colorScale>
    </cfRule>
  </conditionalFormatting>
  <conditionalFormatting sqref="AP286:AT290 AP299:AT300 AP297:AR298 AS294:AT298">
    <cfRule type="colorScale" priority="1">
      <colorScale>
        <cfvo type="formula" val="$Q$210*0.5"/>
        <cfvo type="num" val="$Q$210"/>
        <cfvo type="formula" val="$Q$210*2"/>
        <color rgb="FFF8696B"/>
        <color rgb="FFFCFCFF"/>
        <color rgb="FF63BE7B"/>
      </colorScale>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T395"/>
  <sheetViews>
    <sheetView showGridLines="0" zoomScale="85" zoomScaleNormal="85" workbookViewId="0">
      <selection activeCell="G98" sqref="G98"/>
    </sheetView>
  </sheetViews>
  <sheetFormatPr defaultColWidth="8.83203125" defaultRowHeight="14" x14ac:dyDescent="0.3"/>
  <cols>
    <col min="1" max="1" width="2.33203125" customWidth="1"/>
    <col min="2" max="2" width="18.08203125" customWidth="1"/>
    <col min="3" max="3" width="25.08203125" bestFit="1" customWidth="1"/>
    <col min="6" max="6" width="13.08203125" customWidth="1"/>
    <col min="7" max="11" width="11.08203125" style="26" bestFit="1" customWidth="1"/>
    <col min="12" max="17" width="10.58203125" style="26" customWidth="1"/>
    <col min="18" max="18" width="21.58203125" style="6" customWidth="1"/>
  </cols>
  <sheetData>
    <row r="2" spans="1:18" s="41" customFormat="1" ht="20.149999999999999" customHeight="1" x14ac:dyDescent="0.4">
      <c r="B2" s="40" t="s">
        <v>431</v>
      </c>
      <c r="G2" s="233"/>
      <c r="H2" s="233"/>
      <c r="I2" s="233"/>
      <c r="J2" s="233"/>
      <c r="K2" s="233"/>
      <c r="L2" s="233"/>
      <c r="M2" s="233"/>
      <c r="N2" s="233"/>
      <c r="O2" s="233"/>
      <c r="P2" s="233"/>
      <c r="Q2" s="233"/>
      <c r="R2" s="42"/>
    </row>
    <row r="3" spans="1:18" ht="14.5" x14ac:dyDescent="0.35">
      <c r="B3" s="89" t="s">
        <v>432</v>
      </c>
      <c r="Q3" s="271"/>
    </row>
    <row r="4" spans="1:18" ht="15.5" x14ac:dyDescent="0.35">
      <c r="A4" t="s">
        <v>300</v>
      </c>
      <c r="B4" s="234" t="s">
        <v>205</v>
      </c>
      <c r="C4" s="56"/>
      <c r="D4" s="56"/>
      <c r="E4" s="56"/>
      <c r="F4" s="56"/>
      <c r="G4" s="235">
        <v>2014</v>
      </c>
      <c r="H4" s="235">
        <f>+G4+1</f>
        <v>2015</v>
      </c>
      <c r="I4" s="235">
        <f t="shared" ref="I4:M4" si="0">+H4+1</f>
        <v>2016</v>
      </c>
      <c r="J4" s="235">
        <f t="shared" si="0"/>
        <v>2017</v>
      </c>
      <c r="K4" s="235">
        <f t="shared" si="0"/>
        <v>2018</v>
      </c>
      <c r="L4" s="235">
        <f t="shared" si="0"/>
        <v>2019</v>
      </c>
      <c r="M4" s="235">
        <f t="shared" si="0"/>
        <v>2020</v>
      </c>
      <c r="N4" s="235">
        <f>+M4+1</f>
        <v>2021</v>
      </c>
      <c r="O4" s="235">
        <f>+N4+1</f>
        <v>2022</v>
      </c>
      <c r="P4" s="235">
        <f t="shared" ref="P4" si="1">+O4+1</f>
        <v>2023</v>
      </c>
      <c r="Q4" s="235">
        <f>+P4+1</f>
        <v>2024</v>
      </c>
      <c r="R4" s="58" t="str">
        <f>"CAGR "&amp;$G$4&amp;" - "&amp;$Q$4</f>
        <v>CAGR 2014 - 2024</v>
      </c>
    </row>
    <row r="5" spans="1:18" ht="4" customHeight="1" x14ac:dyDescent="0.35">
      <c r="B5" s="53"/>
      <c r="C5" s="53"/>
      <c r="D5" s="53"/>
      <c r="E5" s="53"/>
      <c r="F5" s="53"/>
      <c r="G5" s="236"/>
      <c r="H5" s="236"/>
      <c r="I5" s="236"/>
      <c r="J5" s="236"/>
      <c r="K5" s="236"/>
      <c r="L5" s="236"/>
      <c r="M5" s="236"/>
      <c r="N5" s="236"/>
      <c r="O5" s="236"/>
      <c r="P5" s="236"/>
      <c r="Q5" s="236"/>
      <c r="R5" s="60"/>
    </row>
    <row r="6" spans="1:18" x14ac:dyDescent="0.3">
      <c r="B6" s="1" t="s">
        <v>338</v>
      </c>
      <c r="G6" s="237"/>
      <c r="H6" s="237"/>
      <c r="I6" s="237"/>
      <c r="J6" s="237"/>
      <c r="K6" s="237"/>
      <c r="L6" s="237"/>
      <c r="M6" s="237"/>
      <c r="N6" s="237"/>
      <c r="O6" s="237"/>
      <c r="P6" s="237"/>
      <c r="Q6" s="237"/>
      <c r="R6" s="64" t="str">
        <f t="shared" ref="R6:R26" si="2">IFERROR((Q6/G6)^(1/COUNT($G$4:$Q$4))-1,"")</f>
        <v/>
      </c>
    </row>
    <row r="7" spans="1:18" x14ac:dyDescent="0.3">
      <c r="B7" t="s">
        <v>218</v>
      </c>
      <c r="G7" s="237"/>
      <c r="H7" s="237"/>
      <c r="I7" s="237"/>
      <c r="J7" s="237"/>
      <c r="K7" s="237"/>
      <c r="L7" s="237"/>
      <c r="M7" s="237"/>
      <c r="N7" s="237"/>
      <c r="O7" s="237"/>
      <c r="P7" s="237"/>
      <c r="Q7" s="237"/>
      <c r="R7" s="64" t="str">
        <f t="shared" si="2"/>
        <v/>
      </c>
    </row>
    <row r="8" spans="1:18" x14ac:dyDescent="0.3">
      <c r="B8" s="1" t="s">
        <v>219</v>
      </c>
      <c r="G8" s="238">
        <f>G6-G7</f>
        <v>0</v>
      </c>
      <c r="H8" s="238">
        <f t="shared" ref="H8:Q8" si="3">H6-H7</f>
        <v>0</v>
      </c>
      <c r="I8" s="238">
        <f t="shared" si="3"/>
        <v>0</v>
      </c>
      <c r="J8" s="238">
        <f t="shared" si="3"/>
        <v>0</v>
      </c>
      <c r="K8" s="238">
        <f t="shared" si="3"/>
        <v>0</v>
      </c>
      <c r="L8" s="238">
        <f t="shared" si="3"/>
        <v>0</v>
      </c>
      <c r="M8" s="238">
        <f t="shared" si="3"/>
        <v>0</v>
      </c>
      <c r="N8" s="238">
        <f t="shared" si="3"/>
        <v>0</v>
      </c>
      <c r="O8" s="238">
        <f t="shared" si="3"/>
        <v>0</v>
      </c>
      <c r="P8" s="238">
        <f t="shared" si="3"/>
        <v>0</v>
      </c>
      <c r="Q8" s="238">
        <f t="shared" si="3"/>
        <v>0</v>
      </c>
      <c r="R8" s="67" t="str">
        <f t="shared" si="2"/>
        <v/>
      </c>
    </row>
    <row r="9" spans="1:18" x14ac:dyDescent="0.3">
      <c r="B9" t="s">
        <v>341</v>
      </c>
      <c r="G9" s="237"/>
      <c r="H9" s="237"/>
      <c r="I9" s="237"/>
      <c r="J9" s="237"/>
      <c r="K9" s="237"/>
      <c r="L9" s="237"/>
      <c r="M9" s="237"/>
      <c r="N9" s="237"/>
      <c r="O9" s="237"/>
      <c r="P9" s="237"/>
      <c r="Q9" s="237"/>
      <c r="R9" s="64" t="str">
        <f t="shared" si="2"/>
        <v/>
      </c>
    </row>
    <row r="10" spans="1:18" x14ac:dyDescent="0.3">
      <c r="B10" t="s">
        <v>226</v>
      </c>
      <c r="G10" s="237"/>
      <c r="H10" s="237"/>
      <c r="I10" s="237"/>
      <c r="J10" s="237"/>
      <c r="K10" s="237"/>
      <c r="L10" s="237"/>
      <c r="M10" s="237"/>
      <c r="N10" s="237"/>
      <c r="O10" s="237"/>
      <c r="P10" s="237"/>
      <c r="Q10" s="237"/>
      <c r="R10" s="64" t="str">
        <f t="shared" si="2"/>
        <v/>
      </c>
    </row>
    <row r="11" spans="1:18" x14ac:dyDescent="0.3">
      <c r="B11" t="s">
        <v>342</v>
      </c>
      <c r="G11" s="237"/>
      <c r="H11" s="237"/>
      <c r="I11" s="237"/>
      <c r="J11" s="237"/>
      <c r="K11" s="237"/>
      <c r="L11" s="237"/>
      <c r="M11" s="237"/>
      <c r="N11" s="237"/>
      <c r="O11" s="237"/>
      <c r="P11" s="237"/>
      <c r="Q11" s="237"/>
      <c r="R11" s="64" t="str">
        <f t="shared" si="2"/>
        <v/>
      </c>
    </row>
    <row r="12" spans="1:18" x14ac:dyDescent="0.3">
      <c r="B12" s="1" t="s">
        <v>157</v>
      </c>
      <c r="G12" s="239">
        <f>+G8-G9-G10-G11</f>
        <v>0</v>
      </c>
      <c r="H12" s="239">
        <f t="shared" ref="H12:Q12" si="4">+H8-H9-H10-H11</f>
        <v>0</v>
      </c>
      <c r="I12" s="239">
        <f t="shared" si="4"/>
        <v>0</v>
      </c>
      <c r="J12" s="239">
        <f t="shared" si="4"/>
        <v>0</v>
      </c>
      <c r="K12" s="239">
        <f t="shared" si="4"/>
        <v>0</v>
      </c>
      <c r="L12" s="239">
        <f t="shared" si="4"/>
        <v>0</v>
      </c>
      <c r="M12" s="239">
        <f t="shared" si="4"/>
        <v>0</v>
      </c>
      <c r="N12" s="239">
        <f t="shared" si="4"/>
        <v>0</v>
      </c>
      <c r="O12" s="239">
        <f t="shared" si="4"/>
        <v>0</v>
      </c>
      <c r="P12" s="239">
        <f t="shared" si="4"/>
        <v>0</v>
      </c>
      <c r="Q12" s="239">
        <f t="shared" si="4"/>
        <v>0</v>
      </c>
      <c r="R12" s="67" t="str">
        <f t="shared" si="2"/>
        <v/>
      </c>
    </row>
    <row r="13" spans="1:18" x14ac:dyDescent="0.3">
      <c r="B13" t="s">
        <v>343</v>
      </c>
      <c r="G13" s="253">
        <f>+SUM(G14:G15)</f>
        <v>0</v>
      </c>
      <c r="H13" s="253">
        <f t="shared" ref="H13:Q13" si="5">+SUM(H14:H15)</f>
        <v>0</v>
      </c>
      <c r="I13" s="253">
        <f t="shared" si="5"/>
        <v>0</v>
      </c>
      <c r="J13" s="253">
        <f t="shared" si="5"/>
        <v>0</v>
      </c>
      <c r="K13" s="253">
        <f t="shared" si="5"/>
        <v>0</v>
      </c>
      <c r="L13" s="253">
        <f t="shared" si="5"/>
        <v>0</v>
      </c>
      <c r="M13" s="253">
        <f t="shared" si="5"/>
        <v>0</v>
      </c>
      <c r="N13" s="253">
        <f t="shared" si="5"/>
        <v>0</v>
      </c>
      <c r="O13" s="253">
        <f t="shared" si="5"/>
        <v>0</v>
      </c>
      <c r="P13" s="253">
        <f t="shared" si="5"/>
        <v>0</v>
      </c>
      <c r="Q13" s="253">
        <f t="shared" si="5"/>
        <v>0</v>
      </c>
      <c r="R13" s="64" t="str">
        <f t="shared" si="2"/>
        <v/>
      </c>
    </row>
    <row r="14" spans="1:18" ht="14.5" x14ac:dyDescent="0.35">
      <c r="B14" s="274" t="s">
        <v>345</v>
      </c>
      <c r="G14" s="275"/>
      <c r="H14" s="275"/>
      <c r="I14" s="275"/>
      <c r="J14" s="275"/>
      <c r="K14" s="275"/>
      <c r="L14" s="275"/>
      <c r="M14" s="275"/>
      <c r="N14" s="275"/>
      <c r="O14" s="275"/>
      <c r="P14" s="275"/>
      <c r="Q14" s="275"/>
      <c r="R14" s="64" t="str">
        <f t="shared" si="2"/>
        <v/>
      </c>
    </row>
    <row r="15" spans="1:18" ht="14.5" x14ac:dyDescent="0.35">
      <c r="B15" s="274" t="s">
        <v>347</v>
      </c>
      <c r="G15" s="291"/>
      <c r="H15" s="291"/>
      <c r="I15" s="291"/>
      <c r="J15" s="291"/>
      <c r="K15" s="291"/>
      <c r="L15" s="291"/>
      <c r="M15" s="291"/>
      <c r="N15" s="291"/>
      <c r="O15" s="291"/>
      <c r="P15" s="291"/>
      <c r="Q15" s="291"/>
      <c r="R15" s="64" t="str">
        <f t="shared" si="2"/>
        <v/>
      </c>
    </row>
    <row r="16" spans="1:18" x14ac:dyDescent="0.3">
      <c r="B16" s="1" t="s">
        <v>220</v>
      </c>
      <c r="G16" s="239">
        <f>+G12-G13</f>
        <v>0</v>
      </c>
      <c r="H16" s="239">
        <f t="shared" ref="H16:Q16" si="6">+H12-H13</f>
        <v>0</v>
      </c>
      <c r="I16" s="239">
        <f t="shared" si="6"/>
        <v>0</v>
      </c>
      <c r="J16" s="239">
        <f t="shared" si="6"/>
        <v>0</v>
      </c>
      <c r="K16" s="239">
        <f t="shared" si="6"/>
        <v>0</v>
      </c>
      <c r="L16" s="239">
        <f t="shared" si="6"/>
        <v>0</v>
      </c>
      <c r="M16" s="239">
        <f t="shared" si="6"/>
        <v>0</v>
      </c>
      <c r="N16" s="239">
        <f t="shared" si="6"/>
        <v>0</v>
      </c>
      <c r="O16" s="239">
        <f t="shared" si="6"/>
        <v>0</v>
      </c>
      <c r="P16" s="239">
        <f t="shared" si="6"/>
        <v>0</v>
      </c>
      <c r="Q16" s="239">
        <f t="shared" si="6"/>
        <v>0</v>
      </c>
      <c r="R16" s="67" t="str">
        <f t="shared" si="2"/>
        <v/>
      </c>
    </row>
    <row r="17" spans="1:18" x14ac:dyDescent="0.3">
      <c r="B17" t="s">
        <v>221</v>
      </c>
      <c r="G17" s="253">
        <f>+G18-G19</f>
        <v>0</v>
      </c>
      <c r="H17" s="253">
        <f t="shared" ref="H17:Q17" si="7">+H18-H19</f>
        <v>0</v>
      </c>
      <c r="I17" s="253">
        <f t="shared" si="7"/>
        <v>0</v>
      </c>
      <c r="J17" s="253">
        <f t="shared" si="7"/>
        <v>0</v>
      </c>
      <c r="K17" s="253">
        <f t="shared" si="7"/>
        <v>0</v>
      </c>
      <c r="L17" s="253">
        <f t="shared" si="7"/>
        <v>0</v>
      </c>
      <c r="M17" s="253">
        <f t="shared" si="7"/>
        <v>0</v>
      </c>
      <c r="N17" s="253">
        <f t="shared" si="7"/>
        <v>0</v>
      </c>
      <c r="O17" s="253">
        <f t="shared" si="7"/>
        <v>0</v>
      </c>
      <c r="P17" s="253">
        <f t="shared" si="7"/>
        <v>0</v>
      </c>
      <c r="Q17" s="253">
        <f t="shared" si="7"/>
        <v>0</v>
      </c>
      <c r="R17" s="64" t="str">
        <f t="shared" si="2"/>
        <v/>
      </c>
    </row>
    <row r="18" spans="1:18" ht="14.5" x14ac:dyDescent="0.35">
      <c r="B18" s="274" t="s">
        <v>350</v>
      </c>
      <c r="C18" s="89"/>
      <c r="D18" s="89"/>
      <c r="E18" s="89"/>
      <c r="G18" s="275"/>
      <c r="H18" s="275"/>
      <c r="I18" s="275"/>
      <c r="J18" s="275"/>
      <c r="K18" s="275"/>
      <c r="L18" s="275"/>
      <c r="M18" s="275"/>
      <c r="N18" s="275"/>
      <c r="O18" s="275"/>
      <c r="P18" s="275"/>
      <c r="Q18" s="275"/>
      <c r="R18" s="64" t="str">
        <f t="shared" si="2"/>
        <v/>
      </c>
    </row>
    <row r="19" spans="1:18" ht="14.5" x14ac:dyDescent="0.35">
      <c r="B19" s="274" t="s">
        <v>352</v>
      </c>
      <c r="C19" s="89"/>
      <c r="D19" s="89"/>
      <c r="E19" s="89"/>
      <c r="G19" s="275"/>
      <c r="H19" s="275"/>
      <c r="I19" s="275"/>
      <c r="J19" s="275"/>
      <c r="K19" s="275"/>
      <c r="L19" s="275"/>
      <c r="M19" s="275"/>
      <c r="N19" s="275"/>
      <c r="O19" s="275"/>
      <c r="P19" s="275"/>
      <c r="Q19" s="275"/>
      <c r="R19" s="64" t="str">
        <f t="shared" si="2"/>
        <v/>
      </c>
    </row>
    <row r="20" spans="1:18" x14ac:dyDescent="0.3">
      <c r="B20" t="s">
        <v>354</v>
      </c>
      <c r="G20" s="237"/>
      <c r="H20" s="237"/>
      <c r="I20" s="237"/>
      <c r="J20" s="237"/>
      <c r="K20" s="237"/>
      <c r="L20" s="237"/>
      <c r="M20" s="237"/>
      <c r="N20" s="237"/>
      <c r="O20" s="237"/>
      <c r="P20" s="237"/>
      <c r="Q20" s="237"/>
      <c r="R20" s="64" t="str">
        <f t="shared" si="2"/>
        <v/>
      </c>
    </row>
    <row r="21" spans="1:18" x14ac:dyDescent="0.3">
      <c r="B21" t="s">
        <v>355</v>
      </c>
      <c r="G21" s="237"/>
      <c r="H21" s="237"/>
      <c r="I21" s="237"/>
      <c r="J21" s="237"/>
      <c r="K21" s="237"/>
      <c r="L21" s="237"/>
      <c r="M21" s="237"/>
      <c r="N21" s="237"/>
      <c r="O21" s="237"/>
      <c r="P21" s="237"/>
      <c r="Q21" s="237"/>
      <c r="R21" s="64" t="str">
        <f t="shared" si="2"/>
        <v/>
      </c>
    </row>
    <row r="22" spans="1:18" x14ac:dyDescent="0.3">
      <c r="B22" s="1" t="s">
        <v>222</v>
      </c>
      <c r="D22" s="1"/>
      <c r="E22" s="1"/>
      <c r="G22" s="513">
        <f>+G16-G17-G20-G21</f>
        <v>0</v>
      </c>
      <c r="H22" s="513">
        <f t="shared" ref="H22:Q22" si="8">+H16-H17-H20-H21</f>
        <v>0</v>
      </c>
      <c r="I22" s="513">
        <f t="shared" si="8"/>
        <v>0</v>
      </c>
      <c r="J22" s="513">
        <f t="shared" si="8"/>
        <v>0</v>
      </c>
      <c r="K22" s="513">
        <f t="shared" si="8"/>
        <v>0</v>
      </c>
      <c r="L22" s="513">
        <f t="shared" si="8"/>
        <v>0</v>
      </c>
      <c r="M22" s="513">
        <f t="shared" si="8"/>
        <v>0</v>
      </c>
      <c r="N22" s="513">
        <f t="shared" si="8"/>
        <v>0</v>
      </c>
      <c r="O22" s="513">
        <f t="shared" si="8"/>
        <v>0</v>
      </c>
      <c r="P22" s="513">
        <f t="shared" si="8"/>
        <v>0</v>
      </c>
      <c r="Q22" s="513">
        <f t="shared" si="8"/>
        <v>0</v>
      </c>
      <c r="R22" s="67" t="str">
        <f t="shared" si="2"/>
        <v/>
      </c>
    </row>
    <row r="23" spans="1:18" x14ac:dyDescent="0.3">
      <c r="B23" t="s">
        <v>223</v>
      </c>
      <c r="G23" s="237"/>
      <c r="H23" s="237"/>
      <c r="I23" s="237"/>
      <c r="J23" s="237"/>
      <c r="K23" s="237"/>
      <c r="L23" s="237"/>
      <c r="M23" s="237"/>
      <c r="N23" s="237"/>
      <c r="O23" s="237"/>
      <c r="P23" s="237"/>
      <c r="Q23" s="237"/>
      <c r="R23" s="64" t="str">
        <f t="shared" si="2"/>
        <v/>
      </c>
    </row>
    <row r="24" spans="1:18" x14ac:dyDescent="0.3">
      <c r="B24" s="1" t="s">
        <v>224</v>
      </c>
      <c r="G24" s="239">
        <f>+G22-G23</f>
        <v>0</v>
      </c>
      <c r="H24" s="239">
        <f t="shared" ref="H24:Q24" si="9">+H22-H23</f>
        <v>0</v>
      </c>
      <c r="I24" s="239">
        <f t="shared" si="9"/>
        <v>0</v>
      </c>
      <c r="J24" s="239">
        <f t="shared" si="9"/>
        <v>0</v>
      </c>
      <c r="K24" s="239">
        <f t="shared" si="9"/>
        <v>0</v>
      </c>
      <c r="L24" s="239">
        <f t="shared" si="9"/>
        <v>0</v>
      </c>
      <c r="M24" s="239">
        <f t="shared" si="9"/>
        <v>0</v>
      </c>
      <c r="N24" s="239">
        <f t="shared" si="9"/>
        <v>0</v>
      </c>
      <c r="O24" s="239">
        <f t="shared" si="9"/>
        <v>0</v>
      </c>
      <c r="P24" s="239">
        <f t="shared" si="9"/>
        <v>0</v>
      </c>
      <c r="Q24" s="239">
        <f t="shared" si="9"/>
        <v>0</v>
      </c>
      <c r="R24" s="67" t="str">
        <f t="shared" si="2"/>
        <v/>
      </c>
    </row>
    <row r="25" spans="1:18" x14ac:dyDescent="0.3">
      <c r="B25" s="1" t="s">
        <v>225</v>
      </c>
      <c r="G25" s="240"/>
      <c r="H25" s="240"/>
      <c r="I25" s="240"/>
      <c r="J25" s="240"/>
      <c r="K25" s="240"/>
      <c r="L25" s="240"/>
      <c r="M25" s="240"/>
      <c r="N25" s="240"/>
      <c r="O25" s="240"/>
      <c r="P25" s="240"/>
      <c r="Q25" s="240"/>
      <c r="R25" s="67" t="str">
        <f t="shared" si="2"/>
        <v/>
      </c>
    </row>
    <row r="26" spans="1:18" x14ac:dyDescent="0.3">
      <c r="B26" s="1" t="s">
        <v>433</v>
      </c>
      <c r="G26" s="240"/>
      <c r="H26" s="240"/>
      <c r="I26" s="240"/>
      <c r="J26" s="240"/>
      <c r="K26" s="240"/>
      <c r="L26" s="240"/>
      <c r="M26" s="240"/>
      <c r="N26" s="240"/>
      <c r="O26" s="240"/>
      <c r="P26" s="240"/>
      <c r="Q26" s="240"/>
      <c r="R26" s="67" t="str">
        <f t="shared" si="2"/>
        <v/>
      </c>
    </row>
    <row r="27" spans="1:18" x14ac:dyDescent="0.3">
      <c r="B27" t="s">
        <v>434</v>
      </c>
      <c r="G27" s="237"/>
      <c r="H27" s="237"/>
      <c r="I27" s="237"/>
      <c r="J27" s="237"/>
      <c r="K27" s="237"/>
      <c r="L27" s="237"/>
      <c r="M27" s="237"/>
      <c r="N27" s="237"/>
      <c r="O27" s="237"/>
      <c r="P27" s="237"/>
      <c r="Q27" s="237"/>
      <c r="R27" s="64" t="s">
        <v>435</v>
      </c>
    </row>
    <row r="28" spans="1:18" x14ac:dyDescent="0.3">
      <c r="B28" t="s">
        <v>436</v>
      </c>
      <c r="G28" s="237"/>
      <c r="H28" s="237"/>
      <c r="I28" s="237"/>
      <c r="J28" s="237"/>
      <c r="K28" s="237"/>
      <c r="L28" s="237"/>
      <c r="M28" s="237"/>
      <c r="N28" s="237"/>
      <c r="O28" s="237"/>
      <c r="P28" s="237"/>
      <c r="Q28" s="237"/>
      <c r="R28" s="64" t="str">
        <f>IFERROR((Q28/G28)^(1/COUNT($G$4:$Q$4))-1,"")</f>
        <v/>
      </c>
    </row>
    <row r="29" spans="1:18" ht="4" customHeight="1" x14ac:dyDescent="0.3"/>
    <row r="30" spans="1:18" ht="15.5" x14ac:dyDescent="0.35">
      <c r="A30" t="s">
        <v>300</v>
      </c>
      <c r="B30" s="52" t="s">
        <v>227</v>
      </c>
      <c r="C30" s="56"/>
      <c r="D30" s="56"/>
      <c r="E30" s="56"/>
      <c r="F30" s="56"/>
      <c r="G30" s="235">
        <v>2014</v>
      </c>
      <c r="H30" s="235">
        <f>+G30+1</f>
        <v>2015</v>
      </c>
      <c r="I30" s="235">
        <f t="shared" ref="I30:M30" si="10">+H30+1</f>
        <v>2016</v>
      </c>
      <c r="J30" s="235">
        <f t="shared" si="10"/>
        <v>2017</v>
      </c>
      <c r="K30" s="235">
        <f t="shared" si="10"/>
        <v>2018</v>
      </c>
      <c r="L30" s="235">
        <f t="shared" si="10"/>
        <v>2019</v>
      </c>
      <c r="M30" s="235">
        <f t="shared" si="10"/>
        <v>2020</v>
      </c>
      <c r="N30" s="235">
        <f>+M30+1</f>
        <v>2021</v>
      </c>
      <c r="O30" s="235">
        <f>+N30+1</f>
        <v>2022</v>
      </c>
      <c r="P30" s="235">
        <f t="shared" ref="P30" si="11">+O30+1</f>
        <v>2023</v>
      </c>
      <c r="Q30" s="235">
        <f>+P30+1</f>
        <v>2024</v>
      </c>
      <c r="R30" s="58" t="str">
        <f>"CAGR "&amp;$G$4&amp;" - "&amp;$Q$4</f>
        <v>CAGR 2014 - 2024</v>
      </c>
    </row>
    <row r="31" spans="1:18" s="94" customFormat="1" ht="4" customHeight="1" x14ac:dyDescent="0.35">
      <c r="B31" s="241"/>
      <c r="C31" s="241"/>
      <c r="D31" s="241"/>
      <c r="E31" s="241"/>
      <c r="F31" s="241"/>
      <c r="G31" s="242"/>
      <c r="H31" s="242"/>
      <c r="I31" s="242"/>
      <c r="J31" s="242"/>
      <c r="K31" s="242"/>
      <c r="L31" s="242"/>
      <c r="M31" s="242"/>
      <c r="N31" s="242"/>
      <c r="O31" s="242"/>
      <c r="P31" s="242"/>
      <c r="Q31" s="242"/>
      <c r="R31" s="60"/>
    </row>
    <row r="32" spans="1:18" x14ac:dyDescent="0.3">
      <c r="B32" t="s">
        <v>358</v>
      </c>
      <c r="G32" s="246">
        <f>+SUM(G33:G34)</f>
        <v>0</v>
      </c>
      <c r="H32" s="246">
        <f t="shared" ref="H32:Q32" si="12">+SUM(H33:H34)</f>
        <v>0</v>
      </c>
      <c r="I32" s="246">
        <f t="shared" si="12"/>
        <v>0</v>
      </c>
      <c r="J32" s="246">
        <f t="shared" si="12"/>
        <v>0</v>
      </c>
      <c r="K32" s="246">
        <f t="shared" si="12"/>
        <v>0</v>
      </c>
      <c r="L32" s="246">
        <f t="shared" si="12"/>
        <v>0</v>
      </c>
      <c r="M32" s="246">
        <f t="shared" si="12"/>
        <v>0</v>
      </c>
      <c r="N32" s="246">
        <f t="shared" si="12"/>
        <v>0</v>
      </c>
      <c r="O32" s="246">
        <f t="shared" si="12"/>
        <v>0</v>
      </c>
      <c r="P32" s="246">
        <f t="shared" si="12"/>
        <v>0</v>
      </c>
      <c r="Q32" s="246">
        <f t="shared" si="12"/>
        <v>0</v>
      </c>
      <c r="R32" s="64" t="str">
        <f t="shared" ref="R32:R44" si="13">IFERROR((Q32/G32)^(1/COUNT($G$4:$Q$4))-1,"")</f>
        <v/>
      </c>
    </row>
    <row r="33" spans="2:20" ht="14.5" x14ac:dyDescent="0.35">
      <c r="B33" s="274" t="s">
        <v>228</v>
      </c>
      <c r="C33" s="89"/>
      <c r="D33" s="89"/>
      <c r="E33" s="89"/>
      <c r="G33" s="275"/>
      <c r="H33" s="275"/>
      <c r="I33" s="275"/>
      <c r="J33" s="275"/>
      <c r="K33" s="275"/>
      <c r="L33" s="275"/>
      <c r="M33" s="275"/>
      <c r="N33" s="275"/>
      <c r="O33" s="275"/>
      <c r="P33" s="275"/>
      <c r="Q33" s="275"/>
      <c r="R33" s="64" t="str">
        <f t="shared" si="13"/>
        <v/>
      </c>
    </row>
    <row r="34" spans="2:20" ht="14.5" x14ac:dyDescent="0.35">
      <c r="B34" s="274" t="s">
        <v>437</v>
      </c>
      <c r="C34" s="89"/>
      <c r="D34" s="89"/>
      <c r="E34" s="89"/>
      <c r="G34" s="275"/>
      <c r="H34" s="275"/>
      <c r="I34" s="275"/>
      <c r="J34" s="275"/>
      <c r="K34" s="275"/>
      <c r="L34" s="275"/>
      <c r="M34" s="275"/>
      <c r="N34" s="275"/>
      <c r="O34" s="275"/>
      <c r="P34" s="275"/>
      <c r="Q34" s="275"/>
      <c r="R34" s="64" t="str">
        <f t="shared" si="13"/>
        <v/>
      </c>
    </row>
    <row r="35" spans="2:20" x14ac:dyDescent="0.3">
      <c r="B35" t="s">
        <v>229</v>
      </c>
      <c r="G35" s="237"/>
      <c r="H35" s="237"/>
      <c r="I35" s="237"/>
      <c r="J35" s="237"/>
      <c r="K35" s="237"/>
      <c r="L35" s="237"/>
      <c r="M35" s="237"/>
      <c r="N35" s="237"/>
      <c r="O35" s="237"/>
      <c r="P35" s="237"/>
      <c r="Q35" s="237"/>
      <c r="R35" s="64" t="str">
        <f t="shared" si="13"/>
        <v/>
      </c>
    </row>
    <row r="36" spans="2:20" x14ac:dyDescent="0.3">
      <c r="B36" t="s">
        <v>360</v>
      </c>
      <c r="G36" s="237"/>
      <c r="H36" s="237"/>
      <c r="I36" s="237"/>
      <c r="J36" s="237"/>
      <c r="K36" s="237"/>
      <c r="L36" s="237"/>
      <c r="M36" s="237"/>
      <c r="N36" s="237"/>
      <c r="O36" s="237"/>
      <c r="P36" s="237"/>
      <c r="Q36" s="237"/>
      <c r="R36" s="64" t="str">
        <f t="shared" si="13"/>
        <v/>
      </c>
    </row>
    <row r="37" spans="2:20" x14ac:dyDescent="0.3">
      <c r="B37" s="38" t="s">
        <v>362</v>
      </c>
      <c r="C37" s="38"/>
      <c r="D37" s="38"/>
      <c r="E37" s="38"/>
      <c r="G37" s="243">
        <f t="shared" ref="G37:Q37" si="14">+G38-G32-G35-G36</f>
        <v>0</v>
      </c>
      <c r="H37" s="243">
        <f t="shared" si="14"/>
        <v>0</v>
      </c>
      <c r="I37" s="243">
        <f t="shared" si="14"/>
        <v>0</v>
      </c>
      <c r="J37" s="243">
        <f t="shared" si="14"/>
        <v>0</v>
      </c>
      <c r="K37" s="243">
        <f t="shared" si="14"/>
        <v>0</v>
      </c>
      <c r="L37" s="243">
        <f t="shared" si="14"/>
        <v>0</v>
      </c>
      <c r="M37" s="243">
        <f t="shared" si="14"/>
        <v>0</v>
      </c>
      <c r="N37" s="243">
        <f t="shared" si="14"/>
        <v>0</v>
      </c>
      <c r="O37" s="243">
        <f t="shared" si="14"/>
        <v>0</v>
      </c>
      <c r="P37" s="243">
        <f t="shared" si="14"/>
        <v>0</v>
      </c>
      <c r="Q37" s="243">
        <f t="shared" si="14"/>
        <v>0</v>
      </c>
      <c r="R37" s="244" t="str">
        <f t="shared" si="13"/>
        <v/>
      </c>
      <c r="T37" s="73"/>
    </row>
    <row r="38" spans="2:20" s="1" customFormat="1" x14ac:dyDescent="0.3">
      <c r="B38" s="76" t="s">
        <v>232</v>
      </c>
      <c r="C38" s="76"/>
      <c r="D38" s="76"/>
      <c r="E38" s="76"/>
      <c r="F38" s="658"/>
      <c r="G38" s="272"/>
      <c r="H38" s="272"/>
      <c r="I38" s="272"/>
      <c r="J38" s="272"/>
      <c r="K38" s="272"/>
      <c r="L38" s="272"/>
      <c r="M38" s="272"/>
      <c r="N38" s="272"/>
      <c r="O38" s="272"/>
      <c r="P38" s="272"/>
      <c r="Q38" s="272"/>
      <c r="R38" s="245" t="str">
        <f t="shared" si="13"/>
        <v/>
      </c>
    </row>
    <row r="39" spans="2:20" x14ac:dyDescent="0.3">
      <c r="B39" t="s">
        <v>233</v>
      </c>
      <c r="G39" s="273">
        <f t="shared" ref="G39:Q39" si="15">+G40-G41</f>
        <v>0</v>
      </c>
      <c r="H39" s="273">
        <f t="shared" si="15"/>
        <v>0</v>
      </c>
      <c r="I39" s="273">
        <f t="shared" si="15"/>
        <v>0</v>
      </c>
      <c r="J39" s="273">
        <f t="shared" si="15"/>
        <v>0</v>
      </c>
      <c r="K39" s="273">
        <f t="shared" si="15"/>
        <v>0</v>
      </c>
      <c r="L39" s="273">
        <f t="shared" si="15"/>
        <v>0</v>
      </c>
      <c r="M39" s="273">
        <f t="shared" si="15"/>
        <v>0</v>
      </c>
      <c r="N39" s="273">
        <f t="shared" si="15"/>
        <v>0</v>
      </c>
      <c r="O39" s="273">
        <f t="shared" si="15"/>
        <v>0</v>
      </c>
      <c r="P39" s="273">
        <f t="shared" si="15"/>
        <v>0</v>
      </c>
      <c r="Q39" s="273">
        <f t="shared" si="15"/>
        <v>0</v>
      </c>
      <c r="R39" s="64" t="str">
        <f t="shared" si="13"/>
        <v/>
      </c>
    </row>
    <row r="40" spans="2:20" ht="14.5" x14ac:dyDescent="0.35">
      <c r="B40" s="274" t="s">
        <v>438</v>
      </c>
      <c r="C40" s="89"/>
      <c r="D40" s="89"/>
      <c r="E40" s="89"/>
      <c r="G40" s="275"/>
      <c r="H40" s="275"/>
      <c r="I40" s="275"/>
      <c r="J40" s="275"/>
      <c r="K40" s="275"/>
      <c r="L40" s="275"/>
      <c r="M40" s="275"/>
      <c r="N40" s="275"/>
      <c r="O40" s="275"/>
      <c r="P40" s="275"/>
      <c r="Q40" s="275"/>
      <c r="R40" s="64" t="str">
        <f t="shared" si="13"/>
        <v/>
      </c>
    </row>
    <row r="41" spans="2:20" ht="14.5" x14ac:dyDescent="0.35">
      <c r="B41" s="274" t="s">
        <v>366</v>
      </c>
      <c r="C41" s="89"/>
      <c r="D41" s="89"/>
      <c r="E41" s="89"/>
      <c r="G41" s="275"/>
      <c r="H41" s="275"/>
      <c r="I41" s="275"/>
      <c r="J41" s="275"/>
      <c r="K41" s="275"/>
      <c r="L41" s="275"/>
      <c r="M41" s="275"/>
      <c r="N41" s="275"/>
      <c r="O41" s="275"/>
      <c r="P41" s="275"/>
      <c r="Q41" s="275"/>
      <c r="R41" s="64" t="str">
        <f t="shared" si="13"/>
        <v/>
      </c>
    </row>
    <row r="42" spans="2:20" x14ac:dyDescent="0.3">
      <c r="B42" t="s">
        <v>365</v>
      </c>
      <c r="G42" s="304"/>
      <c r="H42" s="304"/>
      <c r="I42" s="304"/>
      <c r="J42" s="304"/>
      <c r="K42" s="304"/>
      <c r="L42" s="304"/>
      <c r="M42" s="304"/>
      <c r="N42" s="304"/>
      <c r="O42" s="304"/>
      <c r="P42" s="304"/>
      <c r="Q42" s="304"/>
      <c r="R42" s="64" t="str">
        <f t="shared" si="13"/>
        <v/>
      </c>
    </row>
    <row r="43" spans="2:20" x14ac:dyDescent="0.3">
      <c r="B43" t="s">
        <v>439</v>
      </c>
      <c r="G43" s="237"/>
      <c r="H43" s="237"/>
      <c r="I43" s="237"/>
      <c r="J43" s="237"/>
      <c r="K43" s="237"/>
      <c r="L43" s="237"/>
      <c r="M43" s="237"/>
      <c r="N43" s="237"/>
      <c r="O43" s="237"/>
      <c r="P43" s="237"/>
      <c r="Q43" s="237"/>
      <c r="R43" s="64" t="str">
        <f t="shared" si="13"/>
        <v/>
      </c>
    </row>
    <row r="44" spans="2:20" ht="14.5" x14ac:dyDescent="0.35">
      <c r="B44" s="274" t="s">
        <v>440</v>
      </c>
      <c r="C44" s="89"/>
      <c r="D44" s="89"/>
      <c r="E44" s="89"/>
      <c r="G44" s="275"/>
      <c r="H44" s="275"/>
      <c r="I44" s="275"/>
      <c r="J44" s="275"/>
      <c r="K44" s="275"/>
      <c r="L44" s="275"/>
      <c r="M44" s="275"/>
      <c r="N44" s="275"/>
      <c r="O44" s="275"/>
      <c r="P44" s="275"/>
      <c r="Q44" s="275"/>
      <c r="R44" s="64" t="str">
        <f t="shared" si="13"/>
        <v/>
      </c>
    </row>
    <row r="45" spans="2:20" ht="14.5" x14ac:dyDescent="0.35">
      <c r="B45" s="274" t="s">
        <v>367</v>
      </c>
      <c r="C45" s="89"/>
      <c r="D45" s="89"/>
      <c r="E45" s="89"/>
      <c r="G45" s="276">
        <f>+G43-G44</f>
        <v>0</v>
      </c>
      <c r="H45" s="276">
        <f t="shared" ref="H45:Q45" si="16">+H43-H44</f>
        <v>0</v>
      </c>
      <c r="I45" s="276">
        <f t="shared" si="16"/>
        <v>0</v>
      </c>
      <c r="J45" s="276">
        <f t="shared" si="16"/>
        <v>0</v>
      </c>
      <c r="K45" s="276">
        <f t="shared" si="16"/>
        <v>0</v>
      </c>
      <c r="L45" s="276">
        <f t="shared" si="16"/>
        <v>0</v>
      </c>
      <c r="M45" s="276">
        <f t="shared" si="16"/>
        <v>0</v>
      </c>
      <c r="N45" s="276">
        <f t="shared" si="16"/>
        <v>0</v>
      </c>
      <c r="O45" s="276">
        <f t="shared" si="16"/>
        <v>0</v>
      </c>
      <c r="P45" s="276">
        <f t="shared" si="16"/>
        <v>0</v>
      </c>
      <c r="Q45" s="276">
        <f t="shared" si="16"/>
        <v>0</v>
      </c>
      <c r="R45" s="64"/>
    </row>
    <row r="46" spans="2:20" x14ac:dyDescent="0.3">
      <c r="B46" s="38" t="s">
        <v>441</v>
      </c>
      <c r="C46" s="38"/>
      <c r="D46" s="38"/>
      <c r="E46" s="38"/>
      <c r="G46" s="243">
        <f>+G47-G39-G42-G43</f>
        <v>0</v>
      </c>
      <c r="H46" s="243">
        <f t="shared" ref="H46:Q46" si="17">+H47-H39-H42-H43</f>
        <v>0</v>
      </c>
      <c r="I46" s="243">
        <f t="shared" si="17"/>
        <v>0</v>
      </c>
      <c r="J46" s="243">
        <f t="shared" si="17"/>
        <v>0</v>
      </c>
      <c r="K46" s="243">
        <f t="shared" si="17"/>
        <v>0</v>
      </c>
      <c r="L46" s="243">
        <f t="shared" si="17"/>
        <v>0</v>
      </c>
      <c r="M46" s="243">
        <f t="shared" si="17"/>
        <v>0</v>
      </c>
      <c r="N46" s="243">
        <f t="shared" si="17"/>
        <v>0</v>
      </c>
      <c r="O46" s="243">
        <f t="shared" si="17"/>
        <v>0</v>
      </c>
      <c r="P46" s="243">
        <f t="shared" si="17"/>
        <v>0</v>
      </c>
      <c r="Q46" s="243">
        <f t="shared" si="17"/>
        <v>0</v>
      </c>
      <c r="R46" s="244" t="str">
        <f t="shared" ref="R46:R61" si="18">IFERROR((Q46/G46)^(1/COUNT($G$4:$Q$4))-1,"")</f>
        <v/>
      </c>
    </row>
    <row r="47" spans="2:20" s="1" customFormat="1" ht="14.5" thickBot="1" x14ac:dyDescent="0.35">
      <c r="B47" s="1" t="s">
        <v>442</v>
      </c>
      <c r="F47" s="657"/>
      <c r="G47" s="247"/>
      <c r="H47" s="247"/>
      <c r="I47" s="247"/>
      <c r="J47" s="247"/>
      <c r="K47" s="247"/>
      <c r="L47" s="247"/>
      <c r="M47" s="247"/>
      <c r="N47" s="247"/>
      <c r="O47" s="247"/>
      <c r="P47" s="247"/>
      <c r="Q47" s="247"/>
      <c r="R47" s="248" t="str">
        <f t="shared" si="18"/>
        <v/>
      </c>
    </row>
    <row r="48" spans="2:20" s="1" customFormat="1" ht="14.5" thickBot="1" x14ac:dyDescent="0.35">
      <c r="B48" s="249" t="s">
        <v>234</v>
      </c>
      <c r="C48" s="249"/>
      <c r="D48" s="249"/>
      <c r="E48" s="249"/>
      <c r="F48" s="659"/>
      <c r="G48" s="250">
        <f t="shared" ref="G48:Q48" si="19">SUM(G47,G38)</f>
        <v>0</v>
      </c>
      <c r="H48" s="250">
        <f t="shared" si="19"/>
        <v>0</v>
      </c>
      <c r="I48" s="250">
        <f t="shared" si="19"/>
        <v>0</v>
      </c>
      <c r="J48" s="250">
        <f t="shared" si="19"/>
        <v>0</v>
      </c>
      <c r="K48" s="250">
        <f t="shared" si="19"/>
        <v>0</v>
      </c>
      <c r="L48" s="250">
        <f t="shared" si="19"/>
        <v>0</v>
      </c>
      <c r="M48" s="250">
        <f t="shared" si="19"/>
        <v>0</v>
      </c>
      <c r="N48" s="250">
        <f t="shared" si="19"/>
        <v>0</v>
      </c>
      <c r="O48" s="250">
        <f t="shared" si="19"/>
        <v>0</v>
      </c>
      <c r="P48" s="250">
        <f t="shared" si="19"/>
        <v>0</v>
      </c>
      <c r="Q48" s="250">
        <f t="shared" si="19"/>
        <v>0</v>
      </c>
      <c r="R48" s="251" t="str">
        <f t="shared" si="18"/>
        <v/>
      </c>
    </row>
    <row r="49" spans="1:18" x14ac:dyDescent="0.3">
      <c r="B49" t="s">
        <v>235</v>
      </c>
      <c r="G49" s="237"/>
      <c r="H49" s="237"/>
      <c r="I49" s="237"/>
      <c r="J49" s="237"/>
      <c r="K49" s="237"/>
      <c r="L49" s="237"/>
      <c r="M49" s="237"/>
      <c r="N49" s="237"/>
      <c r="O49" s="237"/>
      <c r="P49" s="237"/>
      <c r="Q49" s="237"/>
      <c r="R49" s="64" t="str">
        <f t="shared" si="18"/>
        <v/>
      </c>
    </row>
    <row r="50" spans="1:18" x14ac:dyDescent="0.3">
      <c r="B50" t="s">
        <v>443</v>
      </c>
      <c r="G50" s="246">
        <f>+SUM(G51:G52)</f>
        <v>0</v>
      </c>
      <c r="H50" s="246">
        <f t="shared" ref="H50:Q50" si="20">+SUM(H51:H52)</f>
        <v>0</v>
      </c>
      <c r="I50" s="246">
        <f t="shared" si="20"/>
        <v>0</v>
      </c>
      <c r="J50" s="246">
        <f t="shared" si="20"/>
        <v>0</v>
      </c>
      <c r="K50" s="246">
        <f t="shared" si="20"/>
        <v>0</v>
      </c>
      <c r="L50" s="246">
        <f t="shared" si="20"/>
        <v>0</v>
      </c>
      <c r="M50" s="246">
        <f t="shared" si="20"/>
        <v>0</v>
      </c>
      <c r="N50" s="246">
        <f t="shared" si="20"/>
        <v>0</v>
      </c>
      <c r="O50" s="246">
        <f t="shared" si="20"/>
        <v>0</v>
      </c>
      <c r="P50" s="246">
        <f t="shared" si="20"/>
        <v>0</v>
      </c>
      <c r="Q50" s="246">
        <f t="shared" si="20"/>
        <v>0</v>
      </c>
      <c r="R50" s="64" t="str">
        <f t="shared" si="18"/>
        <v/>
      </c>
    </row>
    <row r="51" spans="1:18" ht="14.5" x14ac:dyDescent="0.35">
      <c r="B51" s="274" t="s">
        <v>444</v>
      </c>
      <c r="G51" s="275"/>
      <c r="H51" s="275"/>
      <c r="I51" s="275"/>
      <c r="J51" s="275"/>
      <c r="K51" s="275"/>
      <c r="L51" s="275"/>
      <c r="M51" s="275"/>
      <c r="N51" s="275"/>
      <c r="O51" s="275"/>
      <c r="P51" s="275"/>
      <c r="Q51" s="275"/>
      <c r="R51" s="64" t="str">
        <f t="shared" si="18"/>
        <v/>
      </c>
    </row>
    <row r="52" spans="1:18" ht="14.5" x14ac:dyDescent="0.35">
      <c r="B52" s="274" t="s">
        <v>445</v>
      </c>
      <c r="G52" s="275"/>
      <c r="H52" s="275"/>
      <c r="I52" s="275"/>
      <c r="J52" s="275"/>
      <c r="K52" s="275"/>
      <c r="L52" s="275"/>
      <c r="M52" s="275"/>
      <c r="N52" s="275"/>
      <c r="O52" s="275"/>
      <c r="P52" s="275"/>
      <c r="Q52" s="275"/>
      <c r="R52" s="64" t="str">
        <f t="shared" si="18"/>
        <v/>
      </c>
    </row>
    <row r="53" spans="1:18" x14ac:dyDescent="0.3">
      <c r="B53" s="38" t="s">
        <v>371</v>
      </c>
      <c r="C53" s="38"/>
      <c r="D53" s="38"/>
      <c r="E53" s="38"/>
      <c r="G53" s="243">
        <f t="shared" ref="G53:Q53" si="21">+G54-G49-G50</f>
        <v>0</v>
      </c>
      <c r="H53" s="243">
        <f t="shared" si="21"/>
        <v>0</v>
      </c>
      <c r="I53" s="243">
        <f t="shared" si="21"/>
        <v>0</v>
      </c>
      <c r="J53" s="243">
        <f t="shared" si="21"/>
        <v>0</v>
      </c>
      <c r="K53" s="243">
        <f t="shared" si="21"/>
        <v>0</v>
      </c>
      <c r="L53" s="243">
        <f t="shared" si="21"/>
        <v>0</v>
      </c>
      <c r="M53" s="243">
        <f t="shared" si="21"/>
        <v>0</v>
      </c>
      <c r="N53" s="243">
        <f t="shared" si="21"/>
        <v>0</v>
      </c>
      <c r="O53" s="243">
        <f t="shared" si="21"/>
        <v>0</v>
      </c>
      <c r="P53" s="243">
        <f t="shared" si="21"/>
        <v>0</v>
      </c>
      <c r="Q53" s="243">
        <f t="shared" si="21"/>
        <v>0</v>
      </c>
      <c r="R53" s="244" t="str">
        <f t="shared" si="18"/>
        <v/>
      </c>
    </row>
    <row r="54" spans="1:18" x14ac:dyDescent="0.3">
      <c r="B54" s="38" t="s">
        <v>236</v>
      </c>
      <c r="C54" s="38"/>
      <c r="D54" s="38"/>
      <c r="E54" s="38"/>
      <c r="F54" s="658"/>
      <c r="G54" s="237"/>
      <c r="H54" s="237"/>
      <c r="I54" s="237"/>
      <c r="J54" s="237"/>
      <c r="K54" s="237"/>
      <c r="L54" s="237"/>
      <c r="M54" s="237"/>
      <c r="N54" s="237"/>
      <c r="O54" s="237"/>
      <c r="P54" s="237"/>
      <c r="Q54" s="237"/>
      <c r="R54" s="244" t="str">
        <f t="shared" si="18"/>
        <v/>
      </c>
    </row>
    <row r="55" spans="1:18" x14ac:dyDescent="0.3">
      <c r="B55" t="s">
        <v>446</v>
      </c>
      <c r="G55" s="273">
        <f>+SUM(G56:G57)</f>
        <v>0</v>
      </c>
      <c r="H55" s="273">
        <f t="shared" ref="H55:Q55" si="22">+SUM(H56:H57)</f>
        <v>0</v>
      </c>
      <c r="I55" s="273">
        <f t="shared" si="22"/>
        <v>0</v>
      </c>
      <c r="J55" s="273">
        <f t="shared" si="22"/>
        <v>0</v>
      </c>
      <c r="K55" s="273">
        <f t="shared" si="22"/>
        <v>0</v>
      </c>
      <c r="L55" s="273">
        <f t="shared" si="22"/>
        <v>0</v>
      </c>
      <c r="M55" s="273">
        <f t="shared" si="22"/>
        <v>0</v>
      </c>
      <c r="N55" s="273">
        <f t="shared" si="22"/>
        <v>0</v>
      </c>
      <c r="O55" s="273">
        <f t="shared" si="22"/>
        <v>0</v>
      </c>
      <c r="P55" s="273">
        <f t="shared" si="22"/>
        <v>0</v>
      </c>
      <c r="Q55" s="273">
        <f t="shared" si="22"/>
        <v>0</v>
      </c>
      <c r="R55" s="64" t="str">
        <f t="shared" si="18"/>
        <v/>
      </c>
    </row>
    <row r="56" spans="1:18" ht="14.5" x14ac:dyDescent="0.35">
      <c r="B56" s="274" t="s">
        <v>447</v>
      </c>
      <c r="G56" s="275"/>
      <c r="H56" s="275"/>
      <c r="I56" s="275"/>
      <c r="J56" s="275"/>
      <c r="K56" s="275"/>
      <c r="L56" s="275"/>
      <c r="M56" s="275"/>
      <c r="N56" s="275"/>
      <c r="O56" s="275"/>
      <c r="P56" s="275"/>
      <c r="Q56" s="275"/>
      <c r="R56" s="64" t="str">
        <f t="shared" si="18"/>
        <v/>
      </c>
    </row>
    <row r="57" spans="1:18" ht="14.5" x14ac:dyDescent="0.35">
      <c r="B57" s="274" t="s">
        <v>448</v>
      </c>
      <c r="G57" s="275"/>
      <c r="H57" s="275"/>
      <c r="I57" s="275"/>
      <c r="J57" s="275"/>
      <c r="K57" s="275"/>
      <c r="L57" s="275"/>
      <c r="M57" s="275"/>
      <c r="N57" s="275"/>
      <c r="O57" s="275"/>
      <c r="P57" s="275"/>
      <c r="Q57" s="275"/>
      <c r="R57" s="64" t="str">
        <f t="shared" si="18"/>
        <v/>
      </c>
    </row>
    <row r="58" spans="1:18" x14ac:dyDescent="0.3">
      <c r="B58" s="38" t="s">
        <v>449</v>
      </c>
      <c r="C58" s="38"/>
      <c r="D58" s="38"/>
      <c r="E58" s="38"/>
      <c r="G58" s="252">
        <f>+G59-G55</f>
        <v>0</v>
      </c>
      <c r="H58" s="252">
        <f t="shared" ref="H58:Q58" si="23">+H59-H55</f>
        <v>0</v>
      </c>
      <c r="I58" s="252">
        <f t="shared" si="23"/>
        <v>0</v>
      </c>
      <c r="J58" s="252">
        <f t="shared" si="23"/>
        <v>0</v>
      </c>
      <c r="K58" s="252">
        <f t="shared" si="23"/>
        <v>0</v>
      </c>
      <c r="L58" s="252">
        <f t="shared" si="23"/>
        <v>0</v>
      </c>
      <c r="M58" s="252">
        <f t="shared" si="23"/>
        <v>0</v>
      </c>
      <c r="N58" s="252">
        <f t="shared" si="23"/>
        <v>0</v>
      </c>
      <c r="O58" s="252">
        <f t="shared" si="23"/>
        <v>0</v>
      </c>
      <c r="P58" s="252">
        <f t="shared" si="23"/>
        <v>0</v>
      </c>
      <c r="Q58" s="252">
        <f t="shared" si="23"/>
        <v>0</v>
      </c>
      <c r="R58" s="244" t="str">
        <f t="shared" si="18"/>
        <v/>
      </c>
    </row>
    <row r="59" spans="1:18" s="1" customFormat="1" ht="14.5" thickBot="1" x14ac:dyDescent="0.35">
      <c r="B59" s="1" t="s">
        <v>450</v>
      </c>
      <c r="F59" s="657"/>
      <c r="G59" s="237"/>
      <c r="H59" s="237"/>
      <c r="I59" s="237"/>
      <c r="J59" s="237"/>
      <c r="K59" s="237"/>
      <c r="L59" s="237"/>
      <c r="M59" s="237"/>
      <c r="N59" s="237"/>
      <c r="O59" s="237"/>
      <c r="P59" s="237"/>
      <c r="Q59" s="237"/>
      <c r="R59" s="67" t="str">
        <f t="shared" si="18"/>
        <v/>
      </c>
    </row>
    <row r="60" spans="1:18" s="1" customFormat="1" ht="14.5" thickBot="1" x14ac:dyDescent="0.35">
      <c r="B60" s="249" t="s">
        <v>318</v>
      </c>
      <c r="C60" s="249"/>
      <c r="D60" s="249"/>
      <c r="E60" s="249"/>
      <c r="F60" s="659"/>
      <c r="G60" s="250">
        <f t="shared" ref="G60:Q60" si="24">SUM(G59,G54)</f>
        <v>0</v>
      </c>
      <c r="H60" s="250">
        <f t="shared" si="24"/>
        <v>0</v>
      </c>
      <c r="I60" s="250">
        <f t="shared" si="24"/>
        <v>0</v>
      </c>
      <c r="J60" s="250">
        <f t="shared" si="24"/>
        <v>0</v>
      </c>
      <c r="K60" s="250">
        <f t="shared" si="24"/>
        <v>0</v>
      </c>
      <c r="L60" s="250">
        <f t="shared" si="24"/>
        <v>0</v>
      </c>
      <c r="M60" s="250">
        <f t="shared" si="24"/>
        <v>0</v>
      </c>
      <c r="N60" s="250">
        <f t="shared" si="24"/>
        <v>0</v>
      </c>
      <c r="O60" s="250">
        <f t="shared" si="24"/>
        <v>0</v>
      </c>
      <c r="P60" s="250">
        <f t="shared" si="24"/>
        <v>0</v>
      </c>
      <c r="Q60" s="250">
        <f t="shared" si="24"/>
        <v>0</v>
      </c>
      <c r="R60" s="251" t="str">
        <f t="shared" si="18"/>
        <v/>
      </c>
    </row>
    <row r="61" spans="1:18" s="1" customFormat="1" x14ac:dyDescent="0.3">
      <c r="B61" s="1" t="s">
        <v>239</v>
      </c>
      <c r="F61"/>
      <c r="G61" s="239">
        <f t="shared" ref="G61:Q61" si="25">G48-G60</f>
        <v>0</v>
      </c>
      <c r="H61" s="239">
        <f t="shared" si="25"/>
        <v>0</v>
      </c>
      <c r="I61" s="239">
        <f t="shared" si="25"/>
        <v>0</v>
      </c>
      <c r="J61" s="239">
        <f t="shared" si="25"/>
        <v>0</v>
      </c>
      <c r="K61" s="239">
        <f t="shared" si="25"/>
        <v>0</v>
      </c>
      <c r="L61" s="239">
        <f t="shared" si="25"/>
        <v>0</v>
      </c>
      <c r="M61" s="239">
        <f t="shared" si="25"/>
        <v>0</v>
      </c>
      <c r="N61" s="239">
        <f t="shared" si="25"/>
        <v>0</v>
      </c>
      <c r="O61" s="239">
        <f t="shared" si="25"/>
        <v>0</v>
      </c>
      <c r="P61" s="239">
        <f t="shared" si="25"/>
        <v>0</v>
      </c>
      <c r="Q61" s="239">
        <f t="shared" si="25"/>
        <v>0</v>
      </c>
      <c r="R61" s="67" t="str">
        <f t="shared" si="18"/>
        <v/>
      </c>
    </row>
    <row r="62" spans="1:18" ht="14.5" x14ac:dyDescent="0.35">
      <c r="B62" t="s">
        <v>451</v>
      </c>
      <c r="G62" s="275"/>
      <c r="H62" s="275"/>
      <c r="I62" s="275"/>
      <c r="J62" s="275"/>
      <c r="K62" s="275"/>
      <c r="L62" s="275"/>
      <c r="M62" s="275"/>
      <c r="N62" s="275"/>
      <c r="O62" s="275"/>
      <c r="P62" s="275"/>
      <c r="Q62" s="275"/>
      <c r="R62" s="64"/>
    </row>
    <row r="63" spans="1:18" ht="4" customHeight="1" x14ac:dyDescent="0.3"/>
    <row r="64" spans="1:18" ht="15.5" x14ac:dyDescent="0.35">
      <c r="A64" t="s">
        <v>300</v>
      </c>
      <c r="B64" s="52" t="s">
        <v>185</v>
      </c>
      <c r="C64" s="56"/>
      <c r="D64" s="56"/>
      <c r="E64" s="56"/>
      <c r="F64" s="56"/>
      <c r="G64" s="235">
        <v>2014</v>
      </c>
      <c r="H64" s="235">
        <f>+G64+1</f>
        <v>2015</v>
      </c>
      <c r="I64" s="235">
        <f t="shared" ref="I64:M64" si="26">+H64+1</f>
        <v>2016</v>
      </c>
      <c r="J64" s="235">
        <f t="shared" si="26"/>
        <v>2017</v>
      </c>
      <c r="K64" s="235">
        <f t="shared" si="26"/>
        <v>2018</v>
      </c>
      <c r="L64" s="235">
        <f t="shared" si="26"/>
        <v>2019</v>
      </c>
      <c r="M64" s="235">
        <f t="shared" si="26"/>
        <v>2020</v>
      </c>
      <c r="N64" s="235">
        <f>+M64+1</f>
        <v>2021</v>
      </c>
      <c r="O64" s="235">
        <f>+N64+1</f>
        <v>2022</v>
      </c>
      <c r="P64" s="235">
        <f t="shared" ref="P64" si="27">+O64+1</f>
        <v>2023</v>
      </c>
      <c r="Q64" s="235">
        <f>+P64+1</f>
        <v>2024</v>
      </c>
      <c r="R64" s="58" t="str">
        <f>"CAGR "&amp;$G$4&amp;" - "&amp;$Q$4</f>
        <v>CAGR 2014 - 2024</v>
      </c>
    </row>
    <row r="65" spans="2:18" ht="4" customHeight="1" x14ac:dyDescent="0.35">
      <c r="B65" s="241"/>
      <c r="C65" s="241"/>
      <c r="D65" s="241"/>
      <c r="E65" s="241"/>
      <c r="F65" s="241"/>
      <c r="G65" s="242"/>
      <c r="H65" s="242"/>
      <c r="I65" s="242"/>
      <c r="J65" s="242"/>
      <c r="K65" s="242"/>
      <c r="L65" s="242"/>
      <c r="M65" s="242"/>
      <c r="N65" s="242"/>
      <c r="O65" s="242"/>
      <c r="P65" s="242"/>
      <c r="Q65" s="242"/>
      <c r="R65" s="60"/>
    </row>
    <row r="66" spans="2:18" x14ac:dyDescent="0.3">
      <c r="B66" t="s">
        <v>224</v>
      </c>
      <c r="G66" s="253">
        <f>G24</f>
        <v>0</v>
      </c>
      <c r="H66" s="253">
        <f t="shared" ref="H66:Q66" si="28">H24</f>
        <v>0</v>
      </c>
      <c r="I66" s="253">
        <f t="shared" si="28"/>
        <v>0</v>
      </c>
      <c r="J66" s="253">
        <f t="shared" si="28"/>
        <v>0</v>
      </c>
      <c r="K66" s="253">
        <f t="shared" si="28"/>
        <v>0</v>
      </c>
      <c r="L66" s="253">
        <f t="shared" si="28"/>
        <v>0</v>
      </c>
      <c r="M66" s="253">
        <f t="shared" si="28"/>
        <v>0</v>
      </c>
      <c r="N66" s="253">
        <f t="shared" si="28"/>
        <v>0</v>
      </c>
      <c r="O66" s="253">
        <f t="shared" si="28"/>
        <v>0</v>
      </c>
      <c r="P66" s="253">
        <f t="shared" si="28"/>
        <v>0</v>
      </c>
      <c r="Q66" s="253">
        <f t="shared" si="28"/>
        <v>0</v>
      </c>
      <c r="R66" s="64" t="str">
        <f>IFERROR((Q66/G66)^(1/COUNT($G$4:$Q$4))-1,"")</f>
        <v/>
      </c>
    </row>
    <row r="67" spans="2:18" x14ac:dyDescent="0.3">
      <c r="B67" t="s">
        <v>452</v>
      </c>
      <c r="G67" s="246">
        <f>+G13</f>
        <v>0</v>
      </c>
      <c r="H67" s="246">
        <f t="shared" ref="H67:Q67" si="29">+H13</f>
        <v>0</v>
      </c>
      <c r="I67" s="246">
        <f t="shared" si="29"/>
        <v>0</v>
      </c>
      <c r="J67" s="246">
        <f t="shared" si="29"/>
        <v>0</v>
      </c>
      <c r="K67" s="246">
        <f t="shared" si="29"/>
        <v>0</v>
      </c>
      <c r="L67" s="246">
        <f t="shared" si="29"/>
        <v>0</v>
      </c>
      <c r="M67" s="246">
        <f t="shared" si="29"/>
        <v>0</v>
      </c>
      <c r="N67" s="246">
        <f t="shared" si="29"/>
        <v>0</v>
      </c>
      <c r="O67" s="246">
        <f t="shared" si="29"/>
        <v>0</v>
      </c>
      <c r="P67" s="246">
        <f t="shared" si="29"/>
        <v>0</v>
      </c>
      <c r="Q67" s="246">
        <f t="shared" si="29"/>
        <v>0</v>
      </c>
      <c r="R67" s="64" t="str">
        <f>IFERROR((Q67/G67)^(1/COUNT($G$4:$Q$4))-1,"")</f>
        <v/>
      </c>
    </row>
    <row r="68" spans="2:18" x14ac:dyDescent="0.3">
      <c r="B68" t="s">
        <v>378</v>
      </c>
      <c r="G68" s="273">
        <f>+SUM(G69:G72)</f>
        <v>0</v>
      </c>
      <c r="H68" s="273">
        <f t="shared" ref="H68:Q68" si="30">+SUM(H69:H72)</f>
        <v>0</v>
      </c>
      <c r="I68" s="273">
        <f t="shared" si="30"/>
        <v>0</v>
      </c>
      <c r="J68" s="273">
        <f t="shared" si="30"/>
        <v>0</v>
      </c>
      <c r="K68" s="273">
        <f t="shared" si="30"/>
        <v>0</v>
      </c>
      <c r="L68" s="273">
        <f t="shared" si="30"/>
        <v>0</v>
      </c>
      <c r="M68" s="273">
        <f t="shared" si="30"/>
        <v>0</v>
      </c>
      <c r="N68" s="273">
        <f t="shared" si="30"/>
        <v>0</v>
      </c>
      <c r="O68" s="273">
        <f t="shared" si="30"/>
        <v>0</v>
      </c>
      <c r="P68" s="273">
        <f t="shared" si="30"/>
        <v>0</v>
      </c>
      <c r="Q68" s="273">
        <f t="shared" si="30"/>
        <v>0</v>
      </c>
      <c r="R68" s="64" t="str">
        <f>IFERROR((Q68/G68)^(1/COUNT($G$4:$Q$4))-1,"")</f>
        <v/>
      </c>
    </row>
    <row r="69" spans="2:18" ht="14.5" x14ac:dyDescent="0.35">
      <c r="B69" s="274" t="s">
        <v>453</v>
      </c>
      <c r="G69" s="237"/>
      <c r="H69" s="237"/>
      <c r="I69" s="237"/>
      <c r="J69" s="237"/>
      <c r="K69" s="237"/>
      <c r="L69" s="237"/>
      <c r="M69" s="237"/>
      <c r="N69" s="237"/>
      <c r="O69" s="237"/>
      <c r="P69" s="237"/>
      <c r="Q69" s="237"/>
      <c r="R69" s="64"/>
    </row>
    <row r="70" spans="2:18" ht="14.5" x14ac:dyDescent="0.35">
      <c r="B70" s="274" t="s">
        <v>454</v>
      </c>
      <c r="G70" s="237"/>
      <c r="H70" s="237"/>
      <c r="I70" s="237"/>
      <c r="J70" s="237"/>
      <c r="K70" s="237"/>
      <c r="L70" s="237"/>
      <c r="M70" s="237"/>
      <c r="N70" s="237"/>
      <c r="O70" s="237"/>
      <c r="P70" s="237"/>
      <c r="Q70" s="237"/>
      <c r="R70" s="64"/>
    </row>
    <row r="71" spans="2:18" ht="14.5" x14ac:dyDescent="0.35">
      <c r="B71" s="274" t="s">
        <v>455</v>
      </c>
      <c r="G71" s="237"/>
      <c r="H71" s="237"/>
      <c r="I71" s="237"/>
      <c r="J71" s="237"/>
      <c r="K71" s="237"/>
      <c r="L71" s="237"/>
      <c r="M71" s="237"/>
      <c r="N71" s="237"/>
      <c r="O71" s="237"/>
      <c r="P71" s="237"/>
      <c r="Q71" s="237"/>
      <c r="R71" s="64"/>
    </row>
    <row r="72" spans="2:18" ht="14.5" x14ac:dyDescent="0.35">
      <c r="B72" s="274" t="s">
        <v>456</v>
      </c>
      <c r="G72" s="237"/>
      <c r="H72" s="237"/>
      <c r="I72" s="237"/>
      <c r="J72" s="237"/>
      <c r="K72" s="237"/>
      <c r="L72" s="237"/>
      <c r="M72" s="237"/>
      <c r="N72" s="237"/>
      <c r="O72" s="237"/>
      <c r="P72" s="237"/>
      <c r="Q72" s="237"/>
      <c r="R72" s="64"/>
    </row>
    <row r="73" spans="2:18" x14ac:dyDescent="0.3">
      <c r="B73" t="s">
        <v>376</v>
      </c>
      <c r="G73" s="237"/>
      <c r="H73" s="237"/>
      <c r="I73" s="237"/>
      <c r="J73" s="237"/>
      <c r="K73" s="237"/>
      <c r="L73" s="237"/>
      <c r="M73" s="237"/>
      <c r="N73" s="237"/>
      <c r="O73" s="237"/>
      <c r="P73" s="237"/>
      <c r="Q73" s="237"/>
      <c r="R73" s="64"/>
    </row>
    <row r="74" spans="2:18" x14ac:dyDescent="0.3">
      <c r="B74" t="s">
        <v>379</v>
      </c>
      <c r="G74" s="273">
        <f>+G75-G66-G67-G68-G73</f>
        <v>0</v>
      </c>
      <c r="H74" s="273">
        <f t="shared" ref="H74:Q74" si="31">+H75-H66-H67-H68-H73</f>
        <v>0</v>
      </c>
      <c r="I74" s="273">
        <f t="shared" si="31"/>
        <v>0</v>
      </c>
      <c r="J74" s="273">
        <f t="shared" si="31"/>
        <v>0</v>
      </c>
      <c r="K74" s="273">
        <f t="shared" si="31"/>
        <v>0</v>
      </c>
      <c r="L74" s="273">
        <f t="shared" si="31"/>
        <v>0</v>
      </c>
      <c r="M74" s="273">
        <f t="shared" si="31"/>
        <v>0</v>
      </c>
      <c r="N74" s="273">
        <f t="shared" si="31"/>
        <v>0</v>
      </c>
      <c r="O74" s="273">
        <f t="shared" si="31"/>
        <v>0</v>
      </c>
      <c r="P74" s="273">
        <f t="shared" si="31"/>
        <v>0</v>
      </c>
      <c r="Q74" s="273">
        <f t="shared" si="31"/>
        <v>0</v>
      </c>
      <c r="R74" s="64" t="str">
        <f>IFERROR((Q74/G74)^(1/COUNT($G$4:$Q$4))-1,"")</f>
        <v/>
      </c>
    </row>
    <row r="75" spans="2:18" s="1" customFormat="1" x14ac:dyDescent="0.3">
      <c r="B75" s="277" t="s">
        <v>241</v>
      </c>
      <c r="C75" s="277"/>
      <c r="D75" s="277"/>
      <c r="E75" s="277"/>
      <c r="F75" s="658"/>
      <c r="G75" s="278"/>
      <c r="H75" s="278"/>
      <c r="I75" s="278"/>
      <c r="J75" s="278"/>
      <c r="K75" s="278"/>
      <c r="L75" s="278"/>
      <c r="M75" s="278"/>
      <c r="N75" s="278"/>
      <c r="O75" s="278"/>
      <c r="P75" s="278"/>
      <c r="Q75" s="278"/>
      <c r="R75" s="279" t="str">
        <f>IFERROR((Q75/G75)^(1/COUNT($G$4:$Q$4))-1,"")</f>
        <v/>
      </c>
    </row>
    <row r="76" spans="2:18" x14ac:dyDescent="0.3">
      <c r="B76" t="s">
        <v>23</v>
      </c>
      <c r="G76" s="246">
        <f t="shared" ref="G76:Q76" si="32">+SUM(G77:G78)</f>
        <v>0</v>
      </c>
      <c r="H76" s="246">
        <f t="shared" si="32"/>
        <v>0</v>
      </c>
      <c r="I76" s="246">
        <f t="shared" si="32"/>
        <v>0</v>
      </c>
      <c r="J76" s="246">
        <f t="shared" si="32"/>
        <v>0</v>
      </c>
      <c r="K76" s="246">
        <f t="shared" si="32"/>
        <v>0</v>
      </c>
      <c r="L76" s="246">
        <f t="shared" si="32"/>
        <v>0</v>
      </c>
      <c r="M76" s="246">
        <f t="shared" si="32"/>
        <v>0</v>
      </c>
      <c r="N76" s="246">
        <f t="shared" si="32"/>
        <v>0</v>
      </c>
      <c r="O76" s="246">
        <f t="shared" si="32"/>
        <v>0</v>
      </c>
      <c r="P76" s="246">
        <f t="shared" si="32"/>
        <v>0</v>
      </c>
      <c r="Q76" s="246">
        <f t="shared" si="32"/>
        <v>0</v>
      </c>
      <c r="R76" s="64" t="str">
        <f>IFERROR((Q76/G76)^(1/COUNT($G$4:$Q$4))-1,"")</f>
        <v/>
      </c>
    </row>
    <row r="77" spans="2:18" ht="14.5" x14ac:dyDescent="0.35">
      <c r="B77" s="274" t="s">
        <v>381</v>
      </c>
      <c r="G77" s="275"/>
      <c r="H77" s="275"/>
      <c r="I77" s="275"/>
      <c r="J77" s="275"/>
      <c r="K77" s="275"/>
      <c r="L77" s="275"/>
      <c r="M77" s="275"/>
      <c r="N77" s="275"/>
      <c r="O77" s="275"/>
      <c r="P77" s="275"/>
      <c r="Q77" s="275"/>
      <c r="R77" s="64" t="str">
        <f t="shared" ref="R77:R84" si="33">IFERROR((Q77/G77)^(1/COUNT($G$4:$Q$4))-1,"")</f>
        <v/>
      </c>
    </row>
    <row r="78" spans="2:18" ht="14.5" x14ac:dyDescent="0.35">
      <c r="B78" s="274" t="s">
        <v>382</v>
      </c>
      <c r="G78" s="275"/>
      <c r="H78" s="275"/>
      <c r="I78" s="275"/>
      <c r="J78" s="275"/>
      <c r="K78" s="275"/>
      <c r="L78" s="275"/>
      <c r="M78" s="275"/>
      <c r="N78" s="275"/>
      <c r="O78" s="275"/>
      <c r="P78" s="275"/>
      <c r="Q78" s="275"/>
      <c r="R78" s="64" t="str">
        <f t="shared" si="33"/>
        <v/>
      </c>
    </row>
    <row r="79" spans="2:18" ht="14.5" x14ac:dyDescent="0.35">
      <c r="B79" s="89" t="s">
        <v>384</v>
      </c>
      <c r="G79" s="246">
        <f t="shared" ref="G79:Q79" si="34">+SUM(G80:G83)</f>
        <v>0</v>
      </c>
      <c r="H79" s="246">
        <f t="shared" si="34"/>
        <v>0</v>
      </c>
      <c r="I79" s="246">
        <f t="shared" si="34"/>
        <v>0</v>
      </c>
      <c r="J79" s="246">
        <f t="shared" si="34"/>
        <v>0</v>
      </c>
      <c r="K79" s="246">
        <f t="shared" si="34"/>
        <v>0</v>
      </c>
      <c r="L79" s="246">
        <f t="shared" si="34"/>
        <v>0</v>
      </c>
      <c r="M79" s="246">
        <f>+SUM(M80:M83)</f>
        <v>0</v>
      </c>
      <c r="N79" s="246">
        <f t="shared" si="34"/>
        <v>0</v>
      </c>
      <c r="O79" s="246">
        <f t="shared" si="34"/>
        <v>0</v>
      </c>
      <c r="P79" s="246">
        <f t="shared" si="34"/>
        <v>0</v>
      </c>
      <c r="Q79" s="246">
        <f t="shared" si="34"/>
        <v>0</v>
      </c>
      <c r="R79" s="64" t="str">
        <f t="shared" si="33"/>
        <v/>
      </c>
    </row>
    <row r="80" spans="2:18" ht="14.5" x14ac:dyDescent="0.35">
      <c r="B80" s="274" t="s">
        <v>457</v>
      </c>
      <c r="G80" s="275"/>
      <c r="H80" s="275"/>
      <c r="I80" s="275"/>
      <c r="J80" s="275"/>
      <c r="K80" s="275"/>
      <c r="L80" s="275"/>
      <c r="M80" s="275"/>
      <c r="N80" s="275"/>
      <c r="O80" s="275"/>
      <c r="P80" s="275"/>
      <c r="Q80" s="275"/>
      <c r="R80" s="64" t="str">
        <f t="shared" si="33"/>
        <v/>
      </c>
    </row>
    <row r="81" spans="1:18" ht="14.5" x14ac:dyDescent="0.35">
      <c r="B81" s="274" t="s">
        <v>458</v>
      </c>
      <c r="G81" s="275"/>
      <c r="H81" s="275"/>
      <c r="I81" s="275"/>
      <c r="J81" s="275"/>
      <c r="K81" s="275"/>
      <c r="L81" s="275"/>
      <c r="M81" s="275"/>
      <c r="N81" s="275"/>
      <c r="O81" s="275"/>
      <c r="P81" s="275"/>
      <c r="Q81" s="275"/>
      <c r="R81" s="64" t="str">
        <f t="shared" si="33"/>
        <v/>
      </c>
    </row>
    <row r="82" spans="1:18" ht="14.5" x14ac:dyDescent="0.35">
      <c r="B82" s="274" t="s">
        <v>459</v>
      </c>
      <c r="G82" s="275"/>
      <c r="H82" s="275"/>
      <c r="I82" s="275"/>
      <c r="J82" s="275"/>
      <c r="K82" s="275"/>
      <c r="L82" s="275"/>
      <c r="M82" s="275"/>
      <c r="N82" s="275"/>
      <c r="O82" s="275"/>
      <c r="P82" s="275"/>
      <c r="Q82" s="275"/>
      <c r="R82" s="64" t="str">
        <f t="shared" si="33"/>
        <v/>
      </c>
    </row>
    <row r="83" spans="1:18" ht="14.5" x14ac:dyDescent="0.35">
      <c r="B83" s="274" t="s">
        <v>460</v>
      </c>
      <c r="G83" s="275"/>
      <c r="H83" s="275"/>
      <c r="I83" s="275"/>
      <c r="J83" s="275"/>
      <c r="K83" s="275"/>
      <c r="L83" s="275"/>
      <c r="M83" s="275"/>
      <c r="N83" s="275"/>
      <c r="O83" s="275"/>
      <c r="P83" s="275"/>
      <c r="Q83" s="275"/>
      <c r="R83" s="64" t="str">
        <f t="shared" si="33"/>
        <v/>
      </c>
    </row>
    <row r="84" spans="1:18" x14ac:dyDescent="0.3">
      <c r="B84" t="s">
        <v>385</v>
      </c>
      <c r="G84" s="246">
        <f>+G85-G76-G79</f>
        <v>0</v>
      </c>
      <c r="H84" s="246">
        <f t="shared" ref="H84:Q84" si="35">+H85-H76-H79</f>
        <v>0</v>
      </c>
      <c r="I84" s="246">
        <f t="shared" si="35"/>
        <v>0</v>
      </c>
      <c r="J84" s="246">
        <f t="shared" si="35"/>
        <v>0</v>
      </c>
      <c r="K84" s="246">
        <f t="shared" si="35"/>
        <v>0</v>
      </c>
      <c r="L84" s="246">
        <f t="shared" si="35"/>
        <v>0</v>
      </c>
      <c r="M84" s="246">
        <f t="shared" si="35"/>
        <v>0</v>
      </c>
      <c r="N84" s="246">
        <f t="shared" si="35"/>
        <v>0</v>
      </c>
      <c r="O84" s="246">
        <f t="shared" si="35"/>
        <v>0</v>
      </c>
      <c r="P84" s="246">
        <f t="shared" si="35"/>
        <v>0</v>
      </c>
      <c r="Q84" s="246">
        <f t="shared" si="35"/>
        <v>0</v>
      </c>
      <c r="R84" s="64" t="str">
        <f t="shared" si="33"/>
        <v/>
      </c>
    </row>
    <row r="85" spans="1:18" s="1" customFormat="1" x14ac:dyDescent="0.3">
      <c r="B85" s="277" t="s">
        <v>242</v>
      </c>
      <c r="C85" s="277"/>
      <c r="D85" s="277"/>
      <c r="E85" s="277"/>
      <c r="F85" s="658"/>
      <c r="G85" s="278"/>
      <c r="H85" s="278"/>
      <c r="I85" s="278"/>
      <c r="J85" s="278"/>
      <c r="K85" s="278"/>
      <c r="L85" s="278"/>
      <c r="M85" s="278"/>
      <c r="N85" s="278"/>
      <c r="O85" s="278"/>
      <c r="P85" s="278"/>
      <c r="Q85" s="278"/>
      <c r="R85" s="279" t="str">
        <f t="shared" ref="R85:R94" si="36">IFERROR((Q85/G85)^(1/COUNT($G$4:$Q$4))-1,"")</f>
        <v/>
      </c>
    </row>
    <row r="86" spans="1:18" x14ac:dyDescent="0.3">
      <c r="B86" t="s">
        <v>243</v>
      </c>
      <c r="G86" s="237"/>
      <c r="H86" s="237"/>
      <c r="I86" s="237"/>
      <c r="J86" s="237"/>
      <c r="K86" s="237"/>
      <c r="L86" s="237"/>
      <c r="M86" s="237"/>
      <c r="N86" s="237"/>
      <c r="O86" s="237"/>
      <c r="P86" s="237"/>
      <c r="Q86" s="237"/>
      <c r="R86" s="64" t="str">
        <f t="shared" si="36"/>
        <v/>
      </c>
    </row>
    <row r="87" spans="1:18" x14ac:dyDescent="0.3">
      <c r="B87" t="s">
        <v>244</v>
      </c>
      <c r="G87" s="237"/>
      <c r="H87" s="237"/>
      <c r="I87" s="237"/>
      <c r="J87" s="237"/>
      <c r="K87" s="237"/>
      <c r="L87" s="237"/>
      <c r="M87" s="237"/>
      <c r="N87" s="237"/>
      <c r="O87" s="237"/>
      <c r="P87" s="237"/>
      <c r="Q87" s="237"/>
      <c r="R87" s="64" t="str">
        <f t="shared" si="36"/>
        <v/>
      </c>
    </row>
    <row r="88" spans="1:18" x14ac:dyDescent="0.3">
      <c r="B88" t="s">
        <v>390</v>
      </c>
      <c r="G88" s="237"/>
      <c r="H88" s="237"/>
      <c r="I88" s="237"/>
      <c r="J88" s="237"/>
      <c r="K88" s="237"/>
      <c r="L88" s="237"/>
      <c r="M88" s="237"/>
      <c r="N88" s="237"/>
      <c r="O88" s="237"/>
      <c r="P88" s="237"/>
      <c r="Q88" s="237"/>
      <c r="R88" s="64" t="str">
        <f t="shared" si="36"/>
        <v/>
      </c>
    </row>
    <row r="89" spans="1:18" x14ac:dyDescent="0.3">
      <c r="B89" t="s">
        <v>386</v>
      </c>
      <c r="G89" s="237"/>
      <c r="H89" s="237"/>
      <c r="I89" s="237"/>
      <c r="J89" s="237"/>
      <c r="K89" s="237"/>
      <c r="L89" s="237"/>
      <c r="M89" s="237"/>
      <c r="N89" s="237"/>
      <c r="O89" s="237"/>
      <c r="P89" s="237"/>
      <c r="Q89" s="237"/>
      <c r="R89" s="64" t="str">
        <f t="shared" si="36"/>
        <v/>
      </c>
    </row>
    <row r="90" spans="1:18" x14ac:dyDescent="0.3">
      <c r="B90" t="s">
        <v>388</v>
      </c>
      <c r="G90" s="237"/>
      <c r="H90" s="237"/>
      <c r="I90" s="237"/>
      <c r="J90" s="237"/>
      <c r="K90" s="237"/>
      <c r="L90" s="237"/>
      <c r="M90" s="237"/>
      <c r="N90" s="237"/>
      <c r="O90" s="237"/>
      <c r="P90" s="237"/>
      <c r="Q90" s="237"/>
      <c r="R90" s="64" t="str">
        <f t="shared" si="36"/>
        <v/>
      </c>
    </row>
    <row r="91" spans="1:18" x14ac:dyDescent="0.3">
      <c r="B91" t="s">
        <v>393</v>
      </c>
      <c r="G91" s="246">
        <f>+G92-G86-G87-G88-G89-G90</f>
        <v>0</v>
      </c>
      <c r="H91" s="246">
        <f t="shared" ref="H91:Q91" si="37">+H92-H86-H87-H88-H89-H90</f>
        <v>0</v>
      </c>
      <c r="I91" s="246">
        <f t="shared" si="37"/>
        <v>0</v>
      </c>
      <c r="J91" s="246">
        <f t="shared" si="37"/>
        <v>0</v>
      </c>
      <c r="K91" s="246">
        <f t="shared" si="37"/>
        <v>0</v>
      </c>
      <c r="L91" s="246">
        <f t="shared" si="37"/>
        <v>0</v>
      </c>
      <c r="M91" s="246">
        <f t="shared" si="37"/>
        <v>0</v>
      </c>
      <c r="N91" s="246">
        <f t="shared" si="37"/>
        <v>0</v>
      </c>
      <c r="O91" s="246">
        <f t="shared" si="37"/>
        <v>0</v>
      </c>
      <c r="P91" s="246">
        <f t="shared" si="37"/>
        <v>0</v>
      </c>
      <c r="Q91" s="246">
        <f t="shared" si="37"/>
        <v>0</v>
      </c>
      <c r="R91" s="64" t="str">
        <f t="shared" si="36"/>
        <v/>
      </c>
    </row>
    <row r="92" spans="1:18" s="1" customFormat="1" x14ac:dyDescent="0.3">
      <c r="B92" s="277" t="s">
        <v>245</v>
      </c>
      <c r="C92" s="277"/>
      <c r="D92" s="277"/>
      <c r="E92" s="277"/>
      <c r="F92" s="658"/>
      <c r="G92" s="282"/>
      <c r="H92" s="282"/>
      <c r="I92" s="282"/>
      <c r="J92" s="282"/>
      <c r="K92" s="282"/>
      <c r="L92" s="282"/>
      <c r="M92" s="282"/>
      <c r="N92" s="282"/>
      <c r="O92" s="282"/>
      <c r="P92" s="282"/>
      <c r="Q92" s="282"/>
      <c r="R92" s="279" t="str">
        <f t="shared" si="36"/>
        <v/>
      </c>
    </row>
    <row r="93" spans="1:18" s="1" customFormat="1" ht="14.5" thickBot="1" x14ac:dyDescent="0.35">
      <c r="B93" s="283" t="s">
        <v>461</v>
      </c>
      <c r="C93" s="280"/>
      <c r="D93" s="280"/>
      <c r="E93" s="280"/>
      <c r="F93" s="660"/>
      <c r="G93" s="284"/>
      <c r="H93" s="284"/>
      <c r="I93" s="284"/>
      <c r="J93" s="284"/>
      <c r="K93" s="284"/>
      <c r="L93" s="284"/>
      <c r="M93" s="284"/>
      <c r="N93" s="284"/>
      <c r="O93" s="284"/>
      <c r="P93" s="284"/>
      <c r="Q93" s="284"/>
      <c r="R93" s="281" t="str">
        <f t="shared" si="36"/>
        <v/>
      </c>
    </row>
    <row r="94" spans="1:18" s="1" customFormat="1" x14ac:dyDescent="0.3">
      <c r="B94" s="1" t="s">
        <v>246</v>
      </c>
      <c r="F94"/>
      <c r="G94" s="247"/>
      <c r="H94" s="247"/>
      <c r="I94" s="247"/>
      <c r="J94" s="247"/>
      <c r="K94" s="247"/>
      <c r="L94" s="247"/>
      <c r="M94" s="247"/>
      <c r="N94" s="247"/>
      <c r="O94" s="247"/>
      <c r="P94" s="247"/>
      <c r="Q94" s="247"/>
      <c r="R94" s="67" t="str">
        <f t="shared" si="36"/>
        <v/>
      </c>
    </row>
    <row r="95" spans="1:18" ht="14.5" x14ac:dyDescent="0.35">
      <c r="B95" s="89" t="s">
        <v>462</v>
      </c>
    </row>
    <row r="96" spans="1:18" ht="15.5" x14ac:dyDescent="0.35">
      <c r="A96" t="s">
        <v>300</v>
      </c>
      <c r="B96" s="234" t="s">
        <v>463</v>
      </c>
      <c r="C96" s="56"/>
      <c r="D96" s="56"/>
      <c r="E96" s="56"/>
      <c r="F96" s="56"/>
      <c r="G96" s="516">
        <v>42004</v>
      </c>
      <c r="H96" s="516">
        <v>42369</v>
      </c>
      <c r="I96" s="516">
        <v>42735</v>
      </c>
      <c r="J96" s="516">
        <v>43100</v>
      </c>
      <c r="K96" s="516">
        <v>43465</v>
      </c>
      <c r="L96" s="516">
        <v>43830</v>
      </c>
      <c r="M96" s="516">
        <v>44196</v>
      </c>
      <c r="N96" s="516">
        <v>44561</v>
      </c>
      <c r="O96" s="516">
        <v>44926</v>
      </c>
      <c r="P96" s="516">
        <v>45291</v>
      </c>
      <c r="Q96" s="516">
        <v>45657</v>
      </c>
      <c r="R96" s="26"/>
    </row>
    <row r="97" spans="1:18" ht="4" customHeight="1" x14ac:dyDescent="0.35">
      <c r="B97" s="241"/>
      <c r="C97" s="241"/>
      <c r="D97" s="241"/>
      <c r="E97" s="241"/>
      <c r="F97" s="241"/>
      <c r="G97" s="242"/>
      <c r="H97" s="242"/>
      <c r="I97" s="242"/>
      <c r="J97" s="242"/>
      <c r="K97" s="242"/>
      <c r="L97" s="242"/>
      <c r="M97" s="242"/>
      <c r="N97" s="242"/>
      <c r="O97" s="242"/>
      <c r="P97" s="242"/>
      <c r="Q97" s="242"/>
      <c r="R97" s="26"/>
    </row>
    <row r="98" spans="1:18" x14ac:dyDescent="0.3">
      <c r="B98" t="s">
        <v>464</v>
      </c>
      <c r="G98" s="273" cm="1">
        <f t="array" aca="1" ref="G98" ca="1">(IFERROR(_xlfn.STOCKHISTORY("CMG", G96, G96, 0, 0, 1), IFERROR(_xlfn.STOCKHISTORY("CMG", G96+1, G96+1, 0, 0, 1), _xlfn.STOCKHISTORY("CMG", G96-2, G96-2, 0, 0, 1))))*_xlfn.XLOOKUP("Basic Weighted Average Shares",$B:$B,G:G)</f>
        <v>0</v>
      </c>
      <c r="H98" s="273" cm="1">
        <f t="array" aca="1" ref="H98" ca="1">(IFERROR(_xlfn.STOCKHISTORY("CMG", H96, H96, 0, 0, 1), IFERROR(_xlfn.STOCKHISTORY("CMG", H96+1, H96+1, 0, 0, 1), _xlfn.STOCKHISTORY("CMG", H96-2, H96-2, 0, 0, 1))))*_xlfn.XLOOKUP("Basic Weighted Average Shares",$B:$B,H:H)</f>
        <v>0</v>
      </c>
      <c r="I98" s="273" cm="1">
        <f t="array" aca="1" ref="I98" ca="1">(IFERROR(_xlfn.STOCKHISTORY("CMG", I96, I96, 0, 0, 1), IFERROR(_xlfn.STOCKHISTORY("CMG", I96+1, I96+1, 0, 0, 1), _xlfn.STOCKHISTORY("CMG", I96-2, I96-2, 0, 0, 1))))*_xlfn.XLOOKUP("Basic Weighted Average Shares",$B:$B,I:I)</f>
        <v>0</v>
      </c>
      <c r="J98" s="273" cm="1">
        <f t="array" aca="1" ref="J98" ca="1">(IFERROR(_xlfn.STOCKHISTORY("CMG", J96, J96, 0, 0, 1), IFERROR(_xlfn.STOCKHISTORY("CMG", J96+1, J96+1, 0, 0, 1), _xlfn.STOCKHISTORY("CMG", J96-2, J96-2, 0, 0, 1))))*_xlfn.XLOOKUP("Basic Weighted Average Shares",$B:$B,J:J)</f>
        <v>0</v>
      </c>
      <c r="K98" s="273" cm="1">
        <f t="array" aca="1" ref="K98" ca="1">(IFERROR(_xlfn.STOCKHISTORY("CMG", K96, K96, 0, 0, 1), IFERROR(_xlfn.STOCKHISTORY("CMG", K96+1, K96+1, 0, 0, 1), _xlfn.STOCKHISTORY("CMG", K96-2, K96-2, 0, 0, 1))))*_xlfn.XLOOKUP("Basic Weighted Average Shares",$B:$B,K:K)</f>
        <v>0</v>
      </c>
      <c r="L98" s="273" cm="1">
        <f t="array" aca="1" ref="L98" ca="1">(IFERROR(_xlfn.STOCKHISTORY("CMG", L96, L96, 0, 0, 1), IFERROR(_xlfn.STOCKHISTORY("CMG", L96+1, L96+1, 0, 0, 1), _xlfn.STOCKHISTORY("CMG", L96-2, L96-2, 0, 0, 1))))*_xlfn.XLOOKUP("Basic Weighted Average Shares",$B:$B,L:L)</f>
        <v>0</v>
      </c>
      <c r="M98" s="273" cm="1">
        <f t="array" aca="1" ref="M98" ca="1">(IFERROR(_xlfn.STOCKHISTORY("CMG", M96, M96, 0, 0, 1), IFERROR(_xlfn.STOCKHISTORY("CMG", M96+1, M96+1, 0, 0, 1), _xlfn.STOCKHISTORY("CMG", M96-2, M96-2, 0, 0, 1))))*_xlfn.XLOOKUP("Basic Weighted Average Shares",$B:$B,M:M)</f>
        <v>0</v>
      </c>
      <c r="N98" s="273" cm="1">
        <f t="array" aca="1" ref="N98" ca="1">(IFERROR(_xlfn.STOCKHISTORY("CMG", N96, N96, 0, 0, 1), IFERROR(_xlfn.STOCKHISTORY("CMG", N96+1, N96+1, 0, 0, 1), _xlfn.STOCKHISTORY("CMG", N96-2, N96-2, 0, 0, 1))))*_xlfn.XLOOKUP("Basic Weighted Average Shares",$B:$B,N:N)</f>
        <v>0</v>
      </c>
      <c r="O98" s="273" cm="1">
        <f t="array" aca="1" ref="O98" ca="1">(IFERROR(_xlfn.STOCKHISTORY("CMG", O96, O96, 0, 0, 1), IFERROR(_xlfn.STOCKHISTORY("CMG", O96+1, O96+1, 0, 0, 1), _xlfn.STOCKHISTORY("CMG", O96-2, O96-2, 0, 0, 1))))*_xlfn.XLOOKUP("Basic Weighted Average Shares",$B:$B,O:O)</f>
        <v>0</v>
      </c>
      <c r="P98" s="273" cm="1">
        <f t="array" aca="1" ref="P98" ca="1">(IFERROR(_xlfn.STOCKHISTORY("CMG", P96, P96, 0, 0, 1), IFERROR(_xlfn.STOCKHISTORY("CMG", P96+1, P96+1, 0, 0, 1), _xlfn.STOCKHISTORY("CMG", P96-2, P96-2, 0, 0, 1))))*_xlfn.XLOOKUP("Basic Weighted Average Shares",$B:$B,P:P)</f>
        <v>0</v>
      </c>
      <c r="Q98" s="273" cm="1">
        <f t="array" aca="1" ref="Q98" ca="1">(IFERROR(_xlfn.STOCKHISTORY("CMG", Q96, Q96, 0, 0, 1), IFERROR(_xlfn.STOCKHISTORY("CMG", Q96+1, Q96+1, 0, 0, 1), _xlfn.STOCKHISTORY("CMG", Q96-2, Q96-2, 0, 0, 1))))*_xlfn.XLOOKUP("Basic Weighted Average Shares",$B:$B,Q:Q)</f>
        <v>0</v>
      </c>
    </row>
    <row r="99" spans="1:18" x14ac:dyDescent="0.3">
      <c r="B99" t="s">
        <v>228</v>
      </c>
      <c r="G99" s="254">
        <f t="shared" ref="G99:M99" si="38">_xlfn.XLOOKUP("Cash &amp; Cash Equivalents &amp; ST Investments",$B$30:$B$62,G$30:G$62)/1000</f>
        <v>0</v>
      </c>
      <c r="H99" s="254">
        <f t="shared" si="38"/>
        <v>0</v>
      </c>
      <c r="I99" s="254">
        <f t="shared" si="38"/>
        <v>0</v>
      </c>
      <c r="J99" s="254">
        <f t="shared" si="38"/>
        <v>0</v>
      </c>
      <c r="K99" s="254">
        <f t="shared" si="38"/>
        <v>0</v>
      </c>
      <c r="L99" s="254">
        <f t="shared" si="38"/>
        <v>0</v>
      </c>
      <c r="M99" s="254">
        <f t="shared" si="38"/>
        <v>0</v>
      </c>
      <c r="N99" s="254">
        <f>_xlfn.XLOOKUP("Cash &amp; Cash Equivalents &amp; ST Investments",$B$30:$B$62,N$30:N$62)/1000</f>
        <v>0</v>
      </c>
      <c r="O99" s="254">
        <f>_xlfn.XLOOKUP("Cash &amp; Cash Equivalents &amp; ST Investments",$B$30:$B$62,O$30:O$62)/1000</f>
        <v>0</v>
      </c>
      <c r="P99" s="254">
        <f>_xlfn.XLOOKUP("Cash &amp; Cash Equivalents &amp; ST Investments",$B$30:$B$62,P$30:P$62)/1000</f>
        <v>0</v>
      </c>
      <c r="Q99" s="254">
        <f>_xlfn.XLOOKUP("Cash &amp; Cash Equivalents &amp; ST Investments",$B$30:$B$62,Q$30:Q$62)/1000</f>
        <v>0</v>
      </c>
    </row>
    <row r="100" spans="1:18" x14ac:dyDescent="0.3">
      <c r="B100" t="s">
        <v>238</v>
      </c>
      <c r="G100" s="254">
        <f t="shared" ref="G100:M100" si="39">(_xlfn.XLOOKUP("Short-Term Debt",$B$30:$B$62,G$30:G$62)+_xlfn.XLOOKUP("Long-Term Debt",$B$30:$B$62,G$30:G$62))/1000</f>
        <v>0</v>
      </c>
      <c r="H100" s="254">
        <f t="shared" si="39"/>
        <v>0</v>
      </c>
      <c r="I100" s="254">
        <f t="shared" si="39"/>
        <v>0</v>
      </c>
      <c r="J100" s="254">
        <f t="shared" si="39"/>
        <v>0</v>
      </c>
      <c r="K100" s="254">
        <f t="shared" si="39"/>
        <v>0</v>
      </c>
      <c r="L100" s="254">
        <f t="shared" si="39"/>
        <v>0</v>
      </c>
      <c r="M100" s="254">
        <f t="shared" si="39"/>
        <v>0</v>
      </c>
      <c r="N100" s="254">
        <f>(_xlfn.XLOOKUP("Short-Term Debt",$B$30:$B$62,N$30:N$62)+_xlfn.XLOOKUP("Long-Term Debt",$B$30:$B$62,N$30:N$62))/1000</f>
        <v>0</v>
      </c>
      <c r="O100" s="254">
        <f>(_xlfn.XLOOKUP("Short-Term Debt",$B$30:$B$62,O$30:O$62)+_xlfn.XLOOKUP("Long-Term Debt",$B$30:$B$62,O$30:O$62))/1000</f>
        <v>0</v>
      </c>
      <c r="P100" s="254">
        <f>(_xlfn.XLOOKUP("Short-Term Debt",$B$30:$B$62,P$30:P$62)+_xlfn.XLOOKUP("Long-Term Debt",$B$30:$B$62,P$30:P$62))/1000</f>
        <v>0</v>
      </c>
      <c r="Q100" s="254">
        <f>(_xlfn.XLOOKUP("Short-Term Debt",$B$30:$B$62,Q$30:Q$62)+_xlfn.XLOOKUP("Long-Term Debt",$B$30:$B$62,Q$30:Q$62))/1000</f>
        <v>0</v>
      </c>
    </row>
    <row r="101" spans="1:18" x14ac:dyDescent="0.3">
      <c r="B101" t="s">
        <v>465</v>
      </c>
      <c r="G101" s="255"/>
      <c r="H101" s="255"/>
      <c r="I101" s="255"/>
      <c r="J101" s="255"/>
      <c r="K101" s="255"/>
      <c r="L101" s="255"/>
      <c r="M101" s="255"/>
      <c r="N101" s="255"/>
      <c r="O101" s="255"/>
      <c r="P101" s="255"/>
      <c r="Q101" s="255"/>
    </row>
    <row r="102" spans="1:18" x14ac:dyDescent="0.3">
      <c r="B102" t="s">
        <v>451</v>
      </c>
      <c r="G102" s="26">
        <f t="shared" ref="G102:M102" si="40">_xlfn.XLOOKUP("Non-Controlling Interest",$B$30:$B$62,G$30:G$62)/1000</f>
        <v>0</v>
      </c>
      <c r="H102" s="26">
        <f t="shared" si="40"/>
        <v>0</v>
      </c>
      <c r="I102" s="26">
        <f t="shared" si="40"/>
        <v>0</v>
      </c>
      <c r="J102" s="26">
        <f t="shared" si="40"/>
        <v>0</v>
      </c>
      <c r="K102" s="26">
        <f t="shared" si="40"/>
        <v>0</v>
      </c>
      <c r="L102" s="26">
        <f t="shared" si="40"/>
        <v>0</v>
      </c>
      <c r="M102" s="26">
        <f t="shared" si="40"/>
        <v>0</v>
      </c>
      <c r="N102" s="26">
        <f>_xlfn.XLOOKUP("Non-Controlling Interest",$B$30:$B$62,N$30:N$62)/1000</f>
        <v>0</v>
      </c>
      <c r="O102" s="26">
        <f>_xlfn.XLOOKUP("Non-Controlling Interest",$B$30:$B$62,O$30:O$62)/1000</f>
        <v>0</v>
      </c>
      <c r="P102" s="26">
        <f>_xlfn.XLOOKUP("Non-Controlling Interest",$B$30:$B$62,P$30:P$62)/1000</f>
        <v>0</v>
      </c>
      <c r="Q102" s="26">
        <f>_xlfn.XLOOKUP("Non-Controlling Interest",$B$30:$B$62,Q$30:Q$62)/1000</f>
        <v>0</v>
      </c>
    </row>
    <row r="103" spans="1:18" x14ac:dyDescent="0.3">
      <c r="B103" t="s">
        <v>404</v>
      </c>
      <c r="G103" s="256">
        <f t="shared" ref="G103:M103" ca="1" si="41">+G98-G99+G100+G101+G102</f>
        <v>0</v>
      </c>
      <c r="H103" s="256">
        <f t="shared" ca="1" si="41"/>
        <v>0</v>
      </c>
      <c r="I103" s="256">
        <f t="shared" ca="1" si="41"/>
        <v>0</v>
      </c>
      <c r="J103" s="256">
        <f t="shared" ca="1" si="41"/>
        <v>0</v>
      </c>
      <c r="K103" s="256">
        <f t="shared" ca="1" si="41"/>
        <v>0</v>
      </c>
      <c r="L103" s="256">
        <f t="shared" ca="1" si="41"/>
        <v>0</v>
      </c>
      <c r="M103" s="256">
        <f t="shared" ca="1" si="41"/>
        <v>0</v>
      </c>
      <c r="N103" s="256">
        <f ca="1">+N98-N99+N100+N101+N102</f>
        <v>0</v>
      </c>
      <c r="O103" s="256">
        <f t="shared" ref="O103:Q103" ca="1" si="42">+O98-O99+O100+O101+O102</f>
        <v>0</v>
      </c>
      <c r="P103" s="256">
        <f t="shared" ca="1" si="42"/>
        <v>0</v>
      </c>
      <c r="Q103" s="256">
        <f t="shared" ca="1" si="42"/>
        <v>0</v>
      </c>
    </row>
    <row r="104" spans="1:18" ht="5.25" customHeight="1" x14ac:dyDescent="0.3"/>
    <row r="105" spans="1:18" ht="15.5" x14ac:dyDescent="0.35">
      <c r="A105" t="s">
        <v>300</v>
      </c>
      <c r="B105" s="52" t="s">
        <v>67</v>
      </c>
      <c r="C105" s="56"/>
      <c r="D105" s="56"/>
      <c r="E105" s="56"/>
      <c r="F105" s="56"/>
      <c r="G105" s="257" t="s">
        <v>466</v>
      </c>
      <c r="H105" s="235">
        <v>2025</v>
      </c>
      <c r="I105" s="235">
        <f>+H105+1</f>
        <v>2026</v>
      </c>
      <c r="J105" s="235">
        <f t="shared" ref="J105:Q105" si="43">+I105+1</f>
        <v>2027</v>
      </c>
      <c r="K105" s="235">
        <f t="shared" si="43"/>
        <v>2028</v>
      </c>
      <c r="L105" s="235">
        <f t="shared" si="43"/>
        <v>2029</v>
      </c>
      <c r="M105" s="235">
        <f t="shared" si="43"/>
        <v>2030</v>
      </c>
      <c r="N105" s="235">
        <f t="shared" si="43"/>
        <v>2031</v>
      </c>
      <c r="O105" s="235">
        <f t="shared" si="43"/>
        <v>2032</v>
      </c>
      <c r="P105" s="235">
        <f t="shared" si="43"/>
        <v>2033</v>
      </c>
      <c r="Q105" s="777">
        <f t="shared" si="43"/>
        <v>2034</v>
      </c>
    </row>
    <row r="106" spans="1:18" ht="4" customHeight="1" x14ac:dyDescent="0.35">
      <c r="B106" s="241"/>
      <c r="C106" s="241"/>
      <c r="D106" s="241"/>
      <c r="E106" s="241"/>
      <c r="F106" s="241"/>
      <c r="G106" s="242"/>
      <c r="H106" s="242"/>
      <c r="I106" s="242"/>
      <c r="J106" s="242"/>
      <c r="K106" s="242"/>
      <c r="L106" s="242" t="s">
        <v>467</v>
      </c>
      <c r="M106" s="242" t="s">
        <v>467</v>
      </c>
      <c r="N106" s="242" t="s">
        <v>467</v>
      </c>
      <c r="O106" s="242" t="s">
        <v>467</v>
      </c>
      <c r="P106" s="242" t="s">
        <v>467</v>
      </c>
      <c r="Q106" s="242" t="s">
        <v>467</v>
      </c>
    </row>
    <row r="107" spans="1:18" x14ac:dyDescent="0.3">
      <c r="B107" t="s">
        <v>466</v>
      </c>
      <c r="G107" s="776"/>
      <c r="H107" s="255"/>
      <c r="I107" s="255"/>
      <c r="J107" s="255"/>
      <c r="K107" s="255"/>
      <c r="L107" s="255"/>
      <c r="M107" s="255"/>
      <c r="N107" s="255"/>
      <c r="O107" s="255"/>
      <c r="P107" s="255"/>
      <c r="Q107" s="255"/>
    </row>
    <row r="108" spans="1:18" x14ac:dyDescent="0.3">
      <c r="B108" t="s">
        <v>468</v>
      </c>
      <c r="G108"/>
      <c r="H108" s="255"/>
      <c r="I108" s="255"/>
      <c r="J108" s="255"/>
      <c r="K108" s="255"/>
      <c r="L108" s="255"/>
      <c r="M108" s="255"/>
      <c r="N108" s="255"/>
      <c r="O108" s="255"/>
      <c r="P108" s="255"/>
      <c r="Q108" s="255"/>
    </row>
    <row r="109" spans="1:18" x14ac:dyDescent="0.3">
      <c r="B109" t="s">
        <v>469</v>
      </c>
      <c r="G109"/>
      <c r="H109" s="255"/>
      <c r="I109" s="255"/>
      <c r="J109" s="255"/>
      <c r="K109" s="255"/>
      <c r="L109" s="255"/>
      <c r="M109" s="255"/>
      <c r="N109" s="255"/>
      <c r="O109" s="255"/>
      <c r="P109" s="255"/>
      <c r="Q109" s="255"/>
    </row>
    <row r="110" spans="1:18" ht="3.75" customHeight="1" x14ac:dyDescent="0.3"/>
    <row r="111" spans="1:18" ht="15.5" x14ac:dyDescent="0.35">
      <c r="A111" t="s">
        <v>300</v>
      </c>
      <c r="B111" s="52" t="s">
        <v>470</v>
      </c>
      <c r="C111" s="56"/>
      <c r="D111" s="56"/>
      <c r="E111" s="56"/>
      <c r="F111" s="56"/>
      <c r="G111" s="235">
        <v>2014</v>
      </c>
      <c r="H111" s="235">
        <f>+G111+1</f>
        <v>2015</v>
      </c>
      <c r="I111" s="235">
        <f t="shared" ref="I111" si="44">+H111+1</f>
        <v>2016</v>
      </c>
      <c r="J111" s="235">
        <f t="shared" ref="J111" si="45">+I111+1</f>
        <v>2017</v>
      </c>
      <c r="K111" s="235">
        <f t="shared" ref="K111" si="46">+J111+1</f>
        <v>2018</v>
      </c>
      <c r="L111" s="235">
        <f t="shared" ref="L111" si="47">+K111+1</f>
        <v>2019</v>
      </c>
      <c r="M111" s="235">
        <f t="shared" ref="M111" si="48">+L111+1</f>
        <v>2020</v>
      </c>
      <c r="N111" s="235">
        <f>+M111+1</f>
        <v>2021</v>
      </c>
      <c r="O111" s="235">
        <f>+N111+1</f>
        <v>2022</v>
      </c>
      <c r="P111" s="235">
        <f t="shared" ref="P111" si="49">+O111+1</f>
        <v>2023</v>
      </c>
      <c r="Q111" s="235">
        <f>+P111+1</f>
        <v>2024</v>
      </c>
      <c r="R111" s="58" t="str">
        <f>"CAGR "&amp;$G$4&amp;" - "&amp;$Q$4</f>
        <v>CAGR 2014 - 2024</v>
      </c>
    </row>
    <row r="112" spans="1:18" ht="5.25" customHeight="1" x14ac:dyDescent="0.35">
      <c r="B112" s="241"/>
      <c r="C112" s="241"/>
      <c r="D112" s="241"/>
      <c r="E112" s="241"/>
      <c r="F112" s="241"/>
      <c r="G112" s="242"/>
      <c r="H112" s="242"/>
      <c r="I112" s="242"/>
      <c r="J112" s="242"/>
      <c r="K112" s="242"/>
      <c r="L112" s="242"/>
      <c r="M112" s="242"/>
      <c r="N112" s="242"/>
      <c r="O112" s="242"/>
      <c r="P112" s="242"/>
      <c r="Q112" s="242"/>
      <c r="R112" s="60"/>
    </row>
    <row r="113" spans="2:18" x14ac:dyDescent="0.3">
      <c r="B113" t="s">
        <v>238</v>
      </c>
      <c r="G113" s="253">
        <f>IFERROR(SUM(G55+G50),"")</f>
        <v>0</v>
      </c>
      <c r="H113" s="253">
        <f t="shared" ref="H113:Q113" si="50">IFERROR(SUM(H55+H50),"")</f>
        <v>0</v>
      </c>
      <c r="I113" s="253">
        <f t="shared" si="50"/>
        <v>0</v>
      </c>
      <c r="J113" s="253">
        <f t="shared" si="50"/>
        <v>0</v>
      </c>
      <c r="K113" s="253">
        <f t="shared" si="50"/>
        <v>0</v>
      </c>
      <c r="L113" s="253">
        <f t="shared" si="50"/>
        <v>0</v>
      </c>
      <c r="M113" s="253">
        <f t="shared" si="50"/>
        <v>0</v>
      </c>
      <c r="N113" s="253">
        <f t="shared" si="50"/>
        <v>0</v>
      </c>
      <c r="O113" s="253">
        <f t="shared" si="50"/>
        <v>0</v>
      </c>
      <c r="P113" s="253">
        <f t="shared" si="50"/>
        <v>0</v>
      </c>
      <c r="Q113" s="253">
        <f t="shared" si="50"/>
        <v>0</v>
      </c>
      <c r="R113" s="64" t="str">
        <f t="shared" ref="R113:R121" si="51">IFERROR((Q113/G113)^(1/COUNT($G$4:$Q$4))-1,"")</f>
        <v/>
      </c>
    </row>
    <row r="114" spans="2:18" x14ac:dyDescent="0.3">
      <c r="B114" t="s">
        <v>373</v>
      </c>
      <c r="G114" s="253">
        <f>IFERROR(SUM(G51,G56),"")</f>
        <v>0</v>
      </c>
      <c r="H114" s="253">
        <f t="shared" ref="H114:Q114" si="52">IFERROR(SUM(H51,H56),"")</f>
        <v>0</v>
      </c>
      <c r="I114" s="253">
        <f t="shared" si="52"/>
        <v>0</v>
      </c>
      <c r="J114" s="253">
        <f t="shared" si="52"/>
        <v>0</v>
      </c>
      <c r="K114" s="253">
        <f t="shared" si="52"/>
        <v>0</v>
      </c>
      <c r="L114" s="253">
        <f t="shared" si="52"/>
        <v>0</v>
      </c>
      <c r="M114" s="253">
        <f t="shared" si="52"/>
        <v>0</v>
      </c>
      <c r="N114" s="253">
        <f t="shared" si="52"/>
        <v>0</v>
      </c>
      <c r="O114" s="253">
        <f t="shared" si="52"/>
        <v>0</v>
      </c>
      <c r="P114" s="253">
        <f t="shared" si="52"/>
        <v>0</v>
      </c>
      <c r="Q114" s="253">
        <f t="shared" si="52"/>
        <v>0</v>
      </c>
      <c r="R114" s="64" t="str">
        <f t="shared" si="51"/>
        <v/>
      </c>
    </row>
    <row r="115" spans="2:18" x14ac:dyDescent="0.3">
      <c r="B115" t="s">
        <v>374</v>
      </c>
      <c r="G115" s="253">
        <f>IFERROR(SUM(G52,G57),"")</f>
        <v>0</v>
      </c>
      <c r="H115" s="253">
        <f t="shared" ref="H115:Q115" si="53">IFERROR(SUM(H52,H57),"")</f>
        <v>0</v>
      </c>
      <c r="I115" s="253">
        <f t="shared" si="53"/>
        <v>0</v>
      </c>
      <c r="J115" s="253">
        <f t="shared" si="53"/>
        <v>0</v>
      </c>
      <c r="K115" s="253">
        <f t="shared" si="53"/>
        <v>0</v>
      </c>
      <c r="L115" s="253">
        <f t="shared" si="53"/>
        <v>0</v>
      </c>
      <c r="M115" s="253">
        <f t="shared" si="53"/>
        <v>0</v>
      </c>
      <c r="N115" s="253">
        <f t="shared" si="53"/>
        <v>0</v>
      </c>
      <c r="O115" s="253">
        <f t="shared" si="53"/>
        <v>0</v>
      </c>
      <c r="P115" s="253">
        <f t="shared" si="53"/>
        <v>0</v>
      </c>
      <c r="Q115" s="253">
        <f t="shared" si="53"/>
        <v>0</v>
      </c>
      <c r="R115" s="64" t="str">
        <f t="shared" si="51"/>
        <v/>
      </c>
    </row>
    <row r="116" spans="2:18" x14ac:dyDescent="0.3">
      <c r="B116" t="s">
        <v>471</v>
      </c>
      <c r="G116" s="253">
        <f t="shared" ref="G116:Q116" si="54">+G113-G32</f>
        <v>0</v>
      </c>
      <c r="H116" s="253">
        <f t="shared" si="54"/>
        <v>0</v>
      </c>
      <c r="I116" s="253">
        <f t="shared" si="54"/>
        <v>0</v>
      </c>
      <c r="J116" s="253">
        <f t="shared" si="54"/>
        <v>0</v>
      </c>
      <c r="K116" s="253">
        <f t="shared" si="54"/>
        <v>0</v>
      </c>
      <c r="L116" s="253">
        <f t="shared" si="54"/>
        <v>0</v>
      </c>
      <c r="M116" s="253">
        <f t="shared" si="54"/>
        <v>0</v>
      </c>
      <c r="N116" s="253">
        <f t="shared" si="54"/>
        <v>0</v>
      </c>
      <c r="O116" s="253">
        <f t="shared" si="54"/>
        <v>0</v>
      </c>
      <c r="P116" s="253">
        <f t="shared" si="54"/>
        <v>0</v>
      </c>
      <c r="Q116" s="253">
        <f t="shared" si="54"/>
        <v>0</v>
      </c>
      <c r="R116" s="64" t="str">
        <f t="shared" si="51"/>
        <v/>
      </c>
    </row>
    <row r="117" spans="2:18" x14ac:dyDescent="0.3">
      <c r="B117" t="s">
        <v>472</v>
      </c>
      <c r="G117" s="268" t="str">
        <f>IFERROR(G23/G22,"")</f>
        <v/>
      </c>
      <c r="H117" s="268" t="str">
        <f t="shared" ref="H117:Q117" si="55">IFERROR(H23/H22,"")</f>
        <v/>
      </c>
      <c r="I117" s="268" t="str">
        <f t="shared" si="55"/>
        <v/>
      </c>
      <c r="J117" s="268" t="str">
        <f t="shared" si="55"/>
        <v/>
      </c>
      <c r="K117" s="268" t="str">
        <f t="shared" si="55"/>
        <v/>
      </c>
      <c r="L117" s="268" t="str">
        <f t="shared" si="55"/>
        <v/>
      </c>
      <c r="M117" s="268" t="str">
        <f t="shared" si="55"/>
        <v/>
      </c>
      <c r="N117" s="268" t="str">
        <f t="shared" si="55"/>
        <v/>
      </c>
      <c r="O117" s="268" t="str">
        <f t="shared" si="55"/>
        <v/>
      </c>
      <c r="P117" s="268" t="str">
        <f t="shared" si="55"/>
        <v/>
      </c>
      <c r="Q117" s="268" t="str">
        <f t="shared" si="55"/>
        <v/>
      </c>
      <c r="R117" s="64" t="str">
        <f t="shared" si="51"/>
        <v/>
      </c>
    </row>
    <row r="118" spans="2:18" x14ac:dyDescent="0.3">
      <c r="B118" t="s">
        <v>316</v>
      </c>
      <c r="G118" s="273" t="str">
        <f>IFERROR(G16*(1-G117),"")</f>
        <v/>
      </c>
      <c r="H118" s="273" t="str">
        <f t="shared" ref="H118:Q118" si="56">IFERROR(H16*(1-H117),"")</f>
        <v/>
      </c>
      <c r="I118" s="273" t="str">
        <f t="shared" si="56"/>
        <v/>
      </c>
      <c r="J118" s="273" t="str">
        <f t="shared" si="56"/>
        <v/>
      </c>
      <c r="K118" s="273" t="str">
        <f t="shared" si="56"/>
        <v/>
      </c>
      <c r="L118" s="273" t="str">
        <f t="shared" si="56"/>
        <v/>
      </c>
      <c r="M118" s="273" t="str">
        <f t="shared" si="56"/>
        <v/>
      </c>
      <c r="N118" s="273" t="str">
        <f t="shared" si="56"/>
        <v/>
      </c>
      <c r="O118" s="273" t="str">
        <f t="shared" si="56"/>
        <v/>
      </c>
      <c r="P118" s="273" t="str">
        <f t="shared" si="56"/>
        <v/>
      </c>
      <c r="Q118" s="273" t="str">
        <f t="shared" si="56"/>
        <v/>
      </c>
      <c r="R118" s="64" t="str">
        <f t="shared" si="51"/>
        <v/>
      </c>
    </row>
    <row r="119" spans="2:18" x14ac:dyDescent="0.3">
      <c r="B119" t="s">
        <v>359</v>
      </c>
      <c r="G119" s="517" t="str">
        <f>IFERROR(G35/G6*365,"")</f>
        <v/>
      </c>
      <c r="H119" s="517" t="str">
        <f t="shared" ref="H119:Q119" si="57">IFERROR(H35/H6*365,"")</f>
        <v/>
      </c>
      <c r="I119" s="517" t="str">
        <f t="shared" si="57"/>
        <v/>
      </c>
      <c r="J119" s="517" t="str">
        <f t="shared" si="57"/>
        <v/>
      </c>
      <c r="K119" s="517" t="str">
        <f t="shared" si="57"/>
        <v/>
      </c>
      <c r="L119" s="517" t="str">
        <f t="shared" si="57"/>
        <v/>
      </c>
      <c r="M119" s="517" t="str">
        <f t="shared" si="57"/>
        <v/>
      </c>
      <c r="N119" s="517" t="str">
        <f t="shared" si="57"/>
        <v/>
      </c>
      <c r="O119" s="517" t="str">
        <f t="shared" si="57"/>
        <v/>
      </c>
      <c r="P119" s="517" t="str">
        <f t="shared" si="57"/>
        <v/>
      </c>
      <c r="Q119" s="517" t="str">
        <f t="shared" si="57"/>
        <v/>
      </c>
      <c r="R119" s="64" t="str">
        <f t="shared" si="51"/>
        <v/>
      </c>
    </row>
    <row r="120" spans="2:18" x14ac:dyDescent="0.3">
      <c r="B120" t="s">
        <v>361</v>
      </c>
      <c r="G120" s="517" t="str">
        <f>IFERROR(G36/G7*365,"")</f>
        <v/>
      </c>
      <c r="H120" s="517" t="str">
        <f t="shared" ref="H120:Q120" si="58">IFERROR(H36/H7*365,"")</f>
        <v/>
      </c>
      <c r="I120" s="517" t="str">
        <f t="shared" si="58"/>
        <v/>
      </c>
      <c r="J120" s="517" t="str">
        <f t="shared" si="58"/>
        <v/>
      </c>
      <c r="K120" s="517" t="str">
        <f t="shared" si="58"/>
        <v/>
      </c>
      <c r="L120" s="517" t="str">
        <f t="shared" si="58"/>
        <v/>
      </c>
      <c r="M120" s="517" t="str">
        <f t="shared" si="58"/>
        <v/>
      </c>
      <c r="N120" s="517" t="str">
        <f t="shared" si="58"/>
        <v/>
      </c>
      <c r="O120" s="517" t="str">
        <f t="shared" si="58"/>
        <v/>
      </c>
      <c r="P120" s="517" t="str">
        <f t="shared" si="58"/>
        <v/>
      </c>
      <c r="Q120" s="517" t="str">
        <f t="shared" si="58"/>
        <v/>
      </c>
      <c r="R120" s="64" t="str">
        <f t="shared" si="51"/>
        <v/>
      </c>
    </row>
    <row r="121" spans="2:18" x14ac:dyDescent="0.3">
      <c r="B121" t="s">
        <v>370</v>
      </c>
      <c r="G121" s="517" t="str">
        <f>IFERROR(G49/G6*365,"")</f>
        <v/>
      </c>
      <c r="H121" s="517" t="str">
        <f t="shared" ref="H121:Q121" si="59">IFERROR(H49/H6*365,"")</f>
        <v/>
      </c>
      <c r="I121" s="517" t="str">
        <f t="shared" si="59"/>
        <v/>
      </c>
      <c r="J121" s="517" t="str">
        <f t="shared" si="59"/>
        <v/>
      </c>
      <c r="K121" s="517" t="str">
        <f t="shared" si="59"/>
        <v/>
      </c>
      <c r="L121" s="517" t="str">
        <f t="shared" si="59"/>
        <v/>
      </c>
      <c r="M121" s="517" t="str">
        <f t="shared" si="59"/>
        <v/>
      </c>
      <c r="N121" s="517" t="str">
        <f t="shared" si="59"/>
        <v/>
      </c>
      <c r="O121" s="517" t="str">
        <f t="shared" si="59"/>
        <v/>
      </c>
      <c r="P121" s="517" t="str">
        <f t="shared" si="59"/>
        <v/>
      </c>
      <c r="Q121" s="517" t="str">
        <f t="shared" si="59"/>
        <v/>
      </c>
      <c r="R121" s="64" t="str">
        <f t="shared" si="51"/>
        <v/>
      </c>
    </row>
    <row r="124" spans="2:18" x14ac:dyDescent="0.3">
      <c r="O124"/>
    </row>
    <row r="125" spans="2:18" x14ac:dyDescent="0.3">
      <c r="C125" s="618"/>
    </row>
    <row r="126" spans="2:18" x14ac:dyDescent="0.3">
      <c r="C126" s="618"/>
    </row>
    <row r="127" spans="2:18" x14ac:dyDescent="0.3">
      <c r="C127" s="618"/>
    </row>
    <row r="128" spans="2:18" x14ac:dyDescent="0.3">
      <c r="C128" s="618"/>
    </row>
    <row r="129" spans="3:3" x14ac:dyDescent="0.3">
      <c r="C129" s="618"/>
    </row>
    <row r="130" spans="3:3" x14ac:dyDescent="0.3">
      <c r="C130" s="618"/>
    </row>
    <row r="131" spans="3:3" x14ac:dyDescent="0.3">
      <c r="C131" s="618"/>
    </row>
    <row r="132" spans="3:3" x14ac:dyDescent="0.3">
      <c r="C132" s="618"/>
    </row>
    <row r="133" spans="3:3" x14ac:dyDescent="0.3">
      <c r="C133" s="618"/>
    </row>
    <row r="134" spans="3:3" x14ac:dyDescent="0.3">
      <c r="C134" s="618"/>
    </row>
    <row r="135" spans="3:3" x14ac:dyDescent="0.3">
      <c r="C135" s="618"/>
    </row>
    <row r="136" spans="3:3" x14ac:dyDescent="0.3">
      <c r="C136" s="618"/>
    </row>
    <row r="137" spans="3:3" x14ac:dyDescent="0.3">
      <c r="C137" s="618"/>
    </row>
    <row r="138" spans="3:3" x14ac:dyDescent="0.3">
      <c r="C138" s="618"/>
    </row>
    <row r="139" spans="3:3" x14ac:dyDescent="0.3">
      <c r="C139" s="618"/>
    </row>
    <row r="140" spans="3:3" x14ac:dyDescent="0.3">
      <c r="C140" s="618"/>
    </row>
    <row r="141" spans="3:3" x14ac:dyDescent="0.3">
      <c r="C141" s="618"/>
    </row>
    <row r="142" spans="3:3" x14ac:dyDescent="0.3">
      <c r="C142" s="618"/>
    </row>
    <row r="143" spans="3:3" x14ac:dyDescent="0.3">
      <c r="C143" s="618"/>
    </row>
    <row r="144" spans="3:3" x14ac:dyDescent="0.3">
      <c r="C144" s="618"/>
    </row>
    <row r="145" spans="3:3" x14ac:dyDescent="0.3">
      <c r="C145" s="618"/>
    </row>
    <row r="146" spans="3:3" x14ac:dyDescent="0.3">
      <c r="C146" s="618"/>
    </row>
    <row r="147" spans="3:3" x14ac:dyDescent="0.3">
      <c r="C147" s="618"/>
    </row>
    <row r="148" spans="3:3" x14ac:dyDescent="0.3">
      <c r="C148" s="618"/>
    </row>
    <row r="149" spans="3:3" x14ac:dyDescent="0.3">
      <c r="C149" s="618"/>
    </row>
    <row r="150" spans="3:3" x14ac:dyDescent="0.3">
      <c r="C150" s="618"/>
    </row>
    <row r="151" spans="3:3" x14ac:dyDescent="0.3">
      <c r="C151" s="618"/>
    </row>
    <row r="152" spans="3:3" x14ac:dyDescent="0.3">
      <c r="C152" s="618"/>
    </row>
    <row r="153" spans="3:3" x14ac:dyDescent="0.3">
      <c r="C153" s="618"/>
    </row>
    <row r="154" spans="3:3" x14ac:dyDescent="0.3">
      <c r="C154" s="618"/>
    </row>
    <row r="155" spans="3:3" x14ac:dyDescent="0.3">
      <c r="C155" s="618"/>
    </row>
    <row r="156" spans="3:3" x14ac:dyDescent="0.3">
      <c r="C156" s="618"/>
    </row>
    <row r="157" spans="3:3" x14ac:dyDescent="0.3">
      <c r="C157" s="618"/>
    </row>
    <row r="158" spans="3:3" x14ac:dyDescent="0.3">
      <c r="C158" s="618"/>
    </row>
    <row r="159" spans="3:3" x14ac:dyDescent="0.3">
      <c r="C159" s="618"/>
    </row>
    <row r="160" spans="3:3" x14ac:dyDescent="0.3">
      <c r="C160" s="618"/>
    </row>
    <row r="161" spans="3:3" x14ac:dyDescent="0.3">
      <c r="C161" s="618"/>
    </row>
    <row r="162" spans="3:3" x14ac:dyDescent="0.3">
      <c r="C162" s="618"/>
    </row>
    <row r="163" spans="3:3" x14ac:dyDescent="0.3">
      <c r="C163" s="618"/>
    </row>
    <row r="164" spans="3:3" x14ac:dyDescent="0.3">
      <c r="C164" s="618"/>
    </row>
    <row r="165" spans="3:3" x14ac:dyDescent="0.3">
      <c r="C165" s="618"/>
    </row>
    <row r="166" spans="3:3" x14ac:dyDescent="0.3">
      <c r="C166" s="618"/>
    </row>
    <row r="167" spans="3:3" x14ac:dyDescent="0.3">
      <c r="C167" s="618"/>
    </row>
    <row r="168" spans="3:3" x14ac:dyDescent="0.3">
      <c r="C168" s="618"/>
    </row>
    <row r="169" spans="3:3" x14ac:dyDescent="0.3">
      <c r="C169" s="618"/>
    </row>
    <row r="170" spans="3:3" x14ac:dyDescent="0.3">
      <c r="C170" s="618"/>
    </row>
    <row r="171" spans="3:3" x14ac:dyDescent="0.3">
      <c r="C171" s="618"/>
    </row>
    <row r="172" spans="3:3" x14ac:dyDescent="0.3">
      <c r="C172" s="618"/>
    </row>
    <row r="173" spans="3:3" x14ac:dyDescent="0.3">
      <c r="C173" s="618"/>
    </row>
    <row r="174" spans="3:3" x14ac:dyDescent="0.3">
      <c r="C174" s="618"/>
    </row>
    <row r="175" spans="3:3" x14ac:dyDescent="0.3">
      <c r="C175" s="618"/>
    </row>
    <row r="176" spans="3:3" x14ac:dyDescent="0.3">
      <c r="C176" s="618"/>
    </row>
    <row r="177" spans="3:3" x14ac:dyDescent="0.3">
      <c r="C177" s="618"/>
    </row>
    <row r="178" spans="3:3" x14ac:dyDescent="0.3">
      <c r="C178" s="618"/>
    </row>
    <row r="179" spans="3:3" x14ac:dyDescent="0.3">
      <c r="C179" s="618"/>
    </row>
    <row r="180" spans="3:3" x14ac:dyDescent="0.3">
      <c r="C180" s="618"/>
    </row>
    <row r="181" spans="3:3" x14ac:dyDescent="0.3">
      <c r="C181" s="618"/>
    </row>
    <row r="182" spans="3:3" x14ac:dyDescent="0.3">
      <c r="C182" s="618"/>
    </row>
    <row r="183" spans="3:3" x14ac:dyDescent="0.3">
      <c r="C183" s="618"/>
    </row>
    <row r="184" spans="3:3" x14ac:dyDescent="0.3">
      <c r="C184" s="618"/>
    </row>
    <row r="185" spans="3:3" x14ac:dyDescent="0.3">
      <c r="C185" s="618"/>
    </row>
    <row r="186" spans="3:3" x14ac:dyDescent="0.3">
      <c r="C186" s="618"/>
    </row>
    <row r="187" spans="3:3" x14ac:dyDescent="0.3">
      <c r="C187" s="618"/>
    </row>
    <row r="188" spans="3:3" x14ac:dyDescent="0.3">
      <c r="C188" s="618"/>
    </row>
    <row r="189" spans="3:3" x14ac:dyDescent="0.3">
      <c r="C189" s="618"/>
    </row>
    <row r="190" spans="3:3" x14ac:dyDescent="0.3">
      <c r="C190" s="618"/>
    </row>
    <row r="191" spans="3:3" x14ac:dyDescent="0.3">
      <c r="C191" s="618"/>
    </row>
    <row r="192" spans="3:3" x14ac:dyDescent="0.3">
      <c r="C192" s="618"/>
    </row>
    <row r="193" spans="3:3" x14ac:dyDescent="0.3">
      <c r="C193" s="618"/>
    </row>
    <row r="194" spans="3:3" x14ac:dyDescent="0.3">
      <c r="C194" s="618"/>
    </row>
    <row r="195" spans="3:3" x14ac:dyDescent="0.3">
      <c r="C195" s="618"/>
    </row>
    <row r="196" spans="3:3" x14ac:dyDescent="0.3">
      <c r="C196" s="618"/>
    </row>
    <row r="197" spans="3:3" x14ac:dyDescent="0.3">
      <c r="C197" s="618"/>
    </row>
    <row r="198" spans="3:3" x14ac:dyDescent="0.3">
      <c r="C198" s="618"/>
    </row>
    <row r="199" spans="3:3" x14ac:dyDescent="0.3">
      <c r="C199" s="618"/>
    </row>
    <row r="200" spans="3:3" x14ac:dyDescent="0.3">
      <c r="C200" s="618"/>
    </row>
    <row r="201" spans="3:3" x14ac:dyDescent="0.3">
      <c r="C201" s="618"/>
    </row>
    <row r="202" spans="3:3" x14ac:dyDescent="0.3">
      <c r="C202" s="618"/>
    </row>
    <row r="203" spans="3:3" x14ac:dyDescent="0.3">
      <c r="C203" s="618"/>
    </row>
    <row r="204" spans="3:3" x14ac:dyDescent="0.3">
      <c r="C204" s="618"/>
    </row>
    <row r="205" spans="3:3" x14ac:dyDescent="0.3">
      <c r="C205" s="618"/>
    </row>
    <row r="206" spans="3:3" x14ac:dyDescent="0.3">
      <c r="C206" s="618"/>
    </row>
    <row r="207" spans="3:3" x14ac:dyDescent="0.3">
      <c r="C207" s="618"/>
    </row>
    <row r="208" spans="3:3" x14ac:dyDescent="0.3">
      <c r="C208" s="618"/>
    </row>
    <row r="209" spans="3:3" x14ac:dyDescent="0.3">
      <c r="C209" s="618"/>
    </row>
    <row r="210" spans="3:3" x14ac:dyDescent="0.3">
      <c r="C210" s="618"/>
    </row>
    <row r="211" spans="3:3" x14ac:dyDescent="0.3">
      <c r="C211" s="618"/>
    </row>
    <row r="212" spans="3:3" x14ac:dyDescent="0.3">
      <c r="C212" s="618"/>
    </row>
    <row r="213" spans="3:3" x14ac:dyDescent="0.3">
      <c r="C213" s="618"/>
    </row>
    <row r="214" spans="3:3" x14ac:dyDescent="0.3">
      <c r="C214" s="618"/>
    </row>
    <row r="215" spans="3:3" x14ac:dyDescent="0.3">
      <c r="C215" s="618"/>
    </row>
    <row r="216" spans="3:3" x14ac:dyDescent="0.3">
      <c r="C216" s="618"/>
    </row>
    <row r="217" spans="3:3" x14ac:dyDescent="0.3">
      <c r="C217" s="618"/>
    </row>
    <row r="218" spans="3:3" x14ac:dyDescent="0.3">
      <c r="C218" s="618"/>
    </row>
    <row r="219" spans="3:3" x14ac:dyDescent="0.3">
      <c r="C219" s="618"/>
    </row>
    <row r="220" spans="3:3" x14ac:dyDescent="0.3">
      <c r="C220" s="618"/>
    </row>
    <row r="221" spans="3:3" x14ac:dyDescent="0.3">
      <c r="C221" s="618"/>
    </row>
    <row r="222" spans="3:3" x14ac:dyDescent="0.3">
      <c r="C222" s="618"/>
    </row>
    <row r="223" spans="3:3" x14ac:dyDescent="0.3">
      <c r="C223" s="618"/>
    </row>
    <row r="224" spans="3:3" x14ac:dyDescent="0.3">
      <c r="C224" s="618"/>
    </row>
    <row r="225" spans="3:3" x14ac:dyDescent="0.3">
      <c r="C225" s="618"/>
    </row>
    <row r="226" spans="3:3" x14ac:dyDescent="0.3">
      <c r="C226" s="618"/>
    </row>
    <row r="227" spans="3:3" x14ac:dyDescent="0.3">
      <c r="C227" s="618"/>
    </row>
    <row r="228" spans="3:3" x14ac:dyDescent="0.3">
      <c r="C228" s="618"/>
    </row>
    <row r="229" spans="3:3" x14ac:dyDescent="0.3">
      <c r="C229" s="618"/>
    </row>
    <row r="230" spans="3:3" x14ac:dyDescent="0.3">
      <c r="C230" s="618"/>
    </row>
    <row r="231" spans="3:3" x14ac:dyDescent="0.3">
      <c r="C231" s="618"/>
    </row>
    <row r="232" spans="3:3" x14ac:dyDescent="0.3">
      <c r="C232" s="618"/>
    </row>
    <row r="233" spans="3:3" x14ac:dyDescent="0.3">
      <c r="C233" s="618"/>
    </row>
    <row r="234" spans="3:3" x14ac:dyDescent="0.3">
      <c r="C234" s="618"/>
    </row>
    <row r="235" spans="3:3" x14ac:dyDescent="0.3">
      <c r="C235" s="618"/>
    </row>
    <row r="236" spans="3:3" x14ac:dyDescent="0.3">
      <c r="C236" s="618"/>
    </row>
    <row r="237" spans="3:3" x14ac:dyDescent="0.3">
      <c r="C237" s="618"/>
    </row>
    <row r="238" spans="3:3" x14ac:dyDescent="0.3">
      <c r="C238" s="618"/>
    </row>
    <row r="239" spans="3:3" x14ac:dyDescent="0.3">
      <c r="C239" s="618"/>
    </row>
    <row r="240" spans="3:3" x14ac:dyDescent="0.3">
      <c r="C240" s="618"/>
    </row>
    <row r="241" spans="3:3" x14ac:dyDescent="0.3">
      <c r="C241" s="618"/>
    </row>
    <row r="242" spans="3:3" x14ac:dyDescent="0.3">
      <c r="C242" s="618"/>
    </row>
    <row r="243" spans="3:3" x14ac:dyDescent="0.3">
      <c r="C243" s="618"/>
    </row>
    <row r="244" spans="3:3" x14ac:dyDescent="0.3">
      <c r="C244" s="618"/>
    </row>
    <row r="245" spans="3:3" x14ac:dyDescent="0.3">
      <c r="C245" s="618"/>
    </row>
    <row r="246" spans="3:3" x14ac:dyDescent="0.3">
      <c r="C246" s="618"/>
    </row>
    <row r="247" spans="3:3" x14ac:dyDescent="0.3">
      <c r="C247" s="618"/>
    </row>
    <row r="248" spans="3:3" x14ac:dyDescent="0.3">
      <c r="C248" s="618"/>
    </row>
    <row r="249" spans="3:3" x14ac:dyDescent="0.3">
      <c r="C249" s="618"/>
    </row>
    <row r="250" spans="3:3" x14ac:dyDescent="0.3">
      <c r="C250" s="618"/>
    </row>
    <row r="251" spans="3:3" x14ac:dyDescent="0.3">
      <c r="C251" s="618"/>
    </row>
    <row r="252" spans="3:3" x14ac:dyDescent="0.3">
      <c r="C252" s="618"/>
    </row>
    <row r="253" spans="3:3" x14ac:dyDescent="0.3">
      <c r="C253" s="618"/>
    </row>
    <row r="254" spans="3:3" x14ac:dyDescent="0.3">
      <c r="C254" s="618"/>
    </row>
    <row r="255" spans="3:3" x14ac:dyDescent="0.3">
      <c r="C255" s="618"/>
    </row>
    <row r="256" spans="3:3" x14ac:dyDescent="0.3">
      <c r="C256" s="618"/>
    </row>
    <row r="257" spans="3:3" x14ac:dyDescent="0.3">
      <c r="C257" s="618"/>
    </row>
    <row r="258" spans="3:3" x14ac:dyDescent="0.3">
      <c r="C258" s="618"/>
    </row>
    <row r="259" spans="3:3" x14ac:dyDescent="0.3">
      <c r="C259" s="618"/>
    </row>
    <row r="260" spans="3:3" x14ac:dyDescent="0.3">
      <c r="C260" s="618"/>
    </row>
    <row r="261" spans="3:3" x14ac:dyDescent="0.3">
      <c r="C261" s="618"/>
    </row>
    <row r="262" spans="3:3" x14ac:dyDescent="0.3">
      <c r="C262" s="618"/>
    </row>
    <row r="263" spans="3:3" x14ac:dyDescent="0.3">
      <c r="C263" s="618"/>
    </row>
    <row r="264" spans="3:3" x14ac:dyDescent="0.3">
      <c r="C264" s="618"/>
    </row>
    <row r="265" spans="3:3" x14ac:dyDescent="0.3">
      <c r="C265" s="618"/>
    </row>
    <row r="266" spans="3:3" x14ac:dyDescent="0.3">
      <c r="C266" s="618"/>
    </row>
    <row r="267" spans="3:3" x14ac:dyDescent="0.3">
      <c r="C267" s="618"/>
    </row>
    <row r="268" spans="3:3" x14ac:dyDescent="0.3">
      <c r="C268" s="618"/>
    </row>
    <row r="269" spans="3:3" x14ac:dyDescent="0.3">
      <c r="C269" s="618"/>
    </row>
    <row r="270" spans="3:3" x14ac:dyDescent="0.3">
      <c r="C270" s="618"/>
    </row>
    <row r="271" spans="3:3" x14ac:dyDescent="0.3">
      <c r="C271" s="618"/>
    </row>
    <row r="272" spans="3:3" x14ac:dyDescent="0.3">
      <c r="C272" s="618"/>
    </row>
    <row r="273" spans="3:3" x14ac:dyDescent="0.3">
      <c r="C273" s="618"/>
    </row>
    <row r="274" spans="3:3" x14ac:dyDescent="0.3">
      <c r="C274" s="618"/>
    </row>
    <row r="275" spans="3:3" x14ac:dyDescent="0.3">
      <c r="C275" s="618"/>
    </row>
    <row r="276" spans="3:3" x14ac:dyDescent="0.3">
      <c r="C276" s="618"/>
    </row>
    <row r="277" spans="3:3" x14ac:dyDescent="0.3">
      <c r="C277" s="618"/>
    </row>
    <row r="278" spans="3:3" x14ac:dyDescent="0.3">
      <c r="C278" s="618"/>
    </row>
    <row r="279" spans="3:3" x14ac:dyDescent="0.3">
      <c r="C279" s="618"/>
    </row>
    <row r="280" spans="3:3" x14ac:dyDescent="0.3">
      <c r="C280" s="618"/>
    </row>
    <row r="281" spans="3:3" x14ac:dyDescent="0.3">
      <c r="C281" s="618"/>
    </row>
    <row r="282" spans="3:3" x14ac:dyDescent="0.3">
      <c r="C282" s="618"/>
    </row>
    <row r="283" spans="3:3" x14ac:dyDescent="0.3">
      <c r="C283" s="618"/>
    </row>
    <row r="284" spans="3:3" x14ac:dyDescent="0.3">
      <c r="C284" s="618"/>
    </row>
    <row r="285" spans="3:3" x14ac:dyDescent="0.3">
      <c r="C285" s="618"/>
    </row>
    <row r="286" spans="3:3" x14ac:dyDescent="0.3">
      <c r="C286" s="618"/>
    </row>
    <row r="287" spans="3:3" x14ac:dyDescent="0.3">
      <c r="C287" s="618"/>
    </row>
    <row r="288" spans="3:3" x14ac:dyDescent="0.3">
      <c r="C288" s="618"/>
    </row>
    <row r="289" spans="3:3" x14ac:dyDescent="0.3">
      <c r="C289" s="618"/>
    </row>
    <row r="290" spans="3:3" x14ac:dyDescent="0.3">
      <c r="C290" s="618"/>
    </row>
    <row r="291" spans="3:3" x14ac:dyDescent="0.3">
      <c r="C291" s="618"/>
    </row>
    <row r="292" spans="3:3" x14ac:dyDescent="0.3">
      <c r="C292" s="618"/>
    </row>
    <row r="293" spans="3:3" x14ac:dyDescent="0.3">
      <c r="C293" s="618"/>
    </row>
    <row r="294" spans="3:3" x14ac:dyDescent="0.3">
      <c r="C294" s="618"/>
    </row>
    <row r="295" spans="3:3" x14ac:dyDescent="0.3">
      <c r="C295" s="618"/>
    </row>
    <row r="296" spans="3:3" x14ac:dyDescent="0.3">
      <c r="C296" s="618"/>
    </row>
    <row r="297" spans="3:3" x14ac:dyDescent="0.3">
      <c r="C297" s="618"/>
    </row>
    <row r="298" spans="3:3" x14ac:dyDescent="0.3">
      <c r="C298" s="618"/>
    </row>
    <row r="299" spans="3:3" x14ac:dyDescent="0.3">
      <c r="C299" s="618"/>
    </row>
    <row r="300" spans="3:3" x14ac:dyDescent="0.3">
      <c r="C300" s="618"/>
    </row>
    <row r="301" spans="3:3" x14ac:dyDescent="0.3">
      <c r="C301" s="618"/>
    </row>
    <row r="302" spans="3:3" x14ac:dyDescent="0.3">
      <c r="C302" s="618"/>
    </row>
    <row r="303" spans="3:3" x14ac:dyDescent="0.3">
      <c r="C303" s="618"/>
    </row>
    <row r="304" spans="3:3" x14ac:dyDescent="0.3">
      <c r="C304" s="618"/>
    </row>
    <row r="305" spans="3:3" x14ac:dyDescent="0.3">
      <c r="C305" s="618"/>
    </row>
    <row r="306" spans="3:3" x14ac:dyDescent="0.3">
      <c r="C306" s="618"/>
    </row>
    <row r="307" spans="3:3" x14ac:dyDescent="0.3">
      <c r="C307" s="618"/>
    </row>
    <row r="308" spans="3:3" x14ac:dyDescent="0.3">
      <c r="C308" s="618"/>
    </row>
    <row r="309" spans="3:3" x14ac:dyDescent="0.3">
      <c r="C309" s="618"/>
    </row>
    <row r="310" spans="3:3" x14ac:dyDescent="0.3">
      <c r="C310" s="618"/>
    </row>
    <row r="311" spans="3:3" x14ac:dyDescent="0.3">
      <c r="C311" s="618"/>
    </row>
    <row r="312" spans="3:3" x14ac:dyDescent="0.3">
      <c r="C312" s="618"/>
    </row>
    <row r="313" spans="3:3" x14ac:dyDescent="0.3">
      <c r="C313" s="618"/>
    </row>
    <row r="314" spans="3:3" x14ac:dyDescent="0.3">
      <c r="C314" s="618"/>
    </row>
    <row r="315" spans="3:3" x14ac:dyDescent="0.3">
      <c r="C315" s="618"/>
    </row>
    <row r="316" spans="3:3" x14ac:dyDescent="0.3">
      <c r="C316" s="618"/>
    </row>
    <row r="317" spans="3:3" x14ac:dyDescent="0.3">
      <c r="C317" s="618"/>
    </row>
    <row r="318" spans="3:3" x14ac:dyDescent="0.3">
      <c r="C318" s="618"/>
    </row>
    <row r="319" spans="3:3" x14ac:dyDescent="0.3">
      <c r="C319" s="618"/>
    </row>
    <row r="320" spans="3:3" x14ac:dyDescent="0.3">
      <c r="C320" s="618"/>
    </row>
    <row r="321" spans="3:3" x14ac:dyDescent="0.3">
      <c r="C321" s="618"/>
    </row>
    <row r="322" spans="3:3" x14ac:dyDescent="0.3">
      <c r="C322" s="618"/>
    </row>
    <row r="323" spans="3:3" x14ac:dyDescent="0.3">
      <c r="C323" s="618"/>
    </row>
    <row r="324" spans="3:3" x14ac:dyDescent="0.3">
      <c r="C324" s="618"/>
    </row>
    <row r="325" spans="3:3" x14ac:dyDescent="0.3">
      <c r="C325" s="618"/>
    </row>
    <row r="326" spans="3:3" x14ac:dyDescent="0.3">
      <c r="C326" s="618"/>
    </row>
    <row r="327" spans="3:3" x14ac:dyDescent="0.3">
      <c r="C327" s="618"/>
    </row>
    <row r="328" spans="3:3" x14ac:dyDescent="0.3">
      <c r="C328" s="618"/>
    </row>
    <row r="329" spans="3:3" x14ac:dyDescent="0.3">
      <c r="C329" s="618"/>
    </row>
    <row r="330" spans="3:3" x14ac:dyDescent="0.3">
      <c r="C330" s="618"/>
    </row>
    <row r="331" spans="3:3" x14ac:dyDescent="0.3">
      <c r="C331" s="618"/>
    </row>
    <row r="332" spans="3:3" x14ac:dyDescent="0.3">
      <c r="C332" s="618"/>
    </row>
    <row r="333" spans="3:3" x14ac:dyDescent="0.3">
      <c r="C333" s="618"/>
    </row>
    <row r="334" spans="3:3" x14ac:dyDescent="0.3">
      <c r="C334" s="618"/>
    </row>
    <row r="335" spans="3:3" x14ac:dyDescent="0.3">
      <c r="C335" s="618"/>
    </row>
    <row r="336" spans="3:3" x14ac:dyDescent="0.3">
      <c r="C336" s="618"/>
    </row>
    <row r="337" spans="3:3" x14ac:dyDescent="0.3">
      <c r="C337" s="618"/>
    </row>
    <row r="338" spans="3:3" x14ac:dyDescent="0.3">
      <c r="C338" s="618"/>
    </row>
    <row r="339" spans="3:3" x14ac:dyDescent="0.3">
      <c r="C339" s="618"/>
    </row>
    <row r="340" spans="3:3" x14ac:dyDescent="0.3">
      <c r="C340" s="618"/>
    </row>
    <row r="341" spans="3:3" x14ac:dyDescent="0.3">
      <c r="C341" s="618"/>
    </row>
    <row r="342" spans="3:3" x14ac:dyDescent="0.3">
      <c r="C342" s="618"/>
    </row>
    <row r="343" spans="3:3" x14ac:dyDescent="0.3">
      <c r="C343" s="618"/>
    </row>
    <row r="344" spans="3:3" x14ac:dyDescent="0.3">
      <c r="C344" s="618"/>
    </row>
    <row r="345" spans="3:3" x14ac:dyDescent="0.3">
      <c r="C345" s="618"/>
    </row>
    <row r="346" spans="3:3" x14ac:dyDescent="0.3">
      <c r="C346" s="618"/>
    </row>
    <row r="347" spans="3:3" x14ac:dyDescent="0.3">
      <c r="C347" s="618"/>
    </row>
    <row r="348" spans="3:3" x14ac:dyDescent="0.3">
      <c r="C348" s="618"/>
    </row>
    <row r="349" spans="3:3" x14ac:dyDescent="0.3">
      <c r="C349" s="618"/>
    </row>
    <row r="350" spans="3:3" x14ac:dyDescent="0.3">
      <c r="C350" s="618"/>
    </row>
    <row r="351" spans="3:3" x14ac:dyDescent="0.3">
      <c r="C351" s="618"/>
    </row>
    <row r="352" spans="3:3" x14ac:dyDescent="0.3">
      <c r="C352" s="618"/>
    </row>
    <row r="353" spans="3:3" x14ac:dyDescent="0.3">
      <c r="C353" s="618"/>
    </row>
    <row r="354" spans="3:3" x14ac:dyDescent="0.3">
      <c r="C354" s="618"/>
    </row>
    <row r="355" spans="3:3" x14ac:dyDescent="0.3">
      <c r="C355" s="618"/>
    </row>
    <row r="356" spans="3:3" x14ac:dyDescent="0.3">
      <c r="C356" s="618"/>
    </row>
    <row r="357" spans="3:3" x14ac:dyDescent="0.3">
      <c r="C357" s="618"/>
    </row>
    <row r="358" spans="3:3" x14ac:dyDescent="0.3">
      <c r="C358" s="618"/>
    </row>
    <row r="359" spans="3:3" x14ac:dyDescent="0.3">
      <c r="C359" s="618"/>
    </row>
    <row r="360" spans="3:3" x14ac:dyDescent="0.3">
      <c r="C360" s="618"/>
    </row>
    <row r="361" spans="3:3" x14ac:dyDescent="0.3">
      <c r="C361" s="618"/>
    </row>
    <row r="362" spans="3:3" x14ac:dyDescent="0.3">
      <c r="C362" s="618"/>
    </row>
    <row r="363" spans="3:3" x14ac:dyDescent="0.3">
      <c r="C363" s="618"/>
    </row>
    <row r="364" spans="3:3" x14ac:dyDescent="0.3">
      <c r="C364" s="618"/>
    </row>
    <row r="365" spans="3:3" x14ac:dyDescent="0.3">
      <c r="C365" s="618"/>
    </row>
    <row r="366" spans="3:3" x14ac:dyDescent="0.3">
      <c r="C366" s="618"/>
    </row>
    <row r="367" spans="3:3" x14ac:dyDescent="0.3">
      <c r="C367" s="618"/>
    </row>
    <row r="368" spans="3:3" x14ac:dyDescent="0.3">
      <c r="C368" s="618"/>
    </row>
    <row r="369" spans="3:3" x14ac:dyDescent="0.3">
      <c r="C369" s="618"/>
    </row>
    <row r="370" spans="3:3" x14ac:dyDescent="0.3">
      <c r="C370" s="618"/>
    </row>
    <row r="371" spans="3:3" x14ac:dyDescent="0.3">
      <c r="C371" s="618"/>
    </row>
    <row r="372" spans="3:3" x14ac:dyDescent="0.3">
      <c r="C372" s="618"/>
    </row>
    <row r="373" spans="3:3" x14ac:dyDescent="0.3">
      <c r="C373" s="618"/>
    </row>
    <row r="374" spans="3:3" x14ac:dyDescent="0.3">
      <c r="C374" s="618"/>
    </row>
    <row r="375" spans="3:3" x14ac:dyDescent="0.3">
      <c r="C375" s="618"/>
    </row>
    <row r="376" spans="3:3" x14ac:dyDescent="0.3">
      <c r="C376" s="618"/>
    </row>
    <row r="377" spans="3:3" x14ac:dyDescent="0.3">
      <c r="C377" s="618"/>
    </row>
    <row r="378" spans="3:3" x14ac:dyDescent="0.3">
      <c r="C378" s="618"/>
    </row>
    <row r="379" spans="3:3" x14ac:dyDescent="0.3">
      <c r="C379" s="618"/>
    </row>
    <row r="380" spans="3:3" x14ac:dyDescent="0.3">
      <c r="C380" s="618"/>
    </row>
    <row r="381" spans="3:3" x14ac:dyDescent="0.3">
      <c r="C381" s="618"/>
    </row>
    <row r="382" spans="3:3" x14ac:dyDescent="0.3">
      <c r="C382" s="618"/>
    </row>
    <row r="383" spans="3:3" x14ac:dyDescent="0.3">
      <c r="C383" s="618"/>
    </row>
    <row r="384" spans="3:3" x14ac:dyDescent="0.3">
      <c r="C384" s="618"/>
    </row>
    <row r="385" spans="3:3" x14ac:dyDescent="0.3">
      <c r="C385" s="618"/>
    </row>
    <row r="386" spans="3:3" x14ac:dyDescent="0.3">
      <c r="C386" s="618"/>
    </row>
    <row r="387" spans="3:3" x14ac:dyDescent="0.3">
      <c r="C387" s="618"/>
    </row>
    <row r="388" spans="3:3" x14ac:dyDescent="0.3">
      <c r="C388" s="618"/>
    </row>
    <row r="389" spans="3:3" x14ac:dyDescent="0.3">
      <c r="C389" s="618"/>
    </row>
    <row r="390" spans="3:3" x14ac:dyDescent="0.3">
      <c r="C390" s="618"/>
    </row>
    <row r="391" spans="3:3" x14ac:dyDescent="0.3">
      <c r="C391" s="618"/>
    </row>
    <row r="392" spans="3:3" x14ac:dyDescent="0.3">
      <c r="C392" s="618"/>
    </row>
    <row r="393" spans="3:3" x14ac:dyDescent="0.3">
      <c r="C393" s="618"/>
    </row>
    <row r="394" spans="3:3" x14ac:dyDescent="0.3">
      <c r="C394" s="618"/>
    </row>
    <row r="395" spans="3:3" x14ac:dyDescent="0.3">
      <c r="C395" s="618"/>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zoomScale="115" zoomScaleNormal="115" workbookViewId="0">
      <selection activeCell="M19" sqref="M19"/>
    </sheetView>
  </sheetViews>
  <sheetFormatPr defaultColWidth="8.83203125" defaultRowHeight="14" x14ac:dyDescent="0.3"/>
  <cols>
    <col min="1" max="1" width="2.33203125" customWidth="1"/>
    <col min="6" max="6" width="8.08203125" customWidth="1"/>
    <col min="7" max="7" width="12.5" bestFit="1" customWidth="1"/>
    <col min="9" max="9" width="15.33203125" customWidth="1"/>
    <col min="10" max="10" width="7.5" customWidth="1"/>
    <col min="13" max="13" width="33" customWidth="1"/>
    <col min="14" max="14" width="14" customWidth="1"/>
    <col min="16" max="16" width="26.58203125" bestFit="1" customWidth="1"/>
    <col min="17" max="17" width="10.33203125" bestFit="1" customWidth="1"/>
    <col min="18" max="18" width="12.08203125" bestFit="1" customWidth="1"/>
  </cols>
  <sheetData>
    <row r="2" spans="2:14" s="37" customFormat="1" ht="20" x14ac:dyDescent="0.4">
      <c r="B2" s="40" t="s">
        <v>322</v>
      </c>
    </row>
    <row r="4" spans="2:14" x14ac:dyDescent="0.3">
      <c r="B4" t="s">
        <v>473</v>
      </c>
    </row>
    <row r="5" spans="2:14" x14ac:dyDescent="0.3">
      <c r="B5" t="s">
        <v>474</v>
      </c>
    </row>
    <row r="7" spans="2:14" x14ac:dyDescent="0.3">
      <c r="B7" s="2" t="s">
        <v>322</v>
      </c>
      <c r="C7" s="3"/>
      <c r="D7" s="3"/>
      <c r="E7" s="3"/>
      <c r="F7" s="3"/>
      <c r="G7" s="117"/>
      <c r="I7" s="2" t="s">
        <v>475</v>
      </c>
      <c r="J7" s="118" t="s">
        <v>87</v>
      </c>
      <c r="K7" s="118" t="s">
        <v>476</v>
      </c>
      <c r="M7" s="726" t="s">
        <v>145</v>
      </c>
      <c r="N7" s="727" t="s">
        <v>477</v>
      </c>
    </row>
    <row r="8" spans="2:14" ht="4" customHeight="1" x14ac:dyDescent="0.3">
      <c r="B8" s="119"/>
      <c r="C8" s="120"/>
      <c r="D8" s="120"/>
      <c r="E8" s="120"/>
      <c r="F8" s="120"/>
      <c r="G8" s="121"/>
      <c r="I8" s="120"/>
      <c r="J8" s="122"/>
      <c r="K8" s="123"/>
      <c r="M8" s="728" t="s">
        <v>478</v>
      </c>
      <c r="N8" s="728"/>
    </row>
    <row r="9" spans="2:14" x14ac:dyDescent="0.3">
      <c r="B9" s="124" t="s">
        <v>479</v>
      </c>
      <c r="G9" s="125" cm="1">
        <f t="array" aca="1" ref="G9" ca="1">+_FV(DCF!R4,"Market cap",TRUE)/1000000</f>
        <v>254220.78458100001</v>
      </c>
      <c r="J9" s="126"/>
      <c r="K9" s="127"/>
      <c r="M9" s="124" t="str">
        <f>+Peers!B8</f>
        <v/>
      </c>
      <c r="N9" s="730" t="str">
        <f>+Peers!E75</f>
        <v/>
      </c>
    </row>
    <row r="10" spans="2:14" x14ac:dyDescent="0.3">
      <c r="B10" t="s">
        <v>480</v>
      </c>
      <c r="G10" s="17">
        <f ca="1">IFERROR(G9/G23,"")</f>
        <v>1</v>
      </c>
      <c r="J10" s="126"/>
      <c r="K10" s="127"/>
      <c r="M10" s="124" t="str">
        <f>+Peers!B9</f>
        <v/>
      </c>
      <c r="N10" s="730" t="str">
        <f>+Peers!F75</f>
        <v/>
      </c>
    </row>
    <row r="11" spans="2:14" x14ac:dyDescent="0.3">
      <c r="B11" t="s">
        <v>481</v>
      </c>
      <c r="G11" s="32" t="str">
        <f ca="1">IFERROR(G12+G14*G15,"")</f>
        <v/>
      </c>
      <c r="J11" s="126"/>
      <c r="K11" s="127"/>
      <c r="M11" s="124" t="str">
        <f>+Peers!B10</f>
        <v/>
      </c>
      <c r="N11" s="730" t="str">
        <f>+Peers!G75</f>
        <v/>
      </c>
    </row>
    <row r="12" spans="2:14" x14ac:dyDescent="0.3">
      <c r="B12" t="s">
        <v>482</v>
      </c>
      <c r="G12" s="128"/>
      <c r="J12" s="126"/>
      <c r="K12" s="127"/>
      <c r="M12" s="124" t="str">
        <f>+Peers!B11</f>
        <v/>
      </c>
      <c r="N12" s="730" t="str">
        <f>+Peers!H75</f>
        <v/>
      </c>
    </row>
    <row r="13" spans="2:14" x14ac:dyDescent="0.3">
      <c r="B13" t="s">
        <v>483</v>
      </c>
      <c r="G13" s="129" t="str">
        <f>+N19</f>
        <v/>
      </c>
      <c r="J13" s="126"/>
      <c r="K13" s="127"/>
      <c r="M13" s="124" t="str">
        <f>+Peers!B12</f>
        <v/>
      </c>
      <c r="N13" s="730" t="str">
        <f>+Peers!I75</f>
        <v/>
      </c>
    </row>
    <row r="14" spans="2:14" x14ac:dyDescent="0.3">
      <c r="B14" t="s">
        <v>32</v>
      </c>
      <c r="G14" s="789" t="str">
        <f ca="1">+IFERROR(G13*(1+(1-G21)*(G18/G9)),"")</f>
        <v/>
      </c>
      <c r="I14" t="s">
        <v>107</v>
      </c>
      <c r="J14" s="32">
        <f>1-SUM(J9:J13)</f>
        <v>1</v>
      </c>
      <c r="K14" s="32">
        <f>MAX(K9:K13)</f>
        <v>0</v>
      </c>
      <c r="M14" s="124" t="str">
        <f>+Peers!B13</f>
        <v/>
      </c>
      <c r="N14" s="730" t="str">
        <f>+Peers!J75</f>
        <v/>
      </c>
    </row>
    <row r="15" spans="2:14" x14ac:dyDescent="0.3">
      <c r="B15" t="s">
        <v>484</v>
      </c>
      <c r="G15" s="417">
        <f>SUMPRODUCT(J9:J14,K9:K14)</f>
        <v>0</v>
      </c>
      <c r="J15" s="32"/>
      <c r="K15" s="32"/>
      <c r="M15" s="124" t="str">
        <f>+Peers!B14</f>
        <v/>
      </c>
      <c r="N15" s="730" t="str">
        <f>+Peers!K75</f>
        <v/>
      </c>
    </row>
    <row r="16" spans="2:14" x14ac:dyDescent="0.3">
      <c r="B16" s="1" t="s">
        <v>485</v>
      </c>
      <c r="G16" s="32" t="str">
        <f>IFERROR(+G12+G13*G15,"")</f>
        <v/>
      </c>
      <c r="J16" s="32"/>
      <c r="K16" s="32"/>
      <c r="M16" s="124" t="str">
        <f>+Peers!B15</f>
        <v/>
      </c>
      <c r="N16" s="730" t="str">
        <f>+Peers!L75</f>
        <v/>
      </c>
    </row>
    <row r="17" spans="2:14" x14ac:dyDescent="0.3">
      <c r="M17" s="124" t="str">
        <f>+Peers!B16</f>
        <v/>
      </c>
      <c r="N17" s="730" t="str">
        <f>+Peers!M75</f>
        <v/>
      </c>
    </row>
    <row r="18" spans="2:14" x14ac:dyDescent="0.3">
      <c r="B18" s="124" t="s">
        <v>486</v>
      </c>
      <c r="G18" s="130">
        <v>0</v>
      </c>
      <c r="M18" s="124" t="str">
        <f>+Peers!B17</f>
        <v/>
      </c>
      <c r="N18" s="730" t="str">
        <f>+Peers!N75</f>
        <v/>
      </c>
    </row>
    <row r="19" spans="2:14" x14ac:dyDescent="0.3">
      <c r="B19" t="s">
        <v>351</v>
      </c>
      <c r="G19" s="17">
        <f ca="1">IFERROR(G18/G23,"")</f>
        <v>0</v>
      </c>
      <c r="M19" s="729" t="s">
        <v>147</v>
      </c>
      <c r="N19" s="731" t="str">
        <f>IFERROR(+AVERAGEIF(N9:N18,"&gt;0"),"")</f>
        <v/>
      </c>
    </row>
    <row r="20" spans="2:14" x14ac:dyDescent="0.3">
      <c r="B20" t="s">
        <v>487</v>
      </c>
      <c r="G20" s="128">
        <v>0</v>
      </c>
    </row>
    <row r="21" spans="2:14" x14ac:dyDescent="0.3">
      <c r="B21" t="s">
        <v>488</v>
      </c>
      <c r="G21" s="128" t="str">
        <f>+DCF!H79</f>
        <v/>
      </c>
    </row>
    <row r="23" spans="2:14" x14ac:dyDescent="0.3">
      <c r="B23" t="s">
        <v>88</v>
      </c>
      <c r="G23" s="27">
        <f ca="1">+G9+G18</f>
        <v>254220.78458100001</v>
      </c>
    </row>
    <row r="25" spans="2:14" x14ac:dyDescent="0.3">
      <c r="B25" s="1" t="s">
        <v>322</v>
      </c>
      <c r="G25" s="131" t="str">
        <f ca="1">IFERROR(G10*G11+G19*G20*(1-G21),"")</f>
        <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zoomScaleNormal="100" workbookViewId="0">
      <selection activeCell="F22" sqref="F22"/>
    </sheetView>
  </sheetViews>
  <sheetFormatPr defaultColWidth="8.83203125" defaultRowHeight="14" x14ac:dyDescent="0.3"/>
  <cols>
    <col min="1" max="1" width="1.58203125" customWidth="1"/>
    <col min="2" max="2" width="15.58203125" style="8" customWidth="1"/>
    <col min="4" max="4" width="16.08203125" customWidth="1"/>
    <col min="5" max="13" width="13.33203125" customWidth="1"/>
    <col min="14" max="17" width="12.58203125" style="26" customWidth="1"/>
    <col min="18" max="18" width="12.58203125" customWidth="1"/>
  </cols>
  <sheetData>
    <row r="1" spans="2:19" x14ac:dyDescent="0.3">
      <c r="R1" s="26"/>
    </row>
    <row r="2" spans="2:19" s="261" customFormat="1" ht="20.149999999999999" customHeight="1" x14ac:dyDescent="0.4">
      <c r="B2" s="260" t="s">
        <v>489</v>
      </c>
      <c r="C2" s="514"/>
      <c r="D2" s="514"/>
      <c r="E2" s="514"/>
      <c r="F2" s="514"/>
      <c r="G2" s="514"/>
      <c r="H2" s="514"/>
      <c r="I2" s="514"/>
      <c r="J2" s="514"/>
      <c r="K2" s="514"/>
      <c r="L2" s="514"/>
      <c r="M2" s="514"/>
      <c r="N2" s="515"/>
      <c r="O2" s="515"/>
      <c r="P2" s="515"/>
      <c r="Q2" s="262"/>
      <c r="R2" s="262"/>
      <c r="S2" s="514"/>
    </row>
    <row r="3" spans="2:19" x14ac:dyDescent="0.3">
      <c r="R3" s="26"/>
    </row>
    <row r="4" spans="2:19" ht="15.5" x14ac:dyDescent="0.35">
      <c r="B4" s="7" t="s">
        <v>490</v>
      </c>
      <c r="C4" s="56"/>
      <c r="D4" s="58"/>
      <c r="E4" s="58"/>
      <c r="F4" s="394">
        <v>2014</v>
      </c>
      <c r="G4" s="394">
        <f t="shared" ref="G4:J4" si="0">+F4+1</f>
        <v>2015</v>
      </c>
      <c r="H4" s="394">
        <f t="shared" si="0"/>
        <v>2016</v>
      </c>
      <c r="I4" s="394">
        <f t="shared" si="0"/>
        <v>2017</v>
      </c>
      <c r="J4" s="394">
        <f t="shared" si="0"/>
        <v>2018</v>
      </c>
      <c r="K4" s="394">
        <f t="shared" ref="K4" si="1">+J4+1</f>
        <v>2019</v>
      </c>
      <c r="L4" s="394">
        <f t="shared" ref="L4" si="2">+K4+1</f>
        <v>2020</v>
      </c>
      <c r="M4" s="394">
        <f t="shared" ref="M4" si="3">+L4+1</f>
        <v>2021</v>
      </c>
      <c r="N4" s="394">
        <v>2022</v>
      </c>
      <c r="O4" s="394">
        <f t="shared" ref="O4" si="4">+N4+1</f>
        <v>2023</v>
      </c>
      <c r="P4" s="395">
        <f>+O4+1</f>
        <v>2024</v>
      </c>
      <c r="Q4" s="393">
        <f>+P4+1</f>
        <v>2025</v>
      </c>
      <c r="R4" s="393">
        <f>+Q4+1</f>
        <v>2026</v>
      </c>
    </row>
    <row r="5" spans="2:19" ht="4" customHeight="1" x14ac:dyDescent="0.35">
      <c r="B5" s="263"/>
      <c r="C5" s="53"/>
      <c r="D5" s="60"/>
      <c r="E5" s="60"/>
      <c r="F5" s="60"/>
      <c r="G5" s="60"/>
      <c r="H5" s="60"/>
      <c r="I5" s="60"/>
      <c r="J5" s="60"/>
      <c r="K5" s="60"/>
      <c r="L5" s="60"/>
      <c r="M5" s="60"/>
      <c r="N5" s="236"/>
      <c r="O5" s="236"/>
      <c r="P5" s="374"/>
      <c r="Q5" s="236"/>
      <c r="R5" s="236"/>
    </row>
    <row r="6" spans="2:19" ht="15.5" x14ac:dyDescent="0.35">
      <c r="B6" s="15" t="s">
        <v>9</v>
      </c>
      <c r="F6" s="16" t="str">
        <f ca="1">IFERROR(_xlfn.XLOOKUP("Enterprise Value",Inputs!$B:$B,Inputs!G:G)/_xlfn.XLOOKUP("Revenue (Sales)",Inputs!$B:$B,Inputs!G:G),"")</f>
        <v/>
      </c>
      <c r="G6" s="16" t="str">
        <f ca="1">IFERROR(_xlfn.XLOOKUP("Enterprise Value",Inputs!$B:$B,Inputs!H:H)/_xlfn.XLOOKUP("Revenue (Sales)",Inputs!$B:$B,Inputs!H:H),"")</f>
        <v/>
      </c>
      <c r="H6" s="16" t="str">
        <f ca="1">IFERROR(_xlfn.XLOOKUP("Enterprise Value",Inputs!$B:$B,Inputs!I:I)/_xlfn.XLOOKUP("Revenue (Sales)",Inputs!$B:$B,Inputs!I:I),"")</f>
        <v/>
      </c>
      <c r="I6" s="16" t="str">
        <f ca="1">IFERROR(_xlfn.XLOOKUP("Enterprise Value",Inputs!$B:$B,Inputs!J:J)/_xlfn.XLOOKUP("Revenue (Sales)",Inputs!$B:$B,Inputs!J:J),"")</f>
        <v/>
      </c>
      <c r="J6" s="16" t="str">
        <f ca="1">IFERROR(_xlfn.XLOOKUP("Enterprise Value",Inputs!$B:$B,Inputs!K:K)/_xlfn.XLOOKUP("Revenue (Sales)",Inputs!$B:$B,Inputs!K:K),"")</f>
        <v/>
      </c>
      <c r="K6" s="16" t="str">
        <f ca="1">IFERROR(_xlfn.XLOOKUP("Enterprise Value",Inputs!$B:$B,Inputs!L:L)/_xlfn.XLOOKUP("Revenue (Sales)",Inputs!$B:$B,Inputs!L:L),"")</f>
        <v/>
      </c>
      <c r="L6" s="16" t="str">
        <f ca="1">IFERROR(_xlfn.XLOOKUP("Enterprise Value",Inputs!$B:$B,Inputs!M:M)/_xlfn.XLOOKUP("Revenue (Sales)",Inputs!$B:$B,Inputs!M:M),"")</f>
        <v/>
      </c>
      <c r="M6" s="16" t="str">
        <f ca="1">IFERROR(_xlfn.XLOOKUP("Enterprise Value",Inputs!$B:$B,Inputs!N:N)/_xlfn.XLOOKUP("Revenue (Sales)",Inputs!$B:$B,Inputs!N:N),"")</f>
        <v/>
      </c>
      <c r="N6" s="16" t="str">
        <f ca="1">IFERROR(_xlfn.XLOOKUP("Enterprise Value",Inputs!$B:$B,Inputs!O:O)/_xlfn.XLOOKUP("Revenue (Sales)",Inputs!$B:$B,Inputs!O:O),"")</f>
        <v/>
      </c>
      <c r="O6" s="16" t="str">
        <f ca="1">IFERROR(_xlfn.XLOOKUP("Enterprise Value",Inputs!$B:$B,Inputs!P:P)/_xlfn.XLOOKUP("Revenue (Sales)",Inputs!$B:$B,Inputs!P:P),"")</f>
        <v/>
      </c>
      <c r="P6" s="372" t="str">
        <f ca="1">IFERROR(_xlfn.XLOOKUP("Enterprise Value",Inputs!$B:$B,Inputs!Q:Q)/_xlfn.XLOOKUP("Revenue (Sales)",Inputs!$B:$B,Inputs!Q:Q),"")</f>
        <v/>
      </c>
      <c r="Q6" s="379" t="str">
        <f ca="1">IFERROR(_xlfn.XLOOKUP("Enterprise Value",DCF!$B:$B,DCF!R:R)/_xlfn.XLOOKUP("Revenue (Sales)",DCF!$B:$B,DCF!H:H),"")</f>
        <v/>
      </c>
      <c r="R6" s="379" t="str">
        <f ca="1">IFERROR(_xlfn.XLOOKUP("Enterprise Value",DCF!$B:$B,DCF!S:S)/_xlfn.XLOOKUP("Revenue (Sales)",DCF!$B:$B,DCF!I:I),"")</f>
        <v/>
      </c>
    </row>
    <row r="7" spans="2:19" ht="15.5" x14ac:dyDescent="0.35">
      <c r="B7" s="18" t="s">
        <v>11</v>
      </c>
      <c r="F7" s="16" t="str">
        <f ca="1">IFERROR(_xlfn.XLOOKUP("Market Capitalization",Inputs!$B:$B,Inputs!G:G)/_xlfn.XLOOKUP("Revenue (Sales)",Inputs!$B:$B,Inputs!G:G),"")</f>
        <v/>
      </c>
      <c r="G7" s="16" t="str">
        <f ca="1">IFERROR(_xlfn.XLOOKUP("Market Capitalization",Inputs!$B:$B,Inputs!H:H)/_xlfn.XLOOKUP("Revenue (Sales)",Inputs!$B:$B,Inputs!H:H),"")</f>
        <v/>
      </c>
      <c r="H7" s="16" t="str">
        <f ca="1">IFERROR(_xlfn.XLOOKUP("Market Capitalization",Inputs!$B:$B,Inputs!I:I)/_xlfn.XLOOKUP("Revenue (Sales)",Inputs!$B:$B,Inputs!I:I),"")</f>
        <v/>
      </c>
      <c r="I7" s="16" t="str">
        <f ca="1">IFERROR(_xlfn.XLOOKUP("Market Capitalization",Inputs!$B:$B,Inputs!J:J)/_xlfn.XLOOKUP("Revenue (Sales)",Inputs!$B:$B,Inputs!J:J),"")</f>
        <v/>
      </c>
      <c r="J7" s="16" t="str">
        <f ca="1">IFERROR(_xlfn.XLOOKUP("Market Capitalization",Inputs!$B:$B,Inputs!K:K)/_xlfn.XLOOKUP("Revenue (Sales)",Inputs!$B:$B,Inputs!K:K),"")</f>
        <v/>
      </c>
      <c r="K7" s="16" t="str">
        <f ca="1">IFERROR(_xlfn.XLOOKUP("Market Capitalization",Inputs!$B:$B,Inputs!L:L)/_xlfn.XLOOKUP("Revenue (Sales)",Inputs!$B:$B,Inputs!L:L),"")</f>
        <v/>
      </c>
      <c r="L7" s="16" t="str">
        <f ca="1">IFERROR(_xlfn.XLOOKUP("Market Capitalization",Inputs!$B:$B,Inputs!M:M)/_xlfn.XLOOKUP("Revenue (Sales)",Inputs!$B:$B,Inputs!M:M),"")</f>
        <v/>
      </c>
      <c r="M7" s="16" t="str">
        <f ca="1">IFERROR(_xlfn.XLOOKUP("Market Capitalization",Inputs!$B:$B,Inputs!N:N)/_xlfn.XLOOKUP("Revenue (Sales)",Inputs!$B:$B,Inputs!N:N),"")</f>
        <v/>
      </c>
      <c r="N7" s="16" t="str">
        <f ca="1">IFERROR(_xlfn.XLOOKUP("Market Capitalization",Inputs!$B:$B,Inputs!O:O)/_xlfn.XLOOKUP("Revenue (Sales)",Inputs!$B:$B,Inputs!O:O),"")</f>
        <v/>
      </c>
      <c r="O7" s="16" t="str">
        <f ca="1">IFERROR(_xlfn.XLOOKUP("Market Capitalization",Inputs!$B:$B,Inputs!P:P)/_xlfn.XLOOKUP("Revenue (Sales)",Inputs!$B:$B,Inputs!P:P),"")</f>
        <v/>
      </c>
      <c r="P7" s="372" t="str">
        <f ca="1">IFERROR(_xlfn.XLOOKUP("Market Capitalization",Inputs!$B:$B,Inputs!Q:Q)/_xlfn.XLOOKUP("Revenue (Sales)",Inputs!$B:$B,Inputs!Q:Q),"")</f>
        <v/>
      </c>
      <c r="Q7" s="379" t="str">
        <f ca="1">IFERROR(_xlfn.XLOOKUP("Equity Value",DCF!$B:$B,DCF!R:R)/_xlfn.XLOOKUP("Revenue (Sales)",DCF!$B:$B,DCF!H:H),"")</f>
        <v/>
      </c>
      <c r="R7" s="379" t="str">
        <f ca="1">IFERROR(_xlfn.XLOOKUP("Equity Value",DCF!$B:$B,DCF!S:S)/_xlfn.XLOOKUP("Revenue (Sales)",DCF!$B:$B,DCF!I:I),"")</f>
        <v/>
      </c>
    </row>
    <row r="8" spans="2:19" ht="15.5" x14ac:dyDescent="0.35">
      <c r="B8" s="264" t="s">
        <v>13</v>
      </c>
      <c r="F8" s="16" t="str">
        <f ca="1">IFERROR(_xlfn.XLOOKUP("Enterprise Value",Inputs!$B:$B,Inputs!G:G)/_xlfn.XLOOKUP("EBITDA",Inputs!$B:$B,Inputs!G:G),"")</f>
        <v/>
      </c>
      <c r="G8" s="16" t="str">
        <f ca="1">IFERROR(_xlfn.XLOOKUP("Enterprise Value",Inputs!$B:$B,Inputs!H:H)/_xlfn.XLOOKUP("EBITDA",Inputs!$B:$B,Inputs!H:H),"")</f>
        <v/>
      </c>
      <c r="H8" s="16" t="str">
        <f ca="1">IFERROR(_xlfn.XLOOKUP("Enterprise Value",Inputs!$B:$B,Inputs!I:I)/_xlfn.XLOOKUP("EBITDA",Inputs!$B:$B,Inputs!I:I),"")</f>
        <v/>
      </c>
      <c r="I8" s="16" t="str">
        <f ca="1">IFERROR(_xlfn.XLOOKUP("Enterprise Value",Inputs!$B:$B,Inputs!J:J)/_xlfn.XLOOKUP("EBITDA",Inputs!$B:$B,Inputs!J:J),"")</f>
        <v/>
      </c>
      <c r="J8" s="16" t="str">
        <f ca="1">IFERROR(_xlfn.XLOOKUP("Enterprise Value",Inputs!$B:$B,Inputs!K:K)/_xlfn.XLOOKUP("EBITDA",Inputs!$B:$B,Inputs!K:K),"")</f>
        <v/>
      </c>
      <c r="K8" s="16" t="str">
        <f ca="1">IFERROR(_xlfn.XLOOKUP("Enterprise Value",Inputs!$B:$B,Inputs!L:L)/_xlfn.XLOOKUP("EBITDA",Inputs!$B:$B,Inputs!L:L),"")</f>
        <v/>
      </c>
      <c r="L8" s="16" t="str">
        <f ca="1">IFERROR(_xlfn.XLOOKUP("Enterprise Value",Inputs!$B:$B,Inputs!M:M)/_xlfn.XLOOKUP("EBITDA",Inputs!$B:$B,Inputs!M:M),"")</f>
        <v/>
      </c>
      <c r="M8" s="16" t="str">
        <f ca="1">IFERROR(_xlfn.XLOOKUP("Enterprise Value",Inputs!$B:$B,Inputs!N:N)/_xlfn.XLOOKUP("EBITDA",Inputs!$B:$B,Inputs!N:N),"")</f>
        <v/>
      </c>
      <c r="N8" s="16" t="str">
        <f ca="1">IFERROR(_xlfn.XLOOKUP("Enterprise Value",Inputs!$B:$B,Inputs!O:O)/_xlfn.XLOOKUP("EBITDA",Inputs!$B:$B,Inputs!O:O),"")</f>
        <v/>
      </c>
      <c r="O8" s="16" t="str">
        <f ca="1">IFERROR(_xlfn.XLOOKUP("Enterprise Value",Inputs!$B:$B,Inputs!P:P)/_xlfn.XLOOKUP("EBITDA",Inputs!$B:$B,Inputs!P:P),"")</f>
        <v/>
      </c>
      <c r="P8" s="372" t="str">
        <f ca="1">IFERROR(_xlfn.XLOOKUP("Enterprise Value",Inputs!$B:$B,Inputs!Q:Q)/_xlfn.XLOOKUP("EBITDA",Inputs!$B:$B,Inputs!Q:Q),"")</f>
        <v/>
      </c>
      <c r="Q8" s="379" t="str">
        <f ca="1">IFERROR(_xlfn.XLOOKUP("Enterprise Value",DCF!$B:$B,DCF!R:R)/_xlfn.XLOOKUP("EBITDA",DCF!$B:$B,DCF!H:H),"")</f>
        <v/>
      </c>
      <c r="R8" s="379" t="str">
        <f ca="1">IFERROR(_xlfn.XLOOKUP("Enterprise Value",DCF!$B:$B,DCF!S:S)/_xlfn.XLOOKUP("EBITDA",DCF!$B:$B,DCF!I:I),"")</f>
        <v/>
      </c>
    </row>
    <row r="9" spans="2:19" ht="15.5" x14ac:dyDescent="0.35">
      <c r="B9" s="264" t="s">
        <v>15</v>
      </c>
      <c r="F9" s="16" t="str">
        <f ca="1">IFERROR(_xlfn.XLOOKUP("Enterprise Value",Inputs!$B:$B,Inputs!G:G)/_xlfn.XLOOKUP("Operating Income (EBIT)",Inputs!$B:$B,Inputs!G:G),"")</f>
        <v/>
      </c>
      <c r="G9" s="16" t="str">
        <f ca="1">IFERROR(_xlfn.XLOOKUP("Enterprise Value",Inputs!$B:$B,Inputs!H:H)/_xlfn.XLOOKUP("Operating Income (EBIT)",Inputs!$B:$B,Inputs!H:H),"")</f>
        <v/>
      </c>
      <c r="H9" s="16" t="str">
        <f ca="1">IFERROR(_xlfn.XLOOKUP("Enterprise Value",Inputs!$B:$B,Inputs!I:I)/_xlfn.XLOOKUP("Operating Income (EBIT)",Inputs!$B:$B,Inputs!I:I),"")</f>
        <v/>
      </c>
      <c r="I9" s="16" t="str">
        <f ca="1">IFERROR(_xlfn.XLOOKUP("Enterprise Value",Inputs!$B:$B,Inputs!J:J)/_xlfn.XLOOKUP("Operating Income (EBIT)",Inputs!$B:$B,Inputs!J:J),"")</f>
        <v/>
      </c>
      <c r="J9" s="16" t="str">
        <f ca="1">IFERROR(_xlfn.XLOOKUP("Enterprise Value",Inputs!$B:$B,Inputs!K:K)/_xlfn.XLOOKUP("Operating Income (EBIT)",Inputs!$B:$B,Inputs!K:K),"")</f>
        <v/>
      </c>
      <c r="K9" s="16" t="str">
        <f ca="1">IFERROR(_xlfn.XLOOKUP("Enterprise Value",Inputs!$B:$B,Inputs!L:L)/_xlfn.XLOOKUP("Operating Income (EBIT)",Inputs!$B:$B,Inputs!L:L),"")</f>
        <v/>
      </c>
      <c r="L9" s="16" t="str">
        <f ca="1">IFERROR(_xlfn.XLOOKUP("Enterprise Value",Inputs!$B:$B,Inputs!M:M)/_xlfn.XLOOKUP("Operating Income (EBIT)",Inputs!$B:$B,Inputs!M:M),"")</f>
        <v/>
      </c>
      <c r="M9" s="16" t="str">
        <f ca="1">IFERROR(_xlfn.XLOOKUP("Enterprise Value",Inputs!$B:$B,Inputs!N:N)/_xlfn.XLOOKUP("Operating Income (EBIT)",Inputs!$B:$B,Inputs!N:N),"")</f>
        <v/>
      </c>
      <c r="N9" s="16" t="str">
        <f ca="1">IFERROR(_xlfn.XLOOKUP("Enterprise Value",Inputs!$B:$B,Inputs!O:O)/_xlfn.XLOOKUP("Operating Income (EBIT)",Inputs!$B:$B,Inputs!O:O),"")</f>
        <v/>
      </c>
      <c r="O9" s="16" t="str">
        <f ca="1">IFERROR(_xlfn.XLOOKUP("Enterprise Value",Inputs!$B:$B,Inputs!P:P)/_xlfn.XLOOKUP("Operating Income (EBIT)",Inputs!$B:$B,Inputs!P:P),"")</f>
        <v/>
      </c>
      <c r="P9" s="372" t="str">
        <f ca="1">IFERROR(_xlfn.XLOOKUP("Enterprise Value",Inputs!$B:$B,Inputs!Q:Q)/_xlfn.XLOOKUP("Operating Income (EBIT)",Inputs!$B:$B,Inputs!Q:Q),"")</f>
        <v/>
      </c>
      <c r="Q9" s="379" t="str">
        <f ca="1">IFERROR(_xlfn.XLOOKUP("Enterprise Value",DCF!$B:$B,DCF!R:R)/_xlfn.XLOOKUP("Operating Income (EBIT)",DCF!$B:$B,DCF!H:H),"")</f>
        <v/>
      </c>
      <c r="R9" s="379" t="str">
        <f ca="1">IFERROR(_xlfn.XLOOKUP("Enterprise Value",DCF!$B:$B,DCF!S:S)/_xlfn.XLOOKUP("Operating Income (EBIT)",DCF!$B:$B,DCF!I:I),"")</f>
        <v/>
      </c>
    </row>
    <row r="10" spans="2:19" ht="15.5" x14ac:dyDescent="0.35">
      <c r="B10" s="18" t="s">
        <v>16</v>
      </c>
      <c r="F10" s="16" t="str">
        <f ca="1">IFERROR(_xlfn.XLOOKUP("Market Capitalization",Inputs!$B:$B,Inputs!G:G)/_xlfn.XLOOKUP("Net Income",Inputs!$B:$B,Inputs!G:G),"")</f>
        <v/>
      </c>
      <c r="G10" s="16" t="str">
        <f ca="1">IFERROR(_xlfn.XLOOKUP("Market Capitalization",Inputs!$B:$B,Inputs!H:H)/_xlfn.XLOOKUP("Net Income",Inputs!$B:$B,Inputs!H:H),"")</f>
        <v/>
      </c>
      <c r="H10" s="16" t="str">
        <f ca="1">IFERROR(_xlfn.XLOOKUP("Market Capitalization",Inputs!$B:$B,Inputs!I:I)/_xlfn.XLOOKUP("Net Income",Inputs!$B:$B,Inputs!I:I),"")</f>
        <v/>
      </c>
      <c r="I10" s="16" t="str">
        <f ca="1">IFERROR(_xlfn.XLOOKUP("Market Capitalization",Inputs!$B:$B,Inputs!J:J)/_xlfn.XLOOKUP("Net Income",Inputs!$B:$B,Inputs!J:J),"")</f>
        <v/>
      </c>
      <c r="J10" s="16" t="str">
        <f ca="1">IFERROR(_xlfn.XLOOKUP("Market Capitalization",Inputs!$B:$B,Inputs!K:K)/_xlfn.XLOOKUP("Net Income",Inputs!$B:$B,Inputs!K:K),"")</f>
        <v/>
      </c>
      <c r="K10" s="16" t="str">
        <f ca="1">IFERROR(_xlfn.XLOOKUP("Market Capitalization",Inputs!$B:$B,Inputs!L:L)/_xlfn.XLOOKUP("Net Income",Inputs!$B:$B,Inputs!L:L),"")</f>
        <v/>
      </c>
      <c r="L10" s="16" t="str">
        <f ca="1">IFERROR(_xlfn.XLOOKUP("Market Capitalization",Inputs!$B:$B,Inputs!M:M)/_xlfn.XLOOKUP("Net Income",Inputs!$B:$B,Inputs!M:M),"")</f>
        <v/>
      </c>
      <c r="M10" s="16" t="str">
        <f ca="1">IFERROR(_xlfn.XLOOKUP("Market Capitalization",Inputs!$B:$B,Inputs!N:N)/_xlfn.XLOOKUP("Net Income",Inputs!$B:$B,Inputs!N:N),"")</f>
        <v/>
      </c>
      <c r="N10" s="16" t="str">
        <f ca="1">IFERROR(_xlfn.XLOOKUP("Market Capitalization",Inputs!$B:$B,Inputs!O:O)/_xlfn.XLOOKUP("Net Income",Inputs!$B:$B,Inputs!O:O),"")</f>
        <v/>
      </c>
      <c r="O10" s="16" t="str">
        <f ca="1">IFERROR(_xlfn.XLOOKUP("Market Capitalization",Inputs!$B:$B,Inputs!P:P)/_xlfn.XLOOKUP("Net Income",Inputs!$B:$B,Inputs!P:P),"")</f>
        <v/>
      </c>
      <c r="P10" s="372" t="str">
        <f ca="1">IFERROR(_xlfn.XLOOKUP("Market Capitalization",Inputs!$B:$B,Inputs!Q:Q)/_xlfn.XLOOKUP("Net Income",Inputs!$B:$B,Inputs!Q:Q),"")</f>
        <v/>
      </c>
      <c r="Q10" s="379" t="str">
        <f ca="1">IFERROR(_xlfn.XLOOKUP("Equity Value",DCF!$B:$B,DCF!R:R)/_xlfn.XLOOKUP("Net Income",DCF!$B:$B,DCF!H:H),"")</f>
        <v/>
      </c>
      <c r="R10" s="379" t="str">
        <f ca="1">IFERROR(_xlfn.XLOOKUP("Equity Value",DCF!$B:$B,DCF!S:S)/_xlfn.XLOOKUP("Net Income",DCF!$B:$B,DCF!I:I),"")</f>
        <v/>
      </c>
    </row>
    <row r="11" spans="2:19" ht="15.5" x14ac:dyDescent="0.35">
      <c r="B11" s="264" t="s">
        <v>17</v>
      </c>
      <c r="F11" s="16" t="str">
        <f ca="1">IFERROR(_xlfn.XLOOKUP("Market Capitalization",Inputs!$B:$B,Inputs!G:G)/_xlfn.XLOOKUP("Shareholder's Equity",Inputs!$B:$B,Inputs!G:G),"")</f>
        <v/>
      </c>
      <c r="G11" s="16" t="str">
        <f ca="1">IFERROR(_xlfn.XLOOKUP("Market Capitalization",Inputs!$B:$B,Inputs!H:H)/_xlfn.XLOOKUP("Shareholder's Equity",Inputs!$B:$B,Inputs!H:H),"")</f>
        <v/>
      </c>
      <c r="H11" s="16" t="str">
        <f ca="1">IFERROR(_xlfn.XLOOKUP("Market Capitalization",Inputs!$B:$B,Inputs!I:I)/_xlfn.XLOOKUP("Shareholder's Equity",Inputs!$B:$B,Inputs!I:I),"")</f>
        <v/>
      </c>
      <c r="I11" s="16" t="str">
        <f ca="1">IFERROR(_xlfn.XLOOKUP("Market Capitalization",Inputs!$B:$B,Inputs!J:J)/_xlfn.XLOOKUP("Shareholder's Equity",Inputs!$B:$B,Inputs!J:J),"")</f>
        <v/>
      </c>
      <c r="J11" s="16" t="str">
        <f ca="1">IFERROR(_xlfn.XLOOKUP("Market Capitalization",Inputs!$B:$B,Inputs!K:K)/_xlfn.XLOOKUP("Shareholder's Equity",Inputs!$B:$B,Inputs!K:K),"")</f>
        <v/>
      </c>
      <c r="K11" s="16" t="str">
        <f ca="1">IFERROR(_xlfn.XLOOKUP("Market Capitalization",Inputs!$B:$B,Inputs!L:L)/_xlfn.XLOOKUP("Shareholder's Equity",Inputs!$B:$B,Inputs!L:L),"")</f>
        <v/>
      </c>
      <c r="L11" s="16" t="str">
        <f ca="1">IFERROR(_xlfn.XLOOKUP("Market Capitalization",Inputs!$B:$B,Inputs!M:M)/_xlfn.XLOOKUP("Shareholder's Equity",Inputs!$B:$B,Inputs!M:M),"")</f>
        <v/>
      </c>
      <c r="M11" s="16" t="str">
        <f ca="1">IFERROR(_xlfn.XLOOKUP("Market Capitalization",Inputs!$B:$B,Inputs!N:N)/_xlfn.XLOOKUP("Shareholder's Equity",Inputs!$B:$B,Inputs!N:N),"")</f>
        <v/>
      </c>
      <c r="N11" s="16" t="str">
        <f ca="1">IFERROR(_xlfn.XLOOKUP("Market Capitalization",Inputs!$B:$B,Inputs!O:O)/_xlfn.XLOOKUP("Shareholder's Equity",Inputs!$B:$B,Inputs!O:O),"")</f>
        <v/>
      </c>
      <c r="O11" s="16" t="str">
        <f ca="1">IFERROR(_xlfn.XLOOKUP("Market Capitalization",Inputs!$B:$B,Inputs!P:P)/_xlfn.XLOOKUP("Shareholder's Equity",Inputs!$B:$B,Inputs!P:P),"")</f>
        <v/>
      </c>
      <c r="P11" s="372" t="str">
        <f ca="1">IFERROR(_xlfn.XLOOKUP("Market Capitalization",Inputs!$B:$B,Inputs!Q:Q)/_xlfn.XLOOKUP("Shareholder's Equity",Inputs!$B:$B,Inputs!Q:Q),"")</f>
        <v/>
      </c>
      <c r="Q11" s="379" t="str">
        <f ca="1">IFERROR(+_xlfn.XLOOKUP("Equity Value",DCF!$B:$B,DCF!R:R)/(_xlfn.XLOOKUP("Shareholder's Equity",Inputs!$B:$B,Inputs!$Q:$Q)+_xlfn.XLOOKUP("Net Income",DCF!$B:$B,DCF!H:H)+_xlfn.XLOOKUP("Total Payout",DCF!$B:$B,DCF!H:H)),"")</f>
        <v/>
      </c>
      <c r="R11" s="379" t="str">
        <f ca="1">IFERROR(+_xlfn.XLOOKUP("Equity Value",DCF!$B:$B,DCF!S:S)/(_xlfn.XLOOKUP("Shareholder's Equity",Inputs!$B:$B,Inputs!$Q:$Q)+_xlfn.XLOOKUP("Net Income",DCF!$B:$B,DCF!I:I)+_xlfn.XLOOKUP("Total Payout",DCF!$B:$B,DCF!I:I)),"")</f>
        <v/>
      </c>
    </row>
    <row r="12" spans="2:19" ht="8.15" customHeight="1" x14ac:dyDescent="0.35">
      <c r="B12" s="265"/>
      <c r="N12" s="266"/>
      <c r="O12" s="266"/>
      <c r="P12" s="375"/>
      <c r="Q12" s="380"/>
      <c r="R12" s="380"/>
    </row>
    <row r="13" spans="2:19" ht="15.5" x14ac:dyDescent="0.35">
      <c r="B13" s="7" t="s">
        <v>166</v>
      </c>
      <c r="C13" s="56"/>
      <c r="D13" s="58"/>
      <c r="E13" s="58"/>
      <c r="F13" s="394">
        <v>2014</v>
      </c>
      <c r="G13" s="394">
        <f t="shared" ref="G13" si="5">+F13+1</f>
        <v>2015</v>
      </c>
      <c r="H13" s="394">
        <f t="shared" ref="H13" si="6">+G13+1</f>
        <v>2016</v>
      </c>
      <c r="I13" s="394">
        <f t="shared" ref="I13" si="7">+H13+1</f>
        <v>2017</v>
      </c>
      <c r="J13" s="394">
        <f t="shared" ref="J13" si="8">+I13+1</f>
        <v>2018</v>
      </c>
      <c r="K13" s="394">
        <f t="shared" ref="K13" si="9">+J13+1</f>
        <v>2019</v>
      </c>
      <c r="L13" s="394">
        <f t="shared" ref="L13" si="10">+K13+1</f>
        <v>2020</v>
      </c>
      <c r="M13" s="394">
        <f t="shared" ref="M13" si="11">+L13+1</f>
        <v>2021</v>
      </c>
      <c r="N13" s="394">
        <v>2022</v>
      </c>
      <c r="O13" s="394">
        <f t="shared" ref="O13" si="12">+N13+1</f>
        <v>2023</v>
      </c>
      <c r="P13" s="395">
        <f>+O13+1</f>
        <v>2024</v>
      </c>
      <c r="Q13" s="393">
        <f>+P13+1</f>
        <v>2025</v>
      </c>
      <c r="R13" s="393">
        <f>+Q13+1</f>
        <v>2026</v>
      </c>
    </row>
    <row r="14" spans="2:19" ht="4" customHeight="1" x14ac:dyDescent="0.35">
      <c r="B14" s="263"/>
      <c r="C14" s="53"/>
      <c r="D14" s="60"/>
      <c r="E14" s="60"/>
      <c r="F14" s="60"/>
      <c r="G14" s="60"/>
      <c r="H14" s="60"/>
      <c r="I14" s="60"/>
      <c r="J14" s="60"/>
      <c r="K14" s="60"/>
      <c r="L14" s="60"/>
      <c r="M14" s="60"/>
      <c r="N14" s="236"/>
      <c r="O14" s="236"/>
      <c r="P14" s="374"/>
      <c r="Q14" s="236"/>
      <c r="R14" s="236"/>
    </row>
    <row r="15" spans="2:19" ht="15.5" x14ac:dyDescent="0.35">
      <c r="B15" s="264" t="s">
        <v>25</v>
      </c>
      <c r="F15" s="268" t="str">
        <f>+IFERROR(_xlfn.XLOOKUP("Net Income",Inputs!$B:$B,Inputs!G:G)/_xlfn.XLOOKUP("Total Assets",Inputs!$B:$B,Inputs!G:G),"")</f>
        <v/>
      </c>
      <c r="G15" s="268" t="str">
        <f>+IFERROR(_xlfn.XLOOKUP("Net Income",Inputs!$B:$B,Inputs!H:H)/_xlfn.XLOOKUP("Total Assets",Inputs!$B:$B,Inputs!H:H),"")</f>
        <v/>
      </c>
      <c r="H15" s="268" t="str">
        <f>+IFERROR(_xlfn.XLOOKUP("Net Income",Inputs!$B:$B,Inputs!I:I)/_xlfn.XLOOKUP("Total Assets",Inputs!$B:$B,Inputs!I:I),"")</f>
        <v/>
      </c>
      <c r="I15" s="268" t="str">
        <f>+IFERROR(_xlfn.XLOOKUP("Net Income",Inputs!$B:$B,Inputs!J:J)/_xlfn.XLOOKUP("Total Assets",Inputs!$B:$B,Inputs!J:J),"")</f>
        <v/>
      </c>
      <c r="J15" s="268" t="str">
        <f>+IFERROR(_xlfn.XLOOKUP("Net Income",Inputs!$B:$B,Inputs!K:K)/_xlfn.XLOOKUP("Total Assets",Inputs!$B:$B,Inputs!K:K),"")</f>
        <v/>
      </c>
      <c r="K15" s="268" t="str">
        <f>+IFERROR(_xlfn.XLOOKUP("Net Income",Inputs!$B:$B,Inputs!L:L)/_xlfn.XLOOKUP("Total Assets",Inputs!$B:$B,Inputs!L:L),"")</f>
        <v/>
      </c>
      <c r="L15" s="268" t="str">
        <f>+IFERROR(_xlfn.XLOOKUP("Net Income",Inputs!$B:$B,Inputs!M:M)/_xlfn.XLOOKUP("Total Assets",Inputs!$B:$B,Inputs!M:M),"")</f>
        <v/>
      </c>
      <c r="M15" s="268" t="str">
        <f>+IFERROR(_xlfn.XLOOKUP("Net Income",Inputs!$B:$B,Inputs!N:N)/_xlfn.XLOOKUP("Total Assets",Inputs!$B:$B,Inputs!N:N),"")</f>
        <v/>
      </c>
      <c r="N15" s="268" t="str">
        <f>+IFERROR(_xlfn.XLOOKUP("Net Income",Inputs!$B:$B,Inputs!O:O)/_xlfn.XLOOKUP("Total Assets",Inputs!$B:$B,Inputs!O:O),"")</f>
        <v/>
      </c>
      <c r="O15" s="268" t="str">
        <f>+IFERROR(_xlfn.XLOOKUP("Net Income",Inputs!$B:$B,Inputs!P:P)/_xlfn.XLOOKUP("Total Assets",Inputs!$B:$B,Inputs!P:P),"")</f>
        <v/>
      </c>
      <c r="P15" s="376" t="str">
        <f>+IFERROR(_xlfn.XLOOKUP("Net Income",Inputs!$B:$B,Inputs!Q:Q)/_xlfn.XLOOKUP("Total Assets",Inputs!$B:$B,Inputs!Q:Q),"")</f>
        <v/>
      </c>
      <c r="Q15" s="381" t="str">
        <f>IFERROR(_xlfn.XLOOKUP("Net Income",DCF!$B:$B,DCF!H:H)/_xlfn.XLOOKUP("Total assets",DCF!$6:$6,DCF!10:10),"")</f>
        <v/>
      </c>
      <c r="R15" s="381" t="str">
        <f>IFERROR(_xlfn.XLOOKUP("Net Income",DCF!$B:$B,DCF!I:I)/_xlfn.XLOOKUP("Total assets",DCF!$6:$6,DCF!10:10),"")</f>
        <v/>
      </c>
      <c r="S15" s="22"/>
    </row>
    <row r="16" spans="2:19" ht="15.5" x14ac:dyDescent="0.35">
      <c r="B16" s="264" t="s">
        <v>27</v>
      </c>
      <c r="F16" s="268" t="str">
        <f>IFERROR(_xlfn.XLOOKUP("Net Income",Inputs!$B:$B,Inputs!G:G)/_xlfn.XLOOKUP("Shareholder's Equity",Inputs!$B:$B,Inputs!G:G),"")</f>
        <v/>
      </c>
      <c r="G16" s="268" t="str">
        <f>IFERROR(_xlfn.XLOOKUP("Net Income",Inputs!$B:$B,Inputs!H:H)/_xlfn.XLOOKUP("Shareholder's Equity",Inputs!$B:$B,Inputs!H:H),"")</f>
        <v/>
      </c>
      <c r="H16" s="268" t="str">
        <f>IFERROR(_xlfn.XLOOKUP("Net Income",Inputs!$B:$B,Inputs!I:I)/_xlfn.XLOOKUP("Shareholder's Equity",Inputs!$B:$B,Inputs!I:I),"")</f>
        <v/>
      </c>
      <c r="I16" s="268" t="str">
        <f>IFERROR(_xlfn.XLOOKUP("Net Income",Inputs!$B:$B,Inputs!J:J)/_xlfn.XLOOKUP("Shareholder's Equity",Inputs!$B:$B,Inputs!J:J),"")</f>
        <v/>
      </c>
      <c r="J16" s="268" t="str">
        <f>IFERROR(_xlfn.XLOOKUP("Net Income",Inputs!$B:$B,Inputs!K:K)/_xlfn.XLOOKUP("Shareholder's Equity",Inputs!$B:$B,Inputs!K:K),"")</f>
        <v/>
      </c>
      <c r="K16" s="268" t="str">
        <f>IFERROR(_xlfn.XLOOKUP("Net Income",Inputs!$B:$B,Inputs!L:L)/_xlfn.XLOOKUP("Shareholder's Equity",Inputs!$B:$B,Inputs!L:L),"")</f>
        <v/>
      </c>
      <c r="L16" s="268" t="str">
        <f>IFERROR(_xlfn.XLOOKUP("Net Income",Inputs!$B:$B,Inputs!M:M)/_xlfn.XLOOKUP("Shareholder's Equity",Inputs!$B:$B,Inputs!M:M),"")</f>
        <v/>
      </c>
      <c r="M16" s="268" t="str">
        <f>IFERROR(_xlfn.XLOOKUP("Net Income",Inputs!$B:$B,Inputs!N:N)/_xlfn.XLOOKUP("Shareholder's Equity",Inputs!$B:$B,Inputs!N:N),"")</f>
        <v/>
      </c>
      <c r="N16" s="268" t="str">
        <f>IFERROR(_xlfn.XLOOKUP("Net Income",Inputs!$B:$B,Inputs!O:O)/_xlfn.XLOOKUP("Shareholder's Equity",Inputs!$B:$B,Inputs!O:O),"")</f>
        <v/>
      </c>
      <c r="O16" s="268" t="str">
        <f>IFERROR(_xlfn.XLOOKUP("Net Income",Inputs!$B:$B,Inputs!P:P)/_xlfn.XLOOKUP("Shareholder's Equity",Inputs!$B:$B,Inputs!P:P),"")</f>
        <v/>
      </c>
      <c r="P16" s="376" t="str">
        <f>IFERROR(_xlfn.XLOOKUP("Net Income",Inputs!$B:$B,Inputs!Q:Q)/_xlfn.XLOOKUP("Shareholder's Equity",Inputs!$B:$B,Inputs!Q:Q),"")</f>
        <v/>
      </c>
      <c r="Q16" s="381" t="str">
        <f>IFERROR(_xlfn.XLOOKUP("Net Income",DCF!$B:$B,DCF!H:H)/_xlfn.XLOOKUP("Shareholder's Equity",DCF!$6:$6,DCF!10:10),"")</f>
        <v/>
      </c>
      <c r="R16" s="381" t="str">
        <f>IFERROR(_xlfn.XLOOKUP("Net Income",DCF!$B:$B,DCF!I:I)/_xlfn.XLOOKUP("Shareholder's Equity",DCF!$6:$6,DCF!10:10),"")</f>
        <v/>
      </c>
      <c r="S16" s="22"/>
    </row>
    <row r="17" spans="2:19" ht="15.5" x14ac:dyDescent="0.35">
      <c r="B17" s="264" t="s">
        <v>28</v>
      </c>
      <c r="F17" s="268" t="str">
        <f>IFERROR(_xlfn.XLOOKUP("NOPAT",Inputs!$B:$B,Inputs!G:G)/(_xlfn.XLOOKUP("Shareholder's Equity",Inputs!$B:$B,Inputs!G:G)+_xlfn.XLOOKUP("Total Debt",Inputs!$B:$B,Inputs!G:G,,,-1)),"")</f>
        <v/>
      </c>
      <c r="G17" s="268" t="str">
        <f>IFERROR(_xlfn.XLOOKUP("NOPAT",Inputs!$B:$B,Inputs!H:H)/(_xlfn.XLOOKUP("Shareholder's Equity",Inputs!$B:$B,Inputs!H:H)+_xlfn.XLOOKUP("Total Debt",Inputs!$B:$B,Inputs!H:H,,,-1)),"")</f>
        <v/>
      </c>
      <c r="H17" s="268" t="str">
        <f>IFERROR(_xlfn.XLOOKUP("NOPAT",Inputs!$B:$B,Inputs!I:I)/(_xlfn.XLOOKUP("Shareholder's Equity",Inputs!$B:$B,Inputs!I:I)+_xlfn.XLOOKUP("Total Debt",Inputs!$B:$B,Inputs!I:I,,,-1)),"")</f>
        <v/>
      </c>
      <c r="I17" s="268" t="str">
        <f>IFERROR(_xlfn.XLOOKUP("NOPAT",Inputs!$B:$B,Inputs!J:J)/(_xlfn.XLOOKUP("Shareholder's Equity",Inputs!$B:$B,Inputs!J:J)+_xlfn.XLOOKUP("Total Debt",Inputs!$B:$B,Inputs!J:J,,,-1)),"")</f>
        <v/>
      </c>
      <c r="J17" s="268" t="str">
        <f>IFERROR(_xlfn.XLOOKUP("NOPAT",Inputs!$B:$B,Inputs!K:K)/(_xlfn.XLOOKUP("Shareholder's Equity",Inputs!$B:$B,Inputs!K:K)+_xlfn.XLOOKUP("Total Debt",Inputs!$B:$B,Inputs!K:K,,,-1)),"")</f>
        <v/>
      </c>
      <c r="K17" s="268" t="str">
        <f>IFERROR(_xlfn.XLOOKUP("NOPAT",Inputs!$B:$B,Inputs!L:L)/(_xlfn.XLOOKUP("Shareholder's Equity",Inputs!$B:$B,Inputs!L:L)+_xlfn.XLOOKUP("Total Debt",Inputs!$B:$B,Inputs!L:L,,,-1)),"")</f>
        <v/>
      </c>
      <c r="L17" s="268" t="str">
        <f>IFERROR(_xlfn.XLOOKUP("NOPAT",Inputs!$B:$B,Inputs!M:M)/(_xlfn.XLOOKUP("Shareholder's Equity",Inputs!$B:$B,Inputs!M:M)+_xlfn.XLOOKUP("Total Debt",Inputs!$B:$B,Inputs!M:M,,,-1)),"")</f>
        <v/>
      </c>
      <c r="M17" s="268" t="str">
        <f>IFERROR(_xlfn.XLOOKUP("NOPAT",Inputs!$B:$B,Inputs!N:N)/(_xlfn.XLOOKUP("Shareholder's Equity",Inputs!$B:$B,Inputs!N:N)+_xlfn.XLOOKUP("Total Debt",Inputs!$B:$B,Inputs!N:N,,,-1)),"")</f>
        <v/>
      </c>
      <c r="N17" s="268" t="str">
        <f>IFERROR(_xlfn.XLOOKUP("NOPAT",Inputs!$B:$B,Inputs!O:O)/(_xlfn.XLOOKUP("Shareholder's Equity",Inputs!$B:$B,Inputs!O:O)+_xlfn.XLOOKUP("Total Debt",Inputs!$B:$B,Inputs!O:O,,,-1)),"")</f>
        <v/>
      </c>
      <c r="O17" s="268" t="str">
        <f>IFERROR(_xlfn.XLOOKUP("NOPAT",Inputs!$B:$B,Inputs!P:P)/(_xlfn.XLOOKUP("Shareholder's Equity",Inputs!$B:$B,Inputs!P:P)+_xlfn.XLOOKUP("Total Debt",Inputs!$B:$B,Inputs!P:P,,,-1)),"")</f>
        <v/>
      </c>
      <c r="P17" s="376" t="str">
        <f>IFERROR(_xlfn.XLOOKUP("NOPAT",Inputs!$B:$B,Inputs!Q:Q)/(_xlfn.XLOOKUP("Shareholder's Equity",Inputs!$B:$B,Inputs!Q:Q)+_xlfn.XLOOKUP("Total Debt",Inputs!$B:$B,Inputs!Q:Q,,,-1)),"")</f>
        <v/>
      </c>
      <c r="Q17" s="381" t="str">
        <f ca="1">+IFERROR(_xlfn.XLOOKUP("NOPAT",DCF!$B:$B,DCF!H:H)/(_xlfn.XLOOKUP("Shareholder's Equity",DCF!$6:$6,DCF!10:10)+_xlfn.XLOOKUP("Total Borrowings",DCF!$B:$B,DCF!H:H)+_xlfn.XLOOKUP("Total Leases",DCF!$B:$B,DCF!H:H)),"")</f>
        <v/>
      </c>
      <c r="R17" s="381" t="str">
        <f ca="1">+IFERROR(_xlfn.XLOOKUP("NOPAT",DCF!$B:$B,DCF!I:I)/(_xlfn.XLOOKUP("Shareholder's Equity",DCF!$6:$6,DCF!10:10)+_xlfn.XLOOKUP("Total Borrowings",DCF!$B:$B,DCF!I:I)+_xlfn.XLOOKUP("Total Leases",DCF!$B:$B,DCF!I:I)),"")</f>
        <v/>
      </c>
      <c r="S17" s="132"/>
    </row>
    <row r="18" spans="2:19" ht="15.5" x14ac:dyDescent="0.35">
      <c r="B18" s="267" t="s">
        <v>29</v>
      </c>
      <c r="F18" s="268" t="str">
        <f>+IFERROR(_xlfn.XLOOKUP("EBITDA",Inputs!$B:$B,Inputs!G:G)/_xlfn.XLOOKUP("Revenue (Sales)",Inputs!$B:$B,Inputs!G:G),"")</f>
        <v/>
      </c>
      <c r="G18" s="268" t="str">
        <f>+IFERROR(_xlfn.XLOOKUP("EBITDA",Inputs!$B:$B,Inputs!H:H)/_xlfn.XLOOKUP("Revenue (Sales)",Inputs!$B:$B,Inputs!H:H),"")</f>
        <v/>
      </c>
      <c r="H18" s="268" t="str">
        <f>+IFERROR(_xlfn.XLOOKUP("EBITDA",Inputs!$B:$B,Inputs!I:I)/_xlfn.XLOOKUP("Revenue (Sales)",Inputs!$B:$B,Inputs!I:I),"")</f>
        <v/>
      </c>
      <c r="I18" s="268" t="str">
        <f>+IFERROR(_xlfn.XLOOKUP("EBITDA",Inputs!$B:$B,Inputs!J:J)/_xlfn.XLOOKUP("Revenue (Sales)",Inputs!$B:$B,Inputs!J:J),"")</f>
        <v/>
      </c>
      <c r="J18" s="268" t="str">
        <f>+IFERROR(_xlfn.XLOOKUP("EBITDA",Inputs!$B:$B,Inputs!K:K)/_xlfn.XLOOKUP("Revenue (Sales)",Inputs!$B:$B,Inputs!K:K),"")</f>
        <v/>
      </c>
      <c r="K18" s="268" t="str">
        <f>+IFERROR(_xlfn.XLOOKUP("EBITDA",Inputs!$B:$B,Inputs!L:L)/_xlfn.XLOOKUP("Revenue (Sales)",Inputs!$B:$B,Inputs!L:L),"")</f>
        <v/>
      </c>
      <c r="L18" s="268" t="str">
        <f>+IFERROR(_xlfn.XLOOKUP("EBITDA",Inputs!$B:$B,Inputs!M:M)/_xlfn.XLOOKUP("Revenue (Sales)",Inputs!$B:$B,Inputs!M:M),"")</f>
        <v/>
      </c>
      <c r="M18" s="268" t="str">
        <f>+IFERROR(_xlfn.XLOOKUP("EBITDA",Inputs!$B:$B,Inputs!N:N)/_xlfn.XLOOKUP("Revenue (Sales)",Inputs!$B:$B,Inputs!N:N),"")</f>
        <v/>
      </c>
      <c r="N18" s="268" t="str">
        <f>+IFERROR(_xlfn.XLOOKUP("EBITDA",Inputs!$B:$B,Inputs!O:O)/_xlfn.XLOOKUP("Revenue (Sales)",Inputs!$B:$B,Inputs!O:O),"")</f>
        <v/>
      </c>
      <c r="O18" s="268" t="str">
        <f>+IFERROR(_xlfn.XLOOKUP("EBITDA",Inputs!$B:$B,Inputs!P:P)/_xlfn.XLOOKUP("Revenue (Sales)",Inputs!$B:$B,Inputs!P:P),"")</f>
        <v/>
      </c>
      <c r="P18" s="376" t="str">
        <f>+IFERROR(_xlfn.XLOOKUP("EBITDA",Inputs!$B:$B,Inputs!Q:Q)/_xlfn.XLOOKUP("Revenue (Sales)",Inputs!$B:$B,Inputs!Q:Q),"")</f>
        <v/>
      </c>
      <c r="Q18" s="381" t="str">
        <f>+_xlfn.XLOOKUP("EBITDA Margin",DCF!$B:$B,DCF!H:H)</f>
        <v/>
      </c>
      <c r="R18" s="381" t="str">
        <f>+_xlfn.XLOOKUP("EBITDA Margin",DCF!$B:$B,DCF!I:I)</f>
        <v/>
      </c>
      <c r="S18" s="31"/>
    </row>
    <row r="19" spans="2:19" ht="15.5" x14ac:dyDescent="0.35">
      <c r="B19" s="18" t="s">
        <v>21</v>
      </c>
      <c r="F19" s="268" t="str">
        <f>IFERROR(_xlfn.XLOOKUP("Operating Income (EBIT)",Inputs!$B:$B,Inputs!G:G)/_xlfn.XLOOKUP("Revenue (Sales)",Inputs!$B:$B,Inputs!G:G),"")</f>
        <v/>
      </c>
      <c r="G19" s="268" t="str">
        <f>IFERROR(_xlfn.XLOOKUP("Operating Income (EBIT)",Inputs!$B:$B,Inputs!H:H)/_xlfn.XLOOKUP("Revenue (Sales)",Inputs!$B:$B,Inputs!H:H),"")</f>
        <v/>
      </c>
      <c r="H19" s="268" t="str">
        <f>IFERROR(_xlfn.XLOOKUP("Operating Income (EBIT)",Inputs!$B:$B,Inputs!I:I)/_xlfn.XLOOKUP("Revenue (Sales)",Inputs!$B:$B,Inputs!I:I),"")</f>
        <v/>
      </c>
      <c r="I19" s="268" t="str">
        <f>IFERROR(_xlfn.XLOOKUP("Operating Income (EBIT)",Inputs!$B:$B,Inputs!J:J)/_xlfn.XLOOKUP("Revenue (Sales)",Inputs!$B:$B,Inputs!J:J),"")</f>
        <v/>
      </c>
      <c r="J19" s="268" t="str">
        <f>IFERROR(_xlfn.XLOOKUP("Operating Income (EBIT)",Inputs!$B:$B,Inputs!K:K)/_xlfn.XLOOKUP("Revenue (Sales)",Inputs!$B:$B,Inputs!K:K),"")</f>
        <v/>
      </c>
      <c r="K19" s="268" t="str">
        <f>IFERROR(_xlfn.XLOOKUP("Operating Income (EBIT)",Inputs!$B:$B,Inputs!L:L)/_xlfn.XLOOKUP("Revenue (Sales)",Inputs!$B:$B,Inputs!L:L),"")</f>
        <v/>
      </c>
      <c r="L19" s="268" t="str">
        <f>IFERROR(_xlfn.XLOOKUP("Operating Income (EBIT)",Inputs!$B:$B,Inputs!M:M)/_xlfn.XLOOKUP("Revenue (Sales)",Inputs!$B:$B,Inputs!M:M),"")</f>
        <v/>
      </c>
      <c r="M19" s="268" t="str">
        <f>IFERROR(_xlfn.XLOOKUP("Operating Income (EBIT)",Inputs!$B:$B,Inputs!N:N)/_xlfn.XLOOKUP("Revenue (Sales)",Inputs!$B:$B,Inputs!N:N),"")</f>
        <v/>
      </c>
      <c r="N19" s="268" t="str">
        <f>IFERROR(_xlfn.XLOOKUP("Operating Income (EBIT)",Inputs!$B:$B,Inputs!O:O)/_xlfn.XLOOKUP("Revenue (Sales)",Inputs!$B:$B,Inputs!O:O),"")</f>
        <v/>
      </c>
      <c r="O19" s="268" t="str">
        <f>IFERROR(_xlfn.XLOOKUP("Operating Income (EBIT)",Inputs!$B:$B,Inputs!P:P)/_xlfn.XLOOKUP("Revenue (Sales)",Inputs!$B:$B,Inputs!P:P),"")</f>
        <v/>
      </c>
      <c r="P19" s="376" t="str">
        <f>IFERROR(_xlfn.XLOOKUP("Operating Income (EBIT)",Inputs!$B:$B,Inputs!Q:Q)/_xlfn.XLOOKUP("Revenue (Sales)",Inputs!$B:$B,Inputs!Q:Q),"")</f>
        <v/>
      </c>
      <c r="Q19" s="381" t="str">
        <f>+_xlfn.XLOOKUP("Operating Margin",DCF!$B:$B,DCF!H:H)</f>
        <v/>
      </c>
      <c r="R19" s="381" t="str">
        <f>+_xlfn.XLOOKUP("Operating Margin",DCF!$B:$B,DCF!I:I)</f>
        <v/>
      </c>
      <c r="S19" s="18"/>
    </row>
    <row r="20" spans="2:19" ht="15.5" x14ac:dyDescent="0.35">
      <c r="B20" s="18" t="s">
        <v>491</v>
      </c>
      <c r="F20" s="268" t="str">
        <f>IFERROR(_xlfn.XLOOKUP("Pre-Tax Income (EBT)",Inputs!$B:$B,Inputs!G:G)/_xlfn.XLOOKUP("Revenue (Sales)",Inputs!$B:$B,Inputs!G:G),"")</f>
        <v/>
      </c>
      <c r="G20" s="268" t="str">
        <f>IFERROR(_xlfn.XLOOKUP("Pre-Tax Income (EBT)",Inputs!$B:$B,Inputs!H:H)/_xlfn.XLOOKUP("Revenue (Sales)",Inputs!$B:$B,Inputs!H:H),"")</f>
        <v/>
      </c>
      <c r="H20" s="268" t="str">
        <f>IFERROR(_xlfn.XLOOKUP("Pre-Tax Income (EBT)",Inputs!$B:$B,Inputs!I:I)/_xlfn.XLOOKUP("Revenue (Sales)",Inputs!$B:$B,Inputs!I:I),"")</f>
        <v/>
      </c>
      <c r="I20" s="268" t="str">
        <f>IFERROR(_xlfn.XLOOKUP("Pre-Tax Income (EBT)",Inputs!$B:$B,Inputs!J:J)/_xlfn.XLOOKUP("Revenue (Sales)",Inputs!$B:$B,Inputs!J:J),"")</f>
        <v/>
      </c>
      <c r="J20" s="268" t="str">
        <f>IFERROR(_xlfn.XLOOKUP("Pre-Tax Income (EBT)",Inputs!$B:$B,Inputs!K:K)/_xlfn.XLOOKUP("Revenue (Sales)",Inputs!$B:$B,Inputs!K:K),"")</f>
        <v/>
      </c>
      <c r="K20" s="268" t="str">
        <f>IFERROR(_xlfn.XLOOKUP("Pre-Tax Income (EBT)",Inputs!$B:$B,Inputs!L:L)/_xlfn.XLOOKUP("Revenue (Sales)",Inputs!$B:$B,Inputs!L:L),"")</f>
        <v/>
      </c>
      <c r="L20" s="268" t="str">
        <f>IFERROR(_xlfn.XLOOKUP("Pre-Tax Income (EBT)",Inputs!$B:$B,Inputs!M:M)/_xlfn.XLOOKUP("Revenue (Sales)",Inputs!$B:$B,Inputs!M:M),"")</f>
        <v/>
      </c>
      <c r="M20" s="268" t="str">
        <f>IFERROR(_xlfn.XLOOKUP("Pre-Tax Income (EBT)",Inputs!$B:$B,Inputs!N:N)/_xlfn.XLOOKUP("Revenue (Sales)",Inputs!$B:$B,Inputs!N:N),"")</f>
        <v/>
      </c>
      <c r="N20" s="268" t="str">
        <f>IFERROR(_xlfn.XLOOKUP("Pre-Tax Income (EBT)",Inputs!$B:$B,Inputs!O:O)/_xlfn.XLOOKUP("Revenue (Sales)",Inputs!$B:$B,Inputs!O:O),"")</f>
        <v/>
      </c>
      <c r="O20" s="268" t="str">
        <f>IFERROR(_xlfn.XLOOKUP("Pre-Tax Income (EBT)",Inputs!$B:$B,Inputs!P:P)/_xlfn.XLOOKUP("Revenue (Sales)",Inputs!$B:$B,Inputs!P:P),"")</f>
        <v/>
      </c>
      <c r="P20" s="376" t="str">
        <f>IFERROR(_xlfn.XLOOKUP("Pre-Tax Income (EBT)",Inputs!$B:$B,Inputs!Q:Q)/_xlfn.XLOOKUP("Revenue (Sales)",Inputs!$B:$B,Inputs!Q:Q),"")</f>
        <v/>
      </c>
      <c r="Q20" s="381" t="str">
        <f>IFERROR(_xlfn.XLOOKUP("Pre-Tax Income (EBT)",DCF!$B:$B,DCF!H:H)/_xlfn.XLOOKUP("Revenue (Sales)",DCF!$B:$B,DCF!H:H),"")</f>
        <v/>
      </c>
      <c r="R20" s="381" t="str">
        <f>IFERROR(_xlfn.XLOOKUP("Pre-Tax Income (EBT)",DCF!$B:$B,DCF!I:I)/_xlfn.XLOOKUP("Revenue (Sales)",DCF!$B:$B,DCF!I:I),"")</f>
        <v/>
      </c>
      <c r="S20" s="18"/>
    </row>
    <row r="21" spans="2:19" ht="15.5" x14ac:dyDescent="0.35">
      <c r="B21" s="18" t="s">
        <v>31</v>
      </c>
      <c r="F21" s="268" t="str">
        <f>IFERROR(_xlfn.XLOOKUP("Gross Profit",Inputs!$B:$B,Inputs!G:G)/_xlfn.XLOOKUP("Revenue (Sales)",Inputs!$B:$B,Inputs!G:G),"")</f>
        <v/>
      </c>
      <c r="G21" s="268" t="str">
        <f>IFERROR(_xlfn.XLOOKUP("Gross Profit",Inputs!$B:$B,Inputs!H:H)/_xlfn.XLOOKUP("Revenue (Sales)",Inputs!$B:$B,Inputs!H:H),"")</f>
        <v/>
      </c>
      <c r="H21" s="268" t="str">
        <f>IFERROR(_xlfn.XLOOKUP("Gross Profit",Inputs!$B:$B,Inputs!I:I)/_xlfn.XLOOKUP("Revenue (Sales)",Inputs!$B:$B,Inputs!I:I),"")</f>
        <v/>
      </c>
      <c r="I21" s="268" t="str">
        <f>IFERROR(_xlfn.XLOOKUP("Gross Profit",Inputs!$B:$B,Inputs!J:J)/_xlfn.XLOOKUP("Revenue (Sales)",Inputs!$B:$B,Inputs!J:J),"")</f>
        <v/>
      </c>
      <c r="J21" s="268" t="str">
        <f>IFERROR(_xlfn.XLOOKUP("Gross Profit",Inputs!$B:$B,Inputs!K:K)/_xlfn.XLOOKUP("Revenue (Sales)",Inputs!$B:$B,Inputs!K:K),"")</f>
        <v/>
      </c>
      <c r="K21" s="268" t="str">
        <f>IFERROR(_xlfn.XLOOKUP("Gross Profit",Inputs!$B:$B,Inputs!L:L)/_xlfn.XLOOKUP("Revenue (Sales)",Inputs!$B:$B,Inputs!L:L),"")</f>
        <v/>
      </c>
      <c r="L21" s="268" t="str">
        <f>IFERROR(_xlfn.XLOOKUP("Gross Profit",Inputs!$B:$B,Inputs!M:M)/_xlfn.XLOOKUP("Revenue (Sales)",Inputs!$B:$B,Inputs!M:M),"")</f>
        <v/>
      </c>
      <c r="M21" s="268" t="str">
        <f>IFERROR(_xlfn.XLOOKUP("Gross Profit",Inputs!$B:$B,Inputs!N:N)/_xlfn.XLOOKUP("Revenue (Sales)",Inputs!$B:$B,Inputs!N:N),"")</f>
        <v/>
      </c>
      <c r="N21" s="268" t="str">
        <f>IFERROR(_xlfn.XLOOKUP("Gross Profit",Inputs!$B:$B,Inputs!O:O)/_xlfn.XLOOKUP("Revenue (Sales)",Inputs!$B:$B,Inputs!O:O),"")</f>
        <v/>
      </c>
      <c r="O21" s="268" t="str">
        <f>IFERROR(_xlfn.XLOOKUP("Gross Profit",Inputs!$B:$B,Inputs!P:P)/_xlfn.XLOOKUP("Revenue (Sales)",Inputs!$B:$B,Inputs!P:P),"")</f>
        <v/>
      </c>
      <c r="P21" s="376" t="str">
        <f>IFERROR(_xlfn.XLOOKUP("Gross Profit",Inputs!$B:$B,Inputs!Q:Q)/_xlfn.XLOOKUP("Revenue (Sales)",Inputs!$B:$B,Inputs!Q:Q),"")</f>
        <v/>
      </c>
      <c r="Q21" s="381" t="str">
        <f>+_xlfn.XLOOKUP("Gross Profit Margin",DCF!$B:$B,DCF!H:H)</f>
        <v/>
      </c>
      <c r="R21" s="381" t="str">
        <f>+_xlfn.XLOOKUP("Gross Profit Margin",DCF!$B:$B,DCF!I:I)</f>
        <v/>
      </c>
      <c r="S21" s="18"/>
    </row>
    <row r="22" spans="2:19" ht="15.5" x14ac:dyDescent="0.35">
      <c r="B22" s="18" t="s">
        <v>33</v>
      </c>
      <c r="F22" s="268" t="str">
        <f>IFERROR(+_xlfn.XLOOKUP("SG&amp;A (Selling, General &amp; Administrative)",Inputs!$B:$B,Inputs!G:G)/_xlfn.XLOOKUP("Revenue (Sales)",Inputs!$B:$B,Inputs!G:G),"")</f>
        <v/>
      </c>
      <c r="G22" s="268" t="str">
        <f>IFERROR(+_xlfn.XLOOKUP("SG&amp;A (Selling, General &amp; Administrative)",Inputs!$B:$B,Inputs!H:H)/_xlfn.XLOOKUP("Revenue (Sales)",Inputs!$B:$B,Inputs!H:H),"")</f>
        <v/>
      </c>
      <c r="H22" s="268" t="str">
        <f>IFERROR(+_xlfn.XLOOKUP("SG&amp;A (Selling, General &amp; Administrative)",Inputs!$B:$B,Inputs!I:I)/_xlfn.XLOOKUP("Revenue (Sales)",Inputs!$B:$B,Inputs!I:I),"")</f>
        <v/>
      </c>
      <c r="I22" s="268" t="str">
        <f>IFERROR(+_xlfn.XLOOKUP("SG&amp;A (Selling, General &amp; Administrative)",Inputs!$B:$B,Inputs!J:J)/_xlfn.XLOOKUP("Revenue (Sales)",Inputs!$B:$B,Inputs!J:J),"")</f>
        <v/>
      </c>
      <c r="J22" s="268" t="str">
        <f>IFERROR(+_xlfn.XLOOKUP("SG&amp;A (Selling, General &amp; Administrative)",Inputs!$B:$B,Inputs!K:K)/_xlfn.XLOOKUP("Revenue (Sales)",Inputs!$B:$B,Inputs!K:K),"")</f>
        <v/>
      </c>
      <c r="K22" s="268" t="str">
        <f>IFERROR(+_xlfn.XLOOKUP("SG&amp;A (Selling, General &amp; Administrative)",Inputs!$B:$B,Inputs!L:L)/_xlfn.XLOOKUP("Revenue (Sales)",Inputs!$B:$B,Inputs!L:L),"")</f>
        <v/>
      </c>
      <c r="L22" s="268" t="str">
        <f>IFERROR(+_xlfn.XLOOKUP("SG&amp;A (Selling, General &amp; Administrative)",Inputs!$B:$B,Inputs!M:M)/_xlfn.XLOOKUP("Revenue (Sales)",Inputs!$B:$B,Inputs!M:M),"")</f>
        <v/>
      </c>
      <c r="M22" s="268" t="str">
        <f>IFERROR(+_xlfn.XLOOKUP("SG&amp;A (Selling, General &amp; Administrative)",Inputs!$B:$B,Inputs!N:N)/_xlfn.XLOOKUP("Revenue (Sales)",Inputs!$B:$B,Inputs!N:N),"")</f>
        <v/>
      </c>
      <c r="N22" s="268" t="str">
        <f>IFERROR(+_xlfn.XLOOKUP("SG&amp;A (Selling, General &amp; Administrative)",Inputs!$B:$B,Inputs!O:O)/_xlfn.XLOOKUP("Revenue (Sales)",Inputs!$B:$B,Inputs!O:O),"")</f>
        <v/>
      </c>
      <c r="O22" s="268" t="str">
        <f>IFERROR(+_xlfn.XLOOKUP("SG&amp;A (Selling, General &amp; Administrative)",Inputs!$B:$B,Inputs!P:P)/_xlfn.XLOOKUP("Revenue (Sales)",Inputs!$B:$B,Inputs!P:P),"")</f>
        <v/>
      </c>
      <c r="P22" s="376" t="str">
        <f>IFERROR(+_xlfn.XLOOKUP("SG&amp;A (Selling, General &amp; Administrative)",Inputs!$B:$B,Inputs!Q:Q)/_xlfn.XLOOKUP("Revenue (Sales)",Inputs!$B:$B,Inputs!Q:Q),"")</f>
        <v/>
      </c>
      <c r="Q22" s="381" t="str">
        <f>+_xlfn.XLOOKUP("SG&amp;A Margin",DCF!$B:$B,DCF!H:H)</f>
        <v/>
      </c>
      <c r="R22" s="381" t="str">
        <f>+_xlfn.XLOOKUP("SG&amp;A Margin",DCF!$B:$B,DCF!I:I)</f>
        <v/>
      </c>
    </row>
    <row r="23" spans="2:19" ht="15.5" x14ac:dyDescent="0.35">
      <c r="B23" s="18" t="s">
        <v>35</v>
      </c>
      <c r="F23" s="268" t="str">
        <f>IFERROR(_xlfn.XLOOKUP("Net Income",Inputs!$B:$B,Inputs!G:G)/_xlfn.XLOOKUP("Revenue (Sales)",Inputs!$B:$B,Inputs!G:G),"")</f>
        <v/>
      </c>
      <c r="G23" s="268" t="str">
        <f>IFERROR(_xlfn.XLOOKUP("Net Income",Inputs!$B:$B,Inputs!H:H)/_xlfn.XLOOKUP("Revenue (Sales)",Inputs!$B:$B,Inputs!H:H),"")</f>
        <v/>
      </c>
      <c r="H23" s="268" t="str">
        <f>IFERROR(_xlfn.XLOOKUP("Net Income",Inputs!$B:$B,Inputs!I:I)/_xlfn.XLOOKUP("Revenue (Sales)",Inputs!$B:$B,Inputs!I:I),"")</f>
        <v/>
      </c>
      <c r="I23" s="268" t="str">
        <f>IFERROR(_xlfn.XLOOKUP("Net Income",Inputs!$B:$B,Inputs!J:J)/_xlfn.XLOOKUP("Revenue (Sales)",Inputs!$B:$B,Inputs!J:J),"")</f>
        <v/>
      </c>
      <c r="J23" s="268" t="str">
        <f>IFERROR(_xlfn.XLOOKUP("Net Income",Inputs!$B:$B,Inputs!K:K)/_xlfn.XLOOKUP("Revenue (Sales)",Inputs!$B:$B,Inputs!K:K),"")</f>
        <v/>
      </c>
      <c r="K23" s="268" t="str">
        <f>IFERROR(_xlfn.XLOOKUP("Net Income",Inputs!$B:$B,Inputs!L:L)/_xlfn.XLOOKUP("Revenue (Sales)",Inputs!$B:$B,Inputs!L:L),"")</f>
        <v/>
      </c>
      <c r="L23" s="268" t="str">
        <f>IFERROR(_xlfn.XLOOKUP("Net Income",Inputs!$B:$B,Inputs!M:M)/_xlfn.XLOOKUP("Revenue (Sales)",Inputs!$B:$B,Inputs!M:M),"")</f>
        <v/>
      </c>
      <c r="M23" s="268" t="str">
        <f>IFERROR(_xlfn.XLOOKUP("Net Income",Inputs!$B:$B,Inputs!N:N)/_xlfn.XLOOKUP("Revenue (Sales)",Inputs!$B:$B,Inputs!N:N),"")</f>
        <v/>
      </c>
      <c r="N23" s="268" t="str">
        <f>IFERROR(_xlfn.XLOOKUP("Net Income",Inputs!$B:$B,Inputs!O:O)/_xlfn.XLOOKUP("Revenue (Sales)",Inputs!$B:$B,Inputs!O:O),"")</f>
        <v/>
      </c>
      <c r="O23" s="268" t="str">
        <f>IFERROR(_xlfn.XLOOKUP("Net Income",Inputs!$B:$B,Inputs!P:P)/_xlfn.XLOOKUP("Revenue (Sales)",Inputs!$B:$B,Inputs!P:P),"")</f>
        <v/>
      </c>
      <c r="P23" s="376" t="str">
        <f>IFERROR(_xlfn.XLOOKUP("Net Income",Inputs!$B:$B,Inputs!Q:Q)/_xlfn.XLOOKUP("Revenue (Sales)",Inputs!$B:$B,Inputs!Q:Q),"")</f>
        <v/>
      </c>
      <c r="Q23" s="381" t="str">
        <f>+_xlfn.XLOOKUP("Net Income Margin",DCF!$B:$B,DCF!H:H)</f>
        <v/>
      </c>
      <c r="R23" s="381" t="str">
        <f>+_xlfn.XLOOKUP("Net Income Margin",DCF!$B:$B,DCF!I:I)</f>
        <v/>
      </c>
    </row>
    <row r="24" spans="2:19" ht="8.15" customHeight="1" x14ac:dyDescent="0.35">
      <c r="N24" s="269"/>
      <c r="O24" s="269"/>
      <c r="P24" s="377"/>
      <c r="Q24" s="382"/>
      <c r="R24" s="382"/>
    </row>
    <row r="25" spans="2:19" ht="15.5" x14ac:dyDescent="0.35">
      <c r="B25" s="7" t="s">
        <v>177</v>
      </c>
      <c r="C25" s="56"/>
      <c r="D25" s="58"/>
      <c r="E25" s="58"/>
      <c r="F25" s="394">
        <v>2014</v>
      </c>
      <c r="G25" s="394">
        <f t="shared" ref="G25" si="13">+F25+1</f>
        <v>2015</v>
      </c>
      <c r="H25" s="394">
        <f t="shared" ref="H25" si="14">+G25+1</f>
        <v>2016</v>
      </c>
      <c r="I25" s="394">
        <f t="shared" ref="I25" si="15">+H25+1</f>
        <v>2017</v>
      </c>
      <c r="J25" s="394">
        <f t="shared" ref="J25" si="16">+I25+1</f>
        <v>2018</v>
      </c>
      <c r="K25" s="394">
        <f t="shared" ref="K25" si="17">+J25+1</f>
        <v>2019</v>
      </c>
      <c r="L25" s="394">
        <f t="shared" ref="L25" si="18">+K25+1</f>
        <v>2020</v>
      </c>
      <c r="M25" s="394">
        <f t="shared" ref="M25" si="19">+L25+1</f>
        <v>2021</v>
      </c>
      <c r="N25" s="394">
        <v>2022</v>
      </c>
      <c r="O25" s="394">
        <f t="shared" ref="O25" si="20">+N25+1</f>
        <v>2023</v>
      </c>
      <c r="P25" s="395">
        <f>+O25+1</f>
        <v>2024</v>
      </c>
      <c r="Q25" s="393">
        <f>+P25+1</f>
        <v>2025</v>
      </c>
      <c r="R25" s="393">
        <f>+Q25+1</f>
        <v>2026</v>
      </c>
    </row>
    <row r="26" spans="2:19" ht="4" customHeight="1" x14ac:dyDescent="0.35">
      <c r="B26" s="263"/>
      <c r="C26" s="53"/>
      <c r="D26" s="60"/>
      <c r="E26" s="60"/>
      <c r="F26" s="60"/>
      <c r="G26" s="60"/>
      <c r="H26" s="60"/>
      <c r="I26" s="60"/>
      <c r="J26" s="60"/>
      <c r="K26" s="60"/>
      <c r="L26" s="60"/>
      <c r="M26" s="60"/>
      <c r="N26" s="236"/>
      <c r="O26" s="236"/>
      <c r="P26" s="374"/>
      <c r="Q26" s="236"/>
      <c r="R26" s="236"/>
    </row>
    <row r="27" spans="2:19" ht="15" customHeight="1" x14ac:dyDescent="0.35">
      <c r="B27" s="33" t="s">
        <v>43</v>
      </c>
      <c r="C27" s="132"/>
      <c r="D27" s="258"/>
      <c r="F27" s="16" t="str">
        <f>+IFERROR(_xlfn.XLOOKUP("Cash &amp; Cash Equivalents",Inputs!$B:$B,Inputs!G:G)/_xlfn.XLOOKUP("Current Liabilities",Inputs!$B:$B,Inputs!G:G),"")</f>
        <v/>
      </c>
      <c r="G27" s="16" t="str">
        <f>+IFERROR(_xlfn.XLOOKUP("Cash &amp; Cash Equivalents",Inputs!$B:$B,Inputs!H:H)/_xlfn.XLOOKUP("Current Liabilities",Inputs!$B:$B,Inputs!H:H),"")</f>
        <v/>
      </c>
      <c r="H27" s="16" t="str">
        <f>+IFERROR(_xlfn.XLOOKUP("Cash &amp; Cash Equivalents",Inputs!$B:$B,Inputs!I:I)/_xlfn.XLOOKUP("Current Liabilities",Inputs!$B:$B,Inputs!I:I),"")</f>
        <v/>
      </c>
      <c r="I27" s="16" t="str">
        <f>+IFERROR(_xlfn.XLOOKUP("Cash &amp; Cash Equivalents",Inputs!$B:$B,Inputs!J:J)/_xlfn.XLOOKUP("Current Liabilities",Inputs!$B:$B,Inputs!J:J),"")</f>
        <v/>
      </c>
      <c r="J27" s="16" t="str">
        <f>+IFERROR(_xlfn.XLOOKUP("Cash &amp; Cash Equivalents",Inputs!$B:$B,Inputs!K:K)/_xlfn.XLOOKUP("Current Liabilities",Inputs!$B:$B,Inputs!K:K),"")</f>
        <v/>
      </c>
      <c r="K27" s="16" t="str">
        <f>+IFERROR(_xlfn.XLOOKUP("Cash &amp; Cash Equivalents",Inputs!$B:$B,Inputs!L:L)/_xlfn.XLOOKUP("Current Liabilities",Inputs!$B:$B,Inputs!L:L),"")</f>
        <v/>
      </c>
      <c r="L27" s="16" t="str">
        <f>+IFERROR(_xlfn.XLOOKUP("Cash &amp; Cash Equivalents",Inputs!$B:$B,Inputs!M:M)/_xlfn.XLOOKUP("Current Liabilities",Inputs!$B:$B,Inputs!M:M),"")</f>
        <v/>
      </c>
      <c r="M27" s="16" t="str">
        <f>+IFERROR(_xlfn.XLOOKUP("Cash &amp; Cash Equivalents",Inputs!$B:$B,Inputs!N:N)/_xlfn.XLOOKUP("Current Liabilities",Inputs!$B:$B,Inputs!N:N),"")</f>
        <v/>
      </c>
      <c r="N27" s="16" t="str">
        <f>+IFERROR(_xlfn.XLOOKUP("Cash &amp; Cash Equivalents",Inputs!$B:$B,Inputs!O:O)/_xlfn.XLOOKUP("Current Liabilities",Inputs!$B:$B,Inputs!O:O),"")</f>
        <v/>
      </c>
      <c r="O27" s="16" t="str">
        <f>+IFERROR(_xlfn.XLOOKUP("Cash &amp; Cash Equivalents",Inputs!$B:$B,Inputs!P:P)/_xlfn.XLOOKUP("Current Liabilities",Inputs!$B:$B,Inputs!P:P),"")</f>
        <v/>
      </c>
      <c r="P27" s="372" t="str">
        <f>+IFERROR(_xlfn.XLOOKUP("Cash &amp; Cash Equivalents",Inputs!$B:$B,Inputs!Q:Q)/_xlfn.XLOOKUP("Current Liabilities",Inputs!$B:$B,Inputs!Q:Q),"")</f>
        <v/>
      </c>
      <c r="Q27" s="379" t="str">
        <f>+IFERROR((_xlfn.XLOOKUP("Cash &amp; Cash Equivalents &amp; ST Investments",DCF!$B:$B,DCF!H:H)-_xlfn.XLOOKUP("Short-Term Investments",Inputs!$B:$B,Inputs!$Q:$Q))/_xlfn.XLOOKUP("Current Liabilities",DCF!$6:$6,DCF!10:10),"")</f>
        <v/>
      </c>
      <c r="R27" s="379" t="str">
        <f>+IFERROR((_xlfn.XLOOKUP("Cash &amp; Cash Equivalents &amp; ST Investments",DCF!$B:$B,DCF!I:I)-_xlfn.XLOOKUP("Short-Term Investments",Inputs!$B:$B,Inputs!$Q:$Q))/_xlfn.XLOOKUP("Current Liabilities",DCF!$6:$6,DCF!10:10),"")</f>
        <v/>
      </c>
    </row>
    <row r="28" spans="2:19" ht="15.5" x14ac:dyDescent="0.35">
      <c r="B28" s="18" t="s">
        <v>44</v>
      </c>
      <c r="F28" s="16" t="str">
        <f>IFERROR((_xlfn.XLOOKUP("Cash &amp; Cash Equivalents &amp; ST Investments",Inputs!$B:$B,Inputs!G:G)+_xlfn.XLOOKUP("Accounts Receivable",Inputs!$B:$B,Inputs!G:G))/_xlfn.XLOOKUP("Current Liabilities",Inputs!$B:$B,Inputs!G:G),"")</f>
        <v/>
      </c>
      <c r="G28" s="16" t="str">
        <f>IFERROR((_xlfn.XLOOKUP("Cash &amp; Cash Equivalents &amp; ST Investments",Inputs!$B:$B,Inputs!H:H)+_xlfn.XLOOKUP("Accounts Receivable",Inputs!$B:$B,Inputs!H:H))/_xlfn.XLOOKUP("Current Liabilities",Inputs!$B:$B,Inputs!H:H),"")</f>
        <v/>
      </c>
      <c r="H28" s="16" t="str">
        <f>IFERROR((_xlfn.XLOOKUP("Cash &amp; Cash Equivalents &amp; ST Investments",Inputs!$B:$B,Inputs!I:I)+_xlfn.XLOOKUP("Accounts Receivable",Inputs!$B:$B,Inputs!I:I))/_xlfn.XLOOKUP("Current Liabilities",Inputs!$B:$B,Inputs!I:I),"")</f>
        <v/>
      </c>
      <c r="I28" s="16" t="str">
        <f>IFERROR((_xlfn.XLOOKUP("Cash &amp; Cash Equivalents &amp; ST Investments",Inputs!$B:$B,Inputs!J:J)+_xlfn.XLOOKUP("Accounts Receivable",Inputs!$B:$B,Inputs!J:J))/_xlfn.XLOOKUP("Current Liabilities",Inputs!$B:$B,Inputs!J:J),"")</f>
        <v/>
      </c>
      <c r="J28" s="16" t="str">
        <f>IFERROR((_xlfn.XLOOKUP("Cash &amp; Cash Equivalents &amp; ST Investments",Inputs!$B:$B,Inputs!K:K)+_xlfn.XLOOKUP("Accounts Receivable",Inputs!$B:$B,Inputs!K:K))/_xlfn.XLOOKUP("Current Liabilities",Inputs!$B:$B,Inputs!K:K),"")</f>
        <v/>
      </c>
      <c r="K28" s="16" t="str">
        <f>IFERROR((_xlfn.XLOOKUP("Cash &amp; Cash Equivalents &amp; ST Investments",Inputs!$B:$B,Inputs!L:L)+_xlfn.XLOOKUP("Accounts Receivable",Inputs!$B:$B,Inputs!L:L))/_xlfn.XLOOKUP("Current Liabilities",Inputs!$B:$B,Inputs!L:L),"")</f>
        <v/>
      </c>
      <c r="L28" s="16" t="str">
        <f>IFERROR((_xlfn.XLOOKUP("Cash &amp; Cash Equivalents &amp; ST Investments",Inputs!$B:$B,Inputs!M:M)+_xlfn.XLOOKUP("Accounts Receivable",Inputs!$B:$B,Inputs!M:M))/_xlfn.XLOOKUP("Current Liabilities",Inputs!$B:$B,Inputs!M:M),"")</f>
        <v/>
      </c>
      <c r="M28" s="16" t="str">
        <f>IFERROR((_xlfn.XLOOKUP("Cash &amp; Cash Equivalents &amp; ST Investments",Inputs!$B:$B,Inputs!N:N)+_xlfn.XLOOKUP("Accounts Receivable",Inputs!$B:$B,Inputs!N:N))/_xlfn.XLOOKUP("Current Liabilities",Inputs!$B:$B,Inputs!N:N),"")</f>
        <v/>
      </c>
      <c r="N28" s="16" t="str">
        <f>IFERROR((_xlfn.XLOOKUP("Cash &amp; Cash Equivalents &amp; ST Investments",Inputs!$B:$B,Inputs!O:O)+_xlfn.XLOOKUP("Accounts Receivable",Inputs!$B:$B,Inputs!O:O))/_xlfn.XLOOKUP("Current Liabilities",Inputs!$B:$B,Inputs!O:O),"")</f>
        <v/>
      </c>
      <c r="O28" s="16" t="str">
        <f>IFERROR((_xlfn.XLOOKUP("Cash &amp; Cash Equivalents &amp; ST Investments",Inputs!$B:$B,Inputs!P:P)+_xlfn.XLOOKUP("Accounts Receivable",Inputs!$B:$B,Inputs!P:P))/_xlfn.XLOOKUP("Current Liabilities",Inputs!$B:$B,Inputs!P:P),"")</f>
        <v/>
      </c>
      <c r="P28" s="372" t="str">
        <f>IFERROR((_xlfn.XLOOKUP("Cash &amp; Cash Equivalents &amp; ST Investments",Inputs!$B:$B,Inputs!Q:Q)+_xlfn.XLOOKUP("Accounts Receivable",Inputs!$B:$B,Inputs!Q:Q))/_xlfn.XLOOKUP("Current Liabilities",Inputs!$B:$B,Inputs!Q:Q),"")</f>
        <v/>
      </c>
      <c r="Q28" s="379" t="str">
        <f>+IFERROR((_xlfn.XLOOKUP("Cash &amp; Cash Equivalents &amp; ST Investments",DCF!$B:$B,DCF!H:H)+_xlfn.XLOOKUP("Accounts Receivable",DCF!$B:$B,DCF!H:H))/_xlfn.XLOOKUP("Current Liabilities",DCF!$6:$6,DCF!10:10),"")</f>
        <v/>
      </c>
      <c r="R28" s="379" t="str">
        <f>+IFERROR((_xlfn.XLOOKUP("Cash &amp; Cash Equivalents &amp; ST Investments",DCF!$B:$B,DCF!I:I)+_xlfn.XLOOKUP("Accounts Receivable",DCF!$B:$B,DCF!I:I))/_xlfn.XLOOKUP("Current Liabilities",DCF!$6:$6,DCF!10:10),"")</f>
        <v/>
      </c>
    </row>
    <row r="29" spans="2:19" ht="15.5" x14ac:dyDescent="0.35">
      <c r="B29" s="18" t="s">
        <v>46</v>
      </c>
      <c r="F29" s="16" t="str">
        <f>IFERROR(_xlfn.XLOOKUP("Current Assets",Inputs!$B:$B,Inputs!G:G)/+_xlfn.XLOOKUP("Current Liabilities",Inputs!$B:$B,Inputs!G:G),"")</f>
        <v/>
      </c>
      <c r="G29" s="16" t="str">
        <f>IFERROR(_xlfn.XLOOKUP("Current Assets",Inputs!$B:$B,Inputs!H:H)/+_xlfn.XLOOKUP("Current Liabilities",Inputs!$B:$B,Inputs!H:H),"")</f>
        <v/>
      </c>
      <c r="H29" s="16" t="str">
        <f>IFERROR(_xlfn.XLOOKUP("Current Assets",Inputs!$B:$B,Inputs!I:I)/+_xlfn.XLOOKUP("Current Liabilities",Inputs!$B:$B,Inputs!I:I),"")</f>
        <v/>
      </c>
      <c r="I29" s="16" t="str">
        <f>IFERROR(_xlfn.XLOOKUP("Current Assets",Inputs!$B:$B,Inputs!J:J)/+_xlfn.XLOOKUP("Current Liabilities",Inputs!$B:$B,Inputs!J:J),"")</f>
        <v/>
      </c>
      <c r="J29" s="16" t="str">
        <f>IFERROR(_xlfn.XLOOKUP("Current Assets",Inputs!$B:$B,Inputs!K:K)/+_xlfn.XLOOKUP("Current Liabilities",Inputs!$B:$B,Inputs!K:K),"")</f>
        <v/>
      </c>
      <c r="K29" s="16" t="str">
        <f>IFERROR(_xlfn.XLOOKUP("Current Assets",Inputs!$B:$B,Inputs!L:L)/+_xlfn.XLOOKUP("Current Liabilities",Inputs!$B:$B,Inputs!L:L),"")</f>
        <v/>
      </c>
      <c r="L29" s="16" t="str">
        <f>IFERROR(_xlfn.XLOOKUP("Current Assets",Inputs!$B:$B,Inputs!M:M)/+_xlfn.XLOOKUP("Current Liabilities",Inputs!$B:$B,Inputs!M:M),"")</f>
        <v/>
      </c>
      <c r="M29" s="16" t="str">
        <f>IFERROR(_xlfn.XLOOKUP("Current Assets",Inputs!$B:$B,Inputs!N:N)/+_xlfn.XLOOKUP("Current Liabilities",Inputs!$B:$B,Inputs!N:N),"")</f>
        <v/>
      </c>
      <c r="N29" s="16" t="str">
        <f>IFERROR(_xlfn.XLOOKUP("Current Assets",Inputs!$B:$B,Inputs!O:O)/+_xlfn.XLOOKUP("Current Liabilities",Inputs!$B:$B,Inputs!O:O),"")</f>
        <v/>
      </c>
      <c r="O29" s="16" t="str">
        <f>IFERROR(_xlfn.XLOOKUP("Current Assets",Inputs!$B:$B,Inputs!P:P)/+_xlfn.XLOOKUP("Current Liabilities",Inputs!$B:$B,Inputs!P:P),"")</f>
        <v/>
      </c>
      <c r="P29" s="372" t="str">
        <f>IFERROR(_xlfn.XLOOKUP("Current Assets",Inputs!$B:$B,Inputs!Q:Q)/+_xlfn.XLOOKUP("Current Liabilities",Inputs!$B:$B,Inputs!Q:Q),"")</f>
        <v/>
      </c>
      <c r="Q29" s="379" t="str">
        <f>+IFERROR(_xlfn.XLOOKUP("Current Assets",DCF!$6:$6,DCF!10:10)/_xlfn.XLOOKUP("Current Liabilities",DCF!$6:$6,DCF!10:10),"")</f>
        <v/>
      </c>
      <c r="R29" s="379" t="str">
        <f>+IFERROR(_xlfn.XLOOKUP("Current Assets",DCF!$6:$6,DCF!10:10)/_xlfn.XLOOKUP("Current Liabilities",DCF!$6:$6,DCF!10:10),"")</f>
        <v/>
      </c>
    </row>
    <row r="30" spans="2:19" ht="8.15" customHeight="1" x14ac:dyDescent="0.3">
      <c r="N30" s="16"/>
      <c r="O30" s="16"/>
      <c r="P30" s="372"/>
      <c r="Q30" s="379"/>
      <c r="R30" s="379"/>
    </row>
    <row r="31" spans="2:19" ht="15.5" x14ac:dyDescent="0.35">
      <c r="B31" s="7" t="s">
        <v>492</v>
      </c>
      <c r="C31" s="56"/>
      <c r="D31" s="58"/>
      <c r="E31" s="58"/>
      <c r="F31" s="394">
        <v>2014</v>
      </c>
      <c r="G31" s="394">
        <f t="shared" ref="G31" si="21">+F31+1</f>
        <v>2015</v>
      </c>
      <c r="H31" s="394">
        <f t="shared" ref="H31" si="22">+G31+1</f>
        <v>2016</v>
      </c>
      <c r="I31" s="394">
        <f t="shared" ref="I31" si="23">+H31+1</f>
        <v>2017</v>
      </c>
      <c r="J31" s="394">
        <f t="shared" ref="J31" si="24">+I31+1</f>
        <v>2018</v>
      </c>
      <c r="K31" s="394">
        <f t="shared" ref="K31" si="25">+J31+1</f>
        <v>2019</v>
      </c>
      <c r="L31" s="394">
        <f t="shared" ref="L31" si="26">+K31+1</f>
        <v>2020</v>
      </c>
      <c r="M31" s="394">
        <f t="shared" ref="M31" si="27">+L31+1</f>
        <v>2021</v>
      </c>
      <c r="N31" s="394">
        <v>2022</v>
      </c>
      <c r="O31" s="394">
        <f t="shared" ref="O31" si="28">+N31+1</f>
        <v>2023</v>
      </c>
      <c r="P31" s="395">
        <f>+O31+1</f>
        <v>2024</v>
      </c>
      <c r="Q31" s="393">
        <f>+P31+1</f>
        <v>2025</v>
      </c>
      <c r="R31" s="393">
        <f>+Q31+1</f>
        <v>2026</v>
      </c>
    </row>
    <row r="32" spans="2:19" ht="4" customHeight="1" x14ac:dyDescent="0.35">
      <c r="B32" s="263"/>
      <c r="C32" s="53"/>
      <c r="D32" s="60"/>
      <c r="E32" s="60"/>
      <c r="F32" s="60"/>
      <c r="G32" s="60"/>
      <c r="H32" s="60"/>
      <c r="I32" s="60"/>
      <c r="J32" s="60"/>
      <c r="K32" s="60"/>
      <c r="L32" s="60"/>
      <c r="M32" s="60"/>
      <c r="N32" s="236"/>
      <c r="O32" s="236"/>
      <c r="P32" s="374"/>
      <c r="Q32" s="236"/>
      <c r="R32" s="236"/>
    </row>
    <row r="33" spans="2:18" ht="15.5" x14ac:dyDescent="0.35">
      <c r="B33" s="18" t="s">
        <v>493</v>
      </c>
      <c r="F33" s="270" t="str">
        <f>+_xlfn.XLOOKUP("DSO",Inputs!$B:$B,Inputs!G:G)</f>
        <v/>
      </c>
      <c r="G33" s="270" t="str">
        <f>+_xlfn.XLOOKUP("DSO",Inputs!$B:$B,Inputs!H:H)</f>
        <v/>
      </c>
      <c r="H33" s="270" t="str">
        <f>+_xlfn.XLOOKUP("DSO",Inputs!$B:$B,Inputs!I:I)</f>
        <v/>
      </c>
      <c r="I33" s="270" t="str">
        <f>+_xlfn.XLOOKUP("DSO",Inputs!$B:$B,Inputs!J:J)</f>
        <v/>
      </c>
      <c r="J33" s="270" t="str">
        <f>+_xlfn.XLOOKUP("DSO",Inputs!$B:$B,Inputs!K:K)</f>
        <v/>
      </c>
      <c r="K33" s="270" t="str">
        <f>+_xlfn.XLOOKUP("DSO",Inputs!$B:$B,Inputs!L:L)</f>
        <v/>
      </c>
      <c r="L33" s="270" t="str">
        <f>+_xlfn.XLOOKUP("DSO",Inputs!$B:$B,Inputs!M:M)</f>
        <v/>
      </c>
      <c r="M33" s="270" t="str">
        <f>+_xlfn.XLOOKUP("DSO",Inputs!$B:$B,Inputs!N:N)</f>
        <v/>
      </c>
      <c r="N33" s="270" t="str">
        <f>+_xlfn.XLOOKUP("DSO",Inputs!$B:$B,Inputs!O:O)</f>
        <v/>
      </c>
      <c r="O33" s="270" t="str">
        <f>+_xlfn.XLOOKUP("DSO",Inputs!$B:$B,Inputs!P:P)</f>
        <v/>
      </c>
      <c r="P33" s="378" t="str">
        <f>+_xlfn.XLOOKUP("DSO",Inputs!$B:$B,Inputs!Q:Q)</f>
        <v/>
      </c>
      <c r="Q33" s="383" t="str">
        <f>+_xlfn.XLOOKUP("DSO",DCF!$B:$B,DCF!H:H)</f>
        <v/>
      </c>
      <c r="R33" s="383" t="str">
        <f>+_xlfn.XLOOKUP("DSO",DCF!$B:$B,DCF!I:I)</f>
        <v/>
      </c>
    </row>
    <row r="34" spans="2:18" ht="15.5" x14ac:dyDescent="0.35">
      <c r="B34" s="264" t="s">
        <v>494</v>
      </c>
      <c r="F34" s="270" t="str">
        <f>+_xlfn.XLOOKUP("DPO",Inputs!$B:$B,Inputs!G:G)</f>
        <v/>
      </c>
      <c r="G34" s="270" t="str">
        <f>+_xlfn.XLOOKUP("DPO",Inputs!$B:$B,Inputs!H:H)</f>
        <v/>
      </c>
      <c r="H34" s="270" t="str">
        <f>+_xlfn.XLOOKUP("DPO",Inputs!$B:$B,Inputs!I:I)</f>
        <v/>
      </c>
      <c r="I34" s="270" t="str">
        <f>+_xlfn.XLOOKUP("DPO",Inputs!$B:$B,Inputs!J:J)</f>
        <v/>
      </c>
      <c r="J34" s="270" t="str">
        <f>+_xlfn.XLOOKUP("DPO",Inputs!$B:$B,Inputs!K:K)</f>
        <v/>
      </c>
      <c r="K34" s="270" t="str">
        <f>+_xlfn.XLOOKUP("DPO",Inputs!$B:$B,Inputs!L:L)</f>
        <v/>
      </c>
      <c r="L34" s="270" t="str">
        <f>+_xlfn.XLOOKUP("DPO",Inputs!$B:$B,Inputs!M:M)</f>
        <v/>
      </c>
      <c r="M34" s="270" t="str">
        <f>+_xlfn.XLOOKUP("DPO",Inputs!$B:$B,Inputs!N:N)</f>
        <v/>
      </c>
      <c r="N34" s="270" t="str">
        <f>+_xlfn.XLOOKUP("DPO",Inputs!$B:$B,Inputs!O:O)</f>
        <v/>
      </c>
      <c r="O34" s="270" t="str">
        <f>+_xlfn.XLOOKUP("DPO",Inputs!$B:$B,Inputs!P:P)</f>
        <v/>
      </c>
      <c r="P34" s="378" t="str">
        <f>+_xlfn.XLOOKUP("DPO",Inputs!$B:$B,Inputs!Q:Q)</f>
        <v/>
      </c>
      <c r="Q34" s="383" t="str">
        <f>+_xlfn.XLOOKUP("DPO",DCF!$B:$B,DCF!H:H)</f>
        <v/>
      </c>
      <c r="R34" s="383" t="str">
        <f>+_xlfn.XLOOKUP("DPO",DCF!$B:$B,DCF!I:I)</f>
        <v/>
      </c>
    </row>
    <row r="35" spans="2:18" ht="15.5" x14ac:dyDescent="0.35">
      <c r="B35" s="264" t="s">
        <v>495</v>
      </c>
      <c r="F35" s="270" t="str">
        <f>+_xlfn.XLOOKUP("DIH",Inputs!$B:$B,Inputs!G:G)</f>
        <v/>
      </c>
      <c r="G35" s="270" t="str">
        <f>+_xlfn.XLOOKUP("DIH",Inputs!$B:$B,Inputs!H:H)</f>
        <v/>
      </c>
      <c r="H35" s="270" t="str">
        <f>+_xlfn.XLOOKUP("DIH",Inputs!$B:$B,Inputs!I:I)</f>
        <v/>
      </c>
      <c r="I35" s="270" t="str">
        <f>+_xlfn.XLOOKUP("DIH",Inputs!$B:$B,Inputs!J:J)</f>
        <v/>
      </c>
      <c r="J35" s="270" t="str">
        <f>+_xlfn.XLOOKUP("DIH",Inputs!$B:$B,Inputs!K:K)</f>
        <v/>
      </c>
      <c r="K35" s="270" t="str">
        <f>+_xlfn.XLOOKUP("DIH",Inputs!$B:$B,Inputs!L:L)</f>
        <v/>
      </c>
      <c r="L35" s="270" t="str">
        <f>+_xlfn.XLOOKUP("DIH",Inputs!$B:$B,Inputs!M:M)</f>
        <v/>
      </c>
      <c r="M35" s="270" t="str">
        <f>+_xlfn.XLOOKUP("DIH",Inputs!$B:$B,Inputs!N:N)</f>
        <v/>
      </c>
      <c r="N35" s="270" t="str">
        <f>+_xlfn.XLOOKUP("DIH",Inputs!$B:$B,Inputs!O:O)</f>
        <v/>
      </c>
      <c r="O35" s="270" t="str">
        <f>+_xlfn.XLOOKUP("DIH",Inputs!$B:$B,Inputs!P:P)</f>
        <v/>
      </c>
      <c r="P35" s="378" t="str">
        <f>+_xlfn.XLOOKUP("DIH",Inputs!$B:$B,Inputs!Q:Q)</f>
        <v/>
      </c>
      <c r="Q35" s="383" t="str">
        <f>+_xlfn.XLOOKUP("DIH",DCF!$B:$B,DCF!H:H)</f>
        <v/>
      </c>
      <c r="R35" s="383" t="str">
        <f>+_xlfn.XLOOKUP("DIH",DCF!$B:$B,DCF!I:I)</f>
        <v/>
      </c>
    </row>
    <row r="36" spans="2:18" ht="15.5" x14ac:dyDescent="0.35">
      <c r="B36" s="264" t="s">
        <v>50</v>
      </c>
      <c r="F36" s="270" t="str">
        <f>IFERROR(F35+F33-F34,"")</f>
        <v/>
      </c>
      <c r="G36" s="270" t="str">
        <f t="shared" ref="G36:P36" si="29">IFERROR(G35+G33-G34,"")</f>
        <v/>
      </c>
      <c r="H36" s="270" t="str">
        <f t="shared" si="29"/>
        <v/>
      </c>
      <c r="I36" s="270" t="str">
        <f t="shared" si="29"/>
        <v/>
      </c>
      <c r="J36" s="270" t="str">
        <f t="shared" si="29"/>
        <v/>
      </c>
      <c r="K36" s="270" t="str">
        <f t="shared" si="29"/>
        <v/>
      </c>
      <c r="L36" s="270" t="str">
        <f t="shared" si="29"/>
        <v/>
      </c>
      <c r="M36" s="270" t="str">
        <f t="shared" si="29"/>
        <v/>
      </c>
      <c r="N36" s="270" t="str">
        <f t="shared" si="29"/>
        <v/>
      </c>
      <c r="O36" s="270" t="str">
        <f t="shared" si="29"/>
        <v/>
      </c>
      <c r="P36" s="378" t="str">
        <f t="shared" si="29"/>
        <v/>
      </c>
      <c r="Q36" s="383" t="str">
        <f>IFERROR(Q35+Q33-Q34,"")</f>
        <v/>
      </c>
      <c r="R36" s="383" t="str">
        <f t="shared" ref="R36" si="30">IFERROR(R35+R33-R34,"")</f>
        <v/>
      </c>
    </row>
    <row r="37" spans="2:18" ht="8.15" customHeight="1" x14ac:dyDescent="0.35">
      <c r="N37" s="266"/>
      <c r="O37" s="266"/>
      <c r="P37" s="375"/>
      <c r="Q37" s="380"/>
      <c r="R37" s="380"/>
    </row>
    <row r="38" spans="2:18" ht="15.5" x14ac:dyDescent="0.35">
      <c r="B38" s="7" t="s">
        <v>496</v>
      </c>
      <c r="C38" s="56"/>
      <c r="D38" s="58"/>
      <c r="E38" s="58"/>
      <c r="F38" s="394">
        <v>2014</v>
      </c>
      <c r="G38" s="394">
        <f t="shared" ref="G38" si="31">+F38+1</f>
        <v>2015</v>
      </c>
      <c r="H38" s="394">
        <f t="shared" ref="H38" si="32">+G38+1</f>
        <v>2016</v>
      </c>
      <c r="I38" s="394">
        <f t="shared" ref="I38" si="33">+H38+1</f>
        <v>2017</v>
      </c>
      <c r="J38" s="394">
        <f t="shared" ref="J38" si="34">+I38+1</f>
        <v>2018</v>
      </c>
      <c r="K38" s="394">
        <f t="shared" ref="K38" si="35">+J38+1</f>
        <v>2019</v>
      </c>
      <c r="L38" s="394">
        <f t="shared" ref="L38" si="36">+K38+1</f>
        <v>2020</v>
      </c>
      <c r="M38" s="394">
        <f t="shared" ref="M38" si="37">+L38+1</f>
        <v>2021</v>
      </c>
      <c r="N38" s="394">
        <v>2022</v>
      </c>
      <c r="O38" s="394">
        <f t="shared" ref="O38" si="38">+N38+1</f>
        <v>2023</v>
      </c>
      <c r="P38" s="395">
        <f>+O38+1</f>
        <v>2024</v>
      </c>
      <c r="Q38" s="393">
        <f>+P38+1</f>
        <v>2025</v>
      </c>
      <c r="R38" s="393">
        <f>+Q38+1</f>
        <v>2026</v>
      </c>
    </row>
    <row r="39" spans="2:18" ht="4" customHeight="1" x14ac:dyDescent="0.35">
      <c r="B39" s="263"/>
      <c r="C39" s="53"/>
      <c r="D39" s="60"/>
      <c r="E39" s="60"/>
      <c r="F39" s="60"/>
      <c r="G39" s="60"/>
      <c r="H39" s="60"/>
      <c r="I39" s="60"/>
      <c r="J39" s="60"/>
      <c r="K39" s="60"/>
      <c r="L39" s="60"/>
      <c r="M39" s="60"/>
      <c r="N39" s="236"/>
      <c r="O39" s="236"/>
      <c r="P39" s="374"/>
      <c r="Q39" s="236"/>
      <c r="R39" s="236"/>
    </row>
    <row r="40" spans="2:18" ht="15.5" x14ac:dyDescent="0.35">
      <c r="B40" s="18" t="s">
        <v>56</v>
      </c>
      <c r="F40" s="16" t="str">
        <f>+IFERROR(_xlfn.XLOOKUP("Total Debt",Inputs!$B:$B,Inputs!G:G)*1000/+_xlfn.XLOOKUP("Shareholder's Equity",Inputs!$B:$B,Inputs!G:G),"")</f>
        <v/>
      </c>
      <c r="G40" s="16" t="str">
        <f>+IFERROR(_xlfn.XLOOKUP("Total Debt",Inputs!$B:$B,Inputs!H:H)*1000/+_xlfn.XLOOKUP("Shareholder's Equity",Inputs!$B:$B,Inputs!H:H),"")</f>
        <v/>
      </c>
      <c r="H40" s="16" t="str">
        <f>+IFERROR(_xlfn.XLOOKUP("Total Debt",Inputs!$B:$B,Inputs!I:I)*1000/+_xlfn.XLOOKUP("Shareholder's Equity",Inputs!$B:$B,Inputs!I:I),"")</f>
        <v/>
      </c>
      <c r="I40" s="16" t="str">
        <f>+IFERROR(_xlfn.XLOOKUP("Total Debt",Inputs!$B:$B,Inputs!J:J)*1000/+_xlfn.XLOOKUP("Shareholder's Equity",Inputs!$B:$B,Inputs!J:J),"")</f>
        <v/>
      </c>
      <c r="J40" s="16" t="str">
        <f>+IFERROR(_xlfn.XLOOKUP("Total Debt",Inputs!$B:$B,Inputs!K:K)*1000/+_xlfn.XLOOKUP("Shareholder's Equity",Inputs!$B:$B,Inputs!K:K),"")</f>
        <v/>
      </c>
      <c r="K40" s="16" t="str">
        <f>+IFERROR(_xlfn.XLOOKUP("Total Debt",Inputs!$B:$B,Inputs!L:L)*1000/+_xlfn.XLOOKUP("Shareholder's Equity",Inputs!$B:$B,Inputs!L:L),"")</f>
        <v/>
      </c>
      <c r="L40" s="16" t="str">
        <f>+IFERROR(_xlfn.XLOOKUP("Total Debt",Inputs!$B:$B,Inputs!M:M)*1000/+_xlfn.XLOOKUP("Shareholder's Equity",Inputs!$B:$B,Inputs!M:M),"")</f>
        <v/>
      </c>
      <c r="M40" s="16" t="str">
        <f>+IFERROR(_xlfn.XLOOKUP("Total Debt",Inputs!$B:$B,Inputs!N:N)*1000/+_xlfn.XLOOKUP("Shareholder's Equity",Inputs!$B:$B,Inputs!N:N),"")</f>
        <v/>
      </c>
      <c r="N40" s="16" t="str">
        <f>+IFERROR(_xlfn.XLOOKUP("Total Debt",Inputs!$B:$B,Inputs!O:O)*1000/+_xlfn.XLOOKUP("Shareholder's Equity",Inputs!$B:$B,Inputs!O:O),"")</f>
        <v/>
      </c>
      <c r="O40" s="16" t="str">
        <f>+IFERROR(_xlfn.XLOOKUP("Total Debt",Inputs!$B:$B,Inputs!P:P)*1000/+_xlfn.XLOOKUP("Shareholder's Equity",Inputs!$B:$B,Inputs!P:P),"")</f>
        <v/>
      </c>
      <c r="P40" s="372" t="str">
        <f>+IFERROR(_xlfn.XLOOKUP("Total Debt",Inputs!$B:$B,Inputs!Q:Q)*1000/+_xlfn.XLOOKUP("Shareholder's Equity",Inputs!$B:$B,Inputs!Q:Q),"")</f>
        <v/>
      </c>
      <c r="Q40" s="379" t="str">
        <f>IFERROR((_xlfn.XLOOKUP("Total Borrowings",DCF!$B:$B,DCF!G:G)+_xlfn.XLOOKUP("Total Leases",DCF!$B:$B,DCF!G:G))/_xlfn.XLOOKUP("Shareholder's Equity",DCF!$6:$6,DCF!10:10),"")</f>
        <v/>
      </c>
      <c r="R40" s="379" t="str">
        <f>IFERROR((_xlfn.XLOOKUP("Total Borrowings",DCF!$B:$B,DCF!H:H)+_xlfn.XLOOKUP("Total Leases",DCF!$B:$B,DCF!H:H))/_xlfn.XLOOKUP("Shareholder's Equity",DCF!$6:$6,DCF!10:10),"")</f>
        <v/>
      </c>
    </row>
    <row r="41" spans="2:18" ht="15.5" x14ac:dyDescent="0.35">
      <c r="B41" s="264" t="s">
        <v>57</v>
      </c>
      <c r="F41" s="16" t="str">
        <f>+IFERROR(_xlfn.XLOOKUP("Total Debt",Inputs!$B:$B,Inputs!G:G)*1000/(+_xlfn.XLOOKUP("Shareholder's Equity",Inputs!$B:$B,Inputs!G:G)+_xlfn.XLOOKUP("Total Debt",Inputs!$B:$B,Inputs!G:G)*1000),"")</f>
        <v/>
      </c>
      <c r="G41" s="16" t="str">
        <f>+IFERROR(_xlfn.XLOOKUP("Total Debt",Inputs!$B:$B,Inputs!H:H)*1000/(+_xlfn.XLOOKUP("Shareholder's Equity",Inputs!$B:$B,Inputs!H:H)+_xlfn.XLOOKUP("Total Debt",Inputs!$B:$B,Inputs!H:H)*1000),"")</f>
        <v/>
      </c>
      <c r="H41" s="16" t="str">
        <f>+IFERROR(_xlfn.XLOOKUP("Total Debt",Inputs!$B:$B,Inputs!I:I)*1000/(+_xlfn.XLOOKUP("Shareholder's Equity",Inputs!$B:$B,Inputs!I:I)+_xlfn.XLOOKUP("Total Debt",Inputs!$B:$B,Inputs!I:I)*1000),"")</f>
        <v/>
      </c>
      <c r="I41" s="16" t="str">
        <f>+IFERROR(_xlfn.XLOOKUP("Total Debt",Inputs!$B:$B,Inputs!J:J)*1000/(+_xlfn.XLOOKUP("Shareholder's Equity",Inputs!$B:$B,Inputs!J:J)+_xlfn.XLOOKUP("Total Debt",Inputs!$B:$B,Inputs!J:J)*1000),"")</f>
        <v/>
      </c>
      <c r="J41" s="16" t="str">
        <f>+IFERROR(_xlfn.XLOOKUP("Total Debt",Inputs!$B:$B,Inputs!K:K)*1000/(+_xlfn.XLOOKUP("Shareholder's Equity",Inputs!$B:$B,Inputs!K:K)+_xlfn.XLOOKUP("Total Debt",Inputs!$B:$B,Inputs!K:K)*1000),"")</f>
        <v/>
      </c>
      <c r="K41" s="16" t="str">
        <f>+IFERROR(_xlfn.XLOOKUP("Total Debt",Inputs!$B:$B,Inputs!L:L)*1000/(+_xlfn.XLOOKUP("Shareholder's Equity",Inputs!$B:$B,Inputs!L:L)+_xlfn.XLOOKUP("Total Debt",Inputs!$B:$B,Inputs!L:L)*1000),"")</f>
        <v/>
      </c>
      <c r="L41" s="16" t="str">
        <f>+IFERROR(_xlfn.XLOOKUP("Total Debt",Inputs!$B:$B,Inputs!M:M)*1000/(+_xlfn.XLOOKUP("Shareholder's Equity",Inputs!$B:$B,Inputs!M:M)+_xlfn.XLOOKUP("Total Debt",Inputs!$B:$B,Inputs!M:M)*1000),"")</f>
        <v/>
      </c>
      <c r="M41" s="16" t="str">
        <f>+IFERROR(_xlfn.XLOOKUP("Total Debt",Inputs!$B:$B,Inputs!N:N)*1000/(+_xlfn.XLOOKUP("Shareholder's Equity",Inputs!$B:$B,Inputs!N:N)+_xlfn.XLOOKUP("Total Debt",Inputs!$B:$B,Inputs!N:N)*1000),"")</f>
        <v/>
      </c>
      <c r="N41" s="16" t="str">
        <f>+IFERROR(_xlfn.XLOOKUP("Total Debt",Inputs!$B:$B,Inputs!O:O)*1000/(+_xlfn.XLOOKUP("Shareholder's Equity",Inputs!$B:$B,Inputs!O:O)+_xlfn.XLOOKUP("Total Debt",Inputs!$B:$B,Inputs!O:O)*1000),"")</f>
        <v/>
      </c>
      <c r="O41" s="16" t="str">
        <f>+IFERROR(_xlfn.XLOOKUP("Total Debt",Inputs!$B:$B,Inputs!P:P)*1000/(+_xlfn.XLOOKUP("Shareholder's Equity",Inputs!$B:$B,Inputs!P:P)+_xlfn.XLOOKUP("Total Debt",Inputs!$B:$B,Inputs!P:P)*1000),"")</f>
        <v/>
      </c>
      <c r="P41" s="372" t="str">
        <f>+IFERROR(_xlfn.XLOOKUP("Total Debt",Inputs!$B:$B,Inputs!Q:Q)*1000/(+_xlfn.XLOOKUP("Shareholder's Equity",Inputs!$B:$B,Inputs!Q:Q)+_xlfn.XLOOKUP("Total Debt",Inputs!$B:$B,Inputs!Q:Q)*1000),"")</f>
        <v/>
      </c>
      <c r="Q41" s="379" t="str">
        <f>IFERROR((_xlfn.XLOOKUP("Total Borrowings",DCF!$B:$B,DCF!G:G)+_xlfn.XLOOKUP("Total Leases",DCF!$B:$B,DCF!G:G))/(_xlfn.XLOOKUP("Shareholder's Equity",DCF!$6:$6,DCF!10:10)+_xlfn.XLOOKUP("Total Borrowings",DCF!$B:$B,DCF!G:G)+_xlfn.XLOOKUP("Total Leases",DCF!$B:$B,DCF!G:G)),"")</f>
        <v/>
      </c>
      <c r="R41" s="379" t="str">
        <f>IFERROR((_xlfn.XLOOKUP("Total Borrowings",DCF!$B:$B,DCF!H:H)+_xlfn.XLOOKUP("Total Leases",DCF!$B:$B,DCF!H:H))/(_xlfn.XLOOKUP("Shareholder's Equity",DCF!$6:$6,DCF!10:10)+_xlfn.XLOOKUP("Total Borrowings",DCF!$B:$B,DCF!H:H)+_xlfn.XLOOKUP("Total Leases",DCF!$B:$B,DCF!H:H)),"")</f>
        <v/>
      </c>
    </row>
    <row r="42" spans="2:18" ht="15.5" x14ac:dyDescent="0.35">
      <c r="B42" s="264" t="s">
        <v>58</v>
      </c>
      <c r="F42" s="16" t="str">
        <f>IFERROR(_xlfn.XLOOKUP("Total Liabilities",Inputs!$B:$B,Inputs!G:G)/_xlfn.XLOOKUP("Total Assets",Inputs!$B:$B,Inputs!G:G),"")</f>
        <v/>
      </c>
      <c r="G42" s="16" t="str">
        <f>IFERROR(_xlfn.XLOOKUP("Total Liabilities",Inputs!$B:$B,Inputs!H:H)/_xlfn.XLOOKUP("Total Assets",Inputs!$B:$B,Inputs!H:H),"")</f>
        <v/>
      </c>
      <c r="H42" s="16" t="str">
        <f>IFERROR(_xlfn.XLOOKUP("Total Liabilities",Inputs!$B:$B,Inputs!I:I)/_xlfn.XLOOKUP("Total Assets",Inputs!$B:$B,Inputs!I:I),"")</f>
        <v/>
      </c>
      <c r="I42" s="16" t="str">
        <f>IFERROR(_xlfn.XLOOKUP("Total Liabilities",Inputs!$B:$B,Inputs!J:J)/_xlfn.XLOOKUP("Total Assets",Inputs!$B:$B,Inputs!J:J),"")</f>
        <v/>
      </c>
      <c r="J42" s="16" t="str">
        <f>IFERROR(_xlfn.XLOOKUP("Total Liabilities",Inputs!$B:$B,Inputs!K:K)/_xlfn.XLOOKUP("Total Assets",Inputs!$B:$B,Inputs!K:K),"")</f>
        <v/>
      </c>
      <c r="K42" s="16" t="str">
        <f>IFERROR(_xlfn.XLOOKUP("Total Liabilities",Inputs!$B:$B,Inputs!L:L)/_xlfn.XLOOKUP("Total Assets",Inputs!$B:$B,Inputs!L:L),"")</f>
        <v/>
      </c>
      <c r="L42" s="16" t="str">
        <f>IFERROR(_xlfn.XLOOKUP("Total Liabilities",Inputs!$B:$B,Inputs!M:M)/_xlfn.XLOOKUP("Total Assets",Inputs!$B:$B,Inputs!M:M),"")</f>
        <v/>
      </c>
      <c r="M42" s="16" t="str">
        <f>IFERROR(_xlfn.XLOOKUP("Total Liabilities",Inputs!$B:$B,Inputs!N:N)/_xlfn.XLOOKUP("Total Assets",Inputs!$B:$B,Inputs!N:N),"")</f>
        <v/>
      </c>
      <c r="N42" s="16" t="str">
        <f>IFERROR(_xlfn.XLOOKUP("Total Liabilities",Inputs!$B:$B,Inputs!O:O)/_xlfn.XLOOKUP("Total Assets",Inputs!$B:$B,Inputs!O:O),"")</f>
        <v/>
      </c>
      <c r="O42" s="16" t="str">
        <f>IFERROR(_xlfn.XLOOKUP("Total Liabilities",Inputs!$B:$B,Inputs!P:P)/_xlfn.XLOOKUP("Total Assets",Inputs!$B:$B,Inputs!P:P),"")</f>
        <v/>
      </c>
      <c r="P42" s="372" t="str">
        <f>IFERROR(_xlfn.XLOOKUP("Total Liabilities",Inputs!$B:$B,Inputs!Q:Q)/_xlfn.XLOOKUP("Total Assets",Inputs!$B:$B,Inputs!Q:Q),"")</f>
        <v/>
      </c>
      <c r="Q42" s="379" t="str">
        <f>IFERROR(+_xlfn.XLOOKUP("Total Liabilities",DCF!$6:$6,DCF!10:10)/_xlfn.XLOOKUP("Total Assets",DCF!$6:$6,DCF!10:10),"")</f>
        <v/>
      </c>
      <c r="R42" s="379" t="str">
        <f>IFERROR(+_xlfn.XLOOKUP("Total Liabilities",DCF!$6:$6,DCF!10:10)/_xlfn.XLOOKUP("Total Assets",DCF!$6:$6,DCF!10:10),"")</f>
        <v/>
      </c>
    </row>
    <row r="43" spans="2:18" ht="15.5" x14ac:dyDescent="0.35">
      <c r="B43" s="18" t="s">
        <v>59</v>
      </c>
      <c r="F43" s="16" t="str">
        <f>+IFERROR(_xlfn.XLOOKUP("Total Debt",Inputs!$B:$B,Inputs!G:G,,,-1)/_xlfn.XLOOKUP("EBITDA",Inputs!$B:$B,Inputs!G:G),"")</f>
        <v/>
      </c>
      <c r="G43" s="16" t="str">
        <f>+IFERROR(_xlfn.XLOOKUP("Total Debt",Inputs!$B:$B,Inputs!H:H,,,-1)/_xlfn.XLOOKUP("EBITDA",Inputs!$B:$B,Inputs!H:H),"")</f>
        <v/>
      </c>
      <c r="H43" s="16" t="str">
        <f>+IFERROR(_xlfn.XLOOKUP("Total Debt",Inputs!$B:$B,Inputs!I:I,,,-1)/_xlfn.XLOOKUP("EBITDA",Inputs!$B:$B,Inputs!I:I),"")</f>
        <v/>
      </c>
      <c r="I43" s="16" t="str">
        <f>+IFERROR(_xlfn.XLOOKUP("Total Debt",Inputs!$B:$B,Inputs!J:J,,,-1)/_xlfn.XLOOKUP("EBITDA",Inputs!$B:$B,Inputs!J:J),"")</f>
        <v/>
      </c>
      <c r="J43" s="16" t="str">
        <f>+IFERROR(_xlfn.XLOOKUP("Total Debt",Inputs!$B:$B,Inputs!K:K,,,-1)/_xlfn.XLOOKUP("EBITDA",Inputs!$B:$B,Inputs!K:K),"")</f>
        <v/>
      </c>
      <c r="K43" s="16" t="str">
        <f>+IFERROR(_xlfn.XLOOKUP("Total Debt",Inputs!$B:$B,Inputs!L:L,,,-1)/_xlfn.XLOOKUP("EBITDA",Inputs!$B:$B,Inputs!L:L),"")</f>
        <v/>
      </c>
      <c r="L43" s="16" t="str">
        <f>+IFERROR(_xlfn.XLOOKUP("Total Debt",Inputs!$B:$B,Inputs!M:M,,,-1)/_xlfn.XLOOKUP("EBITDA",Inputs!$B:$B,Inputs!M:M),"")</f>
        <v/>
      </c>
      <c r="M43" s="16" t="str">
        <f>+IFERROR(_xlfn.XLOOKUP("Total Debt",Inputs!$B:$B,Inputs!N:N,,,-1)/_xlfn.XLOOKUP("EBITDA",Inputs!$B:$B,Inputs!N:N),"")</f>
        <v/>
      </c>
      <c r="N43" s="16" t="str">
        <f>+IFERROR(_xlfn.XLOOKUP("Total Debt",Inputs!$B:$B,Inputs!O:O,,,-1)/_xlfn.XLOOKUP("EBITDA",Inputs!$B:$B,Inputs!O:O),"")</f>
        <v/>
      </c>
      <c r="O43" s="16" t="str">
        <f>+IFERROR(_xlfn.XLOOKUP("Total Debt",Inputs!$B:$B,Inputs!P:P,,,-1)/_xlfn.XLOOKUP("EBITDA",Inputs!$B:$B,Inputs!P:P),"")</f>
        <v/>
      </c>
      <c r="P43" s="372" t="str">
        <f>+IFERROR(_xlfn.XLOOKUP("Total Debt",Inputs!$B:$B,Inputs!Q:Q,,,-1)/_xlfn.XLOOKUP("EBITDA",Inputs!$B:$B,Inputs!Q:Q),"")</f>
        <v/>
      </c>
      <c r="Q43" s="379" t="str">
        <f>IFERROR((_xlfn.XLOOKUP("Total Borrowings",DCF!$B:$B,DCF!G:G)+_xlfn.XLOOKUP("Total Leases",DCF!$B:$B,DCF!G:G))/_xlfn.XLOOKUP("EBITDA",DCF!$B:$B,DCF!H:H),"")</f>
        <v/>
      </c>
      <c r="R43" s="379" t="str">
        <f>IFERROR((_xlfn.XLOOKUP("Total Borrowings",DCF!$B:$B,DCF!H:H)+_xlfn.XLOOKUP("Total Leases",DCF!$B:$B,DCF!H:H))/_xlfn.XLOOKUP("EBITDA",DCF!$B:$B,DCF!I:I),"")</f>
        <v/>
      </c>
    </row>
    <row r="44" spans="2:18" ht="15.5" x14ac:dyDescent="0.35">
      <c r="B44" s="18" t="s">
        <v>61</v>
      </c>
      <c r="F44" s="16" t="str">
        <f>IFERROR(_xlfn.XLOOKUP("Total Debt",Inputs!$B:$B,Inputs!G:G,,,-1)/(_xlfn.XLOOKUP("EBITDA",Inputs!$B:$B,Inputs!G:G)+_xlfn.XLOOKUP("Net Capex",Inputs!$B:$B,Inputs!G:G)),"")</f>
        <v/>
      </c>
      <c r="G44" s="16" t="str">
        <f>IFERROR(_xlfn.XLOOKUP("Total Debt",Inputs!$B:$B,Inputs!H:H,,,-1)/(_xlfn.XLOOKUP("EBITDA",Inputs!$B:$B,Inputs!H:H)+_xlfn.XLOOKUP("Net Capex",Inputs!$B:$B,Inputs!H:H)),"")</f>
        <v/>
      </c>
      <c r="H44" s="16" t="str">
        <f>IFERROR(_xlfn.XLOOKUP("Total Debt",Inputs!$B:$B,Inputs!I:I,,,-1)/(_xlfn.XLOOKUP("EBITDA",Inputs!$B:$B,Inputs!I:I)+_xlfn.XLOOKUP("Net Capex",Inputs!$B:$B,Inputs!I:I)),"")</f>
        <v/>
      </c>
      <c r="I44" s="16" t="str">
        <f>IFERROR(_xlfn.XLOOKUP("Total Debt",Inputs!$B:$B,Inputs!J:J,,,-1)/(_xlfn.XLOOKUP("EBITDA",Inputs!$B:$B,Inputs!J:J)+_xlfn.XLOOKUP("Net Capex",Inputs!$B:$B,Inputs!J:J)),"")</f>
        <v/>
      </c>
      <c r="J44" s="16" t="str">
        <f>IFERROR(_xlfn.XLOOKUP("Total Debt",Inputs!$B:$B,Inputs!K:K,,,-1)/(_xlfn.XLOOKUP("EBITDA",Inputs!$B:$B,Inputs!K:K)+_xlfn.XLOOKUP("Net Capex",Inputs!$B:$B,Inputs!K:K)),"")</f>
        <v/>
      </c>
      <c r="K44" s="16" t="str">
        <f>IFERROR(_xlfn.XLOOKUP("Total Debt",Inputs!$B:$B,Inputs!L:L,,,-1)/(_xlfn.XLOOKUP("EBITDA",Inputs!$B:$B,Inputs!L:L)+_xlfn.XLOOKUP("Net Capex",Inputs!$B:$B,Inputs!L:L)),"")</f>
        <v/>
      </c>
      <c r="L44" s="16" t="str">
        <f>IFERROR(_xlfn.XLOOKUP("Total Debt",Inputs!$B:$B,Inputs!M:M,,,-1)/(_xlfn.XLOOKUP("EBITDA",Inputs!$B:$B,Inputs!M:M)+_xlfn.XLOOKUP("Net Capex",Inputs!$B:$B,Inputs!M:M)),"")</f>
        <v/>
      </c>
      <c r="M44" s="16" t="str">
        <f>IFERROR(_xlfn.XLOOKUP("Total Debt",Inputs!$B:$B,Inputs!N:N,,,-1)/(_xlfn.XLOOKUP("EBITDA",Inputs!$B:$B,Inputs!N:N)+_xlfn.XLOOKUP("Net Capex",Inputs!$B:$B,Inputs!N:N)),"")</f>
        <v/>
      </c>
      <c r="N44" s="16" t="str">
        <f>IFERROR(_xlfn.XLOOKUP("Total Debt",Inputs!$B:$B,Inputs!O:O,,,-1)/(_xlfn.XLOOKUP("EBITDA",Inputs!$B:$B,Inputs!O:O)+_xlfn.XLOOKUP("Net Capex",Inputs!$B:$B,Inputs!O:O)),"")</f>
        <v/>
      </c>
      <c r="O44" s="16" t="str">
        <f>IFERROR(_xlfn.XLOOKUP("Total Debt",Inputs!$B:$B,Inputs!P:P,,,-1)/(_xlfn.XLOOKUP("EBITDA",Inputs!$B:$B,Inputs!P:P)+_xlfn.XLOOKUP("Net Capex",Inputs!$B:$B,Inputs!P:P)),"")</f>
        <v/>
      </c>
      <c r="P44" s="372" t="str">
        <f>IFERROR(_xlfn.XLOOKUP("Total Debt",Inputs!$B:$B,Inputs!Q:Q,,,-1)/(_xlfn.XLOOKUP("EBITDA",Inputs!$B:$B,Inputs!Q:Q)+_xlfn.XLOOKUP("Net Capex",Inputs!$B:$B,Inputs!Q:Q)),"")</f>
        <v/>
      </c>
      <c r="Q44" s="379" t="str">
        <f>IFERROR((_xlfn.XLOOKUP("Total Borrowings",DCF!$B:$B,DCF!G:G)+_xlfn.XLOOKUP("Total Leases",DCF!$B:$B,DCF!G:G))/(_xlfn.XLOOKUP("EBITDA",DCF!$B:$B,DCF!H:H)+_xlfn.XLOOKUP("Net Capex",DCF!$B:$B,DCF!H:H)),"")</f>
        <v/>
      </c>
      <c r="R44" s="379" t="str">
        <f>IFERROR((_xlfn.XLOOKUP("Total Borrowings",DCF!$B:$B,DCF!H:H)+_xlfn.XLOOKUP("Total Leases",DCF!$B:$B,DCF!H:H))/(_xlfn.XLOOKUP("EBITDA",DCF!$B:$B,DCF!I:I)+_xlfn.XLOOKUP("Net Capex",DCF!$B:$B,DCF!I:I)),"")</f>
        <v/>
      </c>
    </row>
    <row r="45" spans="2:18" ht="15.5" x14ac:dyDescent="0.35">
      <c r="B45" s="18" t="s">
        <v>62</v>
      </c>
      <c r="F45" s="16" t="str">
        <f>+IFERROR(_xlfn.XLOOKUP("Net Debt",Inputs!$B:$B,Inputs!G:G,,,-1)/_xlfn.XLOOKUP("EBITDA",Inputs!$B:$B,Inputs!G:G),"")</f>
        <v/>
      </c>
      <c r="G45" s="16" t="str">
        <f>+IFERROR(_xlfn.XLOOKUP("Net Debt",Inputs!$B:$B,Inputs!H:H,,,-1)/_xlfn.XLOOKUP("EBITDA",Inputs!$B:$B,Inputs!H:H),"")</f>
        <v/>
      </c>
      <c r="H45" s="16" t="str">
        <f>+IFERROR(_xlfn.XLOOKUP("Net Debt",Inputs!$B:$B,Inputs!I:I,,,-1)/_xlfn.XLOOKUP("EBITDA",Inputs!$B:$B,Inputs!I:I),"")</f>
        <v/>
      </c>
      <c r="I45" s="16" t="str">
        <f>+IFERROR(_xlfn.XLOOKUP("Net Debt",Inputs!$B:$B,Inputs!J:J,,,-1)/_xlfn.XLOOKUP("EBITDA",Inputs!$B:$B,Inputs!J:J),"")</f>
        <v/>
      </c>
      <c r="J45" s="16" t="str">
        <f>+IFERROR(_xlfn.XLOOKUP("Net Debt",Inputs!$B:$B,Inputs!K:K,,,-1)/_xlfn.XLOOKUP("EBITDA",Inputs!$B:$B,Inputs!K:K),"")</f>
        <v/>
      </c>
      <c r="K45" s="16" t="str">
        <f>+IFERROR(_xlfn.XLOOKUP("Net Debt",Inputs!$B:$B,Inputs!L:L,,,-1)/_xlfn.XLOOKUP("EBITDA",Inputs!$B:$B,Inputs!L:L),"")</f>
        <v/>
      </c>
      <c r="L45" s="16" t="str">
        <f>+IFERROR(_xlfn.XLOOKUP("Net Debt",Inputs!$B:$B,Inputs!M:M,,,-1)/_xlfn.XLOOKUP("EBITDA",Inputs!$B:$B,Inputs!M:M),"")</f>
        <v/>
      </c>
      <c r="M45" s="16" t="str">
        <f>+IFERROR(_xlfn.XLOOKUP("Net Debt",Inputs!$B:$B,Inputs!N:N,,,-1)/_xlfn.XLOOKUP("EBITDA",Inputs!$B:$B,Inputs!N:N),"")</f>
        <v/>
      </c>
      <c r="N45" s="16" t="str">
        <f>+IFERROR(_xlfn.XLOOKUP("Net Debt",Inputs!$B:$B,Inputs!O:O,,,-1)/_xlfn.XLOOKUP("EBITDA",Inputs!$B:$B,Inputs!O:O),"")</f>
        <v/>
      </c>
      <c r="O45" s="16" t="str">
        <f>+IFERROR(_xlfn.XLOOKUP("Net Debt",Inputs!$B:$B,Inputs!P:P,,,-1)/_xlfn.XLOOKUP("EBITDA",Inputs!$B:$B,Inputs!P:P),"")</f>
        <v/>
      </c>
      <c r="P45" s="372" t="str">
        <f>+IFERROR(_xlfn.XLOOKUP("Net Debt",Inputs!$B:$B,Inputs!Q:Q,,,-1)/_xlfn.XLOOKUP("EBITDA",Inputs!$B:$B,Inputs!Q:Q),"")</f>
        <v/>
      </c>
      <c r="Q45" s="379" t="str">
        <f>IFERROR((_xlfn.XLOOKUP("Total Borrowings",DCF!$B:$B,DCF!G:G)+_xlfn.XLOOKUP("Total Leases",DCF!$B:$B,DCF!G:G)-_xlfn.XLOOKUP("Cash &amp; Cash Equivalents &amp; ST Investments",DCF!$B:$B,DCF!G:G))/_xlfn.XLOOKUP("EBITDA",DCF!$B:$B,DCF!H:H),"")</f>
        <v/>
      </c>
      <c r="R45" s="379" t="str">
        <f>IFERROR((_xlfn.XLOOKUP("Total Borrowings",DCF!$B:$B,DCF!H:H)+_xlfn.XLOOKUP("Total Leases",DCF!$B:$B,DCF!H:H)-_xlfn.XLOOKUP("Cash &amp; Cash Equivalents &amp; ST Investments",DCF!$B:$B,DCF!H:H))/_xlfn.XLOOKUP("EBITDA",DCF!$B:$B,DCF!I:I),"")</f>
        <v/>
      </c>
    </row>
    <row r="46" spans="2:18" ht="8.15" customHeight="1" x14ac:dyDescent="0.35">
      <c r="B46" s="264"/>
      <c r="N46" s="266"/>
      <c r="O46" s="266"/>
      <c r="P46" s="375"/>
      <c r="Q46" s="380"/>
      <c r="R46" s="380"/>
    </row>
    <row r="47" spans="2:18" ht="15.5" x14ac:dyDescent="0.35">
      <c r="B47" s="7" t="s">
        <v>497</v>
      </c>
      <c r="C47" s="56"/>
      <c r="D47" s="58"/>
      <c r="E47" s="58"/>
      <c r="F47" s="394">
        <v>2014</v>
      </c>
      <c r="G47" s="394">
        <f t="shared" ref="G47" si="39">+F47+1</f>
        <v>2015</v>
      </c>
      <c r="H47" s="394">
        <f t="shared" ref="H47" si="40">+G47+1</f>
        <v>2016</v>
      </c>
      <c r="I47" s="394">
        <f t="shared" ref="I47" si="41">+H47+1</f>
        <v>2017</v>
      </c>
      <c r="J47" s="394">
        <f t="shared" ref="J47" si="42">+I47+1</f>
        <v>2018</v>
      </c>
      <c r="K47" s="394">
        <f t="shared" ref="K47" si="43">+J47+1</f>
        <v>2019</v>
      </c>
      <c r="L47" s="394">
        <f t="shared" ref="L47" si="44">+K47+1</f>
        <v>2020</v>
      </c>
      <c r="M47" s="394">
        <f t="shared" ref="M47" si="45">+L47+1</f>
        <v>2021</v>
      </c>
      <c r="N47" s="394">
        <v>2022</v>
      </c>
      <c r="O47" s="394">
        <f t="shared" ref="O47" si="46">+N47+1</f>
        <v>2023</v>
      </c>
      <c r="P47" s="395">
        <f>+O47+1</f>
        <v>2024</v>
      </c>
      <c r="Q47" s="393">
        <f>+P47+1</f>
        <v>2025</v>
      </c>
      <c r="R47" s="393">
        <f>+Q47+1</f>
        <v>2026</v>
      </c>
    </row>
    <row r="48" spans="2:18" ht="4" customHeight="1" x14ac:dyDescent="0.35">
      <c r="B48" s="263"/>
      <c r="C48" s="53"/>
      <c r="D48" s="60"/>
      <c r="E48" s="60"/>
      <c r="F48" s="60"/>
      <c r="G48" s="60"/>
      <c r="H48" s="60"/>
      <c r="I48" s="60"/>
      <c r="J48" s="60"/>
      <c r="K48" s="60"/>
      <c r="L48" s="60"/>
      <c r="M48" s="60"/>
      <c r="N48" s="236"/>
      <c r="O48" s="236"/>
      <c r="P48" s="374"/>
      <c r="Q48" s="236"/>
      <c r="R48" s="236"/>
    </row>
    <row r="49" spans="2:18" ht="15.5" x14ac:dyDescent="0.35">
      <c r="B49" s="264" t="s">
        <v>64</v>
      </c>
      <c r="F49" s="16" t="str">
        <f>IFERROR(_xlfn.XLOOKUP("Operating Income (EBIT)",Inputs!$B:$B,Inputs!G:G)/_xlfn.XLOOKUP("Interest Expense",Inputs!$B:$B,Inputs!G:G),"N/A")</f>
        <v>N/A</v>
      </c>
      <c r="G49" s="16" t="str">
        <f>IFERROR(_xlfn.XLOOKUP("Operating Income (EBIT)",Inputs!$B:$B,Inputs!H:H)/_xlfn.XLOOKUP("Interest Expense",Inputs!$B:$B,Inputs!H:H),"N/A")</f>
        <v>N/A</v>
      </c>
      <c r="H49" s="16" t="str">
        <f>IFERROR(_xlfn.XLOOKUP("Operating Income (EBIT)",Inputs!$B:$B,Inputs!I:I)/_xlfn.XLOOKUP("Interest Expense",Inputs!$B:$B,Inputs!I:I),"N/A")</f>
        <v>N/A</v>
      </c>
      <c r="I49" s="16" t="str">
        <f>IFERROR(_xlfn.XLOOKUP("Operating Income (EBIT)",Inputs!$B:$B,Inputs!J:J)/_xlfn.XLOOKUP("Interest Expense",Inputs!$B:$B,Inputs!J:J),"N/A")</f>
        <v>N/A</v>
      </c>
      <c r="J49" s="16" t="str">
        <f>IFERROR(_xlfn.XLOOKUP("Operating Income (EBIT)",Inputs!$B:$B,Inputs!K:K)/_xlfn.XLOOKUP("Interest Expense",Inputs!$B:$B,Inputs!K:K),"N/A")</f>
        <v>N/A</v>
      </c>
      <c r="K49" s="16" t="str">
        <f>IFERROR(_xlfn.XLOOKUP("Operating Income (EBIT)",Inputs!$B:$B,Inputs!L:L)/_xlfn.XLOOKUP("Interest Expense",Inputs!$B:$B,Inputs!L:L),"N/A")</f>
        <v>N/A</v>
      </c>
      <c r="L49" s="16" t="str">
        <f>IFERROR(_xlfn.XLOOKUP("Operating Income (EBIT)",Inputs!$B:$B,Inputs!M:M)/_xlfn.XLOOKUP("Interest Expense",Inputs!$B:$B,Inputs!M:M),"N/A")</f>
        <v>N/A</v>
      </c>
      <c r="M49" s="16" t="str">
        <f>IFERROR(_xlfn.XLOOKUP("Operating Income (EBIT)",Inputs!$B:$B,Inputs!N:N)/_xlfn.XLOOKUP("Interest Expense",Inputs!$B:$B,Inputs!N:N),"N/A")</f>
        <v>N/A</v>
      </c>
      <c r="N49" s="16" t="str">
        <f>IFERROR(_xlfn.XLOOKUP("Operating Income (EBIT)",Inputs!$B:$B,Inputs!O:O)/_xlfn.XLOOKUP("Interest Expense",Inputs!$B:$B,Inputs!O:O),"N/A")</f>
        <v>N/A</v>
      </c>
      <c r="O49" s="16" t="str">
        <f>IFERROR(_xlfn.XLOOKUP("Operating Income (EBIT)",Inputs!$B:$B,Inputs!P:P)/_xlfn.XLOOKUP("Interest Expense",Inputs!$B:$B,Inputs!P:P),"N/A")</f>
        <v>N/A</v>
      </c>
      <c r="P49" s="372" t="str">
        <f>IFERROR(_xlfn.XLOOKUP("Operating Income (EBIT)",Inputs!$B:$B,Inputs!Q:Q)/_xlfn.XLOOKUP("Interest Expense",Inputs!$B:$B,Inputs!Q:Q),"N/A")</f>
        <v>N/A</v>
      </c>
      <c r="Q49" s="379" t="str">
        <f>IFERROR(_xlfn.XLOOKUP("EBIT",DCF!$B:$B,DCF!H:H)/_xlfn.XLOOKUP("Interest Expense",DCF!$B:$B,DCF!H:H),"N/A")</f>
        <v>N/A</v>
      </c>
      <c r="R49" s="379" t="str">
        <f>IFERROR(_xlfn.XLOOKUP("EBIT",DCF!$B:$B,DCF!I:I)/_xlfn.XLOOKUP("Interest Expense",DCF!$B:$B,DCF!I:I),"N/A")</f>
        <v>N/A</v>
      </c>
    </row>
    <row r="50" spans="2:18" ht="15.5" x14ac:dyDescent="0.35">
      <c r="B50" s="18" t="s">
        <v>65</v>
      </c>
      <c r="F50" s="16" t="str">
        <f>IFERROR(_xlfn.XLOOKUP("EBITDA",Inputs!$B:$B,Inputs!G:G)/_xlfn.XLOOKUP("Interest Expense",Inputs!$B:$B,Inputs!G:G),"N/A")</f>
        <v>N/A</v>
      </c>
      <c r="G50" s="16" t="str">
        <f>IFERROR(_xlfn.XLOOKUP("EBITDA",Inputs!$B:$B,Inputs!H:H)/_xlfn.XLOOKUP("Interest Expense",Inputs!$B:$B,Inputs!H:H),"N/A")</f>
        <v>N/A</v>
      </c>
      <c r="H50" s="16" t="str">
        <f>IFERROR(_xlfn.XLOOKUP("EBITDA",Inputs!$B:$B,Inputs!I:I)/_xlfn.XLOOKUP("Interest Expense",Inputs!$B:$B,Inputs!I:I),"N/A")</f>
        <v>N/A</v>
      </c>
      <c r="I50" s="16" t="str">
        <f>IFERROR(_xlfn.XLOOKUP("EBITDA",Inputs!$B:$B,Inputs!J:J)/_xlfn.XLOOKUP("Interest Expense",Inputs!$B:$B,Inputs!J:J),"N/A")</f>
        <v>N/A</v>
      </c>
      <c r="J50" s="16" t="str">
        <f>IFERROR(_xlfn.XLOOKUP("EBITDA",Inputs!$B:$B,Inputs!K:K)/_xlfn.XLOOKUP("Interest Expense",Inputs!$B:$B,Inputs!K:K),"N/A")</f>
        <v>N/A</v>
      </c>
      <c r="K50" s="16" t="str">
        <f>IFERROR(_xlfn.XLOOKUP("EBITDA",Inputs!$B:$B,Inputs!L:L)/_xlfn.XLOOKUP("Interest Expense",Inputs!$B:$B,Inputs!L:L),"N/A")</f>
        <v>N/A</v>
      </c>
      <c r="L50" s="16" t="str">
        <f>IFERROR(_xlfn.XLOOKUP("EBITDA",Inputs!$B:$B,Inputs!M:M)/_xlfn.XLOOKUP("Interest Expense",Inputs!$B:$B,Inputs!M:M),"N/A")</f>
        <v>N/A</v>
      </c>
      <c r="M50" s="16" t="str">
        <f>IFERROR(_xlfn.XLOOKUP("EBITDA",Inputs!$B:$B,Inputs!N:N)/_xlfn.XLOOKUP("Interest Expense",Inputs!$B:$B,Inputs!N:N),"N/A")</f>
        <v>N/A</v>
      </c>
      <c r="N50" s="16" t="str">
        <f>IFERROR(_xlfn.XLOOKUP("EBITDA",Inputs!$B:$B,Inputs!O:O)/_xlfn.XLOOKUP("Interest Expense",Inputs!$B:$B,Inputs!O:O),"N/A")</f>
        <v>N/A</v>
      </c>
      <c r="O50" s="16" t="str">
        <f>IFERROR(_xlfn.XLOOKUP("EBITDA",Inputs!$B:$B,Inputs!P:P)/_xlfn.XLOOKUP("Interest Expense",Inputs!$B:$B,Inputs!P:P),"N/A")</f>
        <v>N/A</v>
      </c>
      <c r="P50" s="372" t="str">
        <f>IFERROR(_xlfn.XLOOKUP("EBITDA",Inputs!$B:$B,Inputs!Q:Q)/_xlfn.XLOOKUP("Interest Expense",Inputs!$B:$B,Inputs!Q:Q),"N/A")</f>
        <v>N/A</v>
      </c>
      <c r="Q50" s="379" t="str">
        <f>IFERROR(_xlfn.XLOOKUP("EBITDA",DCF!$B:$B,DCF!H:H)/_xlfn.XLOOKUP("Interest Expense",DCF!$B:$B,DCF!H:H),"N/A")</f>
        <v>N/A</v>
      </c>
      <c r="R50" s="379" t="str">
        <f>IFERROR(_xlfn.XLOOKUP("EBITDA",DCF!$B:$B,DCF!I:I)/_xlfn.XLOOKUP("Interest Expense",DCF!$B:$B,DCF!I:I),"N/A")</f>
        <v>N/A</v>
      </c>
    </row>
    <row r="51" spans="2:18" ht="15.5" x14ac:dyDescent="0.35">
      <c r="B51" s="18" t="s">
        <v>66</v>
      </c>
      <c r="F51" s="16" t="str">
        <f>IFERROR((_xlfn.XLOOKUP("EBITDA",Inputs!$B:$B,Inputs!G:G)-_xlfn.XLOOKUP("Net Capex",Inputs!$B:$B,Inputs!G:G))/_xlfn.XLOOKUP("Interest Expense",Inputs!$B:$B,Inputs!G:G),"N/A")</f>
        <v>N/A</v>
      </c>
      <c r="G51" s="16" t="str">
        <f>IFERROR((_xlfn.XLOOKUP("EBITDA",Inputs!$B:$B,Inputs!H:H)-_xlfn.XLOOKUP("Net Capex",Inputs!$B:$B,Inputs!H:H))/_xlfn.XLOOKUP("Interest Expense",Inputs!$B:$B,Inputs!H:H),"N/A")</f>
        <v>N/A</v>
      </c>
      <c r="H51" s="16" t="str">
        <f>IFERROR((_xlfn.XLOOKUP("EBITDA",Inputs!$B:$B,Inputs!I:I)-_xlfn.XLOOKUP("Net Capex",Inputs!$B:$B,Inputs!I:I))/_xlfn.XLOOKUP("Interest Expense",Inputs!$B:$B,Inputs!I:I),"N/A")</f>
        <v>N/A</v>
      </c>
      <c r="I51" s="16" t="str">
        <f>IFERROR((_xlfn.XLOOKUP("EBITDA",Inputs!$B:$B,Inputs!J:J)-_xlfn.XLOOKUP("Net Capex",Inputs!$B:$B,Inputs!J:J))/_xlfn.XLOOKUP("Interest Expense",Inputs!$B:$B,Inputs!J:J),"N/A")</f>
        <v>N/A</v>
      </c>
      <c r="J51" s="16" t="str">
        <f>IFERROR((_xlfn.XLOOKUP("EBITDA",Inputs!$B:$B,Inputs!K:K)-_xlfn.XLOOKUP("Net Capex",Inputs!$B:$B,Inputs!K:K))/_xlfn.XLOOKUP("Interest Expense",Inputs!$B:$B,Inputs!K:K),"N/A")</f>
        <v>N/A</v>
      </c>
      <c r="K51" s="16" t="str">
        <f>IFERROR((_xlfn.XLOOKUP("EBITDA",Inputs!$B:$B,Inputs!L:L)-_xlfn.XLOOKUP("Net Capex",Inputs!$B:$B,Inputs!L:L))/_xlfn.XLOOKUP("Interest Expense",Inputs!$B:$B,Inputs!L:L),"N/A")</f>
        <v>N/A</v>
      </c>
      <c r="L51" s="16" t="str">
        <f>IFERROR((_xlfn.XLOOKUP("EBITDA",Inputs!$B:$B,Inputs!M:M)-_xlfn.XLOOKUP("Net Capex",Inputs!$B:$B,Inputs!M:M))/_xlfn.XLOOKUP("Interest Expense",Inputs!$B:$B,Inputs!M:M),"N/A")</f>
        <v>N/A</v>
      </c>
      <c r="M51" s="16" t="str">
        <f>IFERROR((_xlfn.XLOOKUP("EBITDA",Inputs!$B:$B,Inputs!N:N)-_xlfn.XLOOKUP("Net Capex",Inputs!$B:$B,Inputs!N:N))/_xlfn.XLOOKUP("Interest Expense",Inputs!$B:$B,Inputs!N:N),"N/A")</f>
        <v>N/A</v>
      </c>
      <c r="N51" s="16" t="str">
        <f>IFERROR((_xlfn.XLOOKUP("EBITDA",Inputs!$B:$B,Inputs!O:O)-_xlfn.XLOOKUP("Net Capex",Inputs!$B:$B,Inputs!O:O))/_xlfn.XLOOKUP("Interest Expense",Inputs!$B:$B,Inputs!O:O),"N/A")</f>
        <v>N/A</v>
      </c>
      <c r="O51" s="16" t="str">
        <f>IFERROR((_xlfn.XLOOKUP("EBITDA",Inputs!$B:$B,Inputs!P:P)-_xlfn.XLOOKUP("Net Capex",Inputs!$B:$B,Inputs!P:P))/_xlfn.XLOOKUP("Interest Expense",Inputs!$B:$B,Inputs!P:P),"N/A")</f>
        <v>N/A</v>
      </c>
      <c r="P51" s="372" t="str">
        <f>IFERROR((_xlfn.XLOOKUP("EBITDA",Inputs!$B:$B,Inputs!Q:Q)-_xlfn.XLOOKUP("Net Capex",Inputs!$B:$B,Inputs!Q:Q))/_xlfn.XLOOKUP("Interest Expense",Inputs!$B:$B,Inputs!Q:Q),"N/A")</f>
        <v>N/A</v>
      </c>
      <c r="Q51" s="379" t="str">
        <f>IFERROR((_xlfn.XLOOKUP("EBITDA",DCF!$B:$B,DCF!H:H)-_xlfn.XLOOKUP("Net Capex",DCF!$B:$B,DCF!H:H))/_xlfn.XLOOKUP("Interest Expense",DCF!$B:$B,DCF!H:H),"N/A")</f>
        <v>N/A</v>
      </c>
      <c r="R51" s="379" t="str">
        <f>IFERROR((_xlfn.XLOOKUP("EBITDA",DCF!$B:$B,DCF!I:I)-_xlfn.XLOOKUP("Net Capex",DCF!$B:$B,DCF!I:I))/_xlfn.XLOOKUP("Interest Expense",DCF!$B:$B,DCF!I:I),"N/A")</f>
        <v>N/A</v>
      </c>
    </row>
    <row r="52" spans="2:18" x14ac:dyDescent="0.3">
      <c r="P52" s="373"/>
      <c r="Q52" s="384"/>
      <c r="R52" s="384"/>
    </row>
    <row r="53" spans="2:18" ht="15.5" x14ac:dyDescent="0.35">
      <c r="B53" s="7" t="s">
        <v>49</v>
      </c>
      <c r="C53" s="56"/>
      <c r="D53" s="58"/>
      <c r="E53" s="58"/>
      <c r="F53" s="394">
        <v>2014</v>
      </c>
      <c r="G53" s="394">
        <f t="shared" ref="G53" si="47">+F53+1</f>
        <v>2015</v>
      </c>
      <c r="H53" s="394">
        <f t="shared" ref="H53" si="48">+G53+1</f>
        <v>2016</v>
      </c>
      <c r="I53" s="394">
        <f t="shared" ref="I53" si="49">+H53+1</f>
        <v>2017</v>
      </c>
      <c r="J53" s="394">
        <f t="shared" ref="J53" si="50">+I53+1</f>
        <v>2018</v>
      </c>
      <c r="K53" s="394">
        <f t="shared" ref="K53" si="51">+J53+1</f>
        <v>2019</v>
      </c>
      <c r="L53" s="394">
        <f t="shared" ref="L53" si="52">+K53+1</f>
        <v>2020</v>
      </c>
      <c r="M53" s="394">
        <f t="shared" ref="M53" si="53">+L53+1</f>
        <v>2021</v>
      </c>
      <c r="N53" s="394">
        <v>2022</v>
      </c>
      <c r="O53" s="394">
        <f t="shared" ref="O53" si="54">+N53+1</f>
        <v>2023</v>
      </c>
      <c r="P53" s="395">
        <f>+O53+1</f>
        <v>2024</v>
      </c>
      <c r="Q53" s="393">
        <f>+P53+1</f>
        <v>2025</v>
      </c>
      <c r="R53" s="393">
        <f>+Q53+1</f>
        <v>2026</v>
      </c>
    </row>
    <row r="54" spans="2:18" ht="3.75" customHeight="1" x14ac:dyDescent="0.35">
      <c r="B54" s="263"/>
      <c r="C54" s="53"/>
      <c r="D54" s="60"/>
      <c r="E54" s="60"/>
      <c r="F54" s="60"/>
      <c r="G54" s="60"/>
      <c r="H54" s="60"/>
      <c r="I54" s="60"/>
      <c r="J54" s="60"/>
      <c r="K54" s="60"/>
      <c r="L54" s="60"/>
      <c r="M54" s="60"/>
      <c r="N54" s="236"/>
      <c r="O54" s="236"/>
      <c r="P54" s="374"/>
      <c r="Q54" s="236"/>
      <c r="R54" s="236"/>
    </row>
    <row r="55" spans="2:18" ht="15.5" x14ac:dyDescent="0.35">
      <c r="B55" s="18" t="s">
        <v>186</v>
      </c>
      <c r="F55" s="390" t="str">
        <f>+IFERROR(_xlfn.XLOOKUP("Operating Cash Flow",Inputs!$B:$B,Inputs!G:G,,,-1)/_xlfn.XLOOKUP("Revenue (Sales)",Inputs!$B:$B,Inputs!G:G),"")</f>
        <v/>
      </c>
      <c r="G55" s="390" t="str">
        <f>+IFERROR(_xlfn.XLOOKUP("Operating Cash Flow",Inputs!$B:$B,Inputs!H:H,,,-1)/_xlfn.XLOOKUP("Revenue (Sales)",Inputs!$B:$B,Inputs!H:H),"")</f>
        <v/>
      </c>
      <c r="H55" s="390" t="str">
        <f>+IFERROR(_xlfn.XLOOKUP("Operating Cash Flow",Inputs!$B:$B,Inputs!I:I,,,-1)/_xlfn.XLOOKUP("Revenue (Sales)",Inputs!$B:$B,Inputs!I:I),"")</f>
        <v/>
      </c>
      <c r="I55" s="390" t="str">
        <f>+IFERROR(_xlfn.XLOOKUP("Operating Cash Flow",Inputs!$B:$B,Inputs!J:J,,,-1)/_xlfn.XLOOKUP("Revenue (Sales)",Inputs!$B:$B,Inputs!J:J),"")</f>
        <v/>
      </c>
      <c r="J55" s="390" t="str">
        <f>+IFERROR(_xlfn.XLOOKUP("Operating Cash Flow",Inputs!$B:$B,Inputs!K:K,,,-1)/_xlfn.XLOOKUP("Revenue (Sales)",Inputs!$B:$B,Inputs!K:K),"")</f>
        <v/>
      </c>
      <c r="K55" s="390" t="str">
        <f>+IFERROR(_xlfn.XLOOKUP("Operating Cash Flow",Inputs!$B:$B,Inputs!L:L,,,-1)/_xlfn.XLOOKUP("Revenue (Sales)",Inputs!$B:$B,Inputs!L:L),"")</f>
        <v/>
      </c>
      <c r="L55" s="390" t="str">
        <f>+IFERROR(_xlfn.XLOOKUP("Operating Cash Flow",Inputs!$B:$B,Inputs!M:M,,,-1)/_xlfn.XLOOKUP("Revenue (Sales)",Inputs!$B:$B,Inputs!M:M),"")</f>
        <v/>
      </c>
      <c r="M55" s="390" t="str">
        <f>+IFERROR(_xlfn.XLOOKUP("Operating Cash Flow",Inputs!$B:$B,Inputs!N:N,,,-1)/_xlfn.XLOOKUP("Revenue (Sales)",Inputs!$B:$B,Inputs!N:N),"")</f>
        <v/>
      </c>
      <c r="N55" s="390" t="str">
        <f>+IFERROR(_xlfn.XLOOKUP("Operating Cash Flow",Inputs!$B:$B,Inputs!O:O,,,-1)/_xlfn.XLOOKUP("Revenue (Sales)",Inputs!$B:$B,Inputs!O:O),"")</f>
        <v/>
      </c>
      <c r="O55" s="390" t="str">
        <f>+IFERROR(_xlfn.XLOOKUP("Operating Cash Flow",Inputs!$B:$B,Inputs!P:P,,,-1)/_xlfn.XLOOKUP("Revenue (Sales)",Inputs!$B:$B,Inputs!P:P),"")</f>
        <v/>
      </c>
      <c r="P55" s="391" t="str">
        <f>+IFERROR(_xlfn.XLOOKUP("Operating Cash Flow",Inputs!$B:$B,Inputs!Q:Q,,,-1)/_xlfn.XLOOKUP("Revenue (Sales)",Inputs!$B:$B,Inputs!Q:Q),"")</f>
        <v/>
      </c>
      <c r="Q55" s="392" t="str">
        <f>IFERROR(_xlfn.XLOOKUP("Operating Cash Flow",DCF!$B:$B,DCF!H:H)/_xlfn.XLOOKUP("Revenue (Sales)",DCF!$B:$B,DCF!H:H),"")</f>
        <v/>
      </c>
      <c r="R55" s="392" t="str">
        <f>IFERROR(_xlfn.XLOOKUP("Operating Cash Flow",DCF!$B:$B,DCF!I:I)/_xlfn.XLOOKUP("Revenue (Sales)",DCF!$B:$B,DCF!I:I),"")</f>
        <v/>
      </c>
    </row>
    <row r="56" spans="2:18" ht="15.5" x14ac:dyDescent="0.35">
      <c r="B56" s="18" t="s">
        <v>187</v>
      </c>
      <c r="F56" s="390" t="str">
        <f>IFERROR(_xlfn.XLOOKUP("Net Changes in Cash",Inputs!$B:$B,Inputs!G:G,,,-1)/_xlfn.XLOOKUP("Net Income",Inputs!$B:$B,Inputs!G:G),"")</f>
        <v/>
      </c>
      <c r="G56" s="390" t="str">
        <f>IFERROR(_xlfn.XLOOKUP("Net Changes in Cash",Inputs!$B:$B,Inputs!H:H,,,-1)/_xlfn.XLOOKUP("Net Income",Inputs!$B:$B,Inputs!H:H),"")</f>
        <v/>
      </c>
      <c r="H56" s="390" t="str">
        <f>IFERROR(_xlfn.XLOOKUP("Net Changes in Cash",Inputs!$B:$B,Inputs!I:I,,,-1)/_xlfn.XLOOKUP("Net Income",Inputs!$B:$B,Inputs!I:I),"")</f>
        <v/>
      </c>
      <c r="I56" s="390" t="str">
        <f>IFERROR(_xlfn.XLOOKUP("Net Changes in Cash",Inputs!$B:$B,Inputs!J:J,,,-1)/_xlfn.XLOOKUP("Net Income",Inputs!$B:$B,Inputs!J:J),"")</f>
        <v/>
      </c>
      <c r="J56" s="390" t="str">
        <f>IFERROR(_xlfn.XLOOKUP("Net Changes in Cash",Inputs!$B:$B,Inputs!K:K,,,-1)/_xlfn.XLOOKUP("Net Income",Inputs!$B:$B,Inputs!K:K),"")</f>
        <v/>
      </c>
      <c r="K56" s="390" t="str">
        <f>IFERROR(_xlfn.XLOOKUP("Net Changes in Cash",Inputs!$B:$B,Inputs!L:L,,,-1)/_xlfn.XLOOKUP("Net Income",Inputs!$B:$B,Inputs!L:L),"")</f>
        <v/>
      </c>
      <c r="L56" s="390" t="str">
        <f>IFERROR(_xlfn.XLOOKUP("Net Changes in Cash",Inputs!$B:$B,Inputs!M:M,,,-1)/_xlfn.XLOOKUP("Net Income",Inputs!$B:$B,Inputs!M:M),"")</f>
        <v/>
      </c>
      <c r="M56" s="390" t="str">
        <f>IFERROR(_xlfn.XLOOKUP("Net Changes in Cash",Inputs!$B:$B,Inputs!N:N,,,-1)/_xlfn.XLOOKUP("Net Income",Inputs!$B:$B,Inputs!N:N),"")</f>
        <v/>
      </c>
      <c r="N56" s="390" t="str">
        <f>IFERROR(_xlfn.XLOOKUP("Net Changes in Cash",Inputs!$B:$B,Inputs!O:O,,,-1)/_xlfn.XLOOKUP("Net Income",Inputs!$B:$B,Inputs!O:O),"")</f>
        <v/>
      </c>
      <c r="O56" s="390" t="str">
        <f>IFERROR(_xlfn.XLOOKUP("Net Changes in Cash",Inputs!$B:$B,Inputs!P:P,,,-1)/_xlfn.XLOOKUP("Net Income",Inputs!$B:$B,Inputs!P:P),"")</f>
        <v/>
      </c>
      <c r="P56" s="391" t="str">
        <f>IFERROR(_xlfn.XLOOKUP("Net Changes in Cash",Inputs!$B:$B,Inputs!Q:Q,,,-1)/_xlfn.XLOOKUP("Net Income",Inputs!$B:$B,Inputs!Q:Q),"")</f>
        <v/>
      </c>
      <c r="Q56" s="392" t="str">
        <f>IFERROR(_xlfn.XLOOKUP("Net Changes in Cash",DCF!$B:$B,DCF!H:H)/_xlfn.XLOOKUP("Net Income",DCF!$B:$B,DCF!H:H),"")</f>
        <v/>
      </c>
      <c r="R56" s="392" t="str">
        <f>IFERROR(_xlfn.XLOOKUP("Net Changes in Cash",DCF!$B:$B,DCF!I:I)/_xlfn.XLOOKUP("Net Income",DCF!$B:$B,DCF!I:I),"")</f>
        <v/>
      </c>
    </row>
    <row r="57" spans="2:18" ht="15.5" x14ac:dyDescent="0.35">
      <c r="B57" s="18" t="s">
        <v>188</v>
      </c>
      <c r="F57" s="390" t="str">
        <f>IFERROR(_xlfn.XLOOKUP("Operating Cash Flow",Inputs!$B:$B,Inputs!G:G,,,-1)/_xlfn.XLOOKUP("Net Income",Inputs!$B:$B,Inputs!G:G),"")</f>
        <v/>
      </c>
      <c r="G57" s="390" t="str">
        <f>IFERROR(_xlfn.XLOOKUP("Operating Cash Flow",Inputs!$B:$B,Inputs!H:H,,,-1)/_xlfn.XLOOKUP("Net Income",Inputs!$B:$B,Inputs!H:H),"")</f>
        <v/>
      </c>
      <c r="H57" s="390" t="str">
        <f>IFERROR(_xlfn.XLOOKUP("Operating Cash Flow",Inputs!$B:$B,Inputs!I:I,,,-1)/_xlfn.XLOOKUP("Net Income",Inputs!$B:$B,Inputs!I:I),"")</f>
        <v/>
      </c>
      <c r="I57" s="390" t="str">
        <f>IFERROR(_xlfn.XLOOKUP("Operating Cash Flow",Inputs!$B:$B,Inputs!J:J,,,-1)/_xlfn.XLOOKUP("Net Income",Inputs!$B:$B,Inputs!J:J),"")</f>
        <v/>
      </c>
      <c r="J57" s="390" t="str">
        <f>IFERROR(_xlfn.XLOOKUP("Operating Cash Flow",Inputs!$B:$B,Inputs!K:K,,,-1)/_xlfn.XLOOKUP("Net Income",Inputs!$B:$B,Inputs!K:K),"")</f>
        <v/>
      </c>
      <c r="K57" s="390" t="str">
        <f>IFERROR(_xlfn.XLOOKUP("Operating Cash Flow",Inputs!$B:$B,Inputs!L:L,,,-1)/_xlfn.XLOOKUP("Net Income",Inputs!$B:$B,Inputs!L:L),"")</f>
        <v/>
      </c>
      <c r="L57" s="390" t="str">
        <f>IFERROR(_xlfn.XLOOKUP("Operating Cash Flow",Inputs!$B:$B,Inputs!M:M,,,-1)/_xlfn.XLOOKUP("Net Income",Inputs!$B:$B,Inputs!M:M),"")</f>
        <v/>
      </c>
      <c r="M57" s="390" t="str">
        <f>IFERROR(_xlfn.XLOOKUP("Operating Cash Flow",Inputs!$B:$B,Inputs!N:N,,,-1)/_xlfn.XLOOKUP("Net Income",Inputs!$B:$B,Inputs!N:N),"")</f>
        <v/>
      </c>
      <c r="N57" s="390" t="str">
        <f>IFERROR(_xlfn.XLOOKUP("Operating Cash Flow",Inputs!$B:$B,Inputs!O:O,,,-1)/_xlfn.XLOOKUP("Net Income",Inputs!$B:$B,Inputs!O:O),"")</f>
        <v/>
      </c>
      <c r="O57" s="390" t="str">
        <f>IFERROR(_xlfn.XLOOKUP("Operating Cash Flow",Inputs!$B:$B,Inputs!P:P,,,-1)/_xlfn.XLOOKUP("Net Income",Inputs!$B:$B,Inputs!P:P),"")</f>
        <v/>
      </c>
      <c r="P57" s="391" t="str">
        <f>IFERROR(_xlfn.XLOOKUP("Operating Cash Flow",Inputs!$B:$B,Inputs!Q:Q,,,-1)/_xlfn.XLOOKUP("Net Income",Inputs!$B:$B,Inputs!Q:Q),"")</f>
        <v/>
      </c>
      <c r="Q57" s="392" t="str">
        <f>IFERROR(_xlfn.XLOOKUP("Operating Cash Flow",DCF!$B:$B,DCF!H:H)/_xlfn.XLOOKUP("Net Income",DCF!$B:$B,DCF!H:H),"")</f>
        <v/>
      </c>
      <c r="R57" s="392" t="str">
        <f>IFERROR(_xlfn.XLOOKUP("Operating Cash Flow",DCF!$B:$B,DCF!I:I)/_xlfn.XLOOKUP("Net Income",DCF!$B:$B,DCF!I:I),"")</f>
        <v/>
      </c>
    </row>
    <row r="58" spans="2:18" ht="15.5" x14ac:dyDescent="0.35">
      <c r="B58" s="18" t="s">
        <v>189</v>
      </c>
      <c r="F58" s="390" t="str">
        <f>IFERROR(_xlfn.XLOOKUP("Net Capex",Inputs!$B:$B,Inputs!G:G,,,-1)/_xlfn.XLOOKUP("Operating Cash Flow",Inputs!$B:$B,Inputs!G:G),"")</f>
        <v/>
      </c>
      <c r="G58" s="390" t="str">
        <f>IFERROR(_xlfn.XLOOKUP("Net Capex",Inputs!$B:$B,Inputs!H:H,,,-1)/_xlfn.XLOOKUP("Operating Cash Flow",Inputs!$B:$B,Inputs!H:H),"")</f>
        <v/>
      </c>
      <c r="H58" s="390" t="str">
        <f>IFERROR(_xlfn.XLOOKUP("Net Capex",Inputs!$B:$B,Inputs!I:I,,,-1)/_xlfn.XLOOKUP("Operating Cash Flow",Inputs!$B:$B,Inputs!I:I),"")</f>
        <v/>
      </c>
      <c r="I58" s="390" t="str">
        <f>IFERROR(_xlfn.XLOOKUP("Net Capex",Inputs!$B:$B,Inputs!J:J,,,-1)/_xlfn.XLOOKUP("Operating Cash Flow",Inputs!$B:$B,Inputs!J:J),"")</f>
        <v/>
      </c>
      <c r="J58" s="390" t="str">
        <f>IFERROR(_xlfn.XLOOKUP("Net Capex",Inputs!$B:$B,Inputs!K:K,,,-1)/_xlfn.XLOOKUP("Operating Cash Flow",Inputs!$B:$B,Inputs!K:K),"")</f>
        <v/>
      </c>
      <c r="K58" s="390" t="str">
        <f>IFERROR(_xlfn.XLOOKUP("Net Capex",Inputs!$B:$B,Inputs!L:L,,,-1)/_xlfn.XLOOKUP("Operating Cash Flow",Inputs!$B:$B,Inputs!L:L),"")</f>
        <v/>
      </c>
      <c r="L58" s="390" t="str">
        <f>IFERROR(_xlfn.XLOOKUP("Net Capex",Inputs!$B:$B,Inputs!M:M,,,-1)/_xlfn.XLOOKUP("Operating Cash Flow",Inputs!$B:$B,Inputs!M:M),"")</f>
        <v/>
      </c>
      <c r="M58" s="390" t="str">
        <f>IFERROR(_xlfn.XLOOKUP("Net Capex",Inputs!$B:$B,Inputs!N:N,,,-1)/_xlfn.XLOOKUP("Operating Cash Flow",Inputs!$B:$B,Inputs!N:N),"")</f>
        <v/>
      </c>
      <c r="N58" s="390" t="str">
        <f>IFERROR(_xlfn.XLOOKUP("Net Capex",Inputs!$B:$B,Inputs!O:O,,,-1)/_xlfn.XLOOKUP("Operating Cash Flow",Inputs!$B:$B,Inputs!O:O),"")</f>
        <v/>
      </c>
      <c r="O58" s="390" t="str">
        <f>IFERROR(_xlfn.XLOOKUP("Net Capex",Inputs!$B:$B,Inputs!P:P,,,-1)/_xlfn.XLOOKUP("Operating Cash Flow",Inputs!$B:$B,Inputs!P:P),"")</f>
        <v/>
      </c>
      <c r="P58" s="391" t="str">
        <f>IFERROR(_xlfn.XLOOKUP("Net Capex",Inputs!$B:$B,Inputs!Q:Q,,,-1)/_xlfn.XLOOKUP("Operating Cash Flow",Inputs!$B:$B,Inputs!Q:Q),"")</f>
        <v/>
      </c>
      <c r="Q58" s="392" t="str">
        <f>IFERROR(_xlfn.XLOOKUP("Net Capex",DCF!$B:$B,DCF!H:H)/_xlfn.XLOOKUP("Operating Cash Flow",DCF!$B:$B,DCF!H:H),"")</f>
        <v/>
      </c>
      <c r="R58" s="392" t="str">
        <f>IFERROR(_xlfn.XLOOKUP("Net Capex",DCF!$B:$B,DCF!I:I)/_xlfn.XLOOKUP("Operating Cash Flow",DCF!$B:$B,DCF!I:I),"")</f>
        <v/>
      </c>
    </row>
    <row r="59" spans="2:18" ht="15.5" x14ac:dyDescent="0.35">
      <c r="B59" s="18" t="s">
        <v>190</v>
      </c>
      <c r="F59" s="390" t="str">
        <f>IFERROR(_xlfn.XLOOKUP("Investing Cash Flow",Inputs!$B:$B,Inputs!G:G,,,-1)/_xlfn.XLOOKUP("Operating Cash Flow",Inputs!$B:$B,Inputs!G:G),"")</f>
        <v/>
      </c>
      <c r="G59" s="390" t="str">
        <f>IFERROR(_xlfn.XLOOKUP("Investing Cash Flow",Inputs!$B:$B,Inputs!H:H,,,-1)/_xlfn.XLOOKUP("Operating Cash Flow",Inputs!$B:$B,Inputs!H:H),"")</f>
        <v/>
      </c>
      <c r="H59" s="390" t="str">
        <f>IFERROR(_xlfn.XLOOKUP("Investing Cash Flow",Inputs!$B:$B,Inputs!I:I,,,-1)/_xlfn.XLOOKUP("Operating Cash Flow",Inputs!$B:$B,Inputs!I:I),"")</f>
        <v/>
      </c>
      <c r="I59" s="390" t="str">
        <f>IFERROR(_xlfn.XLOOKUP("Investing Cash Flow",Inputs!$B:$B,Inputs!J:J,,,-1)/_xlfn.XLOOKUP("Operating Cash Flow",Inputs!$B:$B,Inputs!J:J),"")</f>
        <v/>
      </c>
      <c r="J59" s="390" t="str">
        <f>IFERROR(_xlfn.XLOOKUP("Investing Cash Flow",Inputs!$B:$B,Inputs!K:K,,,-1)/_xlfn.XLOOKUP("Operating Cash Flow",Inputs!$B:$B,Inputs!K:K),"")</f>
        <v/>
      </c>
      <c r="K59" s="390" t="str">
        <f>IFERROR(_xlfn.XLOOKUP("Investing Cash Flow",Inputs!$B:$B,Inputs!L:L,,,-1)/_xlfn.XLOOKUP("Operating Cash Flow",Inputs!$B:$B,Inputs!L:L),"")</f>
        <v/>
      </c>
      <c r="L59" s="390" t="str">
        <f>IFERROR(_xlfn.XLOOKUP("Investing Cash Flow",Inputs!$B:$B,Inputs!M:M,,,-1)/_xlfn.XLOOKUP("Operating Cash Flow",Inputs!$B:$B,Inputs!M:M),"")</f>
        <v/>
      </c>
      <c r="M59" s="390" t="str">
        <f>IFERROR(_xlfn.XLOOKUP("Investing Cash Flow",Inputs!$B:$B,Inputs!N:N,,,-1)/_xlfn.XLOOKUP("Operating Cash Flow",Inputs!$B:$B,Inputs!N:N),"")</f>
        <v/>
      </c>
      <c r="N59" s="390" t="str">
        <f>IFERROR(_xlfn.XLOOKUP("Investing Cash Flow",Inputs!$B:$B,Inputs!O:O,,,-1)/_xlfn.XLOOKUP("Operating Cash Flow",Inputs!$B:$B,Inputs!O:O),"")</f>
        <v/>
      </c>
      <c r="O59" s="390" t="str">
        <f>IFERROR(_xlfn.XLOOKUP("Investing Cash Flow",Inputs!$B:$B,Inputs!P:P,,,-1)/_xlfn.XLOOKUP("Operating Cash Flow",Inputs!$B:$B,Inputs!P:P),"")</f>
        <v/>
      </c>
      <c r="P59" s="391" t="str">
        <f>IFERROR(_xlfn.XLOOKUP("Investing Cash Flow",Inputs!$B:$B,Inputs!Q:Q,,,-1)/_xlfn.XLOOKUP("Operating Cash Flow",Inputs!$B:$B,Inputs!Q:Q),"")</f>
        <v/>
      </c>
      <c r="Q59" s="392" t="str">
        <f>IFERROR(_xlfn.XLOOKUP("Investing Cash Flow",DCF!$B:$B,DCF!H:H)/_xlfn.XLOOKUP("Operating Cash Flow",DCF!$B:$B,DCF!H:H),"")</f>
        <v/>
      </c>
      <c r="R59" s="392" t="str">
        <f>IFERROR(_xlfn.XLOOKUP("Investing Cash Flow",DCF!$B:$B,DCF!I:I)/_xlfn.XLOOKUP("Operating Cash Flow",DCF!$B:$B,DCF!I:I),"")</f>
        <v/>
      </c>
    </row>
    <row r="60" spans="2:18" ht="15.5" x14ac:dyDescent="0.35">
      <c r="B60" s="18" t="s">
        <v>191</v>
      </c>
      <c r="F60" s="390" t="str">
        <f>IFERROR((_xlfn.XLOOKUP("Debt Borrowing",Inputs!$B:$B,Inputs!G:G,,,-1)-_xlfn.XLOOKUP("Debt Repayment",Inputs!$B:$B,Inputs!G:G))/_xlfn.XLOOKUP("Operating Cash Flow",Inputs!$B:$B,Inputs!G:G),"")</f>
        <v/>
      </c>
      <c r="G60" s="390" t="str">
        <f>IFERROR((_xlfn.XLOOKUP("Debt Borrowing",Inputs!$B:$B,Inputs!H:H,,,-1)-_xlfn.XLOOKUP("Debt Repayment",Inputs!$B:$B,Inputs!H:H))/_xlfn.XLOOKUP("Operating Cash Flow",Inputs!$B:$B,Inputs!H:H),"")</f>
        <v/>
      </c>
      <c r="H60" s="390" t="str">
        <f>IFERROR((_xlfn.XLOOKUP("Debt Borrowing",Inputs!$B:$B,Inputs!I:I,,,-1)-_xlfn.XLOOKUP("Debt Repayment",Inputs!$B:$B,Inputs!I:I))/_xlfn.XLOOKUP("Operating Cash Flow",Inputs!$B:$B,Inputs!I:I),"")</f>
        <v/>
      </c>
      <c r="I60" s="390" t="str">
        <f>IFERROR((_xlfn.XLOOKUP("Debt Borrowing",Inputs!$B:$B,Inputs!J:J,,,-1)-_xlfn.XLOOKUP("Debt Repayment",Inputs!$B:$B,Inputs!J:J))/_xlfn.XLOOKUP("Operating Cash Flow",Inputs!$B:$B,Inputs!J:J),"")</f>
        <v/>
      </c>
      <c r="J60" s="390" t="str">
        <f>IFERROR((_xlfn.XLOOKUP("Debt Borrowing",Inputs!$B:$B,Inputs!K:K,,,-1)-_xlfn.XLOOKUP("Debt Repayment",Inputs!$B:$B,Inputs!K:K))/_xlfn.XLOOKUP("Operating Cash Flow",Inputs!$B:$B,Inputs!K:K),"")</f>
        <v/>
      </c>
      <c r="K60" s="390" t="str">
        <f>IFERROR((_xlfn.XLOOKUP("Debt Borrowing",Inputs!$B:$B,Inputs!L:L,,,-1)-_xlfn.XLOOKUP("Debt Repayment",Inputs!$B:$B,Inputs!L:L))/_xlfn.XLOOKUP("Operating Cash Flow",Inputs!$B:$B,Inputs!L:L),"")</f>
        <v/>
      </c>
      <c r="L60" s="390" t="str">
        <f>IFERROR((_xlfn.XLOOKUP("Debt Borrowing",Inputs!$B:$B,Inputs!M:M,,,-1)-_xlfn.XLOOKUP("Debt Repayment",Inputs!$B:$B,Inputs!M:M))/_xlfn.XLOOKUP("Operating Cash Flow",Inputs!$B:$B,Inputs!M:M),"")</f>
        <v/>
      </c>
      <c r="M60" s="390" t="str">
        <f>IFERROR((_xlfn.XLOOKUP("Debt Borrowing",Inputs!$B:$B,Inputs!N:N,,,-1)-_xlfn.XLOOKUP("Debt Repayment",Inputs!$B:$B,Inputs!N:N))/_xlfn.XLOOKUP("Operating Cash Flow",Inputs!$B:$B,Inputs!N:N),"")</f>
        <v/>
      </c>
      <c r="N60" s="390" t="str">
        <f>IFERROR((_xlfn.XLOOKUP("Debt Borrowing",Inputs!$B:$B,Inputs!O:O,,,-1)-_xlfn.XLOOKUP("Debt Repayment",Inputs!$B:$B,Inputs!O:O))/_xlfn.XLOOKUP("Operating Cash Flow",Inputs!$B:$B,Inputs!O:O),"")</f>
        <v/>
      </c>
      <c r="O60" s="390" t="str">
        <f>IFERROR((_xlfn.XLOOKUP("Debt Borrowing",Inputs!$B:$B,Inputs!P:P,,,-1)-_xlfn.XLOOKUP("Debt Repayment",Inputs!$B:$B,Inputs!P:P))/_xlfn.XLOOKUP("Operating Cash Flow",Inputs!$B:$B,Inputs!P:P),"")</f>
        <v/>
      </c>
      <c r="P60" s="391" t="str">
        <f>IFERROR((_xlfn.XLOOKUP("Debt Borrowing",Inputs!$B:$B,Inputs!Q:Q,,,-1)-_xlfn.XLOOKUP("Debt Repayment",Inputs!$B:$B,Inputs!Q:Q))/_xlfn.XLOOKUP("Operating Cash Flow",Inputs!$B:$B,Inputs!Q:Q),"")</f>
        <v/>
      </c>
      <c r="Q60" s="392" t="str">
        <f>IFERROR((_xlfn.XLOOKUP("Debt Borrowing",DCF!$B:$B,DCF!H:H)-_xlfn.XLOOKUP("Debt Repayment",DCF!$B:$B,DCF!H:H))/_xlfn.XLOOKUP("Operating Cash Flow",DCF!$B:$B,DCF!H:H),"")</f>
        <v/>
      </c>
      <c r="R60" s="392" t="str">
        <f>IFERROR((_xlfn.XLOOKUP("Debt Borrowing",DCF!$B:$B,DCF!I:I)-_xlfn.XLOOKUP("Debt Repayment",DCF!$B:$B,DCF!I:I))/_xlfn.XLOOKUP("Operating Cash Flow",DCF!$B:$B,DCF!I:I),"")</f>
        <v/>
      </c>
    </row>
    <row r="61" spans="2:18" ht="15.5" x14ac:dyDescent="0.35">
      <c r="B61" s="18" t="s">
        <v>498</v>
      </c>
      <c r="F61" s="390" t="str">
        <f>IFERROR(-_xlfn.XLOOKUP("Debt Repayment",Inputs!$B:$B,Inputs!G:G,,,-1)/_xlfn.XLOOKUP("Debt Borrowing",Inputs!$B:$B,Inputs!G:G),"")</f>
        <v/>
      </c>
      <c r="G61" s="390" t="str">
        <f>IFERROR(-_xlfn.XLOOKUP("Debt Repayment",Inputs!$B:$B,Inputs!H:H,,,-1)/_xlfn.XLOOKUP("Debt Borrowing",Inputs!$B:$B,Inputs!H:H),"")</f>
        <v/>
      </c>
      <c r="H61" s="390" t="str">
        <f>IFERROR(-_xlfn.XLOOKUP("Debt Repayment",Inputs!$B:$B,Inputs!I:I,,,-1)/_xlfn.XLOOKUP("Debt Borrowing",Inputs!$B:$B,Inputs!I:I),"")</f>
        <v/>
      </c>
      <c r="I61" s="390" t="str">
        <f>IFERROR(-_xlfn.XLOOKUP("Debt Repayment",Inputs!$B:$B,Inputs!J:J,,,-1)/_xlfn.XLOOKUP("Debt Borrowing",Inputs!$B:$B,Inputs!J:J),"")</f>
        <v/>
      </c>
      <c r="J61" s="390" t="str">
        <f>IFERROR(-_xlfn.XLOOKUP("Debt Repayment",Inputs!$B:$B,Inputs!K:K,,,-1)/_xlfn.XLOOKUP("Debt Borrowing",Inputs!$B:$B,Inputs!K:K),"")</f>
        <v/>
      </c>
      <c r="K61" s="390" t="str">
        <f>IFERROR(-_xlfn.XLOOKUP("Debt Repayment",Inputs!$B:$B,Inputs!L:L,,,-1)/_xlfn.XLOOKUP("Debt Borrowing",Inputs!$B:$B,Inputs!L:L),"")</f>
        <v/>
      </c>
      <c r="L61" s="390" t="str">
        <f>IFERROR(-_xlfn.XLOOKUP("Debt Repayment",Inputs!$B:$B,Inputs!M:M,,,-1)/_xlfn.XLOOKUP("Debt Borrowing",Inputs!$B:$B,Inputs!M:M),"")</f>
        <v/>
      </c>
      <c r="M61" s="390" t="str">
        <f>IFERROR(-_xlfn.XLOOKUP("Debt Repayment",Inputs!$B:$B,Inputs!N:N,,,-1)/_xlfn.XLOOKUP("Debt Borrowing",Inputs!$B:$B,Inputs!N:N),"")</f>
        <v/>
      </c>
      <c r="N61" s="390" t="str">
        <f>IFERROR(-_xlfn.XLOOKUP("Debt Repayment",Inputs!$B:$B,Inputs!O:O,,,-1)/_xlfn.XLOOKUP("Debt Borrowing",Inputs!$B:$B,Inputs!O:O),"")</f>
        <v/>
      </c>
      <c r="O61" s="390" t="str">
        <f>IFERROR(-_xlfn.XLOOKUP("Debt Repayment",Inputs!$B:$B,Inputs!P:P,,,-1)/_xlfn.XLOOKUP("Debt Borrowing",Inputs!$B:$B,Inputs!P:P),"")</f>
        <v/>
      </c>
      <c r="P61" s="391" t="str">
        <f>IFERROR(-_xlfn.XLOOKUP("Debt Repayment",Inputs!$B:$B,Inputs!Q:Q,,,-1)/_xlfn.XLOOKUP("Debt Borrowing",Inputs!$B:$B,Inputs!Q:Q),"")</f>
        <v/>
      </c>
      <c r="Q61" s="392" t="str">
        <f>IFERROR(-_xlfn.XLOOKUP("Debt Repayment",DCF!$B:$B,DCF!H:H)/_xlfn.XLOOKUP("Debt Borrowing",DCF!$B:$B,DCF!H:H),"")</f>
        <v/>
      </c>
      <c r="R61" s="392" t="str">
        <f>IFERROR(-_xlfn.XLOOKUP("Debt Repayment",DCF!$B:$B,DCF!I:I)/_xlfn.XLOOKUP("Debt Borrowing",DCF!$B:$B,DCF!I:I),"")</f>
        <v/>
      </c>
    </row>
    <row r="62" spans="2:18" ht="15.5" x14ac:dyDescent="0.35">
      <c r="B62" s="18" t="s">
        <v>193</v>
      </c>
      <c r="F62" s="390" t="str">
        <f>IFERROR(_xlfn.XLOOKUP("Financing Cash Flow",Inputs!$B:$B,Inputs!G:G,,,-1)/_xlfn.XLOOKUP("Operating Cash Flow",Inputs!$B:$B,Inputs!G:G),"")</f>
        <v/>
      </c>
      <c r="G62" s="390" t="str">
        <f>IFERROR(_xlfn.XLOOKUP("Financing Cash Flow",Inputs!$B:$B,Inputs!H:H,,,-1)/_xlfn.XLOOKUP("Operating Cash Flow",Inputs!$B:$B,Inputs!H:H),"")</f>
        <v/>
      </c>
      <c r="H62" s="390" t="str">
        <f>IFERROR(_xlfn.XLOOKUP("Financing Cash Flow",Inputs!$B:$B,Inputs!I:I,,,-1)/_xlfn.XLOOKUP("Operating Cash Flow",Inputs!$B:$B,Inputs!I:I),"")</f>
        <v/>
      </c>
      <c r="I62" s="390" t="str">
        <f>IFERROR(_xlfn.XLOOKUP("Financing Cash Flow",Inputs!$B:$B,Inputs!J:J,,,-1)/_xlfn.XLOOKUP("Operating Cash Flow",Inputs!$B:$B,Inputs!J:J),"")</f>
        <v/>
      </c>
      <c r="J62" s="390" t="str">
        <f>IFERROR(_xlfn.XLOOKUP("Financing Cash Flow",Inputs!$B:$B,Inputs!K:K,,,-1)/_xlfn.XLOOKUP("Operating Cash Flow",Inputs!$B:$B,Inputs!K:K),"")</f>
        <v/>
      </c>
      <c r="K62" s="390" t="str">
        <f>IFERROR(_xlfn.XLOOKUP("Financing Cash Flow",Inputs!$B:$B,Inputs!L:L,,,-1)/_xlfn.XLOOKUP("Operating Cash Flow",Inputs!$B:$B,Inputs!L:L),"")</f>
        <v/>
      </c>
      <c r="L62" s="390" t="str">
        <f>IFERROR(_xlfn.XLOOKUP("Financing Cash Flow",Inputs!$B:$B,Inputs!M:M,,,-1)/_xlfn.XLOOKUP("Operating Cash Flow",Inputs!$B:$B,Inputs!M:M),"")</f>
        <v/>
      </c>
      <c r="M62" s="390" t="str">
        <f>IFERROR(_xlfn.XLOOKUP("Financing Cash Flow",Inputs!$B:$B,Inputs!N:N,,,-1)/_xlfn.XLOOKUP("Operating Cash Flow",Inputs!$B:$B,Inputs!N:N),"")</f>
        <v/>
      </c>
      <c r="N62" s="390" t="str">
        <f>IFERROR(_xlfn.XLOOKUP("Financing Cash Flow",Inputs!$B:$B,Inputs!O:O,,,-1)/_xlfn.XLOOKUP("Operating Cash Flow",Inputs!$B:$B,Inputs!O:O),"")</f>
        <v/>
      </c>
      <c r="O62" s="390" t="str">
        <f>IFERROR(_xlfn.XLOOKUP("Financing Cash Flow",Inputs!$B:$B,Inputs!P:P,,,-1)/_xlfn.XLOOKUP("Operating Cash Flow",Inputs!$B:$B,Inputs!P:P),"")</f>
        <v/>
      </c>
      <c r="P62" s="391" t="str">
        <f>IFERROR(_xlfn.XLOOKUP("Financing Cash Flow",Inputs!$B:$B,Inputs!Q:Q,,,-1)/_xlfn.XLOOKUP("Operating Cash Flow",Inputs!$B:$B,Inputs!Q:Q),"")</f>
        <v/>
      </c>
      <c r="Q62" s="392" t="str">
        <f>IFERROR(_xlfn.XLOOKUP("Financing Cash Flow",DCF!$B:$B,DCF!H:H)/_xlfn.XLOOKUP("Operating Cash Flow",DCF!$B:$B,DCF!H:H),"")</f>
        <v/>
      </c>
      <c r="R62" s="392" t="str">
        <f>IFERROR(_xlfn.XLOOKUP("Financing Cash Flow",DCF!$B:$B,DCF!I:I)/_xlfn.XLOOKUP("Operating Cash Flow",DCF!$B:$B,DCF!I:I),"")</f>
        <v/>
      </c>
    </row>
    <row r="63" spans="2:18" ht="15.5" x14ac:dyDescent="0.35">
      <c r="B63" s="18" t="s">
        <v>51</v>
      </c>
      <c r="F63" s="390" t="str">
        <f>IFERROR(_xlfn.XLOOKUP("Net Income",Inputs!$B:$B,Inputs!G:G,,,-1)/_xlfn.XLOOKUP("Operating Cash Flow",Inputs!$B:$B,Inputs!G:G),"")</f>
        <v/>
      </c>
      <c r="G63" s="390" t="str">
        <f>IFERROR(_xlfn.XLOOKUP("Net Income",Inputs!$B:$B,Inputs!H:H,,,-1)/_xlfn.XLOOKUP("Operating Cash Flow",Inputs!$B:$B,Inputs!H:H),"")</f>
        <v/>
      </c>
      <c r="H63" s="390" t="str">
        <f>IFERROR(_xlfn.XLOOKUP("Net Income",Inputs!$B:$B,Inputs!I:I,,,-1)/_xlfn.XLOOKUP("Operating Cash Flow",Inputs!$B:$B,Inputs!I:I),"")</f>
        <v/>
      </c>
      <c r="I63" s="390" t="str">
        <f>IFERROR(_xlfn.XLOOKUP("Net Income",Inputs!$B:$B,Inputs!J:J,,,-1)/_xlfn.XLOOKUP("Operating Cash Flow",Inputs!$B:$B,Inputs!J:J),"")</f>
        <v/>
      </c>
      <c r="J63" s="390" t="str">
        <f>IFERROR(_xlfn.XLOOKUP("Net Income",Inputs!$B:$B,Inputs!K:K,,,-1)/_xlfn.XLOOKUP("Operating Cash Flow",Inputs!$B:$B,Inputs!K:K),"")</f>
        <v/>
      </c>
      <c r="K63" s="390" t="str">
        <f>IFERROR(_xlfn.XLOOKUP("Net Income",Inputs!$B:$B,Inputs!L:L,,,-1)/_xlfn.XLOOKUP("Operating Cash Flow",Inputs!$B:$B,Inputs!L:L),"")</f>
        <v/>
      </c>
      <c r="L63" s="390" t="str">
        <f>IFERROR(_xlfn.XLOOKUP("Net Income",Inputs!$B:$B,Inputs!M:M,,,-1)/_xlfn.XLOOKUP("Operating Cash Flow",Inputs!$B:$B,Inputs!M:M),"")</f>
        <v/>
      </c>
      <c r="M63" s="390" t="str">
        <f>IFERROR(_xlfn.XLOOKUP("Net Income",Inputs!$B:$B,Inputs!N:N,,,-1)/_xlfn.XLOOKUP("Operating Cash Flow",Inputs!$B:$B,Inputs!N:N),"")</f>
        <v/>
      </c>
      <c r="N63" s="390" t="str">
        <f>IFERROR(_xlfn.XLOOKUP("Net Income",Inputs!$B:$B,Inputs!O:O,,,-1)/_xlfn.XLOOKUP("Operating Cash Flow",Inputs!$B:$B,Inputs!O:O),"")</f>
        <v/>
      </c>
      <c r="O63" s="390" t="str">
        <f>IFERROR(_xlfn.XLOOKUP("Net Income",Inputs!$B:$B,Inputs!P:P,,,-1)/_xlfn.XLOOKUP("Operating Cash Flow",Inputs!$B:$B,Inputs!P:P),"")</f>
        <v/>
      </c>
      <c r="P63" s="391" t="str">
        <f>IFERROR(_xlfn.XLOOKUP("Net Income",Inputs!$B:$B,Inputs!Q:Q,,,-1)/_xlfn.XLOOKUP("Operating Cash Flow",Inputs!$B:$B,Inputs!Q:Q),"")</f>
        <v/>
      </c>
      <c r="Q63" s="392" t="str">
        <f>IFERROR(_xlfn.XLOOKUP("Net Income",DCF!$B:$B,DCF!H:H)/_xlfn.XLOOKUP("Operating Cash Flow",DCF!$B:$B,DCF!H:H),"")</f>
        <v/>
      </c>
      <c r="R63" s="392" t="str">
        <f>IFERROR(_xlfn.XLOOKUP("Net Income",DCF!$B:$B,DCF!I:I)/_xlfn.XLOOKUP("Operating Cash Flow",DCF!$B:$B,DCF!I:I),"")</f>
        <v/>
      </c>
    </row>
    <row r="64" spans="2:18" ht="15.5" x14ac:dyDescent="0.35">
      <c r="B64" s="33" t="s">
        <v>52</v>
      </c>
      <c r="F64" s="390" t="str">
        <f>IFERROR(_xlfn.XLOOKUP("Net Changes in Cash",Inputs!$B:$B,Inputs!G:G,,,-1)/_xlfn.XLOOKUP("Operating Cash Flow",Inputs!$B:$B,Inputs!G:G),"")</f>
        <v/>
      </c>
      <c r="G64" s="390" t="str">
        <f>IFERROR(_xlfn.XLOOKUP("Net Changes in Cash",Inputs!$B:$B,Inputs!H:H,,,-1)/_xlfn.XLOOKUP("Operating Cash Flow",Inputs!$B:$B,Inputs!H:H),"")</f>
        <v/>
      </c>
      <c r="H64" s="390" t="str">
        <f>IFERROR(_xlfn.XLOOKUP("Net Changes in Cash",Inputs!$B:$B,Inputs!I:I,,,-1)/_xlfn.XLOOKUP("Operating Cash Flow",Inputs!$B:$B,Inputs!I:I),"")</f>
        <v/>
      </c>
      <c r="I64" s="390" t="str">
        <f>IFERROR(_xlfn.XLOOKUP("Net Changes in Cash",Inputs!$B:$B,Inputs!J:J,,,-1)/_xlfn.XLOOKUP("Operating Cash Flow",Inputs!$B:$B,Inputs!J:J),"")</f>
        <v/>
      </c>
      <c r="J64" s="390" t="str">
        <f>IFERROR(_xlfn.XLOOKUP("Net Changes in Cash",Inputs!$B:$B,Inputs!K:K,,,-1)/_xlfn.XLOOKUP("Operating Cash Flow",Inputs!$B:$B,Inputs!K:K),"")</f>
        <v/>
      </c>
      <c r="K64" s="390" t="str">
        <f>IFERROR(_xlfn.XLOOKUP("Net Changes in Cash",Inputs!$B:$B,Inputs!L:L,,,-1)/_xlfn.XLOOKUP("Operating Cash Flow",Inputs!$B:$B,Inputs!L:L),"")</f>
        <v/>
      </c>
      <c r="L64" s="390" t="str">
        <f>IFERROR(_xlfn.XLOOKUP("Net Changes in Cash",Inputs!$B:$B,Inputs!M:M,,,-1)/_xlfn.XLOOKUP("Operating Cash Flow",Inputs!$B:$B,Inputs!M:M),"")</f>
        <v/>
      </c>
      <c r="M64" s="390" t="str">
        <f>IFERROR(_xlfn.XLOOKUP("Net Changes in Cash",Inputs!$B:$B,Inputs!N:N,,,-1)/_xlfn.XLOOKUP("Operating Cash Flow",Inputs!$B:$B,Inputs!N:N),"")</f>
        <v/>
      </c>
      <c r="N64" s="390" t="str">
        <f>IFERROR(_xlfn.XLOOKUP("Net Changes in Cash",Inputs!$B:$B,Inputs!O:O,,,-1)/_xlfn.XLOOKUP("Operating Cash Flow",Inputs!$B:$B,Inputs!O:O),"")</f>
        <v/>
      </c>
      <c r="O64" s="390" t="str">
        <f>IFERROR(_xlfn.XLOOKUP("Net Changes in Cash",Inputs!$B:$B,Inputs!P:P,,,-1)/_xlfn.XLOOKUP("Operating Cash Flow",Inputs!$B:$B,Inputs!P:P),"")</f>
        <v/>
      </c>
      <c r="P64" s="391" t="str">
        <f>IFERROR(_xlfn.XLOOKUP("Net Changes in Cash",Inputs!$B:$B,Inputs!Q:Q,,,-1)/_xlfn.XLOOKUP("Operating Cash Flow",Inputs!$B:$B,Inputs!Q:Q),"")</f>
        <v/>
      </c>
      <c r="Q64" s="392" t="str">
        <f>IFERROR(_xlfn.XLOOKUP("Net Changes in Cash",DCF!$B:$B,DCF!H:H)/_xlfn.XLOOKUP("Operating Cash Flow",DCF!$B:$B,DCF!H:H),"")</f>
        <v/>
      </c>
      <c r="R64" s="392" t="str">
        <f>IFERROR(_xlfn.XLOOKUP("Net Changes in Cash",DCF!$B:$B,DCF!I:I)/_xlfn.XLOOKUP("Operating Cash Flow",DCF!$B:$B,DCF!I:I),"")</f>
        <v/>
      </c>
    </row>
    <row r="67" spans="2:20" ht="20.149999999999999" customHeight="1" x14ac:dyDescent="0.3">
      <c r="T67" s="1" t="s">
        <v>428</v>
      </c>
    </row>
    <row r="69" spans="2:20" x14ac:dyDescent="0.3">
      <c r="B69" s="422"/>
    </row>
    <row r="70" spans="2:20" x14ac:dyDescent="0.3">
      <c r="B70" s="422"/>
    </row>
    <row r="71" spans="2:20" x14ac:dyDescent="0.3">
      <c r="B71" s="422"/>
    </row>
    <row r="72" spans="2:20" x14ac:dyDescent="0.3">
      <c r="B72" s="422"/>
    </row>
    <row r="73" spans="2:20" x14ac:dyDescent="0.3">
      <c r="B73" s="422"/>
    </row>
    <row r="74" spans="2:20" x14ac:dyDescent="0.3">
      <c r="B74" s="422"/>
    </row>
    <row r="75" spans="2:20" x14ac:dyDescent="0.3">
      <c r="B75" s="422"/>
    </row>
    <row r="76" spans="2:20" x14ac:dyDescent="0.3">
      <c r="B76" s="422"/>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zoomScale="85" zoomScaleNormal="85" workbookViewId="0">
      <selection activeCell="J11" sqref="J11"/>
    </sheetView>
  </sheetViews>
  <sheetFormatPr defaultColWidth="8.83203125" defaultRowHeight="14" x14ac:dyDescent="0.3"/>
  <cols>
    <col min="1" max="1" width="4" customWidth="1"/>
    <col min="3" max="7" width="8.58203125" customWidth="1"/>
    <col min="10" max="10" width="15.5" customWidth="1"/>
  </cols>
  <sheetData>
    <row r="2" spans="2:12" s="37" customFormat="1" ht="20.149999999999999" customHeight="1" x14ac:dyDescent="0.4">
      <c r="B2" s="40" t="s">
        <v>499</v>
      </c>
    </row>
    <row r="4" spans="2:12" x14ac:dyDescent="0.3">
      <c r="B4" s="670" t="str">
        <f ca="1">IFERROR(Peers!C6&amp;" Fair Value - Blended Discount Rate and Terminal Growth Rate","")</f>
        <v>AMD Fair Value - Blended Discount Rate and Terminal Growth Rate</v>
      </c>
      <c r="J4" s="670" t="str">
        <f ca="1">IFERROR(Peers!C6&amp;" Fair Value - Monte-Carlo Simulations Discount Rate and Terminal Growth Rate","")</f>
        <v>AMD Fair Value - Monte-Carlo Simulations Discount Rate and Terminal Growth Rate</v>
      </c>
    </row>
    <row r="5" spans="2:12" ht="14.5" thickBot="1" x14ac:dyDescent="0.35">
      <c r="B5" t="s">
        <v>429</v>
      </c>
      <c r="F5" s="90" t="s">
        <v>322</v>
      </c>
    </row>
    <row r="6" spans="2:12" ht="14.5" thickBot="1" x14ac:dyDescent="0.35">
      <c r="B6" s="660"/>
      <c r="C6" s="667"/>
      <c r="D6" s="673">
        <f>DCF!AP285</f>
        <v>0</v>
      </c>
      <c r="E6" s="673">
        <f>DCF!AQ285</f>
        <v>0</v>
      </c>
      <c r="F6" s="673">
        <f>DCF!AR285</f>
        <v>0</v>
      </c>
      <c r="G6" s="673">
        <f>DCF!AS285</f>
        <v>0</v>
      </c>
      <c r="H6" s="673">
        <f>DCF!AT285</f>
        <v>0</v>
      </c>
      <c r="J6" s="781" t="s">
        <v>500</v>
      </c>
      <c r="K6" s="781" t="s">
        <v>147</v>
      </c>
      <c r="L6" s="781" t="s">
        <v>501</v>
      </c>
    </row>
    <row r="7" spans="2:12" x14ac:dyDescent="0.3">
      <c r="C7" s="665">
        <f>DCF!AO286</f>
        <v>0.01</v>
      </c>
      <c r="D7" s="770">
        <f ca="1">IFERROR(DCF!AP286/DCF!$Q$210-1,"")</f>
        <v>-1</v>
      </c>
      <c r="E7" s="770">
        <f ca="1">IFERROR(DCF!AQ286/DCF!$Q$210-1,"")</f>
        <v>-1</v>
      </c>
      <c r="F7" s="770">
        <f ca="1">IFERROR(DCF!AR286/DCF!$Q$210-1,"")</f>
        <v>-1</v>
      </c>
      <c r="G7" s="770">
        <f ca="1">IFERROR(DCF!AS286/DCF!$Q$210-1,"")</f>
        <v>-1</v>
      </c>
      <c r="H7" s="770">
        <f ca="1">IFERROR(DCF!AT286/DCF!$Q$210-1,"")</f>
        <v>-1</v>
      </c>
      <c r="J7" t="s">
        <v>322</v>
      </c>
      <c r="K7" s="17">
        <v>0.1009</v>
      </c>
      <c r="L7" s="17">
        <v>0.01</v>
      </c>
    </row>
    <row r="8" spans="2:12" x14ac:dyDescent="0.3">
      <c r="C8" s="665">
        <f>DCF!AO287</f>
        <v>0.02</v>
      </c>
      <c r="D8" s="770">
        <f ca="1">IFERROR(DCF!AP287/DCF!$Q$210-1,"")</f>
        <v>-1</v>
      </c>
      <c r="E8" s="770">
        <f ca="1">IFERROR(DCF!AQ287/DCF!$Q$210-1,"")</f>
        <v>-1</v>
      </c>
      <c r="F8" s="770">
        <f ca="1">IFERROR(DCF!AR287/DCF!$Q$210-1,"")</f>
        <v>-1</v>
      </c>
      <c r="G8" s="770">
        <f ca="1">IFERROR(DCF!AS287/DCF!$Q$210-1,"")</f>
        <v>-1</v>
      </c>
      <c r="H8" s="770">
        <f ca="1">IFERROR(DCF!AT287/DCF!$Q$210-1,"")</f>
        <v>-1</v>
      </c>
      <c r="J8" t="s">
        <v>142</v>
      </c>
      <c r="K8" s="17">
        <f>+DCF!I7</f>
        <v>0</v>
      </c>
      <c r="L8" s="32">
        <f>+DCF!L7</f>
        <v>0.02</v>
      </c>
    </row>
    <row r="9" spans="2:12" ht="14.5" thickBot="1" x14ac:dyDescent="0.35">
      <c r="B9" s="24" t="s">
        <v>324</v>
      </c>
      <c r="C9" s="665">
        <f>DCF!AO288</f>
        <v>0.03</v>
      </c>
      <c r="D9" s="770">
        <f ca="1">IFERROR(DCF!AP288/DCF!$Q$210-1,"")</f>
        <v>-1</v>
      </c>
      <c r="E9" s="770">
        <f ca="1">IFERROR(DCF!AQ288/DCF!$Q$210-1,"")</f>
        <v>-1</v>
      </c>
      <c r="F9" s="770">
        <f ca="1">IFERROR(DCF!AR288/DCF!$Q$210-1,"")</f>
        <v>-1</v>
      </c>
      <c r="G9" s="770">
        <f ca="1">IFERROR(DCF!AS288/DCF!$Q$210-1,"")</f>
        <v>-1</v>
      </c>
      <c r="H9" s="770">
        <f ca="1">IFERROR(DCF!AT288/DCF!$Q$210-1,"")</f>
        <v>-1</v>
      </c>
      <c r="J9" s="660" t="s">
        <v>21</v>
      </c>
      <c r="K9" s="673">
        <f>+DCF!I8</f>
        <v>0</v>
      </c>
      <c r="L9" s="673">
        <f>+DCF!L8</f>
        <v>0.01</v>
      </c>
    </row>
    <row r="10" spans="2:12" ht="14.5" thickBot="1" x14ac:dyDescent="0.35">
      <c r="C10" s="665">
        <f>DCF!AO289</f>
        <v>0.04</v>
      </c>
      <c r="D10" s="770">
        <f ca="1">IFERROR(DCF!AP289/DCF!$Q$210-1,"")</f>
        <v>-1</v>
      </c>
      <c r="E10" s="770">
        <f ca="1">IFERROR(DCF!AQ289/DCF!$Q$210-1,"")</f>
        <v>-1</v>
      </c>
      <c r="F10" s="770">
        <f ca="1">IFERROR(DCF!AR289/DCF!$Q$210-1,"")</f>
        <v>-1</v>
      </c>
      <c r="G10" s="770">
        <f ca="1">IFERROR(DCF!AS289/DCF!$Q$210-1,"")</f>
        <v>-1</v>
      </c>
      <c r="H10" s="770">
        <f ca="1">IFERROR(DCF!AT289/DCF!$Q$210-1,"")</f>
        <v>-1</v>
      </c>
      <c r="L10" s="782"/>
    </row>
    <row r="11" spans="2:12" ht="14.5" thickBot="1" x14ac:dyDescent="0.35">
      <c r="B11" s="660"/>
      <c r="C11" s="666">
        <f>DCF!AO290</f>
        <v>0.05</v>
      </c>
      <c r="D11" s="771">
        <f ca="1">IFERROR(DCF!AP290/DCF!$Q$210-1,"")</f>
        <v>-1</v>
      </c>
      <c r="E11" s="771">
        <f ca="1">IFERROR(DCF!AQ290/DCF!$Q$210-1,"")</f>
        <v>-1</v>
      </c>
      <c r="F11" s="771">
        <f ca="1">IFERROR(DCF!AR290/DCF!$Q$210-1,"")</f>
        <v>-1</v>
      </c>
      <c r="G11" s="771">
        <f ca="1">IFERROR(DCF!AS290/DCF!$Q$210-1,"")</f>
        <v>-1</v>
      </c>
      <c r="H11" s="771">
        <f ca="1">IFERROR(DCF!AT290/DCF!$Q$210-1,"")</f>
        <v>-1</v>
      </c>
      <c r="J11" s="781" t="s">
        <v>502</v>
      </c>
      <c r="K11" s="659"/>
      <c r="L11" s="659" t="s">
        <v>503</v>
      </c>
    </row>
    <row r="12" spans="2:12" x14ac:dyDescent="0.3">
      <c r="J12" s="669" t="s">
        <v>504</v>
      </c>
      <c r="K12" s="780">
        <f>MIN(B56:B10055)</f>
        <v>0</v>
      </c>
      <c r="L12" s="65">
        <f ca="1">IFERROR(K12/DCF!$Q$210-1,"")</f>
        <v>-1</v>
      </c>
    </row>
    <row r="13" spans="2:12" x14ac:dyDescent="0.3">
      <c r="B13" s="670" t="str">
        <f ca="1">IFERROR(Peers!C6&amp;" Fair Value - Blended Revenue Growth and Operating Margin","")</f>
        <v>AMD Fair Value - Blended Revenue Growth and Operating Margin</v>
      </c>
      <c r="J13" s="785" t="s">
        <v>505</v>
      </c>
      <c r="K13" s="786" t="e">
        <f>AVERAGE(B56:B10055)</f>
        <v>#DIV/0!</v>
      </c>
      <c r="L13" s="68" t="str">
        <f ca="1">IFERROR(K13/DCF!$Q$210-1,"")</f>
        <v/>
      </c>
    </row>
    <row r="14" spans="2:12" ht="14.5" thickBot="1" x14ac:dyDescent="0.35">
      <c r="B14" t="s">
        <v>429</v>
      </c>
      <c r="J14" s="783" t="s">
        <v>506</v>
      </c>
      <c r="K14" s="780" t="e">
        <f>MEDIAN(B56:B10055)</f>
        <v>#NUM!</v>
      </c>
      <c r="L14" s="787" t="str">
        <f ca="1">IFERROR(K14/DCF!$Q$210-1,"")</f>
        <v/>
      </c>
    </row>
    <row r="15" spans="2:12" x14ac:dyDescent="0.3">
      <c r="B15" s="668"/>
      <c r="C15" s="669"/>
      <c r="D15" s="668"/>
      <c r="E15" s="674" t="s">
        <v>156</v>
      </c>
      <c r="F15" s="668"/>
      <c r="J15" s="783" t="s">
        <v>507</v>
      </c>
      <c r="K15" s="780">
        <f>MAX(B56:B10055)</f>
        <v>0</v>
      </c>
      <c r="L15" s="65">
        <f ca="1">IFERROR(K15/DCF!$Q$210-1,"")</f>
        <v>-1</v>
      </c>
    </row>
    <row r="16" spans="2:12" ht="14.5" thickBot="1" x14ac:dyDescent="0.35">
      <c r="B16" s="660"/>
      <c r="C16" s="667"/>
      <c r="D16" s="673">
        <f>DCF!F7</f>
        <v>-0.02</v>
      </c>
      <c r="E16" s="673">
        <f>DCF!I7</f>
        <v>0</v>
      </c>
      <c r="F16" s="673">
        <f>DCF!L7</f>
        <v>0.02</v>
      </c>
      <c r="J16" s="667" t="s">
        <v>508</v>
      </c>
      <c r="K16" s="784" t="e">
        <f>_xlfn.STDEV.P(B56:B10055)</f>
        <v>#DIV/0!</v>
      </c>
      <c r="L16" s="772"/>
    </row>
    <row r="17" spans="2:8" x14ac:dyDescent="0.3">
      <c r="C17" s="675">
        <f>DCF!F8</f>
        <v>-0.01</v>
      </c>
      <c r="D17" s="65">
        <f ca="1">IFERROR(DCF!AP296/DCF!$Q$210-1,"")</f>
        <v>-1</v>
      </c>
      <c r="E17" s="65">
        <f ca="1">IFERROR(DCF!AQ296/DCF!$Q$210-1,"")</f>
        <v>-1</v>
      </c>
      <c r="F17" s="65">
        <f ca="1">IFERROR(DCF!AR296/DCF!$Q$210-1,"")</f>
        <v>-1</v>
      </c>
    </row>
    <row r="18" spans="2:8" x14ac:dyDescent="0.3">
      <c r="B18" s="24" t="s">
        <v>320</v>
      </c>
      <c r="C18" s="675">
        <f>DCF!I8</f>
        <v>0</v>
      </c>
      <c r="D18" s="65">
        <f ca="1">IFERROR(DCF!AP297/DCF!$Q$210-1,"")</f>
        <v>-1</v>
      </c>
      <c r="E18" s="65">
        <f ca="1">IFERROR(DCF!AQ297/DCF!$Q$210-1,"")</f>
        <v>-1</v>
      </c>
      <c r="F18" s="65">
        <f ca="1">IFERROR(DCF!AR297/DCF!$Q$210-1,"")</f>
        <v>-1</v>
      </c>
    </row>
    <row r="19" spans="2:8" ht="14.5" thickBot="1" x14ac:dyDescent="0.35">
      <c r="B19" s="660"/>
      <c r="C19" s="676">
        <f>DCF!L8</f>
        <v>0.01</v>
      </c>
      <c r="D19" s="772">
        <f ca="1">IFERROR(DCF!AP298/DCF!$Q$210-1,"")</f>
        <v>-1</v>
      </c>
      <c r="E19" s="772">
        <f ca="1">IFERROR(DCF!AQ298/DCF!$Q$210-1,"")</f>
        <v>-1</v>
      </c>
      <c r="F19" s="772">
        <f ca="1">IFERROR(DCF!AR298/DCF!$Q$210-1,"")</f>
        <v>-1</v>
      </c>
    </row>
    <row r="22" spans="2:8" x14ac:dyDescent="0.3">
      <c r="B22" s="678" t="s">
        <v>430</v>
      </c>
      <c r="C22" s="37"/>
      <c r="D22" s="37"/>
      <c r="E22" s="37"/>
      <c r="F22" s="37"/>
      <c r="G22" s="37"/>
      <c r="H22" s="37"/>
    </row>
    <row r="26" spans="2:8" x14ac:dyDescent="0.3">
      <c r="E26" s="782"/>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6" x14ac:dyDescent="0.3">
      <c r="B49" s="1"/>
    </row>
    <row r="50" spans="2:6" x14ac:dyDescent="0.3">
      <c r="B50" s="1"/>
    </row>
    <row r="51" spans="2:6" x14ac:dyDescent="0.3">
      <c r="B51" s="1"/>
    </row>
    <row r="52" spans="2:6" x14ac:dyDescent="0.3">
      <c r="B52" s="1"/>
    </row>
    <row r="53" spans="2:6" x14ac:dyDescent="0.3">
      <c r="B53" s="1"/>
    </row>
    <row r="54" spans="2:6" x14ac:dyDescent="0.3">
      <c r="B54" s="1"/>
    </row>
    <row r="55" spans="2:6" x14ac:dyDescent="0.3">
      <c r="B55" s="1" t="s">
        <v>509</v>
      </c>
      <c r="E55" s="32"/>
      <c r="F55" s="32"/>
    </row>
    <row r="56" spans="2:6" ht="15.5" x14ac:dyDescent="0.35">
      <c r="B56" s="183"/>
      <c r="E56" s="32"/>
      <c r="F56" s="32"/>
    </row>
    <row r="57" spans="2:6" ht="15.5" x14ac:dyDescent="0.35">
      <c r="B57" s="183"/>
      <c r="E57" s="32"/>
      <c r="F57" s="677"/>
    </row>
    <row r="58" spans="2:6" ht="15.5" x14ac:dyDescent="0.35">
      <c r="B58" s="183"/>
      <c r="E58" s="32"/>
      <c r="F58" s="677"/>
    </row>
    <row r="59" spans="2:6" ht="15.5" x14ac:dyDescent="0.35">
      <c r="B59" s="183"/>
    </row>
    <row r="60" spans="2:6" ht="15.5" x14ac:dyDescent="0.35">
      <c r="B60" s="183"/>
    </row>
    <row r="61" spans="2:6" ht="15.5" x14ac:dyDescent="0.35">
      <c r="B61" s="183"/>
    </row>
    <row r="62" spans="2:6" ht="15.5" x14ac:dyDescent="0.35">
      <c r="B62" s="183"/>
    </row>
    <row r="63" spans="2:6" ht="15.5" x14ac:dyDescent="0.35">
      <c r="B63" s="183"/>
    </row>
    <row r="64" spans="2:6" ht="15.5" x14ac:dyDescent="0.35">
      <c r="B64" s="183"/>
    </row>
    <row r="65" spans="2:2" ht="15.5" x14ac:dyDescent="0.35">
      <c r="B65" s="183"/>
    </row>
    <row r="66" spans="2:2" ht="15.5" x14ac:dyDescent="0.35">
      <c r="B66" s="183"/>
    </row>
    <row r="67" spans="2:2" ht="15.5" x14ac:dyDescent="0.35">
      <c r="B67" s="183"/>
    </row>
    <row r="68" spans="2:2" ht="15.5" x14ac:dyDescent="0.35">
      <c r="B68" s="183"/>
    </row>
    <row r="69" spans="2:2" ht="15.5" x14ac:dyDescent="0.35">
      <c r="B69" s="183"/>
    </row>
    <row r="70" spans="2:2" ht="15.5" x14ac:dyDescent="0.35">
      <c r="B70" s="183"/>
    </row>
    <row r="71" spans="2:2" ht="15.5" x14ac:dyDescent="0.35">
      <c r="B71" s="183"/>
    </row>
    <row r="72" spans="2:2" ht="15.5" x14ac:dyDescent="0.35">
      <c r="B72" s="183"/>
    </row>
    <row r="73" spans="2:2" ht="15.5" x14ac:dyDescent="0.35">
      <c r="B73" s="183"/>
    </row>
    <row r="74" spans="2:2" ht="15.5" x14ac:dyDescent="0.35">
      <c r="B74" s="183"/>
    </row>
    <row r="75" spans="2:2" ht="15.5" x14ac:dyDescent="0.35">
      <c r="B75" s="183"/>
    </row>
    <row r="76" spans="2:2" ht="15.5" x14ac:dyDescent="0.35">
      <c r="B76" s="183"/>
    </row>
    <row r="77" spans="2:2" ht="15.5" x14ac:dyDescent="0.35">
      <c r="B77" s="183"/>
    </row>
    <row r="78" spans="2:2" ht="15.5" x14ac:dyDescent="0.35">
      <c r="B78" s="183"/>
    </row>
    <row r="79" spans="2:2" ht="15.5" x14ac:dyDescent="0.35">
      <c r="B79" s="183"/>
    </row>
    <row r="80" spans="2:2" ht="15.5" x14ac:dyDescent="0.35">
      <c r="B80" s="183"/>
    </row>
    <row r="81" spans="2:2" ht="15.5" x14ac:dyDescent="0.35">
      <c r="B81" s="183"/>
    </row>
    <row r="82" spans="2:2" ht="15.5" x14ac:dyDescent="0.35">
      <c r="B82" s="183"/>
    </row>
    <row r="83" spans="2:2" ht="15.5" x14ac:dyDescent="0.35">
      <c r="B83" s="183"/>
    </row>
    <row r="84" spans="2:2" ht="15.5" x14ac:dyDescent="0.35">
      <c r="B84" s="183"/>
    </row>
    <row r="85" spans="2:2" ht="15.5" x14ac:dyDescent="0.35">
      <c r="B85" s="183"/>
    </row>
    <row r="86" spans="2:2" ht="15.5" x14ac:dyDescent="0.35">
      <c r="B86" s="183"/>
    </row>
    <row r="87" spans="2:2" ht="15.5" x14ac:dyDescent="0.35">
      <c r="B87" s="183"/>
    </row>
    <row r="88" spans="2:2" ht="15.5" x14ac:dyDescent="0.35">
      <c r="B88" s="183"/>
    </row>
    <row r="89" spans="2:2" ht="15.5" x14ac:dyDescent="0.35">
      <c r="B89" s="183"/>
    </row>
    <row r="90" spans="2:2" ht="15.5" x14ac:dyDescent="0.35">
      <c r="B90" s="183"/>
    </row>
    <row r="91" spans="2:2" ht="15.5" x14ac:dyDescent="0.35">
      <c r="B91" s="183"/>
    </row>
    <row r="92" spans="2:2" ht="15.5" x14ac:dyDescent="0.35">
      <c r="B92" s="183"/>
    </row>
    <row r="93" spans="2:2" ht="15.5" x14ac:dyDescent="0.35">
      <c r="B93" s="183"/>
    </row>
    <row r="94" spans="2:2" ht="15.5" x14ac:dyDescent="0.35">
      <c r="B94" s="183"/>
    </row>
    <row r="95" spans="2:2" ht="15.5" x14ac:dyDescent="0.35">
      <c r="B95" s="183"/>
    </row>
    <row r="96" spans="2:2" ht="15.5" x14ac:dyDescent="0.35">
      <c r="B96" s="183"/>
    </row>
    <row r="97" spans="2:2" ht="15.5" x14ac:dyDescent="0.35">
      <c r="B97" s="183"/>
    </row>
    <row r="98" spans="2:2" ht="15.5" x14ac:dyDescent="0.35">
      <c r="B98" s="183"/>
    </row>
    <row r="99" spans="2:2" ht="15.5" x14ac:dyDescent="0.35">
      <c r="B99" s="183"/>
    </row>
    <row r="100" spans="2:2" ht="15.5" x14ac:dyDescent="0.35">
      <c r="B100" s="183"/>
    </row>
    <row r="101" spans="2:2" ht="15.5" x14ac:dyDescent="0.35">
      <c r="B101" s="183"/>
    </row>
    <row r="102" spans="2:2" ht="15.5" x14ac:dyDescent="0.35">
      <c r="B102" s="183"/>
    </row>
    <row r="103" spans="2:2" ht="15.5" x14ac:dyDescent="0.35">
      <c r="B103" s="183"/>
    </row>
    <row r="104" spans="2:2" ht="15.5" x14ac:dyDescent="0.35">
      <c r="B104" s="183"/>
    </row>
    <row r="105" spans="2:2" ht="15.5" x14ac:dyDescent="0.35">
      <c r="B105" s="183"/>
    </row>
    <row r="106" spans="2:2" ht="15.5" x14ac:dyDescent="0.35">
      <c r="B106" s="183"/>
    </row>
    <row r="107" spans="2:2" ht="15.5" x14ac:dyDescent="0.35">
      <c r="B107" s="183"/>
    </row>
    <row r="108" spans="2:2" ht="15.5" x14ac:dyDescent="0.35">
      <c r="B108" s="183"/>
    </row>
    <row r="109" spans="2:2" ht="15.5" x14ac:dyDescent="0.35">
      <c r="B109" s="183"/>
    </row>
    <row r="110" spans="2:2" ht="15.5" x14ac:dyDescent="0.35">
      <c r="B110" s="183"/>
    </row>
    <row r="111" spans="2:2" ht="15.5" x14ac:dyDescent="0.35">
      <c r="B111" s="183"/>
    </row>
    <row r="112" spans="2:2" ht="15.5" x14ac:dyDescent="0.35">
      <c r="B112" s="183"/>
    </row>
    <row r="113" spans="2:2" ht="15.5" x14ac:dyDescent="0.35">
      <c r="B113" s="183"/>
    </row>
    <row r="114" spans="2:2" ht="15.5" x14ac:dyDescent="0.35">
      <c r="B114" s="183"/>
    </row>
    <row r="115" spans="2:2" ht="15.5" x14ac:dyDescent="0.35">
      <c r="B115" s="183"/>
    </row>
    <row r="116" spans="2:2" ht="15.5" x14ac:dyDescent="0.35">
      <c r="B116" s="183"/>
    </row>
    <row r="117" spans="2:2" ht="15.5" x14ac:dyDescent="0.35">
      <c r="B117" s="183"/>
    </row>
    <row r="118" spans="2:2" ht="15.5" x14ac:dyDescent="0.35">
      <c r="B118" s="183"/>
    </row>
    <row r="119" spans="2:2" ht="15.5" x14ac:dyDescent="0.35">
      <c r="B119" s="183"/>
    </row>
    <row r="120" spans="2:2" ht="15.5" x14ac:dyDescent="0.35">
      <c r="B120" s="183"/>
    </row>
    <row r="121" spans="2:2" ht="15.5" x14ac:dyDescent="0.35">
      <c r="B121" s="183"/>
    </row>
    <row r="122" spans="2:2" ht="15.5" x14ac:dyDescent="0.35">
      <c r="B122" s="183"/>
    </row>
    <row r="123" spans="2:2" ht="15.5" x14ac:dyDescent="0.35">
      <c r="B123" s="183"/>
    </row>
    <row r="124" spans="2:2" ht="15.5" x14ac:dyDescent="0.35">
      <c r="B124" s="183"/>
    </row>
    <row r="125" spans="2:2" ht="15.5" x14ac:dyDescent="0.35">
      <c r="B125" s="183"/>
    </row>
    <row r="126" spans="2:2" ht="15.5" x14ac:dyDescent="0.35">
      <c r="B126" s="183"/>
    </row>
    <row r="127" spans="2:2" ht="15.5" x14ac:dyDescent="0.35">
      <c r="B127" s="183"/>
    </row>
    <row r="128" spans="2:2" ht="15.5" x14ac:dyDescent="0.35">
      <c r="B128" s="183"/>
    </row>
    <row r="129" spans="2:2" ht="15.5" x14ac:dyDescent="0.35">
      <c r="B129" s="183"/>
    </row>
    <row r="130" spans="2:2" ht="15.5" x14ac:dyDescent="0.35">
      <c r="B130" s="183"/>
    </row>
    <row r="131" spans="2:2" ht="15.5" x14ac:dyDescent="0.35">
      <c r="B131" s="183"/>
    </row>
    <row r="132" spans="2:2" ht="15.5" x14ac:dyDescent="0.35">
      <c r="B132" s="183"/>
    </row>
    <row r="133" spans="2:2" ht="15.5" x14ac:dyDescent="0.35">
      <c r="B133" s="183"/>
    </row>
    <row r="134" spans="2:2" ht="15.5" x14ac:dyDescent="0.35">
      <c r="B134" s="183"/>
    </row>
    <row r="135" spans="2:2" ht="15.5" x14ac:dyDescent="0.35">
      <c r="B135" s="183"/>
    </row>
    <row r="136" spans="2:2" ht="15.5" x14ac:dyDescent="0.35">
      <c r="B136" s="183"/>
    </row>
    <row r="137" spans="2:2" ht="15.5" x14ac:dyDescent="0.35">
      <c r="B137" s="183"/>
    </row>
    <row r="138" spans="2:2" ht="15.5" x14ac:dyDescent="0.35">
      <c r="B138" s="183"/>
    </row>
    <row r="139" spans="2:2" ht="15.5" x14ac:dyDescent="0.35">
      <c r="B139" s="183"/>
    </row>
    <row r="140" spans="2:2" ht="15.5" x14ac:dyDescent="0.35">
      <c r="B140" s="183"/>
    </row>
    <row r="141" spans="2:2" ht="15.5" x14ac:dyDescent="0.35">
      <c r="B141" s="183"/>
    </row>
    <row r="142" spans="2:2" ht="15.5" x14ac:dyDescent="0.35">
      <c r="B142" s="183"/>
    </row>
    <row r="143" spans="2:2" ht="15.5" x14ac:dyDescent="0.35">
      <c r="B143" s="183"/>
    </row>
    <row r="144" spans="2:2" ht="15.5" x14ac:dyDescent="0.35">
      <c r="B144" s="183"/>
    </row>
    <row r="145" spans="2:2" ht="15.5" x14ac:dyDescent="0.35">
      <c r="B145" s="183"/>
    </row>
    <row r="146" spans="2:2" ht="15.5" x14ac:dyDescent="0.35">
      <c r="B146" s="183"/>
    </row>
    <row r="147" spans="2:2" ht="15.5" x14ac:dyDescent="0.35">
      <c r="B147" s="183"/>
    </row>
    <row r="148" spans="2:2" ht="15.5" x14ac:dyDescent="0.35">
      <c r="B148" s="183"/>
    </row>
    <row r="149" spans="2:2" ht="15.5" x14ac:dyDescent="0.35">
      <c r="B149" s="183"/>
    </row>
    <row r="150" spans="2:2" ht="15.5" x14ac:dyDescent="0.35">
      <c r="B150" s="183"/>
    </row>
    <row r="151" spans="2:2" ht="15.5" x14ac:dyDescent="0.35">
      <c r="B151" s="183"/>
    </row>
    <row r="152" spans="2:2" ht="15.5" x14ac:dyDescent="0.35">
      <c r="B152" s="183"/>
    </row>
    <row r="153" spans="2:2" ht="15.5" x14ac:dyDescent="0.35">
      <c r="B153" s="183"/>
    </row>
    <row r="154" spans="2:2" ht="15.5" x14ac:dyDescent="0.35">
      <c r="B154" s="183"/>
    </row>
    <row r="155" spans="2:2" ht="15.5" x14ac:dyDescent="0.35">
      <c r="B155" s="183"/>
    </row>
    <row r="156" spans="2:2" ht="15.5" x14ac:dyDescent="0.35">
      <c r="B156" s="183"/>
    </row>
    <row r="157" spans="2:2" ht="15.5" x14ac:dyDescent="0.35">
      <c r="B157" s="183"/>
    </row>
    <row r="158" spans="2:2" ht="15.5" x14ac:dyDescent="0.35">
      <c r="B158" s="183"/>
    </row>
    <row r="159" spans="2:2" ht="15.5" x14ac:dyDescent="0.35">
      <c r="B159" s="183"/>
    </row>
    <row r="160" spans="2:2" ht="15.5" x14ac:dyDescent="0.35">
      <c r="B160" s="183"/>
    </row>
    <row r="161" spans="2:2" ht="15.5" x14ac:dyDescent="0.35">
      <c r="B161" s="183"/>
    </row>
    <row r="162" spans="2:2" ht="15.5" x14ac:dyDescent="0.35">
      <c r="B162" s="183"/>
    </row>
    <row r="163" spans="2:2" ht="15.5" x14ac:dyDescent="0.35">
      <c r="B163" s="183"/>
    </row>
    <row r="164" spans="2:2" ht="15.5" x14ac:dyDescent="0.35">
      <c r="B164" s="183"/>
    </row>
    <row r="165" spans="2:2" ht="15.5" x14ac:dyDescent="0.35">
      <c r="B165" s="183"/>
    </row>
    <row r="166" spans="2:2" ht="15.5" x14ac:dyDescent="0.35">
      <c r="B166" s="183"/>
    </row>
    <row r="167" spans="2:2" ht="15.5" x14ac:dyDescent="0.35">
      <c r="B167" s="183"/>
    </row>
    <row r="168" spans="2:2" ht="15.5" x14ac:dyDescent="0.35">
      <c r="B168" s="183"/>
    </row>
    <row r="169" spans="2:2" ht="15.5" x14ac:dyDescent="0.35">
      <c r="B169" s="183"/>
    </row>
    <row r="170" spans="2:2" ht="15.5" x14ac:dyDescent="0.35">
      <c r="B170" s="183"/>
    </row>
    <row r="171" spans="2:2" ht="15.5" x14ac:dyDescent="0.35">
      <c r="B171" s="183"/>
    </row>
    <row r="172" spans="2:2" ht="15.5" x14ac:dyDescent="0.35">
      <c r="B172" s="183"/>
    </row>
    <row r="173" spans="2:2" ht="15.5" x14ac:dyDescent="0.35">
      <c r="B173" s="183"/>
    </row>
    <row r="174" spans="2:2" ht="15.5" x14ac:dyDescent="0.35">
      <c r="B174" s="183"/>
    </row>
    <row r="175" spans="2:2" ht="15.5" x14ac:dyDescent="0.35">
      <c r="B175" s="183"/>
    </row>
    <row r="176" spans="2:2" ht="15.5" x14ac:dyDescent="0.35">
      <c r="B176" s="183"/>
    </row>
    <row r="177" spans="2:2" ht="15.5" x14ac:dyDescent="0.35">
      <c r="B177" s="183"/>
    </row>
    <row r="178" spans="2:2" ht="15.5" x14ac:dyDescent="0.35">
      <c r="B178" s="183"/>
    </row>
    <row r="179" spans="2:2" ht="15.5" x14ac:dyDescent="0.35">
      <c r="B179" s="183"/>
    </row>
    <row r="180" spans="2:2" ht="15.5" x14ac:dyDescent="0.35">
      <c r="B180" s="183"/>
    </row>
    <row r="181" spans="2:2" ht="15.5" x14ac:dyDescent="0.35">
      <c r="B181" s="183"/>
    </row>
    <row r="182" spans="2:2" ht="15.5" x14ac:dyDescent="0.35">
      <c r="B182" s="183"/>
    </row>
    <row r="183" spans="2:2" ht="15.5" x14ac:dyDescent="0.35">
      <c r="B183" s="183"/>
    </row>
    <row r="184" spans="2:2" ht="15.5" x14ac:dyDescent="0.35">
      <c r="B184" s="183"/>
    </row>
    <row r="185" spans="2:2" ht="15.5" x14ac:dyDescent="0.35">
      <c r="B185" s="183"/>
    </row>
    <row r="186" spans="2:2" ht="15.5" x14ac:dyDescent="0.35">
      <c r="B186" s="183"/>
    </row>
    <row r="187" spans="2:2" ht="15.5" x14ac:dyDescent="0.35">
      <c r="B187" s="183"/>
    </row>
    <row r="188" spans="2:2" ht="15.5" x14ac:dyDescent="0.35">
      <c r="B188" s="183"/>
    </row>
    <row r="189" spans="2:2" ht="15.5" x14ac:dyDescent="0.35">
      <c r="B189" s="183"/>
    </row>
    <row r="190" spans="2:2" ht="15.5" x14ac:dyDescent="0.35">
      <c r="B190" s="183"/>
    </row>
    <row r="191" spans="2:2" ht="15.5" x14ac:dyDescent="0.35">
      <c r="B191" s="183"/>
    </row>
    <row r="192" spans="2:2" ht="15.5" x14ac:dyDescent="0.35">
      <c r="B192" s="183"/>
    </row>
    <row r="193" spans="2:2" ht="15.5" x14ac:dyDescent="0.35">
      <c r="B193" s="183"/>
    </row>
    <row r="194" spans="2:2" ht="15.5" x14ac:dyDescent="0.35">
      <c r="B194" s="183"/>
    </row>
    <row r="195" spans="2:2" ht="15.5" x14ac:dyDescent="0.35">
      <c r="B195" s="183"/>
    </row>
    <row r="196" spans="2:2" ht="15.5" x14ac:dyDescent="0.35">
      <c r="B196" s="183"/>
    </row>
    <row r="197" spans="2:2" ht="15.5" x14ac:dyDescent="0.35">
      <c r="B197" s="183"/>
    </row>
    <row r="198" spans="2:2" ht="15.5" x14ac:dyDescent="0.35">
      <c r="B198" s="183"/>
    </row>
    <row r="199" spans="2:2" ht="15.5" x14ac:dyDescent="0.35">
      <c r="B199" s="183"/>
    </row>
    <row r="200" spans="2:2" ht="15.5" x14ac:dyDescent="0.35">
      <c r="B200" s="183"/>
    </row>
    <row r="201" spans="2:2" ht="15.5" x14ac:dyDescent="0.35">
      <c r="B201" s="183"/>
    </row>
    <row r="202" spans="2:2" ht="15.5" x14ac:dyDescent="0.35">
      <c r="B202" s="183"/>
    </row>
    <row r="203" spans="2:2" ht="15.5" x14ac:dyDescent="0.35">
      <c r="B203" s="183"/>
    </row>
    <row r="204" spans="2:2" ht="15.5" x14ac:dyDescent="0.35">
      <c r="B204" s="183"/>
    </row>
    <row r="205" spans="2:2" ht="15.5" x14ac:dyDescent="0.35">
      <c r="B205" s="183"/>
    </row>
    <row r="206" spans="2:2" ht="15.5" x14ac:dyDescent="0.35">
      <c r="B206" s="183"/>
    </row>
    <row r="207" spans="2:2" ht="15.5" x14ac:dyDescent="0.35">
      <c r="B207" s="183"/>
    </row>
    <row r="208" spans="2:2" ht="15.5" x14ac:dyDescent="0.35">
      <c r="B208" s="183"/>
    </row>
    <row r="209" spans="2:2" ht="15.5" x14ac:dyDescent="0.35">
      <c r="B209" s="183"/>
    </row>
    <row r="210" spans="2:2" ht="15.5" x14ac:dyDescent="0.35">
      <c r="B210" s="183"/>
    </row>
    <row r="211" spans="2:2" ht="15.5" x14ac:dyDescent="0.35">
      <c r="B211" s="183"/>
    </row>
    <row r="212" spans="2:2" ht="15.5" x14ac:dyDescent="0.35">
      <c r="B212" s="183"/>
    </row>
    <row r="213" spans="2:2" ht="15.5" x14ac:dyDescent="0.35">
      <c r="B213" s="183"/>
    </row>
    <row r="214" spans="2:2" ht="15.5" x14ac:dyDescent="0.35">
      <c r="B214" s="183"/>
    </row>
    <row r="215" spans="2:2" ht="15.5" x14ac:dyDescent="0.35">
      <c r="B215" s="183"/>
    </row>
    <row r="216" spans="2:2" ht="15.5" x14ac:dyDescent="0.35">
      <c r="B216" s="183"/>
    </row>
    <row r="217" spans="2:2" ht="15.5" x14ac:dyDescent="0.35">
      <c r="B217" s="183"/>
    </row>
    <row r="218" spans="2:2" ht="15.5" x14ac:dyDescent="0.35">
      <c r="B218" s="183"/>
    </row>
    <row r="219" spans="2:2" ht="15.5" x14ac:dyDescent="0.35">
      <c r="B219" s="183"/>
    </row>
    <row r="220" spans="2:2" ht="15.5" x14ac:dyDescent="0.35">
      <c r="B220" s="183"/>
    </row>
    <row r="221" spans="2:2" ht="15.5" x14ac:dyDescent="0.35">
      <c r="B221" s="183"/>
    </row>
    <row r="222" spans="2:2" ht="15.5" x14ac:dyDescent="0.35">
      <c r="B222" s="183"/>
    </row>
    <row r="223" spans="2:2" ht="15.5" x14ac:dyDescent="0.35">
      <c r="B223" s="183"/>
    </row>
    <row r="224" spans="2:2" ht="15.5" x14ac:dyDescent="0.35">
      <c r="B224" s="183"/>
    </row>
    <row r="225" spans="2:2" ht="15.5" x14ac:dyDescent="0.35">
      <c r="B225" s="183"/>
    </row>
    <row r="226" spans="2:2" ht="15.5" x14ac:dyDescent="0.35">
      <c r="B226" s="183"/>
    </row>
    <row r="227" spans="2:2" ht="15.5" x14ac:dyDescent="0.35">
      <c r="B227" s="183"/>
    </row>
    <row r="228" spans="2:2" ht="15.5" x14ac:dyDescent="0.35">
      <c r="B228" s="183"/>
    </row>
    <row r="229" spans="2:2" ht="15.5" x14ac:dyDescent="0.35">
      <c r="B229" s="183"/>
    </row>
    <row r="230" spans="2:2" ht="15.5" x14ac:dyDescent="0.35">
      <c r="B230" s="183"/>
    </row>
    <row r="231" spans="2:2" ht="15.5" x14ac:dyDescent="0.35">
      <c r="B231" s="183"/>
    </row>
    <row r="232" spans="2:2" ht="15.5" x14ac:dyDescent="0.35">
      <c r="B232" s="183"/>
    </row>
    <row r="233" spans="2:2" ht="15.5" x14ac:dyDescent="0.35">
      <c r="B233" s="183"/>
    </row>
    <row r="234" spans="2:2" ht="15.5" x14ac:dyDescent="0.35">
      <c r="B234" s="183"/>
    </row>
    <row r="235" spans="2:2" ht="15.5" x14ac:dyDescent="0.35">
      <c r="B235" s="183"/>
    </row>
    <row r="236" spans="2:2" ht="15.5" x14ac:dyDescent="0.35">
      <c r="B236" s="183"/>
    </row>
    <row r="237" spans="2:2" ht="15.5" x14ac:dyDescent="0.35">
      <c r="B237" s="183"/>
    </row>
    <row r="238" spans="2:2" ht="15.5" x14ac:dyDescent="0.35">
      <c r="B238" s="183"/>
    </row>
    <row r="239" spans="2:2" ht="15.5" x14ac:dyDescent="0.35">
      <c r="B239" s="183"/>
    </row>
    <row r="240" spans="2:2" ht="15.5" x14ac:dyDescent="0.35">
      <c r="B240" s="183"/>
    </row>
    <row r="241" spans="2:2" ht="15.5" x14ac:dyDescent="0.35">
      <c r="B241" s="183"/>
    </row>
    <row r="242" spans="2:2" ht="15.5" x14ac:dyDescent="0.35">
      <c r="B242" s="183"/>
    </row>
    <row r="243" spans="2:2" ht="15.5" x14ac:dyDescent="0.35">
      <c r="B243" s="183"/>
    </row>
    <row r="244" spans="2:2" ht="15.5" x14ac:dyDescent="0.35">
      <c r="B244" s="183"/>
    </row>
    <row r="245" spans="2:2" ht="15.5" x14ac:dyDescent="0.35">
      <c r="B245" s="183"/>
    </row>
    <row r="246" spans="2:2" ht="15.5" x14ac:dyDescent="0.35">
      <c r="B246" s="183"/>
    </row>
    <row r="247" spans="2:2" ht="15.5" x14ac:dyDescent="0.35">
      <c r="B247" s="183"/>
    </row>
    <row r="248" spans="2:2" ht="15.5" x14ac:dyDescent="0.35">
      <c r="B248" s="183"/>
    </row>
    <row r="249" spans="2:2" ht="15.5" x14ac:dyDescent="0.35">
      <c r="B249" s="183"/>
    </row>
    <row r="250" spans="2:2" ht="15.5" x14ac:dyDescent="0.35">
      <c r="B250" s="183"/>
    </row>
    <row r="251" spans="2:2" ht="15.5" x14ac:dyDescent="0.35">
      <c r="B251" s="183"/>
    </row>
    <row r="252" spans="2:2" ht="15.5" x14ac:dyDescent="0.35">
      <c r="B252" s="183"/>
    </row>
    <row r="253" spans="2:2" ht="15.5" x14ac:dyDescent="0.35">
      <c r="B253" s="183"/>
    </row>
    <row r="254" spans="2:2" ht="15.5" x14ac:dyDescent="0.35">
      <c r="B254" s="183"/>
    </row>
    <row r="255" spans="2:2" ht="15.5" x14ac:dyDescent="0.35">
      <c r="B255" s="183"/>
    </row>
    <row r="256" spans="2:2" ht="15.5" x14ac:dyDescent="0.35">
      <c r="B256" s="183"/>
    </row>
    <row r="257" spans="2:2" ht="15.5" x14ac:dyDescent="0.35">
      <c r="B257" s="183"/>
    </row>
    <row r="258" spans="2:2" ht="15.5" x14ac:dyDescent="0.35">
      <c r="B258" s="183"/>
    </row>
    <row r="259" spans="2:2" ht="15.5" x14ac:dyDescent="0.35">
      <c r="B259" s="183"/>
    </row>
    <row r="260" spans="2:2" ht="15.5" x14ac:dyDescent="0.35">
      <c r="B260" s="183"/>
    </row>
    <row r="261" spans="2:2" ht="15.5" x14ac:dyDescent="0.35">
      <c r="B261" s="183"/>
    </row>
    <row r="262" spans="2:2" ht="15.5" x14ac:dyDescent="0.35">
      <c r="B262" s="183"/>
    </row>
    <row r="263" spans="2:2" ht="15.5" x14ac:dyDescent="0.35">
      <c r="B263" s="183"/>
    </row>
    <row r="264" spans="2:2" ht="15.5" x14ac:dyDescent="0.35">
      <c r="B264" s="183"/>
    </row>
    <row r="265" spans="2:2" ht="15.5" x14ac:dyDescent="0.35">
      <c r="B265" s="183"/>
    </row>
    <row r="266" spans="2:2" ht="15.5" x14ac:dyDescent="0.35">
      <c r="B266" s="183"/>
    </row>
    <row r="267" spans="2:2" ht="15.5" x14ac:dyDescent="0.35">
      <c r="B267" s="183"/>
    </row>
    <row r="268" spans="2:2" ht="15.5" x14ac:dyDescent="0.35">
      <c r="B268" s="183"/>
    </row>
    <row r="269" spans="2:2" ht="15.5" x14ac:dyDescent="0.35">
      <c r="B269" s="183"/>
    </row>
    <row r="270" spans="2:2" ht="15.5" x14ac:dyDescent="0.35">
      <c r="B270" s="183"/>
    </row>
    <row r="271" spans="2:2" ht="15.5" x14ac:dyDescent="0.35">
      <c r="B271" s="183"/>
    </row>
    <row r="272" spans="2:2" ht="15.5" x14ac:dyDescent="0.35">
      <c r="B272" s="183"/>
    </row>
    <row r="273" spans="2:2" ht="15.5" x14ac:dyDescent="0.35">
      <c r="B273" s="183"/>
    </row>
    <row r="274" spans="2:2" ht="15.5" x14ac:dyDescent="0.35">
      <c r="B274" s="183"/>
    </row>
    <row r="275" spans="2:2" ht="15.5" x14ac:dyDescent="0.35">
      <c r="B275" s="183"/>
    </row>
    <row r="276" spans="2:2" ht="15.5" x14ac:dyDescent="0.35">
      <c r="B276" s="183"/>
    </row>
    <row r="277" spans="2:2" ht="15.5" x14ac:dyDescent="0.35">
      <c r="B277" s="183"/>
    </row>
    <row r="278" spans="2:2" ht="15.5" x14ac:dyDescent="0.35">
      <c r="B278" s="183"/>
    </row>
    <row r="279" spans="2:2" ht="15.5" x14ac:dyDescent="0.35">
      <c r="B279" s="183"/>
    </row>
    <row r="280" spans="2:2" ht="15.5" x14ac:dyDescent="0.35">
      <c r="B280" s="183"/>
    </row>
    <row r="281" spans="2:2" ht="15.5" x14ac:dyDescent="0.35">
      <c r="B281" s="183"/>
    </row>
    <row r="282" spans="2:2" ht="15.5" x14ac:dyDescent="0.35">
      <c r="B282" s="183"/>
    </row>
    <row r="283" spans="2:2" ht="15.5" x14ac:dyDescent="0.35">
      <c r="B283" s="183"/>
    </row>
    <row r="284" spans="2:2" ht="15.5" x14ac:dyDescent="0.35">
      <c r="B284" s="183"/>
    </row>
    <row r="285" spans="2:2" ht="15.5" x14ac:dyDescent="0.35">
      <c r="B285" s="183"/>
    </row>
    <row r="286" spans="2:2" ht="15.5" x14ac:dyDescent="0.35">
      <c r="B286" s="183"/>
    </row>
    <row r="287" spans="2:2" ht="15.5" x14ac:dyDescent="0.35">
      <c r="B287" s="183"/>
    </row>
    <row r="288" spans="2:2" ht="15.5" x14ac:dyDescent="0.35">
      <c r="B288" s="183"/>
    </row>
    <row r="289" spans="2:2" ht="15.5" x14ac:dyDescent="0.35">
      <c r="B289" s="183"/>
    </row>
    <row r="290" spans="2:2" ht="15.5" x14ac:dyDescent="0.35">
      <c r="B290" s="183"/>
    </row>
    <row r="291" spans="2:2" ht="15.5" x14ac:dyDescent="0.35">
      <c r="B291" s="183"/>
    </row>
    <row r="292" spans="2:2" ht="15.5" x14ac:dyDescent="0.35">
      <c r="B292" s="183"/>
    </row>
    <row r="293" spans="2:2" ht="15.5" x14ac:dyDescent="0.35">
      <c r="B293" s="183"/>
    </row>
    <row r="294" spans="2:2" ht="15.5" x14ac:dyDescent="0.35">
      <c r="B294" s="183"/>
    </row>
    <row r="295" spans="2:2" ht="15.5" x14ac:dyDescent="0.35">
      <c r="B295" s="183"/>
    </row>
    <row r="296" spans="2:2" ht="15.5" x14ac:dyDescent="0.35">
      <c r="B296" s="183"/>
    </row>
    <row r="297" spans="2:2" ht="15.5" x14ac:dyDescent="0.35">
      <c r="B297" s="183"/>
    </row>
    <row r="298" spans="2:2" ht="15.5" x14ac:dyDescent="0.35">
      <c r="B298" s="183"/>
    </row>
    <row r="299" spans="2:2" ht="15.5" x14ac:dyDescent="0.35">
      <c r="B299" s="183"/>
    </row>
    <row r="300" spans="2:2" ht="15.5" x14ac:dyDescent="0.35">
      <c r="B300" s="183"/>
    </row>
    <row r="301" spans="2:2" ht="15.5" x14ac:dyDescent="0.35">
      <c r="B301" s="183"/>
    </row>
    <row r="302" spans="2:2" ht="15.5" x14ac:dyDescent="0.35">
      <c r="B302" s="183"/>
    </row>
    <row r="303" spans="2:2" ht="15.5" x14ac:dyDescent="0.35">
      <c r="B303" s="183"/>
    </row>
    <row r="304" spans="2:2" ht="15.5" x14ac:dyDescent="0.35">
      <c r="B304" s="183"/>
    </row>
    <row r="305" spans="2:2" ht="15.5" x14ac:dyDescent="0.35">
      <c r="B305" s="183"/>
    </row>
    <row r="306" spans="2:2" ht="15.5" x14ac:dyDescent="0.35">
      <c r="B306" s="183"/>
    </row>
    <row r="307" spans="2:2" ht="15.5" x14ac:dyDescent="0.35">
      <c r="B307" s="183"/>
    </row>
    <row r="308" spans="2:2" ht="15.5" x14ac:dyDescent="0.35">
      <c r="B308" s="183"/>
    </row>
    <row r="309" spans="2:2" ht="15.5" x14ac:dyDescent="0.35">
      <c r="B309" s="183"/>
    </row>
    <row r="310" spans="2:2" ht="15.5" x14ac:dyDescent="0.35">
      <c r="B310" s="183"/>
    </row>
    <row r="311" spans="2:2" ht="15.5" x14ac:dyDescent="0.35">
      <c r="B311" s="183"/>
    </row>
    <row r="312" spans="2:2" ht="15.5" x14ac:dyDescent="0.35">
      <c r="B312" s="183"/>
    </row>
    <row r="313" spans="2:2" ht="15.5" x14ac:dyDescent="0.35">
      <c r="B313" s="183"/>
    </row>
    <row r="314" spans="2:2" ht="15.5" x14ac:dyDescent="0.35">
      <c r="B314" s="183"/>
    </row>
    <row r="315" spans="2:2" ht="15.5" x14ac:dyDescent="0.35">
      <c r="B315" s="183"/>
    </row>
    <row r="316" spans="2:2" ht="15.5" x14ac:dyDescent="0.35">
      <c r="B316" s="183"/>
    </row>
    <row r="317" spans="2:2" ht="15.5" x14ac:dyDescent="0.35">
      <c r="B317" s="183"/>
    </row>
    <row r="318" spans="2:2" ht="15.5" x14ac:dyDescent="0.35">
      <c r="B318" s="183"/>
    </row>
    <row r="319" spans="2:2" ht="15.5" x14ac:dyDescent="0.35">
      <c r="B319" s="183"/>
    </row>
    <row r="320" spans="2:2" ht="15.5" x14ac:dyDescent="0.35">
      <c r="B320" s="183"/>
    </row>
    <row r="321" spans="2:2" ht="15.5" x14ac:dyDescent="0.35">
      <c r="B321" s="183"/>
    </row>
    <row r="322" spans="2:2" ht="15.5" x14ac:dyDescent="0.35">
      <c r="B322" s="183"/>
    </row>
    <row r="323" spans="2:2" ht="15.5" x14ac:dyDescent="0.35">
      <c r="B323" s="183"/>
    </row>
    <row r="324" spans="2:2" ht="15.5" x14ac:dyDescent="0.35">
      <c r="B324" s="183"/>
    </row>
    <row r="325" spans="2:2" ht="15.5" x14ac:dyDescent="0.35">
      <c r="B325" s="183"/>
    </row>
    <row r="326" spans="2:2" ht="15.5" x14ac:dyDescent="0.35">
      <c r="B326" s="183"/>
    </row>
    <row r="327" spans="2:2" ht="15.5" x14ac:dyDescent="0.35">
      <c r="B327" s="183"/>
    </row>
    <row r="328" spans="2:2" ht="15.5" x14ac:dyDescent="0.35">
      <c r="B328" s="183"/>
    </row>
    <row r="329" spans="2:2" ht="15.5" x14ac:dyDescent="0.35">
      <c r="B329" s="183"/>
    </row>
    <row r="330" spans="2:2" ht="15.5" x14ac:dyDescent="0.35">
      <c r="B330" s="183"/>
    </row>
    <row r="331" spans="2:2" ht="15.5" x14ac:dyDescent="0.35">
      <c r="B331" s="183"/>
    </row>
    <row r="332" spans="2:2" ht="15.5" x14ac:dyDescent="0.35">
      <c r="B332" s="183"/>
    </row>
    <row r="333" spans="2:2" ht="15.5" x14ac:dyDescent="0.35">
      <c r="B333" s="183"/>
    </row>
    <row r="334" spans="2:2" ht="15.5" x14ac:dyDescent="0.35">
      <c r="B334" s="183"/>
    </row>
    <row r="335" spans="2:2" ht="15.5" x14ac:dyDescent="0.35">
      <c r="B335" s="183"/>
    </row>
    <row r="336" spans="2:2" ht="15.5" x14ac:dyDescent="0.35">
      <c r="B336" s="183"/>
    </row>
    <row r="337" spans="2:2" ht="15.5" x14ac:dyDescent="0.35">
      <c r="B337" s="183"/>
    </row>
    <row r="338" spans="2:2" ht="15.5" x14ac:dyDescent="0.35">
      <c r="B338" s="183"/>
    </row>
    <row r="339" spans="2:2" ht="15.5" x14ac:dyDescent="0.35">
      <c r="B339" s="183"/>
    </row>
    <row r="340" spans="2:2" ht="15.5" x14ac:dyDescent="0.35">
      <c r="B340" s="183"/>
    </row>
    <row r="341" spans="2:2" ht="15.5" x14ac:dyDescent="0.35">
      <c r="B341" s="183"/>
    </row>
    <row r="342" spans="2:2" ht="15.5" x14ac:dyDescent="0.35">
      <c r="B342" s="183"/>
    </row>
    <row r="343" spans="2:2" ht="15.5" x14ac:dyDescent="0.35">
      <c r="B343" s="183"/>
    </row>
    <row r="344" spans="2:2" ht="15.5" x14ac:dyDescent="0.35">
      <c r="B344" s="183"/>
    </row>
    <row r="345" spans="2:2" ht="15.5" x14ac:dyDescent="0.35">
      <c r="B345" s="183"/>
    </row>
    <row r="346" spans="2:2" ht="15.5" x14ac:dyDescent="0.35">
      <c r="B346" s="183"/>
    </row>
    <row r="347" spans="2:2" ht="15.5" x14ac:dyDescent="0.35">
      <c r="B347" s="183"/>
    </row>
    <row r="348" spans="2:2" ht="15.5" x14ac:dyDescent="0.35">
      <c r="B348" s="183"/>
    </row>
    <row r="349" spans="2:2" ht="15.5" x14ac:dyDescent="0.35">
      <c r="B349" s="183"/>
    </row>
    <row r="350" spans="2:2" ht="15.5" x14ac:dyDescent="0.35">
      <c r="B350" s="183"/>
    </row>
    <row r="351" spans="2:2" ht="15.5" x14ac:dyDescent="0.35">
      <c r="B351" s="183"/>
    </row>
    <row r="352" spans="2:2" ht="15.5" x14ac:dyDescent="0.35">
      <c r="B352" s="183"/>
    </row>
    <row r="353" spans="2:2" ht="15.5" x14ac:dyDescent="0.35">
      <c r="B353" s="183"/>
    </row>
    <row r="354" spans="2:2" ht="15.5" x14ac:dyDescent="0.35">
      <c r="B354" s="183"/>
    </row>
    <row r="355" spans="2:2" ht="15.5" x14ac:dyDescent="0.35">
      <c r="B355" s="183"/>
    </row>
    <row r="356" spans="2:2" ht="15.5" x14ac:dyDescent="0.35">
      <c r="B356" s="183"/>
    </row>
    <row r="357" spans="2:2" ht="15.5" x14ac:dyDescent="0.35">
      <c r="B357" s="183"/>
    </row>
    <row r="358" spans="2:2" ht="15.5" x14ac:dyDescent="0.35">
      <c r="B358" s="183"/>
    </row>
    <row r="359" spans="2:2" ht="15.5" x14ac:dyDescent="0.35">
      <c r="B359" s="183"/>
    </row>
    <row r="360" spans="2:2" ht="15.5" x14ac:dyDescent="0.35">
      <c r="B360" s="183"/>
    </row>
    <row r="361" spans="2:2" ht="15.5" x14ac:dyDescent="0.35">
      <c r="B361" s="183"/>
    </row>
    <row r="362" spans="2:2" ht="15.5" x14ac:dyDescent="0.35">
      <c r="B362" s="183"/>
    </row>
    <row r="363" spans="2:2" ht="15.5" x14ac:dyDescent="0.35">
      <c r="B363" s="183"/>
    </row>
    <row r="364" spans="2:2" ht="15.5" x14ac:dyDescent="0.35">
      <c r="B364" s="183"/>
    </row>
    <row r="365" spans="2:2" ht="15.5" x14ac:dyDescent="0.35">
      <c r="B365" s="183"/>
    </row>
    <row r="366" spans="2:2" ht="15.5" x14ac:dyDescent="0.35">
      <c r="B366" s="183"/>
    </row>
    <row r="367" spans="2:2" ht="15.5" x14ac:dyDescent="0.35">
      <c r="B367" s="183"/>
    </row>
    <row r="368" spans="2:2" ht="15.5" x14ac:dyDescent="0.35">
      <c r="B368" s="183"/>
    </row>
    <row r="369" spans="2:2" ht="15.5" x14ac:dyDescent="0.35">
      <c r="B369" s="183"/>
    </row>
    <row r="370" spans="2:2" ht="15.5" x14ac:dyDescent="0.35">
      <c r="B370" s="183"/>
    </row>
    <row r="371" spans="2:2" ht="15.5" x14ac:dyDescent="0.35">
      <c r="B371" s="183"/>
    </row>
    <row r="372" spans="2:2" ht="15.5" x14ac:dyDescent="0.35">
      <c r="B372" s="183"/>
    </row>
    <row r="373" spans="2:2" ht="15.5" x14ac:dyDescent="0.35">
      <c r="B373" s="183"/>
    </row>
    <row r="374" spans="2:2" ht="15.5" x14ac:dyDescent="0.35">
      <c r="B374" s="183"/>
    </row>
    <row r="375" spans="2:2" ht="15.5" x14ac:dyDescent="0.35">
      <c r="B375" s="183"/>
    </row>
    <row r="376" spans="2:2" ht="15.5" x14ac:dyDescent="0.35">
      <c r="B376" s="183"/>
    </row>
    <row r="377" spans="2:2" ht="15.5" x14ac:dyDescent="0.35">
      <c r="B377" s="183"/>
    </row>
    <row r="378" spans="2:2" ht="15.5" x14ac:dyDescent="0.35">
      <c r="B378" s="183"/>
    </row>
    <row r="379" spans="2:2" ht="15.5" x14ac:dyDescent="0.35">
      <c r="B379" s="183"/>
    </row>
    <row r="380" spans="2:2" ht="15.5" x14ac:dyDescent="0.35">
      <c r="B380" s="183"/>
    </row>
    <row r="381" spans="2:2" ht="15.5" x14ac:dyDescent="0.35">
      <c r="B381" s="183"/>
    </row>
    <row r="382" spans="2:2" ht="15.5" x14ac:dyDescent="0.35">
      <c r="B382" s="183"/>
    </row>
    <row r="383" spans="2:2" ht="15.5" x14ac:dyDescent="0.35">
      <c r="B383" s="183"/>
    </row>
    <row r="384" spans="2:2" ht="15.5" x14ac:dyDescent="0.35">
      <c r="B384" s="183"/>
    </row>
    <row r="385" spans="2:2" ht="15.5" x14ac:dyDescent="0.35">
      <c r="B385" s="183"/>
    </row>
    <row r="386" spans="2:2" ht="15.5" x14ac:dyDescent="0.35">
      <c r="B386" s="183"/>
    </row>
    <row r="387" spans="2:2" ht="15.5" x14ac:dyDescent="0.35">
      <c r="B387" s="183"/>
    </row>
    <row r="388" spans="2:2" ht="15.5" x14ac:dyDescent="0.35">
      <c r="B388" s="183"/>
    </row>
    <row r="389" spans="2:2" ht="15.5" x14ac:dyDescent="0.35">
      <c r="B389" s="183"/>
    </row>
    <row r="390" spans="2:2" ht="15.5" x14ac:dyDescent="0.35">
      <c r="B390" s="183"/>
    </row>
    <row r="391" spans="2:2" ht="15.5" x14ac:dyDescent="0.35">
      <c r="B391" s="183"/>
    </row>
    <row r="392" spans="2:2" ht="15.5" x14ac:dyDescent="0.35">
      <c r="B392" s="183"/>
    </row>
    <row r="393" spans="2:2" ht="15.5" x14ac:dyDescent="0.35">
      <c r="B393" s="183"/>
    </row>
    <row r="394" spans="2:2" ht="15.5" x14ac:dyDescent="0.35">
      <c r="B394" s="183"/>
    </row>
    <row r="395" spans="2:2" ht="15.5" x14ac:dyDescent="0.35">
      <c r="B395" s="183"/>
    </row>
    <row r="396" spans="2:2" ht="15.5" x14ac:dyDescent="0.35">
      <c r="B396" s="183"/>
    </row>
    <row r="397" spans="2:2" ht="15.5" x14ac:dyDescent="0.35">
      <c r="B397" s="183"/>
    </row>
    <row r="398" spans="2:2" ht="15.5" x14ac:dyDescent="0.35">
      <c r="B398" s="183"/>
    </row>
    <row r="399" spans="2:2" ht="15.5" x14ac:dyDescent="0.35">
      <c r="B399" s="183"/>
    </row>
    <row r="400" spans="2:2" ht="15.5" x14ac:dyDescent="0.35">
      <c r="B400" s="183"/>
    </row>
    <row r="401" spans="2:2" ht="15.5" x14ac:dyDescent="0.35">
      <c r="B401" s="183"/>
    </row>
    <row r="402" spans="2:2" ht="15.5" x14ac:dyDescent="0.35">
      <c r="B402" s="183"/>
    </row>
    <row r="403" spans="2:2" ht="15.5" x14ac:dyDescent="0.35">
      <c r="B403" s="183"/>
    </row>
    <row r="404" spans="2:2" ht="15.5" x14ac:dyDescent="0.35">
      <c r="B404" s="183"/>
    </row>
    <row r="405" spans="2:2" ht="15.5" x14ac:dyDescent="0.35">
      <c r="B405" s="183"/>
    </row>
    <row r="406" spans="2:2" ht="15.5" x14ac:dyDescent="0.35">
      <c r="B406" s="183"/>
    </row>
    <row r="407" spans="2:2" ht="15.5" x14ac:dyDescent="0.35">
      <c r="B407" s="183"/>
    </row>
    <row r="408" spans="2:2" ht="15.5" x14ac:dyDescent="0.35">
      <c r="B408" s="183"/>
    </row>
    <row r="409" spans="2:2" ht="15.5" x14ac:dyDescent="0.35">
      <c r="B409" s="183"/>
    </row>
    <row r="410" spans="2:2" ht="15.5" x14ac:dyDescent="0.35">
      <c r="B410" s="183"/>
    </row>
    <row r="411" spans="2:2" ht="15.5" x14ac:dyDescent="0.35">
      <c r="B411" s="183"/>
    </row>
    <row r="412" spans="2:2" ht="15.5" x14ac:dyDescent="0.35">
      <c r="B412" s="183"/>
    </row>
    <row r="413" spans="2:2" ht="15.5" x14ac:dyDescent="0.35">
      <c r="B413" s="183"/>
    </row>
    <row r="414" spans="2:2" ht="15.5" x14ac:dyDescent="0.35">
      <c r="B414" s="183"/>
    </row>
    <row r="415" spans="2:2" ht="15.5" x14ac:dyDescent="0.35">
      <c r="B415" s="183"/>
    </row>
    <row r="416" spans="2:2" ht="15.5" x14ac:dyDescent="0.35">
      <c r="B416" s="183"/>
    </row>
    <row r="417" spans="2:2" ht="15.5" x14ac:dyDescent="0.35">
      <c r="B417" s="183"/>
    </row>
    <row r="418" spans="2:2" ht="15.5" x14ac:dyDescent="0.35">
      <c r="B418" s="183"/>
    </row>
    <row r="419" spans="2:2" ht="15.5" x14ac:dyDescent="0.35">
      <c r="B419" s="183"/>
    </row>
    <row r="420" spans="2:2" ht="15.5" x14ac:dyDescent="0.35">
      <c r="B420" s="183"/>
    </row>
    <row r="421" spans="2:2" ht="15.5" x14ac:dyDescent="0.35">
      <c r="B421" s="183"/>
    </row>
    <row r="422" spans="2:2" ht="15.5" x14ac:dyDescent="0.35">
      <c r="B422" s="183"/>
    </row>
    <row r="423" spans="2:2" ht="15.5" x14ac:dyDescent="0.35">
      <c r="B423" s="183"/>
    </row>
    <row r="424" spans="2:2" ht="15.5" x14ac:dyDescent="0.35">
      <c r="B424" s="183"/>
    </row>
    <row r="425" spans="2:2" ht="15.5" x14ac:dyDescent="0.35">
      <c r="B425" s="183"/>
    </row>
    <row r="426" spans="2:2" ht="15.5" x14ac:dyDescent="0.35">
      <c r="B426" s="183"/>
    </row>
    <row r="427" spans="2:2" ht="15.5" x14ac:dyDescent="0.35">
      <c r="B427" s="183"/>
    </row>
    <row r="428" spans="2:2" ht="15.5" x14ac:dyDescent="0.35">
      <c r="B428" s="183"/>
    </row>
    <row r="429" spans="2:2" ht="15.5" x14ac:dyDescent="0.35">
      <c r="B429" s="183"/>
    </row>
    <row r="430" spans="2:2" ht="15.5" x14ac:dyDescent="0.35">
      <c r="B430" s="183"/>
    </row>
    <row r="431" spans="2:2" ht="15.5" x14ac:dyDescent="0.35">
      <c r="B431" s="183"/>
    </row>
    <row r="432" spans="2:2" ht="15.5" x14ac:dyDescent="0.35">
      <c r="B432" s="183"/>
    </row>
    <row r="433" spans="2:2" ht="15.5" x14ac:dyDescent="0.35">
      <c r="B433" s="183"/>
    </row>
    <row r="434" spans="2:2" ht="15.5" x14ac:dyDescent="0.35">
      <c r="B434" s="183"/>
    </row>
    <row r="435" spans="2:2" ht="15.5" x14ac:dyDescent="0.35">
      <c r="B435" s="183"/>
    </row>
    <row r="436" spans="2:2" ht="15.5" x14ac:dyDescent="0.35">
      <c r="B436" s="183"/>
    </row>
    <row r="437" spans="2:2" ht="15.5" x14ac:dyDescent="0.35">
      <c r="B437" s="183"/>
    </row>
    <row r="438" spans="2:2" ht="15.5" x14ac:dyDescent="0.35">
      <c r="B438" s="183"/>
    </row>
    <row r="439" spans="2:2" ht="15.5" x14ac:dyDescent="0.35">
      <c r="B439" s="183"/>
    </row>
    <row r="440" spans="2:2" ht="15.5" x14ac:dyDescent="0.35">
      <c r="B440" s="183"/>
    </row>
    <row r="441" spans="2:2" ht="15.5" x14ac:dyDescent="0.35">
      <c r="B441" s="183"/>
    </row>
    <row r="442" spans="2:2" ht="15.5" x14ac:dyDescent="0.35">
      <c r="B442" s="183"/>
    </row>
    <row r="443" spans="2:2" ht="15.5" x14ac:dyDescent="0.35">
      <c r="B443" s="183"/>
    </row>
    <row r="444" spans="2:2" ht="15.5" x14ac:dyDescent="0.35">
      <c r="B444" s="183"/>
    </row>
    <row r="445" spans="2:2" ht="15.5" x14ac:dyDescent="0.35">
      <c r="B445" s="183"/>
    </row>
    <row r="446" spans="2:2" ht="15.5" x14ac:dyDescent="0.35">
      <c r="B446" s="183"/>
    </row>
    <row r="447" spans="2:2" ht="15.5" x14ac:dyDescent="0.35">
      <c r="B447" s="183"/>
    </row>
    <row r="448" spans="2:2" ht="15.5" x14ac:dyDescent="0.35">
      <c r="B448" s="183"/>
    </row>
    <row r="449" spans="2:2" ht="15.5" x14ac:dyDescent="0.35">
      <c r="B449" s="183"/>
    </row>
    <row r="450" spans="2:2" ht="15.5" x14ac:dyDescent="0.35">
      <c r="B450" s="183"/>
    </row>
    <row r="451" spans="2:2" ht="15.5" x14ac:dyDescent="0.35">
      <c r="B451" s="183"/>
    </row>
    <row r="452" spans="2:2" ht="15.5" x14ac:dyDescent="0.35">
      <c r="B452" s="183"/>
    </row>
    <row r="453" spans="2:2" ht="15.5" x14ac:dyDescent="0.35">
      <c r="B453" s="183"/>
    </row>
    <row r="454" spans="2:2" ht="15.5" x14ac:dyDescent="0.35">
      <c r="B454" s="183"/>
    </row>
    <row r="455" spans="2:2" ht="15.5" x14ac:dyDescent="0.35">
      <c r="B455" s="183"/>
    </row>
    <row r="456" spans="2:2" ht="15.5" x14ac:dyDescent="0.35">
      <c r="B456" s="183"/>
    </row>
    <row r="457" spans="2:2" ht="15.5" x14ac:dyDescent="0.35">
      <c r="B457" s="183"/>
    </row>
    <row r="458" spans="2:2" ht="15.5" x14ac:dyDescent="0.35">
      <c r="B458" s="183"/>
    </row>
    <row r="459" spans="2:2" ht="15.5" x14ac:dyDescent="0.35">
      <c r="B459" s="183"/>
    </row>
    <row r="460" spans="2:2" ht="15.5" x14ac:dyDescent="0.35">
      <c r="B460" s="183"/>
    </row>
    <row r="461" spans="2:2" ht="15.5" x14ac:dyDescent="0.35">
      <c r="B461" s="183"/>
    </row>
    <row r="462" spans="2:2" ht="15.5" x14ac:dyDescent="0.35">
      <c r="B462" s="183"/>
    </row>
    <row r="463" spans="2:2" ht="15.5" x14ac:dyDescent="0.35">
      <c r="B463" s="183"/>
    </row>
    <row r="464" spans="2:2" ht="15.5" x14ac:dyDescent="0.35">
      <c r="B464" s="183"/>
    </row>
    <row r="465" spans="2:2" ht="15.5" x14ac:dyDescent="0.35">
      <c r="B465" s="183"/>
    </row>
    <row r="466" spans="2:2" ht="15.5" x14ac:dyDescent="0.35">
      <c r="B466" s="183"/>
    </row>
    <row r="467" spans="2:2" ht="15.5" x14ac:dyDescent="0.35">
      <c r="B467" s="183"/>
    </row>
    <row r="468" spans="2:2" ht="15.5" x14ac:dyDescent="0.35">
      <c r="B468" s="183"/>
    </row>
    <row r="469" spans="2:2" ht="15.5" x14ac:dyDescent="0.35">
      <c r="B469" s="183"/>
    </row>
    <row r="470" spans="2:2" ht="15.5" x14ac:dyDescent="0.35">
      <c r="B470" s="183"/>
    </row>
    <row r="471" spans="2:2" ht="15.5" x14ac:dyDescent="0.35">
      <c r="B471" s="183"/>
    </row>
    <row r="472" spans="2:2" ht="15.5" x14ac:dyDescent="0.35">
      <c r="B472" s="183"/>
    </row>
    <row r="473" spans="2:2" ht="15.5" x14ac:dyDescent="0.35">
      <c r="B473" s="183"/>
    </row>
    <row r="474" spans="2:2" ht="15.5" x14ac:dyDescent="0.35">
      <c r="B474" s="183"/>
    </row>
    <row r="475" spans="2:2" ht="15.5" x14ac:dyDescent="0.35">
      <c r="B475" s="183"/>
    </row>
    <row r="476" spans="2:2" ht="15.5" x14ac:dyDescent="0.35">
      <c r="B476" s="183"/>
    </row>
    <row r="477" spans="2:2" ht="15.5" x14ac:dyDescent="0.35">
      <c r="B477" s="183"/>
    </row>
    <row r="478" spans="2:2" ht="15.5" x14ac:dyDescent="0.35">
      <c r="B478" s="183"/>
    </row>
    <row r="479" spans="2:2" ht="15.5" x14ac:dyDescent="0.35">
      <c r="B479" s="183"/>
    </row>
    <row r="480" spans="2:2" ht="15.5" x14ac:dyDescent="0.35">
      <c r="B480" s="183"/>
    </row>
    <row r="481" spans="2:2" ht="15.5" x14ac:dyDescent="0.35">
      <c r="B481" s="183"/>
    </row>
    <row r="482" spans="2:2" ht="15.5" x14ac:dyDescent="0.35">
      <c r="B482" s="183"/>
    </row>
    <row r="483" spans="2:2" ht="15.5" x14ac:dyDescent="0.35">
      <c r="B483" s="183"/>
    </row>
    <row r="484" spans="2:2" ht="15.5" x14ac:dyDescent="0.35">
      <c r="B484" s="183"/>
    </row>
    <row r="485" spans="2:2" ht="15.5" x14ac:dyDescent="0.35">
      <c r="B485" s="183"/>
    </row>
    <row r="486" spans="2:2" ht="15.5" x14ac:dyDescent="0.35">
      <c r="B486" s="183"/>
    </row>
    <row r="487" spans="2:2" ht="15.5" x14ac:dyDescent="0.35">
      <c r="B487" s="183"/>
    </row>
    <row r="488" spans="2:2" ht="15.5" x14ac:dyDescent="0.35">
      <c r="B488" s="183"/>
    </row>
    <row r="489" spans="2:2" ht="15.5" x14ac:dyDescent="0.35">
      <c r="B489" s="183"/>
    </row>
    <row r="490" spans="2:2" ht="15.5" x14ac:dyDescent="0.35">
      <c r="B490" s="183"/>
    </row>
    <row r="491" spans="2:2" ht="15.5" x14ac:dyDescent="0.35">
      <c r="B491" s="183"/>
    </row>
    <row r="492" spans="2:2" ht="15.5" x14ac:dyDescent="0.35">
      <c r="B492" s="183"/>
    </row>
    <row r="493" spans="2:2" ht="15.5" x14ac:dyDescent="0.35">
      <c r="B493" s="183"/>
    </row>
    <row r="494" spans="2:2" ht="15.5" x14ac:dyDescent="0.35">
      <c r="B494" s="183"/>
    </row>
    <row r="495" spans="2:2" ht="15.5" x14ac:dyDescent="0.35">
      <c r="B495" s="183"/>
    </row>
    <row r="496" spans="2:2" ht="15.5" x14ac:dyDescent="0.35">
      <c r="B496" s="183"/>
    </row>
    <row r="497" spans="2:2" ht="15.5" x14ac:dyDescent="0.35">
      <c r="B497" s="183"/>
    </row>
    <row r="498" spans="2:2" ht="15.5" x14ac:dyDescent="0.35">
      <c r="B498" s="183"/>
    </row>
    <row r="499" spans="2:2" ht="15.5" x14ac:dyDescent="0.35">
      <c r="B499" s="183"/>
    </row>
    <row r="500" spans="2:2" ht="15.5" x14ac:dyDescent="0.35">
      <c r="B500" s="183"/>
    </row>
    <row r="501" spans="2:2" ht="15.5" x14ac:dyDescent="0.35">
      <c r="B501" s="183"/>
    </row>
    <row r="502" spans="2:2" ht="15.5" x14ac:dyDescent="0.35">
      <c r="B502" s="183"/>
    </row>
    <row r="503" spans="2:2" ht="15.5" x14ac:dyDescent="0.35">
      <c r="B503" s="183"/>
    </row>
    <row r="504" spans="2:2" ht="15.5" x14ac:dyDescent="0.35">
      <c r="B504" s="183"/>
    </row>
    <row r="505" spans="2:2" ht="15.5" x14ac:dyDescent="0.35">
      <c r="B505" s="183"/>
    </row>
    <row r="506" spans="2:2" ht="15.5" x14ac:dyDescent="0.35">
      <c r="B506" s="183"/>
    </row>
    <row r="507" spans="2:2" ht="15.5" x14ac:dyDescent="0.35">
      <c r="B507" s="183"/>
    </row>
    <row r="508" spans="2:2" ht="15.5" x14ac:dyDescent="0.35">
      <c r="B508" s="183"/>
    </row>
    <row r="509" spans="2:2" ht="15.5" x14ac:dyDescent="0.35">
      <c r="B509" s="183"/>
    </row>
    <row r="510" spans="2:2" ht="15.5" x14ac:dyDescent="0.35">
      <c r="B510" s="183"/>
    </row>
    <row r="511" spans="2:2" ht="15.5" x14ac:dyDescent="0.35">
      <c r="B511" s="183"/>
    </row>
    <row r="512" spans="2:2" ht="15.5" x14ac:dyDescent="0.35">
      <c r="B512" s="183"/>
    </row>
    <row r="513" spans="2:2" ht="15.5" x14ac:dyDescent="0.35">
      <c r="B513" s="183"/>
    </row>
    <row r="514" spans="2:2" ht="15.5" x14ac:dyDescent="0.35">
      <c r="B514" s="183"/>
    </row>
    <row r="515" spans="2:2" ht="15.5" x14ac:dyDescent="0.35">
      <c r="B515" s="183"/>
    </row>
    <row r="516" spans="2:2" ht="15.5" x14ac:dyDescent="0.35">
      <c r="B516" s="183"/>
    </row>
    <row r="517" spans="2:2" ht="15.5" x14ac:dyDescent="0.35">
      <c r="B517" s="183"/>
    </row>
    <row r="518" spans="2:2" ht="15.5" x14ac:dyDescent="0.35">
      <c r="B518" s="183"/>
    </row>
    <row r="519" spans="2:2" ht="15.5" x14ac:dyDescent="0.35">
      <c r="B519" s="183"/>
    </row>
    <row r="520" spans="2:2" ht="15.5" x14ac:dyDescent="0.35">
      <c r="B520" s="183"/>
    </row>
    <row r="521" spans="2:2" ht="15.5" x14ac:dyDescent="0.35">
      <c r="B521" s="183"/>
    </row>
    <row r="522" spans="2:2" ht="15.5" x14ac:dyDescent="0.35">
      <c r="B522" s="183"/>
    </row>
    <row r="523" spans="2:2" ht="15.5" x14ac:dyDescent="0.35">
      <c r="B523" s="183"/>
    </row>
    <row r="524" spans="2:2" ht="15.5" x14ac:dyDescent="0.35">
      <c r="B524" s="183"/>
    </row>
    <row r="525" spans="2:2" ht="15.5" x14ac:dyDescent="0.35">
      <c r="B525" s="183"/>
    </row>
    <row r="526" spans="2:2" ht="15.5" x14ac:dyDescent="0.35">
      <c r="B526" s="183"/>
    </row>
    <row r="527" spans="2:2" ht="15.5" x14ac:dyDescent="0.35">
      <c r="B527" s="183"/>
    </row>
    <row r="528" spans="2:2" ht="15.5" x14ac:dyDescent="0.35">
      <c r="B528" s="183"/>
    </row>
    <row r="529" spans="2:2" ht="15.5" x14ac:dyDescent="0.35">
      <c r="B529" s="183"/>
    </row>
    <row r="530" spans="2:2" ht="15.5" x14ac:dyDescent="0.35">
      <c r="B530" s="183"/>
    </row>
    <row r="531" spans="2:2" ht="15.5" x14ac:dyDescent="0.35">
      <c r="B531" s="183"/>
    </row>
    <row r="532" spans="2:2" ht="15.5" x14ac:dyDescent="0.35">
      <c r="B532" s="183"/>
    </row>
    <row r="533" spans="2:2" ht="15.5" x14ac:dyDescent="0.35">
      <c r="B533" s="183"/>
    </row>
    <row r="534" spans="2:2" ht="15.5" x14ac:dyDescent="0.35">
      <c r="B534" s="183"/>
    </row>
    <row r="535" spans="2:2" ht="15.5" x14ac:dyDescent="0.35">
      <c r="B535" s="183"/>
    </row>
    <row r="536" spans="2:2" ht="15.5" x14ac:dyDescent="0.35">
      <c r="B536" s="183"/>
    </row>
    <row r="537" spans="2:2" ht="15.5" x14ac:dyDescent="0.35">
      <c r="B537" s="183"/>
    </row>
    <row r="538" spans="2:2" ht="15.5" x14ac:dyDescent="0.35">
      <c r="B538" s="183"/>
    </row>
    <row r="539" spans="2:2" ht="15.5" x14ac:dyDescent="0.35">
      <c r="B539" s="183"/>
    </row>
    <row r="540" spans="2:2" ht="15.5" x14ac:dyDescent="0.35">
      <c r="B540" s="183"/>
    </row>
    <row r="541" spans="2:2" ht="15.5" x14ac:dyDescent="0.35">
      <c r="B541" s="183"/>
    </row>
    <row r="542" spans="2:2" ht="15.5" x14ac:dyDescent="0.35">
      <c r="B542" s="183"/>
    </row>
    <row r="543" spans="2:2" ht="15.5" x14ac:dyDescent="0.35">
      <c r="B543" s="183"/>
    </row>
    <row r="544" spans="2:2" ht="15.5" x14ac:dyDescent="0.35">
      <c r="B544" s="183"/>
    </row>
    <row r="545" spans="2:2" ht="15.5" x14ac:dyDescent="0.35">
      <c r="B545" s="183"/>
    </row>
    <row r="546" spans="2:2" ht="15.5" x14ac:dyDescent="0.35">
      <c r="B546" s="183"/>
    </row>
    <row r="547" spans="2:2" ht="15.5" x14ac:dyDescent="0.35">
      <c r="B547" s="183"/>
    </row>
    <row r="548" spans="2:2" ht="15.5" x14ac:dyDescent="0.35">
      <c r="B548" s="183"/>
    </row>
    <row r="549" spans="2:2" ht="15.5" x14ac:dyDescent="0.35">
      <c r="B549" s="183"/>
    </row>
    <row r="550" spans="2:2" ht="15.5" x14ac:dyDescent="0.35">
      <c r="B550" s="183"/>
    </row>
    <row r="551" spans="2:2" ht="15.5" x14ac:dyDescent="0.35">
      <c r="B551" s="183"/>
    </row>
    <row r="552" spans="2:2" ht="15.5" x14ac:dyDescent="0.35">
      <c r="B552" s="183"/>
    </row>
    <row r="553" spans="2:2" ht="15.5" x14ac:dyDescent="0.35">
      <c r="B553" s="183"/>
    </row>
    <row r="554" spans="2:2" ht="15.5" x14ac:dyDescent="0.35">
      <c r="B554" s="183"/>
    </row>
    <row r="555" spans="2:2" ht="15.5" x14ac:dyDescent="0.35">
      <c r="B555" s="183"/>
    </row>
    <row r="556" spans="2:2" ht="15.5" x14ac:dyDescent="0.35">
      <c r="B556" s="183"/>
    </row>
    <row r="557" spans="2:2" ht="15.5" x14ac:dyDescent="0.35">
      <c r="B557" s="183"/>
    </row>
    <row r="558" spans="2:2" ht="15.5" x14ac:dyDescent="0.35">
      <c r="B558" s="183"/>
    </row>
    <row r="559" spans="2:2" ht="15.5" x14ac:dyDescent="0.35">
      <c r="B559" s="183"/>
    </row>
    <row r="560" spans="2:2" ht="15.5" x14ac:dyDescent="0.35">
      <c r="B560" s="183"/>
    </row>
    <row r="561" spans="2:2" ht="15.5" x14ac:dyDescent="0.35">
      <c r="B561" s="183"/>
    </row>
    <row r="562" spans="2:2" ht="15.5" x14ac:dyDescent="0.35">
      <c r="B562" s="183"/>
    </row>
    <row r="563" spans="2:2" ht="15.5" x14ac:dyDescent="0.35">
      <c r="B563" s="183"/>
    </row>
    <row r="564" spans="2:2" ht="15.5" x14ac:dyDescent="0.35">
      <c r="B564" s="183"/>
    </row>
    <row r="565" spans="2:2" ht="15.5" x14ac:dyDescent="0.35">
      <c r="B565" s="183"/>
    </row>
    <row r="566" spans="2:2" ht="15.5" x14ac:dyDescent="0.35">
      <c r="B566" s="183"/>
    </row>
    <row r="567" spans="2:2" ht="15.5" x14ac:dyDescent="0.35">
      <c r="B567" s="183"/>
    </row>
    <row r="568" spans="2:2" ht="15.5" x14ac:dyDescent="0.35">
      <c r="B568" s="183"/>
    </row>
    <row r="569" spans="2:2" ht="15.5" x14ac:dyDescent="0.35">
      <c r="B569" s="183"/>
    </row>
    <row r="570" spans="2:2" ht="15.5" x14ac:dyDescent="0.35">
      <c r="B570" s="183"/>
    </row>
    <row r="571" spans="2:2" ht="15.5" x14ac:dyDescent="0.35">
      <c r="B571" s="183"/>
    </row>
    <row r="572" spans="2:2" ht="15.5" x14ac:dyDescent="0.35">
      <c r="B572" s="183"/>
    </row>
    <row r="573" spans="2:2" ht="15.5" x14ac:dyDescent="0.35">
      <c r="B573" s="183"/>
    </row>
    <row r="574" spans="2:2" ht="15.5" x14ac:dyDescent="0.35">
      <c r="B574" s="183"/>
    </row>
    <row r="575" spans="2:2" ht="15.5" x14ac:dyDescent="0.35">
      <c r="B575" s="183"/>
    </row>
    <row r="576" spans="2:2" ht="15.5" x14ac:dyDescent="0.35">
      <c r="B576" s="183"/>
    </row>
    <row r="577" spans="2:2" ht="15.5" x14ac:dyDescent="0.35">
      <c r="B577" s="183"/>
    </row>
    <row r="578" spans="2:2" ht="15.5" x14ac:dyDescent="0.35">
      <c r="B578" s="183"/>
    </row>
    <row r="579" spans="2:2" ht="15.5" x14ac:dyDescent="0.35">
      <c r="B579" s="183"/>
    </row>
    <row r="580" spans="2:2" ht="15.5" x14ac:dyDescent="0.35">
      <c r="B580" s="183"/>
    </row>
    <row r="581" spans="2:2" ht="15.5" x14ac:dyDescent="0.35">
      <c r="B581" s="183"/>
    </row>
    <row r="582" spans="2:2" ht="15.5" x14ac:dyDescent="0.35">
      <c r="B582" s="183"/>
    </row>
    <row r="583" spans="2:2" ht="15.5" x14ac:dyDescent="0.35">
      <c r="B583" s="183"/>
    </row>
    <row r="584" spans="2:2" ht="15.5" x14ac:dyDescent="0.35">
      <c r="B584" s="183"/>
    </row>
    <row r="585" spans="2:2" ht="15.5" x14ac:dyDescent="0.35">
      <c r="B585" s="183"/>
    </row>
    <row r="586" spans="2:2" ht="15.5" x14ac:dyDescent="0.35">
      <c r="B586" s="183"/>
    </row>
    <row r="587" spans="2:2" ht="15.5" x14ac:dyDescent="0.35">
      <c r="B587" s="183"/>
    </row>
    <row r="588" spans="2:2" ht="15.5" x14ac:dyDescent="0.35">
      <c r="B588" s="183"/>
    </row>
    <row r="589" spans="2:2" ht="15.5" x14ac:dyDescent="0.35">
      <c r="B589" s="183"/>
    </row>
    <row r="590" spans="2:2" ht="15.5" x14ac:dyDescent="0.35">
      <c r="B590" s="183"/>
    </row>
    <row r="591" spans="2:2" ht="15.5" x14ac:dyDescent="0.35">
      <c r="B591" s="183"/>
    </row>
    <row r="592" spans="2:2" ht="15.5" x14ac:dyDescent="0.35">
      <c r="B592" s="183"/>
    </row>
    <row r="593" spans="2:2" ht="15.5" x14ac:dyDescent="0.35">
      <c r="B593" s="183"/>
    </row>
    <row r="594" spans="2:2" ht="15.5" x14ac:dyDescent="0.35">
      <c r="B594" s="183"/>
    </row>
    <row r="595" spans="2:2" ht="15.5" x14ac:dyDescent="0.35">
      <c r="B595" s="183"/>
    </row>
    <row r="596" spans="2:2" ht="15.5" x14ac:dyDescent="0.35">
      <c r="B596" s="183"/>
    </row>
    <row r="597" spans="2:2" ht="15.5" x14ac:dyDescent="0.35">
      <c r="B597" s="183"/>
    </row>
    <row r="598" spans="2:2" ht="15.5" x14ac:dyDescent="0.35">
      <c r="B598" s="183"/>
    </row>
    <row r="599" spans="2:2" ht="15.5" x14ac:dyDescent="0.35">
      <c r="B599" s="183"/>
    </row>
    <row r="600" spans="2:2" ht="15.5" x14ac:dyDescent="0.35">
      <c r="B600" s="183"/>
    </row>
    <row r="601" spans="2:2" ht="15.5" x14ac:dyDescent="0.35">
      <c r="B601" s="183"/>
    </row>
    <row r="602" spans="2:2" ht="15.5" x14ac:dyDescent="0.35">
      <c r="B602" s="183"/>
    </row>
    <row r="603" spans="2:2" ht="15.5" x14ac:dyDescent="0.35">
      <c r="B603" s="183"/>
    </row>
    <row r="604" spans="2:2" ht="15.5" x14ac:dyDescent="0.35">
      <c r="B604" s="183"/>
    </row>
    <row r="605" spans="2:2" ht="15.5" x14ac:dyDescent="0.35">
      <c r="B605" s="183"/>
    </row>
    <row r="606" spans="2:2" ht="15.5" x14ac:dyDescent="0.35">
      <c r="B606" s="183"/>
    </row>
    <row r="607" spans="2:2" ht="15.5" x14ac:dyDescent="0.35">
      <c r="B607" s="183"/>
    </row>
    <row r="608" spans="2:2" ht="15.5" x14ac:dyDescent="0.35">
      <c r="B608" s="183"/>
    </row>
    <row r="609" spans="2:2" ht="15.5" x14ac:dyDescent="0.35">
      <c r="B609" s="183"/>
    </row>
    <row r="610" spans="2:2" ht="15.5" x14ac:dyDescent="0.35">
      <c r="B610" s="183"/>
    </row>
    <row r="611" spans="2:2" ht="15.5" x14ac:dyDescent="0.35">
      <c r="B611" s="183"/>
    </row>
    <row r="612" spans="2:2" ht="15.5" x14ac:dyDescent="0.35">
      <c r="B612" s="183"/>
    </row>
    <row r="613" spans="2:2" ht="15.5" x14ac:dyDescent="0.35">
      <c r="B613" s="183"/>
    </row>
    <row r="614" spans="2:2" ht="15.5" x14ac:dyDescent="0.35">
      <c r="B614" s="183"/>
    </row>
    <row r="615" spans="2:2" ht="15.5" x14ac:dyDescent="0.35">
      <c r="B615" s="183"/>
    </row>
    <row r="616" spans="2:2" ht="15.5" x14ac:dyDescent="0.35">
      <c r="B616" s="183"/>
    </row>
    <row r="617" spans="2:2" ht="15.5" x14ac:dyDescent="0.35">
      <c r="B617" s="183"/>
    </row>
    <row r="618" spans="2:2" ht="15.5" x14ac:dyDescent="0.35">
      <c r="B618" s="183"/>
    </row>
    <row r="619" spans="2:2" ht="15.5" x14ac:dyDescent="0.35">
      <c r="B619" s="183"/>
    </row>
    <row r="620" spans="2:2" ht="15.5" x14ac:dyDescent="0.35">
      <c r="B620" s="183"/>
    </row>
    <row r="621" spans="2:2" ht="15.5" x14ac:dyDescent="0.35">
      <c r="B621" s="183"/>
    </row>
    <row r="622" spans="2:2" ht="15.5" x14ac:dyDescent="0.35">
      <c r="B622" s="183"/>
    </row>
    <row r="623" spans="2:2" ht="15.5" x14ac:dyDescent="0.35">
      <c r="B623" s="183"/>
    </row>
    <row r="624" spans="2:2" ht="15.5" x14ac:dyDescent="0.35">
      <c r="B624" s="183"/>
    </row>
    <row r="625" spans="2:2" ht="15.5" x14ac:dyDescent="0.35">
      <c r="B625" s="183"/>
    </row>
    <row r="626" spans="2:2" ht="15.5" x14ac:dyDescent="0.35">
      <c r="B626" s="183"/>
    </row>
    <row r="627" spans="2:2" ht="15.5" x14ac:dyDescent="0.35">
      <c r="B627" s="183"/>
    </row>
    <row r="628" spans="2:2" ht="15.5" x14ac:dyDescent="0.35">
      <c r="B628" s="183"/>
    </row>
    <row r="629" spans="2:2" ht="15.5" x14ac:dyDescent="0.35">
      <c r="B629" s="183"/>
    </row>
    <row r="630" spans="2:2" ht="15.5" x14ac:dyDescent="0.35">
      <c r="B630" s="183"/>
    </row>
    <row r="631" spans="2:2" ht="15.5" x14ac:dyDescent="0.35">
      <c r="B631" s="183"/>
    </row>
    <row r="632" spans="2:2" ht="15.5" x14ac:dyDescent="0.35">
      <c r="B632" s="183"/>
    </row>
    <row r="633" spans="2:2" ht="15.5" x14ac:dyDescent="0.35">
      <c r="B633" s="183"/>
    </row>
    <row r="634" spans="2:2" ht="15.5" x14ac:dyDescent="0.35">
      <c r="B634" s="183"/>
    </row>
    <row r="635" spans="2:2" ht="15.5" x14ac:dyDescent="0.35">
      <c r="B635" s="183"/>
    </row>
    <row r="636" spans="2:2" ht="15.5" x14ac:dyDescent="0.35">
      <c r="B636" s="183"/>
    </row>
    <row r="637" spans="2:2" ht="15.5" x14ac:dyDescent="0.35">
      <c r="B637" s="183"/>
    </row>
    <row r="638" spans="2:2" ht="15.5" x14ac:dyDescent="0.35">
      <c r="B638" s="183"/>
    </row>
    <row r="639" spans="2:2" ht="15.5" x14ac:dyDescent="0.35">
      <c r="B639" s="183"/>
    </row>
    <row r="640" spans="2:2" ht="15.5" x14ac:dyDescent="0.35">
      <c r="B640" s="183"/>
    </row>
    <row r="641" spans="2:2" ht="15.5" x14ac:dyDescent="0.35">
      <c r="B641" s="183"/>
    </row>
    <row r="642" spans="2:2" ht="15.5" x14ac:dyDescent="0.35">
      <c r="B642" s="183"/>
    </row>
    <row r="643" spans="2:2" ht="15.5" x14ac:dyDescent="0.35">
      <c r="B643" s="183"/>
    </row>
    <row r="644" spans="2:2" ht="15.5" x14ac:dyDescent="0.35">
      <c r="B644" s="183"/>
    </row>
    <row r="645" spans="2:2" ht="15.5" x14ac:dyDescent="0.35">
      <c r="B645" s="183"/>
    </row>
    <row r="646" spans="2:2" ht="15.5" x14ac:dyDescent="0.35">
      <c r="B646" s="183"/>
    </row>
    <row r="647" spans="2:2" ht="15.5" x14ac:dyDescent="0.35">
      <c r="B647" s="183"/>
    </row>
    <row r="648" spans="2:2" ht="15.5" x14ac:dyDescent="0.35">
      <c r="B648" s="183"/>
    </row>
    <row r="649" spans="2:2" ht="15.5" x14ac:dyDescent="0.35">
      <c r="B649" s="183"/>
    </row>
    <row r="650" spans="2:2" ht="15.5" x14ac:dyDescent="0.35">
      <c r="B650" s="183"/>
    </row>
    <row r="651" spans="2:2" ht="15.5" x14ac:dyDescent="0.35">
      <c r="B651" s="183"/>
    </row>
    <row r="652" spans="2:2" ht="15.5" x14ac:dyDescent="0.35">
      <c r="B652" s="183"/>
    </row>
    <row r="653" spans="2:2" ht="15.5" x14ac:dyDescent="0.35">
      <c r="B653" s="183"/>
    </row>
    <row r="654" spans="2:2" ht="15.5" x14ac:dyDescent="0.35">
      <c r="B654" s="183"/>
    </row>
    <row r="655" spans="2:2" ht="15.5" x14ac:dyDescent="0.35">
      <c r="B655" s="183"/>
    </row>
    <row r="656" spans="2:2" ht="15.5" x14ac:dyDescent="0.35">
      <c r="B656" s="183"/>
    </row>
    <row r="657" spans="2:2" ht="15.5" x14ac:dyDescent="0.35">
      <c r="B657" s="183"/>
    </row>
    <row r="658" spans="2:2" ht="15.5" x14ac:dyDescent="0.35">
      <c r="B658" s="183"/>
    </row>
    <row r="659" spans="2:2" ht="15.5" x14ac:dyDescent="0.35">
      <c r="B659" s="183"/>
    </row>
    <row r="660" spans="2:2" ht="15.5" x14ac:dyDescent="0.35">
      <c r="B660" s="183"/>
    </row>
    <row r="661" spans="2:2" ht="15.5" x14ac:dyDescent="0.35">
      <c r="B661" s="183"/>
    </row>
    <row r="662" spans="2:2" ht="15.5" x14ac:dyDescent="0.35">
      <c r="B662" s="183"/>
    </row>
    <row r="663" spans="2:2" ht="15.5" x14ac:dyDescent="0.35">
      <c r="B663" s="183"/>
    </row>
    <row r="664" spans="2:2" ht="15.5" x14ac:dyDescent="0.35">
      <c r="B664" s="183"/>
    </row>
    <row r="665" spans="2:2" ht="15.5" x14ac:dyDescent="0.35">
      <c r="B665" s="183"/>
    </row>
    <row r="666" spans="2:2" ht="15.5" x14ac:dyDescent="0.35">
      <c r="B666" s="183"/>
    </row>
    <row r="667" spans="2:2" ht="15.5" x14ac:dyDescent="0.35">
      <c r="B667" s="183"/>
    </row>
    <row r="668" spans="2:2" ht="15.5" x14ac:dyDescent="0.35">
      <c r="B668" s="183"/>
    </row>
    <row r="669" spans="2:2" ht="15.5" x14ac:dyDescent="0.35">
      <c r="B669" s="183"/>
    </row>
    <row r="670" spans="2:2" ht="15.5" x14ac:dyDescent="0.35">
      <c r="B670" s="183"/>
    </row>
    <row r="671" spans="2:2" ht="15.5" x14ac:dyDescent="0.35">
      <c r="B671" s="183"/>
    </row>
    <row r="672" spans="2:2" ht="15.5" x14ac:dyDescent="0.35">
      <c r="B672" s="183"/>
    </row>
    <row r="673" spans="2:2" ht="15.5" x14ac:dyDescent="0.35">
      <c r="B673" s="183"/>
    </row>
    <row r="674" spans="2:2" ht="15.5" x14ac:dyDescent="0.35">
      <c r="B674" s="183"/>
    </row>
    <row r="675" spans="2:2" ht="15.5" x14ac:dyDescent="0.35">
      <c r="B675" s="183"/>
    </row>
    <row r="676" spans="2:2" ht="15.5" x14ac:dyDescent="0.35">
      <c r="B676" s="183"/>
    </row>
    <row r="677" spans="2:2" ht="15.5" x14ac:dyDescent="0.35">
      <c r="B677" s="183"/>
    </row>
    <row r="678" spans="2:2" ht="15.5" x14ac:dyDescent="0.35">
      <c r="B678" s="183"/>
    </row>
    <row r="679" spans="2:2" ht="15.5" x14ac:dyDescent="0.35">
      <c r="B679" s="183"/>
    </row>
    <row r="680" spans="2:2" ht="15.5" x14ac:dyDescent="0.35">
      <c r="B680" s="183"/>
    </row>
    <row r="681" spans="2:2" ht="15.5" x14ac:dyDescent="0.35">
      <c r="B681" s="183"/>
    </row>
    <row r="682" spans="2:2" ht="15.5" x14ac:dyDescent="0.35">
      <c r="B682" s="183"/>
    </row>
    <row r="683" spans="2:2" ht="15.5" x14ac:dyDescent="0.35">
      <c r="B683" s="183"/>
    </row>
    <row r="684" spans="2:2" ht="15.5" x14ac:dyDescent="0.35">
      <c r="B684" s="183"/>
    </row>
    <row r="685" spans="2:2" ht="15.5" x14ac:dyDescent="0.35">
      <c r="B685" s="183"/>
    </row>
    <row r="686" spans="2:2" ht="15.5" x14ac:dyDescent="0.35">
      <c r="B686" s="183"/>
    </row>
    <row r="687" spans="2:2" ht="15.5" x14ac:dyDescent="0.35">
      <c r="B687" s="183"/>
    </row>
    <row r="688" spans="2:2" ht="15.5" x14ac:dyDescent="0.35">
      <c r="B688" s="183"/>
    </row>
    <row r="689" spans="2:2" ht="15.5" x14ac:dyDescent="0.35">
      <c r="B689" s="183"/>
    </row>
    <row r="690" spans="2:2" ht="15.5" x14ac:dyDescent="0.35">
      <c r="B690" s="183"/>
    </row>
    <row r="691" spans="2:2" ht="15.5" x14ac:dyDescent="0.35">
      <c r="B691" s="183"/>
    </row>
    <row r="692" spans="2:2" ht="15.5" x14ac:dyDescent="0.35">
      <c r="B692" s="183"/>
    </row>
    <row r="693" spans="2:2" ht="15.5" x14ac:dyDescent="0.35">
      <c r="B693" s="183"/>
    </row>
    <row r="694" spans="2:2" ht="15.5" x14ac:dyDescent="0.35">
      <c r="B694" s="183"/>
    </row>
    <row r="695" spans="2:2" ht="15.5" x14ac:dyDescent="0.35">
      <c r="B695" s="183"/>
    </row>
    <row r="696" spans="2:2" ht="15.5" x14ac:dyDescent="0.35">
      <c r="B696" s="183"/>
    </row>
    <row r="697" spans="2:2" ht="15.5" x14ac:dyDescent="0.35">
      <c r="B697" s="183"/>
    </row>
    <row r="698" spans="2:2" ht="15.5" x14ac:dyDescent="0.35">
      <c r="B698" s="183"/>
    </row>
    <row r="699" spans="2:2" ht="15.5" x14ac:dyDescent="0.35">
      <c r="B699" s="183"/>
    </row>
    <row r="700" spans="2:2" ht="15.5" x14ac:dyDescent="0.35">
      <c r="B700" s="183"/>
    </row>
    <row r="701" spans="2:2" ht="15.5" x14ac:dyDescent="0.35">
      <c r="B701" s="183"/>
    </row>
    <row r="702" spans="2:2" ht="15.5" x14ac:dyDescent="0.35">
      <c r="B702" s="183"/>
    </row>
    <row r="703" spans="2:2" ht="15.5" x14ac:dyDescent="0.35">
      <c r="B703" s="183"/>
    </row>
    <row r="704" spans="2:2" ht="15.5" x14ac:dyDescent="0.35">
      <c r="B704" s="183"/>
    </row>
    <row r="705" spans="2:2" ht="15.5" x14ac:dyDescent="0.35">
      <c r="B705" s="183"/>
    </row>
    <row r="706" spans="2:2" ht="15.5" x14ac:dyDescent="0.35">
      <c r="B706" s="183"/>
    </row>
    <row r="707" spans="2:2" ht="15.5" x14ac:dyDescent="0.35">
      <c r="B707" s="183"/>
    </row>
    <row r="708" spans="2:2" ht="15.5" x14ac:dyDescent="0.35">
      <c r="B708" s="183"/>
    </row>
    <row r="709" spans="2:2" ht="15.5" x14ac:dyDescent="0.35">
      <c r="B709" s="183"/>
    </row>
    <row r="710" spans="2:2" ht="15.5" x14ac:dyDescent="0.35">
      <c r="B710" s="183"/>
    </row>
    <row r="711" spans="2:2" ht="15.5" x14ac:dyDescent="0.35">
      <c r="B711" s="183"/>
    </row>
    <row r="712" spans="2:2" ht="15.5" x14ac:dyDescent="0.35">
      <c r="B712" s="183"/>
    </row>
    <row r="713" spans="2:2" ht="15.5" x14ac:dyDescent="0.35">
      <c r="B713" s="183"/>
    </row>
    <row r="714" spans="2:2" ht="15.5" x14ac:dyDescent="0.35">
      <c r="B714" s="183"/>
    </row>
    <row r="715" spans="2:2" ht="15.5" x14ac:dyDescent="0.35">
      <c r="B715" s="183"/>
    </row>
    <row r="716" spans="2:2" ht="15.5" x14ac:dyDescent="0.35">
      <c r="B716" s="183"/>
    </row>
    <row r="717" spans="2:2" ht="15.5" x14ac:dyDescent="0.35">
      <c r="B717" s="183"/>
    </row>
    <row r="718" spans="2:2" ht="15.5" x14ac:dyDescent="0.35">
      <c r="B718" s="183"/>
    </row>
    <row r="719" spans="2:2" ht="15.5" x14ac:dyDescent="0.35">
      <c r="B719" s="183"/>
    </row>
    <row r="720" spans="2:2" ht="15.5" x14ac:dyDescent="0.35">
      <c r="B720" s="183"/>
    </row>
    <row r="721" spans="2:2" ht="15.5" x14ac:dyDescent="0.35">
      <c r="B721" s="183"/>
    </row>
    <row r="722" spans="2:2" ht="15.5" x14ac:dyDescent="0.35">
      <c r="B722" s="183"/>
    </row>
    <row r="723" spans="2:2" ht="15.5" x14ac:dyDescent="0.35">
      <c r="B723" s="183"/>
    </row>
    <row r="724" spans="2:2" ht="15.5" x14ac:dyDescent="0.35">
      <c r="B724" s="183"/>
    </row>
    <row r="725" spans="2:2" ht="15.5" x14ac:dyDescent="0.35">
      <c r="B725" s="183"/>
    </row>
    <row r="726" spans="2:2" ht="15.5" x14ac:dyDescent="0.35">
      <c r="B726" s="183"/>
    </row>
    <row r="727" spans="2:2" ht="15.5" x14ac:dyDescent="0.35">
      <c r="B727" s="183"/>
    </row>
    <row r="728" spans="2:2" ht="15.5" x14ac:dyDescent="0.35">
      <c r="B728" s="183"/>
    </row>
    <row r="729" spans="2:2" ht="15.5" x14ac:dyDescent="0.35">
      <c r="B729" s="183"/>
    </row>
    <row r="730" spans="2:2" ht="15.5" x14ac:dyDescent="0.35">
      <c r="B730" s="183"/>
    </row>
    <row r="731" spans="2:2" ht="15.5" x14ac:dyDescent="0.35">
      <c r="B731" s="183"/>
    </row>
    <row r="732" spans="2:2" ht="15.5" x14ac:dyDescent="0.35">
      <c r="B732" s="183"/>
    </row>
    <row r="733" spans="2:2" ht="15.5" x14ac:dyDescent="0.35">
      <c r="B733" s="183"/>
    </row>
    <row r="734" spans="2:2" ht="15.5" x14ac:dyDescent="0.35">
      <c r="B734" s="183"/>
    </row>
    <row r="735" spans="2:2" ht="15.5" x14ac:dyDescent="0.35">
      <c r="B735" s="183"/>
    </row>
    <row r="736" spans="2:2" ht="15.5" x14ac:dyDescent="0.35">
      <c r="B736" s="183"/>
    </row>
    <row r="737" spans="2:2" ht="15.5" x14ac:dyDescent="0.35">
      <c r="B737" s="183"/>
    </row>
    <row r="738" spans="2:2" ht="15.5" x14ac:dyDescent="0.35">
      <c r="B738" s="183"/>
    </row>
    <row r="739" spans="2:2" ht="15.5" x14ac:dyDescent="0.35">
      <c r="B739" s="183"/>
    </row>
    <row r="740" spans="2:2" ht="15.5" x14ac:dyDescent="0.35">
      <c r="B740" s="183"/>
    </row>
    <row r="741" spans="2:2" ht="15.5" x14ac:dyDescent="0.35">
      <c r="B741" s="183"/>
    </row>
    <row r="742" spans="2:2" ht="15.5" x14ac:dyDescent="0.35">
      <c r="B742" s="183"/>
    </row>
    <row r="743" spans="2:2" ht="15.5" x14ac:dyDescent="0.35">
      <c r="B743" s="183"/>
    </row>
    <row r="744" spans="2:2" ht="15.5" x14ac:dyDescent="0.35">
      <c r="B744" s="183"/>
    </row>
    <row r="745" spans="2:2" ht="15.5" x14ac:dyDescent="0.35">
      <c r="B745" s="183"/>
    </row>
    <row r="746" spans="2:2" ht="15.5" x14ac:dyDescent="0.35">
      <c r="B746" s="183"/>
    </row>
    <row r="747" spans="2:2" ht="15.5" x14ac:dyDescent="0.35">
      <c r="B747" s="183"/>
    </row>
    <row r="748" spans="2:2" ht="15.5" x14ac:dyDescent="0.35">
      <c r="B748" s="183"/>
    </row>
    <row r="749" spans="2:2" ht="15.5" x14ac:dyDescent="0.35">
      <c r="B749" s="183"/>
    </row>
    <row r="750" spans="2:2" ht="15.5" x14ac:dyDescent="0.35">
      <c r="B750" s="183"/>
    </row>
    <row r="751" spans="2:2" ht="15.5" x14ac:dyDescent="0.35">
      <c r="B751" s="183"/>
    </row>
    <row r="752" spans="2:2" ht="15.5" x14ac:dyDescent="0.35">
      <c r="B752" s="183"/>
    </row>
    <row r="753" spans="2:2" ht="15.5" x14ac:dyDescent="0.35">
      <c r="B753" s="183"/>
    </row>
    <row r="754" spans="2:2" ht="15.5" x14ac:dyDescent="0.35">
      <c r="B754" s="183"/>
    </row>
    <row r="755" spans="2:2" ht="15.5" x14ac:dyDescent="0.35">
      <c r="B755" s="183"/>
    </row>
    <row r="756" spans="2:2" ht="15.5" x14ac:dyDescent="0.35">
      <c r="B756" s="183"/>
    </row>
    <row r="757" spans="2:2" ht="15.5" x14ac:dyDescent="0.35">
      <c r="B757" s="183"/>
    </row>
    <row r="758" spans="2:2" ht="15.5" x14ac:dyDescent="0.35">
      <c r="B758" s="183"/>
    </row>
    <row r="759" spans="2:2" ht="15.5" x14ac:dyDescent="0.35">
      <c r="B759" s="183"/>
    </row>
    <row r="760" spans="2:2" ht="15.5" x14ac:dyDescent="0.35">
      <c r="B760" s="183"/>
    </row>
    <row r="761" spans="2:2" ht="15.5" x14ac:dyDescent="0.35">
      <c r="B761" s="183"/>
    </row>
    <row r="762" spans="2:2" ht="15.5" x14ac:dyDescent="0.35">
      <c r="B762" s="183"/>
    </row>
    <row r="763" spans="2:2" ht="15.5" x14ac:dyDescent="0.35">
      <c r="B763" s="183"/>
    </row>
    <row r="764" spans="2:2" ht="15.5" x14ac:dyDescent="0.35">
      <c r="B764" s="183"/>
    </row>
    <row r="765" spans="2:2" ht="15.5" x14ac:dyDescent="0.35">
      <c r="B765" s="183"/>
    </row>
    <row r="766" spans="2:2" ht="15.5" x14ac:dyDescent="0.35">
      <c r="B766" s="183"/>
    </row>
    <row r="767" spans="2:2" ht="15.5" x14ac:dyDescent="0.35">
      <c r="B767" s="183"/>
    </row>
    <row r="768" spans="2:2" ht="15.5" x14ac:dyDescent="0.35">
      <c r="B768" s="183"/>
    </row>
    <row r="769" spans="2:2" ht="15.5" x14ac:dyDescent="0.35">
      <c r="B769" s="183"/>
    </row>
    <row r="770" spans="2:2" ht="15.5" x14ac:dyDescent="0.35">
      <c r="B770" s="183"/>
    </row>
    <row r="771" spans="2:2" ht="15.5" x14ac:dyDescent="0.35">
      <c r="B771" s="183"/>
    </row>
    <row r="772" spans="2:2" ht="15.5" x14ac:dyDescent="0.35">
      <c r="B772" s="183"/>
    </row>
    <row r="773" spans="2:2" ht="15.5" x14ac:dyDescent="0.35">
      <c r="B773" s="183"/>
    </row>
    <row r="774" spans="2:2" ht="15.5" x14ac:dyDescent="0.35">
      <c r="B774" s="183"/>
    </row>
    <row r="775" spans="2:2" ht="15.5" x14ac:dyDescent="0.35">
      <c r="B775" s="183"/>
    </row>
    <row r="776" spans="2:2" ht="15.5" x14ac:dyDescent="0.35">
      <c r="B776" s="183"/>
    </row>
    <row r="777" spans="2:2" ht="15.5" x14ac:dyDescent="0.35">
      <c r="B777" s="183"/>
    </row>
    <row r="778" spans="2:2" ht="15.5" x14ac:dyDescent="0.35">
      <c r="B778" s="183"/>
    </row>
    <row r="779" spans="2:2" ht="15.5" x14ac:dyDescent="0.35">
      <c r="B779" s="183"/>
    </row>
    <row r="780" spans="2:2" ht="15.5" x14ac:dyDescent="0.35">
      <c r="B780" s="183"/>
    </row>
    <row r="781" spans="2:2" ht="15.5" x14ac:dyDescent="0.35">
      <c r="B781" s="183"/>
    </row>
    <row r="782" spans="2:2" ht="15.5" x14ac:dyDescent="0.35">
      <c r="B782" s="183"/>
    </row>
    <row r="783" spans="2:2" ht="15.5" x14ac:dyDescent="0.35">
      <c r="B783" s="183"/>
    </row>
    <row r="784" spans="2:2" ht="15.5" x14ac:dyDescent="0.35">
      <c r="B784" s="183"/>
    </row>
    <row r="785" spans="2:2" ht="15.5" x14ac:dyDescent="0.35">
      <c r="B785" s="183"/>
    </row>
    <row r="786" spans="2:2" ht="15.5" x14ac:dyDescent="0.35">
      <c r="B786" s="183"/>
    </row>
    <row r="787" spans="2:2" ht="15.5" x14ac:dyDescent="0.35">
      <c r="B787" s="183"/>
    </row>
    <row r="788" spans="2:2" ht="15.5" x14ac:dyDescent="0.35">
      <c r="B788" s="183"/>
    </row>
    <row r="789" spans="2:2" ht="15.5" x14ac:dyDescent="0.35">
      <c r="B789" s="183"/>
    </row>
    <row r="790" spans="2:2" ht="15.5" x14ac:dyDescent="0.35">
      <c r="B790" s="183"/>
    </row>
    <row r="791" spans="2:2" ht="15.5" x14ac:dyDescent="0.35">
      <c r="B791" s="183"/>
    </row>
    <row r="792" spans="2:2" ht="15.5" x14ac:dyDescent="0.35">
      <c r="B792" s="183"/>
    </row>
    <row r="793" spans="2:2" ht="15.5" x14ac:dyDescent="0.35">
      <c r="B793" s="183"/>
    </row>
    <row r="794" spans="2:2" ht="15.5" x14ac:dyDescent="0.35">
      <c r="B794" s="183"/>
    </row>
    <row r="795" spans="2:2" ht="15.5" x14ac:dyDescent="0.35">
      <c r="B795" s="183"/>
    </row>
    <row r="796" spans="2:2" ht="15.5" x14ac:dyDescent="0.35">
      <c r="B796" s="183"/>
    </row>
    <row r="797" spans="2:2" ht="15.5" x14ac:dyDescent="0.35">
      <c r="B797" s="183"/>
    </row>
    <row r="798" spans="2:2" ht="15.5" x14ac:dyDescent="0.35">
      <c r="B798" s="183"/>
    </row>
    <row r="799" spans="2:2" ht="15.5" x14ac:dyDescent="0.35">
      <c r="B799" s="183"/>
    </row>
    <row r="800" spans="2:2" ht="15.5" x14ac:dyDescent="0.35">
      <c r="B800" s="183"/>
    </row>
    <row r="801" spans="2:2" ht="15.5" x14ac:dyDescent="0.35">
      <c r="B801" s="183"/>
    </row>
    <row r="802" spans="2:2" ht="15.5" x14ac:dyDescent="0.35">
      <c r="B802" s="183"/>
    </row>
    <row r="803" spans="2:2" ht="15.5" x14ac:dyDescent="0.35">
      <c r="B803" s="183"/>
    </row>
    <row r="804" spans="2:2" ht="15.5" x14ac:dyDescent="0.35">
      <c r="B804" s="183"/>
    </row>
    <row r="805" spans="2:2" ht="15.5" x14ac:dyDescent="0.35">
      <c r="B805" s="183"/>
    </row>
    <row r="806" spans="2:2" ht="15.5" x14ac:dyDescent="0.35">
      <c r="B806" s="183"/>
    </row>
    <row r="807" spans="2:2" ht="15.5" x14ac:dyDescent="0.35">
      <c r="B807" s="183"/>
    </row>
    <row r="808" spans="2:2" ht="15.5" x14ac:dyDescent="0.35">
      <c r="B808" s="183"/>
    </row>
    <row r="809" spans="2:2" ht="15.5" x14ac:dyDescent="0.35">
      <c r="B809" s="183"/>
    </row>
    <row r="810" spans="2:2" ht="15.5" x14ac:dyDescent="0.35">
      <c r="B810" s="183"/>
    </row>
    <row r="811" spans="2:2" ht="15.5" x14ac:dyDescent="0.35">
      <c r="B811" s="183"/>
    </row>
    <row r="812" spans="2:2" ht="15.5" x14ac:dyDescent="0.35">
      <c r="B812" s="183"/>
    </row>
    <row r="813" spans="2:2" ht="15.5" x14ac:dyDescent="0.35">
      <c r="B813" s="183"/>
    </row>
    <row r="814" spans="2:2" ht="15.5" x14ac:dyDescent="0.35">
      <c r="B814" s="183"/>
    </row>
    <row r="815" spans="2:2" ht="15.5" x14ac:dyDescent="0.35">
      <c r="B815" s="183"/>
    </row>
    <row r="816" spans="2:2" ht="15.5" x14ac:dyDescent="0.35">
      <c r="B816" s="183"/>
    </row>
    <row r="817" spans="2:2" ht="15.5" x14ac:dyDescent="0.35">
      <c r="B817" s="183"/>
    </row>
    <row r="818" spans="2:2" ht="15.5" x14ac:dyDescent="0.35">
      <c r="B818" s="183"/>
    </row>
    <row r="819" spans="2:2" ht="15.5" x14ac:dyDescent="0.35">
      <c r="B819" s="183"/>
    </row>
    <row r="820" spans="2:2" ht="15.5" x14ac:dyDescent="0.35">
      <c r="B820" s="183"/>
    </row>
    <row r="821" spans="2:2" ht="15.5" x14ac:dyDescent="0.35">
      <c r="B821" s="183"/>
    </row>
    <row r="822" spans="2:2" ht="15.5" x14ac:dyDescent="0.35">
      <c r="B822" s="183"/>
    </row>
    <row r="823" spans="2:2" ht="15.5" x14ac:dyDescent="0.35">
      <c r="B823" s="183"/>
    </row>
    <row r="824" spans="2:2" ht="15.5" x14ac:dyDescent="0.35">
      <c r="B824" s="183"/>
    </row>
    <row r="825" spans="2:2" ht="15.5" x14ac:dyDescent="0.35">
      <c r="B825" s="183"/>
    </row>
    <row r="826" spans="2:2" ht="15.5" x14ac:dyDescent="0.35">
      <c r="B826" s="183"/>
    </row>
    <row r="827" spans="2:2" ht="15.5" x14ac:dyDescent="0.35">
      <c r="B827" s="183"/>
    </row>
    <row r="828" spans="2:2" ht="15.5" x14ac:dyDescent="0.35">
      <c r="B828" s="183"/>
    </row>
    <row r="829" spans="2:2" ht="15.5" x14ac:dyDescent="0.35">
      <c r="B829" s="183"/>
    </row>
    <row r="830" spans="2:2" ht="15.5" x14ac:dyDescent="0.35">
      <c r="B830" s="183"/>
    </row>
    <row r="831" spans="2:2" ht="15.5" x14ac:dyDescent="0.35">
      <c r="B831" s="183"/>
    </row>
    <row r="832" spans="2:2" ht="15.5" x14ac:dyDescent="0.35">
      <c r="B832" s="183"/>
    </row>
    <row r="833" spans="2:2" ht="15.5" x14ac:dyDescent="0.35">
      <c r="B833" s="183"/>
    </row>
    <row r="834" spans="2:2" ht="15.5" x14ac:dyDescent="0.35">
      <c r="B834" s="183"/>
    </row>
    <row r="835" spans="2:2" ht="15.5" x14ac:dyDescent="0.35">
      <c r="B835" s="183"/>
    </row>
    <row r="836" spans="2:2" ht="15.5" x14ac:dyDescent="0.35">
      <c r="B836" s="183"/>
    </row>
    <row r="837" spans="2:2" ht="15.5" x14ac:dyDescent="0.35">
      <c r="B837" s="183"/>
    </row>
    <row r="838" spans="2:2" ht="15.5" x14ac:dyDescent="0.35">
      <c r="B838" s="183"/>
    </row>
    <row r="839" spans="2:2" ht="15.5" x14ac:dyDescent="0.35">
      <c r="B839" s="183"/>
    </row>
    <row r="840" spans="2:2" ht="15.5" x14ac:dyDescent="0.35">
      <c r="B840" s="183"/>
    </row>
    <row r="841" spans="2:2" ht="15.5" x14ac:dyDescent="0.35">
      <c r="B841" s="183"/>
    </row>
    <row r="842" spans="2:2" ht="15.5" x14ac:dyDescent="0.35">
      <c r="B842" s="183"/>
    </row>
    <row r="843" spans="2:2" ht="15.5" x14ac:dyDescent="0.35">
      <c r="B843" s="183"/>
    </row>
    <row r="844" spans="2:2" ht="15.5" x14ac:dyDescent="0.35">
      <c r="B844" s="183"/>
    </row>
    <row r="845" spans="2:2" ht="15.5" x14ac:dyDescent="0.35">
      <c r="B845" s="183"/>
    </row>
    <row r="846" spans="2:2" ht="15.5" x14ac:dyDescent="0.35">
      <c r="B846" s="183"/>
    </row>
    <row r="847" spans="2:2" ht="15.5" x14ac:dyDescent="0.35">
      <c r="B847" s="183"/>
    </row>
    <row r="848" spans="2:2" ht="15.5" x14ac:dyDescent="0.35">
      <c r="B848" s="183"/>
    </row>
    <row r="849" spans="2:2" ht="15.5" x14ac:dyDescent="0.35">
      <c r="B849" s="183"/>
    </row>
    <row r="850" spans="2:2" ht="15.5" x14ac:dyDescent="0.35">
      <c r="B850" s="183"/>
    </row>
    <row r="851" spans="2:2" ht="15.5" x14ac:dyDescent="0.35">
      <c r="B851" s="183"/>
    </row>
    <row r="852" spans="2:2" ht="15.5" x14ac:dyDescent="0.35">
      <c r="B852" s="183"/>
    </row>
    <row r="853" spans="2:2" ht="15.5" x14ac:dyDescent="0.35">
      <c r="B853" s="183"/>
    </row>
    <row r="854" spans="2:2" ht="15.5" x14ac:dyDescent="0.35">
      <c r="B854" s="183"/>
    </row>
    <row r="855" spans="2:2" ht="15.5" x14ac:dyDescent="0.35">
      <c r="B855" s="183"/>
    </row>
    <row r="856" spans="2:2" ht="15.5" x14ac:dyDescent="0.35">
      <c r="B856" s="183"/>
    </row>
    <row r="857" spans="2:2" ht="15.5" x14ac:dyDescent="0.35">
      <c r="B857" s="183"/>
    </row>
    <row r="858" spans="2:2" ht="15.5" x14ac:dyDescent="0.35">
      <c r="B858" s="183"/>
    </row>
    <row r="859" spans="2:2" ht="15.5" x14ac:dyDescent="0.35">
      <c r="B859" s="183"/>
    </row>
    <row r="860" spans="2:2" ht="15.5" x14ac:dyDescent="0.35">
      <c r="B860" s="183"/>
    </row>
    <row r="861" spans="2:2" ht="15.5" x14ac:dyDescent="0.35">
      <c r="B861" s="183"/>
    </row>
    <row r="862" spans="2:2" ht="15.5" x14ac:dyDescent="0.35">
      <c r="B862" s="183"/>
    </row>
    <row r="863" spans="2:2" ht="15.5" x14ac:dyDescent="0.35">
      <c r="B863" s="183"/>
    </row>
    <row r="864" spans="2:2" ht="15.5" x14ac:dyDescent="0.35">
      <c r="B864" s="183"/>
    </row>
    <row r="865" spans="2:2" ht="15.5" x14ac:dyDescent="0.35">
      <c r="B865" s="183"/>
    </row>
    <row r="866" spans="2:2" ht="15.5" x14ac:dyDescent="0.35">
      <c r="B866" s="183"/>
    </row>
    <row r="867" spans="2:2" ht="15.5" x14ac:dyDescent="0.35">
      <c r="B867" s="183"/>
    </row>
    <row r="868" spans="2:2" ht="15.5" x14ac:dyDescent="0.35">
      <c r="B868" s="183"/>
    </row>
    <row r="869" spans="2:2" ht="15.5" x14ac:dyDescent="0.35">
      <c r="B869" s="183"/>
    </row>
    <row r="870" spans="2:2" ht="15.5" x14ac:dyDescent="0.35">
      <c r="B870" s="183"/>
    </row>
    <row r="871" spans="2:2" ht="15.5" x14ac:dyDescent="0.35">
      <c r="B871" s="183"/>
    </row>
    <row r="872" spans="2:2" ht="15.5" x14ac:dyDescent="0.35">
      <c r="B872" s="183"/>
    </row>
    <row r="873" spans="2:2" ht="15.5" x14ac:dyDescent="0.35">
      <c r="B873" s="183"/>
    </row>
    <row r="874" spans="2:2" ht="15.5" x14ac:dyDescent="0.35">
      <c r="B874" s="183"/>
    </row>
    <row r="875" spans="2:2" ht="15.5" x14ac:dyDescent="0.35">
      <c r="B875" s="183"/>
    </row>
    <row r="876" spans="2:2" ht="15.5" x14ac:dyDescent="0.35">
      <c r="B876" s="183"/>
    </row>
    <row r="877" spans="2:2" ht="15.5" x14ac:dyDescent="0.35">
      <c r="B877" s="183"/>
    </row>
    <row r="878" spans="2:2" ht="15.5" x14ac:dyDescent="0.35">
      <c r="B878" s="183"/>
    </row>
    <row r="879" spans="2:2" ht="15.5" x14ac:dyDescent="0.35">
      <c r="B879" s="183"/>
    </row>
    <row r="880" spans="2:2" ht="15.5" x14ac:dyDescent="0.35">
      <c r="B880" s="183"/>
    </row>
    <row r="881" spans="2:2" ht="15.5" x14ac:dyDescent="0.35">
      <c r="B881" s="183"/>
    </row>
    <row r="882" spans="2:2" ht="15.5" x14ac:dyDescent="0.35">
      <c r="B882" s="183"/>
    </row>
    <row r="883" spans="2:2" ht="15.5" x14ac:dyDescent="0.35">
      <c r="B883" s="183"/>
    </row>
    <row r="884" spans="2:2" ht="15.5" x14ac:dyDescent="0.35">
      <c r="B884" s="183"/>
    </row>
    <row r="885" spans="2:2" ht="15.5" x14ac:dyDescent="0.35">
      <c r="B885" s="183"/>
    </row>
    <row r="886" spans="2:2" ht="15.5" x14ac:dyDescent="0.35">
      <c r="B886" s="183"/>
    </row>
    <row r="887" spans="2:2" ht="15.5" x14ac:dyDescent="0.35">
      <c r="B887" s="183"/>
    </row>
    <row r="888" spans="2:2" ht="15.5" x14ac:dyDescent="0.35">
      <c r="B888" s="183"/>
    </row>
    <row r="889" spans="2:2" ht="15.5" x14ac:dyDescent="0.35">
      <c r="B889" s="183"/>
    </row>
    <row r="890" spans="2:2" ht="15.5" x14ac:dyDescent="0.35">
      <c r="B890" s="183"/>
    </row>
    <row r="891" spans="2:2" ht="15.5" x14ac:dyDescent="0.35">
      <c r="B891" s="183"/>
    </row>
    <row r="892" spans="2:2" ht="15.5" x14ac:dyDescent="0.35">
      <c r="B892" s="183"/>
    </row>
    <row r="893" spans="2:2" ht="15.5" x14ac:dyDescent="0.35">
      <c r="B893" s="183"/>
    </row>
    <row r="894" spans="2:2" ht="15.5" x14ac:dyDescent="0.35">
      <c r="B894" s="183"/>
    </row>
    <row r="895" spans="2:2" ht="15.5" x14ac:dyDescent="0.35">
      <c r="B895" s="183"/>
    </row>
    <row r="896" spans="2:2" ht="15.5" x14ac:dyDescent="0.35">
      <c r="B896" s="183"/>
    </row>
    <row r="897" spans="2:2" ht="15.5" x14ac:dyDescent="0.35">
      <c r="B897" s="183"/>
    </row>
    <row r="898" spans="2:2" ht="15.5" x14ac:dyDescent="0.35">
      <c r="B898" s="183"/>
    </row>
    <row r="899" spans="2:2" ht="15.5" x14ac:dyDescent="0.35">
      <c r="B899" s="183"/>
    </row>
    <row r="900" spans="2:2" ht="15.5" x14ac:dyDescent="0.35">
      <c r="B900" s="183"/>
    </row>
    <row r="901" spans="2:2" ht="15.5" x14ac:dyDescent="0.35">
      <c r="B901" s="183"/>
    </row>
    <row r="902" spans="2:2" ht="15.5" x14ac:dyDescent="0.35">
      <c r="B902" s="183"/>
    </row>
    <row r="903" spans="2:2" ht="15.5" x14ac:dyDescent="0.35">
      <c r="B903" s="183"/>
    </row>
    <row r="904" spans="2:2" ht="15.5" x14ac:dyDescent="0.35">
      <c r="B904" s="183"/>
    </row>
    <row r="905" spans="2:2" ht="15.5" x14ac:dyDescent="0.35">
      <c r="B905" s="183"/>
    </row>
    <row r="906" spans="2:2" ht="15.5" x14ac:dyDescent="0.35">
      <c r="B906" s="183"/>
    </row>
    <row r="907" spans="2:2" ht="15.5" x14ac:dyDescent="0.35">
      <c r="B907" s="183"/>
    </row>
    <row r="908" spans="2:2" ht="15.5" x14ac:dyDescent="0.35">
      <c r="B908" s="183"/>
    </row>
    <row r="909" spans="2:2" ht="15.5" x14ac:dyDescent="0.35">
      <c r="B909" s="183"/>
    </row>
    <row r="910" spans="2:2" ht="15.5" x14ac:dyDescent="0.35">
      <c r="B910" s="183"/>
    </row>
    <row r="911" spans="2:2" ht="15.5" x14ac:dyDescent="0.35">
      <c r="B911" s="183"/>
    </row>
    <row r="912" spans="2:2" ht="15.5" x14ac:dyDescent="0.35">
      <c r="B912" s="183"/>
    </row>
    <row r="913" spans="2:2" ht="15.5" x14ac:dyDescent="0.35">
      <c r="B913" s="183"/>
    </row>
    <row r="914" spans="2:2" ht="15.5" x14ac:dyDescent="0.35">
      <c r="B914" s="183"/>
    </row>
    <row r="915" spans="2:2" ht="15.5" x14ac:dyDescent="0.35">
      <c r="B915" s="183"/>
    </row>
    <row r="916" spans="2:2" ht="15.5" x14ac:dyDescent="0.35">
      <c r="B916" s="183"/>
    </row>
    <row r="917" spans="2:2" ht="15.5" x14ac:dyDescent="0.35">
      <c r="B917" s="183"/>
    </row>
    <row r="918" spans="2:2" ht="15.5" x14ac:dyDescent="0.35">
      <c r="B918" s="183"/>
    </row>
    <row r="919" spans="2:2" ht="15.5" x14ac:dyDescent="0.35">
      <c r="B919" s="183"/>
    </row>
    <row r="920" spans="2:2" ht="15.5" x14ac:dyDescent="0.35">
      <c r="B920" s="183"/>
    </row>
    <row r="921" spans="2:2" ht="15.5" x14ac:dyDescent="0.35">
      <c r="B921" s="183"/>
    </row>
    <row r="922" spans="2:2" ht="15.5" x14ac:dyDescent="0.35">
      <c r="B922" s="183"/>
    </row>
    <row r="923" spans="2:2" ht="15.5" x14ac:dyDescent="0.35">
      <c r="B923" s="183"/>
    </row>
    <row r="924" spans="2:2" ht="15.5" x14ac:dyDescent="0.35">
      <c r="B924" s="183"/>
    </row>
    <row r="925" spans="2:2" ht="15.5" x14ac:dyDescent="0.35">
      <c r="B925" s="183"/>
    </row>
    <row r="926" spans="2:2" ht="15.5" x14ac:dyDescent="0.35">
      <c r="B926" s="183"/>
    </row>
    <row r="927" spans="2:2" ht="15.5" x14ac:dyDescent="0.35">
      <c r="B927" s="183"/>
    </row>
    <row r="928" spans="2:2" ht="15.5" x14ac:dyDescent="0.35">
      <c r="B928" s="183"/>
    </row>
    <row r="929" spans="2:2" ht="15.5" x14ac:dyDescent="0.35">
      <c r="B929" s="183"/>
    </row>
    <row r="930" spans="2:2" ht="15.5" x14ac:dyDescent="0.35">
      <c r="B930" s="183"/>
    </row>
    <row r="931" spans="2:2" ht="15.5" x14ac:dyDescent="0.35">
      <c r="B931" s="183"/>
    </row>
    <row r="932" spans="2:2" ht="15.5" x14ac:dyDescent="0.35">
      <c r="B932" s="183"/>
    </row>
    <row r="933" spans="2:2" ht="15.5" x14ac:dyDescent="0.35">
      <c r="B933" s="183"/>
    </row>
    <row r="934" spans="2:2" ht="15.5" x14ac:dyDescent="0.35">
      <c r="B934" s="183"/>
    </row>
    <row r="935" spans="2:2" ht="15.5" x14ac:dyDescent="0.35">
      <c r="B935" s="183"/>
    </row>
    <row r="936" spans="2:2" ht="15.5" x14ac:dyDescent="0.35">
      <c r="B936" s="183"/>
    </row>
    <row r="937" spans="2:2" ht="15.5" x14ac:dyDescent="0.35">
      <c r="B937" s="183"/>
    </row>
    <row r="938" spans="2:2" ht="15.5" x14ac:dyDescent="0.35">
      <c r="B938" s="183"/>
    </row>
    <row r="939" spans="2:2" ht="15.5" x14ac:dyDescent="0.35">
      <c r="B939" s="183"/>
    </row>
    <row r="940" spans="2:2" ht="15.5" x14ac:dyDescent="0.35">
      <c r="B940" s="183"/>
    </row>
    <row r="941" spans="2:2" ht="15.5" x14ac:dyDescent="0.35">
      <c r="B941" s="183"/>
    </row>
    <row r="942" spans="2:2" ht="15.5" x14ac:dyDescent="0.35">
      <c r="B942" s="183"/>
    </row>
    <row r="943" spans="2:2" ht="15.5" x14ac:dyDescent="0.35">
      <c r="B943" s="183"/>
    </row>
    <row r="944" spans="2:2" ht="15.5" x14ac:dyDescent="0.35">
      <c r="B944" s="183"/>
    </row>
    <row r="945" spans="2:2" ht="15.5" x14ac:dyDescent="0.35">
      <c r="B945" s="183"/>
    </row>
    <row r="946" spans="2:2" ht="15.5" x14ac:dyDescent="0.35">
      <c r="B946" s="183"/>
    </row>
    <row r="947" spans="2:2" ht="15.5" x14ac:dyDescent="0.35">
      <c r="B947" s="183"/>
    </row>
    <row r="948" spans="2:2" ht="15.5" x14ac:dyDescent="0.35">
      <c r="B948" s="183"/>
    </row>
    <row r="949" spans="2:2" ht="15.5" x14ac:dyDescent="0.35">
      <c r="B949" s="183"/>
    </row>
    <row r="950" spans="2:2" ht="15.5" x14ac:dyDescent="0.35">
      <c r="B950" s="183"/>
    </row>
    <row r="951" spans="2:2" ht="15.5" x14ac:dyDescent="0.35">
      <c r="B951" s="183"/>
    </row>
    <row r="952" spans="2:2" ht="15.5" x14ac:dyDescent="0.35">
      <c r="B952" s="183"/>
    </row>
    <row r="953" spans="2:2" ht="15.5" x14ac:dyDescent="0.35">
      <c r="B953" s="183"/>
    </row>
    <row r="954" spans="2:2" ht="15.5" x14ac:dyDescent="0.35">
      <c r="B954" s="183"/>
    </row>
    <row r="955" spans="2:2" ht="15.5" x14ac:dyDescent="0.35">
      <c r="B955" s="183"/>
    </row>
    <row r="956" spans="2:2" ht="15.5" x14ac:dyDescent="0.35">
      <c r="B956" s="183"/>
    </row>
    <row r="957" spans="2:2" ht="15.5" x14ac:dyDescent="0.35">
      <c r="B957" s="183"/>
    </row>
    <row r="958" spans="2:2" ht="15.5" x14ac:dyDescent="0.35">
      <c r="B958" s="183"/>
    </row>
    <row r="959" spans="2:2" ht="15.5" x14ac:dyDescent="0.35">
      <c r="B959" s="183"/>
    </row>
    <row r="960" spans="2:2" ht="15.5" x14ac:dyDescent="0.35">
      <c r="B960" s="183"/>
    </row>
    <row r="961" spans="2:2" ht="15.5" x14ac:dyDescent="0.35">
      <c r="B961" s="183"/>
    </row>
    <row r="962" spans="2:2" ht="15.5" x14ac:dyDescent="0.35">
      <c r="B962" s="183"/>
    </row>
    <row r="963" spans="2:2" ht="15.5" x14ac:dyDescent="0.35">
      <c r="B963" s="183"/>
    </row>
    <row r="964" spans="2:2" ht="15.5" x14ac:dyDescent="0.35">
      <c r="B964" s="183"/>
    </row>
    <row r="965" spans="2:2" ht="15.5" x14ac:dyDescent="0.35">
      <c r="B965" s="183"/>
    </row>
    <row r="966" spans="2:2" ht="15.5" x14ac:dyDescent="0.35">
      <c r="B966" s="183"/>
    </row>
    <row r="967" spans="2:2" ht="15.5" x14ac:dyDescent="0.35">
      <c r="B967" s="183"/>
    </row>
    <row r="968" spans="2:2" ht="15.5" x14ac:dyDescent="0.35">
      <c r="B968" s="183"/>
    </row>
    <row r="969" spans="2:2" ht="15.5" x14ac:dyDescent="0.35">
      <c r="B969" s="183"/>
    </row>
    <row r="970" spans="2:2" ht="15.5" x14ac:dyDescent="0.35">
      <c r="B970" s="183"/>
    </row>
    <row r="971" spans="2:2" ht="15.5" x14ac:dyDescent="0.35">
      <c r="B971" s="183"/>
    </row>
    <row r="972" spans="2:2" ht="15.5" x14ac:dyDescent="0.35">
      <c r="B972" s="183"/>
    </row>
    <row r="973" spans="2:2" ht="15.5" x14ac:dyDescent="0.35">
      <c r="B973" s="183"/>
    </row>
    <row r="974" spans="2:2" ht="15.5" x14ac:dyDescent="0.35">
      <c r="B974" s="183"/>
    </row>
    <row r="975" spans="2:2" ht="15.5" x14ac:dyDescent="0.35">
      <c r="B975" s="183"/>
    </row>
    <row r="976" spans="2:2" ht="15.5" x14ac:dyDescent="0.35">
      <c r="B976" s="183"/>
    </row>
    <row r="977" spans="2:2" ht="15.5" x14ac:dyDescent="0.35">
      <c r="B977" s="183"/>
    </row>
    <row r="978" spans="2:2" ht="15.5" x14ac:dyDescent="0.35">
      <c r="B978" s="183"/>
    </row>
    <row r="979" spans="2:2" ht="15.5" x14ac:dyDescent="0.35">
      <c r="B979" s="183"/>
    </row>
    <row r="980" spans="2:2" ht="15.5" x14ac:dyDescent="0.35">
      <c r="B980" s="183"/>
    </row>
    <row r="981" spans="2:2" ht="15.5" x14ac:dyDescent="0.35">
      <c r="B981" s="183"/>
    </row>
    <row r="982" spans="2:2" ht="15.5" x14ac:dyDescent="0.35">
      <c r="B982" s="183"/>
    </row>
    <row r="983" spans="2:2" ht="15.5" x14ac:dyDescent="0.35">
      <c r="B983" s="183"/>
    </row>
    <row r="984" spans="2:2" ht="15.5" x14ac:dyDescent="0.35">
      <c r="B984" s="183"/>
    </row>
    <row r="985" spans="2:2" ht="15.5" x14ac:dyDescent="0.35">
      <c r="B985" s="183"/>
    </row>
    <row r="986" spans="2:2" ht="15.5" x14ac:dyDescent="0.35">
      <c r="B986" s="183"/>
    </row>
    <row r="987" spans="2:2" ht="15.5" x14ac:dyDescent="0.35">
      <c r="B987" s="183"/>
    </row>
    <row r="988" spans="2:2" ht="15.5" x14ac:dyDescent="0.35">
      <c r="B988" s="183"/>
    </row>
    <row r="989" spans="2:2" ht="15.5" x14ac:dyDescent="0.35">
      <c r="B989" s="183"/>
    </row>
    <row r="990" spans="2:2" ht="15.5" x14ac:dyDescent="0.35">
      <c r="B990" s="183"/>
    </row>
    <row r="991" spans="2:2" ht="15.5" x14ac:dyDescent="0.35">
      <c r="B991" s="183"/>
    </row>
    <row r="992" spans="2:2" ht="15.5" x14ac:dyDescent="0.35">
      <c r="B992" s="183"/>
    </row>
    <row r="993" spans="2:2" ht="15.5" x14ac:dyDescent="0.35">
      <c r="B993" s="183"/>
    </row>
    <row r="994" spans="2:2" ht="15.5" x14ac:dyDescent="0.35">
      <c r="B994" s="183"/>
    </row>
    <row r="995" spans="2:2" ht="15.5" x14ac:dyDescent="0.35">
      <c r="B995" s="183"/>
    </row>
    <row r="996" spans="2:2" ht="15.5" x14ac:dyDescent="0.35">
      <c r="B996" s="183"/>
    </row>
    <row r="997" spans="2:2" ht="15.5" x14ac:dyDescent="0.35">
      <c r="B997" s="183"/>
    </row>
    <row r="998" spans="2:2" ht="15.5" x14ac:dyDescent="0.35">
      <c r="B998" s="183"/>
    </row>
    <row r="999" spans="2:2" ht="15.5" x14ac:dyDescent="0.35">
      <c r="B999" s="183"/>
    </row>
    <row r="1000" spans="2:2" ht="15.5" x14ac:dyDescent="0.35">
      <c r="B1000" s="183"/>
    </row>
    <row r="1001" spans="2:2" ht="15.5" x14ac:dyDescent="0.35">
      <c r="B1001" s="183"/>
    </row>
    <row r="1002" spans="2:2" ht="15.5" x14ac:dyDescent="0.35">
      <c r="B1002" s="183"/>
    </row>
    <row r="1003" spans="2:2" ht="15.5" x14ac:dyDescent="0.35">
      <c r="B1003" s="183"/>
    </row>
    <row r="1004" spans="2:2" ht="15.5" x14ac:dyDescent="0.35">
      <c r="B1004" s="183"/>
    </row>
    <row r="1005" spans="2:2" ht="15.5" x14ac:dyDescent="0.35">
      <c r="B1005" s="183"/>
    </row>
    <row r="1006" spans="2:2" ht="15.5" x14ac:dyDescent="0.35">
      <c r="B1006" s="183"/>
    </row>
    <row r="1007" spans="2:2" ht="15.5" x14ac:dyDescent="0.35">
      <c r="B1007" s="183"/>
    </row>
    <row r="1008" spans="2:2" ht="15.5" x14ac:dyDescent="0.35">
      <c r="B1008" s="183"/>
    </row>
    <row r="1009" spans="2:2" ht="15.5" x14ac:dyDescent="0.35">
      <c r="B1009" s="183"/>
    </row>
    <row r="1010" spans="2:2" ht="15.5" x14ac:dyDescent="0.35">
      <c r="B1010" s="183"/>
    </row>
    <row r="1011" spans="2:2" ht="15.5" x14ac:dyDescent="0.35">
      <c r="B1011" s="183"/>
    </row>
    <row r="1012" spans="2:2" ht="15.5" x14ac:dyDescent="0.35">
      <c r="B1012" s="183"/>
    </row>
    <row r="1013" spans="2:2" ht="15.5" x14ac:dyDescent="0.35">
      <c r="B1013" s="183"/>
    </row>
    <row r="1014" spans="2:2" ht="15.5" x14ac:dyDescent="0.35">
      <c r="B1014" s="183"/>
    </row>
    <row r="1015" spans="2:2" ht="15.5" x14ac:dyDescent="0.35">
      <c r="B1015" s="183"/>
    </row>
    <row r="1016" spans="2:2" ht="15.5" x14ac:dyDescent="0.35">
      <c r="B1016" s="183"/>
    </row>
    <row r="1017" spans="2:2" ht="15.5" x14ac:dyDescent="0.35">
      <c r="B1017" s="183"/>
    </row>
    <row r="1018" spans="2:2" ht="15.5" x14ac:dyDescent="0.35">
      <c r="B1018" s="183"/>
    </row>
    <row r="1019" spans="2:2" ht="15.5" x14ac:dyDescent="0.35">
      <c r="B1019" s="183"/>
    </row>
    <row r="1020" spans="2:2" ht="15.5" x14ac:dyDescent="0.35">
      <c r="B1020" s="183"/>
    </row>
    <row r="1021" spans="2:2" ht="15.5" x14ac:dyDescent="0.35">
      <c r="B1021" s="183"/>
    </row>
    <row r="1022" spans="2:2" ht="15.5" x14ac:dyDescent="0.35">
      <c r="B1022" s="183"/>
    </row>
    <row r="1023" spans="2:2" ht="15.5" x14ac:dyDescent="0.35">
      <c r="B1023" s="183"/>
    </row>
    <row r="1024" spans="2:2" ht="15.5" x14ac:dyDescent="0.35">
      <c r="B1024" s="183"/>
    </row>
    <row r="1025" spans="2:2" ht="15.5" x14ac:dyDescent="0.35">
      <c r="B1025" s="183"/>
    </row>
    <row r="1026" spans="2:2" ht="15.5" x14ac:dyDescent="0.35">
      <c r="B1026" s="183"/>
    </row>
    <row r="1027" spans="2:2" ht="15.5" x14ac:dyDescent="0.35">
      <c r="B1027" s="183"/>
    </row>
    <row r="1028" spans="2:2" ht="15.5" x14ac:dyDescent="0.35">
      <c r="B1028" s="183"/>
    </row>
    <row r="1029" spans="2:2" ht="15.5" x14ac:dyDescent="0.35">
      <c r="B1029" s="183"/>
    </row>
    <row r="1030" spans="2:2" ht="15.5" x14ac:dyDescent="0.35">
      <c r="B1030" s="183"/>
    </row>
    <row r="1031" spans="2:2" ht="15.5" x14ac:dyDescent="0.35">
      <c r="B1031" s="183"/>
    </row>
    <row r="1032" spans="2:2" ht="15.5" x14ac:dyDescent="0.35">
      <c r="B1032" s="183"/>
    </row>
    <row r="1033" spans="2:2" ht="15.5" x14ac:dyDescent="0.35">
      <c r="B1033" s="183"/>
    </row>
    <row r="1034" spans="2:2" ht="15.5" x14ac:dyDescent="0.35">
      <c r="B1034" s="183"/>
    </row>
    <row r="1035" spans="2:2" ht="15.5" x14ac:dyDescent="0.35">
      <c r="B1035" s="183"/>
    </row>
    <row r="1036" spans="2:2" ht="15.5" x14ac:dyDescent="0.35">
      <c r="B1036" s="183"/>
    </row>
    <row r="1037" spans="2:2" ht="15.5" x14ac:dyDescent="0.35">
      <c r="B1037" s="183"/>
    </row>
    <row r="1038" spans="2:2" ht="15.5" x14ac:dyDescent="0.35">
      <c r="B1038" s="183"/>
    </row>
    <row r="1039" spans="2:2" ht="15.5" x14ac:dyDescent="0.35">
      <c r="B1039" s="183"/>
    </row>
    <row r="1040" spans="2:2" ht="15.5" x14ac:dyDescent="0.35">
      <c r="B1040" s="183"/>
    </row>
    <row r="1041" spans="2:2" ht="15.5" x14ac:dyDescent="0.35">
      <c r="B1041" s="183"/>
    </row>
    <row r="1042" spans="2:2" ht="15.5" x14ac:dyDescent="0.35">
      <c r="B1042" s="183"/>
    </row>
    <row r="1043" spans="2:2" ht="15.5" x14ac:dyDescent="0.35">
      <c r="B1043" s="183"/>
    </row>
    <row r="1044" spans="2:2" ht="15.5" x14ac:dyDescent="0.35">
      <c r="B1044" s="183"/>
    </row>
    <row r="1045" spans="2:2" ht="15.5" x14ac:dyDescent="0.35">
      <c r="B1045" s="183"/>
    </row>
    <row r="1046" spans="2:2" ht="15.5" x14ac:dyDescent="0.35">
      <c r="B1046" s="183"/>
    </row>
    <row r="1047" spans="2:2" ht="15.5" x14ac:dyDescent="0.35">
      <c r="B1047" s="183"/>
    </row>
    <row r="1048" spans="2:2" ht="15.5" x14ac:dyDescent="0.35">
      <c r="B1048" s="183"/>
    </row>
    <row r="1049" spans="2:2" ht="15.5" x14ac:dyDescent="0.35">
      <c r="B1049" s="183"/>
    </row>
    <row r="1050" spans="2:2" ht="15.5" x14ac:dyDescent="0.35">
      <c r="B1050" s="183"/>
    </row>
    <row r="1051" spans="2:2" ht="15.5" x14ac:dyDescent="0.35">
      <c r="B1051" s="183"/>
    </row>
    <row r="1052" spans="2:2" ht="15.5" x14ac:dyDescent="0.35">
      <c r="B1052" s="183"/>
    </row>
    <row r="1053" spans="2:2" ht="15.5" x14ac:dyDescent="0.35">
      <c r="B1053" s="183"/>
    </row>
    <row r="1054" spans="2:2" ht="15.5" x14ac:dyDescent="0.35">
      <c r="B1054" s="183"/>
    </row>
    <row r="1055" spans="2:2" ht="15.5" x14ac:dyDescent="0.35">
      <c r="B1055" s="183"/>
    </row>
    <row r="1056" spans="2:2" ht="15.5" x14ac:dyDescent="0.35">
      <c r="B1056" s="183"/>
    </row>
    <row r="1057" spans="2:2" ht="15.5" x14ac:dyDescent="0.35">
      <c r="B1057" s="183"/>
    </row>
    <row r="1058" spans="2:2" ht="15.5" x14ac:dyDescent="0.35">
      <c r="B1058" s="183"/>
    </row>
    <row r="1059" spans="2:2" ht="15.5" x14ac:dyDescent="0.35">
      <c r="B1059" s="183"/>
    </row>
    <row r="1060" spans="2:2" ht="15.5" x14ac:dyDescent="0.35">
      <c r="B1060" s="183"/>
    </row>
    <row r="1061" spans="2:2" ht="15.5" x14ac:dyDescent="0.35">
      <c r="B1061" s="183"/>
    </row>
    <row r="1062" spans="2:2" ht="15.5" x14ac:dyDescent="0.35">
      <c r="B1062" s="183"/>
    </row>
    <row r="1063" spans="2:2" ht="15.5" x14ac:dyDescent="0.35">
      <c r="B1063" s="183"/>
    </row>
    <row r="1064" spans="2:2" ht="15.5" x14ac:dyDescent="0.35">
      <c r="B1064" s="183"/>
    </row>
    <row r="1065" spans="2:2" ht="15.5" x14ac:dyDescent="0.35">
      <c r="B1065" s="183"/>
    </row>
    <row r="1066" spans="2:2" ht="15.5" x14ac:dyDescent="0.35">
      <c r="B1066" s="183"/>
    </row>
    <row r="1067" spans="2:2" ht="15.5" x14ac:dyDescent="0.35">
      <c r="B1067" s="183"/>
    </row>
    <row r="1068" spans="2:2" ht="15.5" x14ac:dyDescent="0.35">
      <c r="B1068" s="183"/>
    </row>
    <row r="1069" spans="2:2" ht="15.5" x14ac:dyDescent="0.35">
      <c r="B1069" s="183"/>
    </row>
    <row r="1070" spans="2:2" ht="15.5" x14ac:dyDescent="0.35">
      <c r="B1070" s="183"/>
    </row>
    <row r="1071" spans="2:2" ht="15.5" x14ac:dyDescent="0.35">
      <c r="B1071" s="183"/>
    </row>
    <row r="1072" spans="2:2" ht="15.5" x14ac:dyDescent="0.35">
      <c r="B1072" s="183"/>
    </row>
    <row r="1073" spans="2:2" ht="15.5" x14ac:dyDescent="0.35">
      <c r="B1073" s="183"/>
    </row>
    <row r="1074" spans="2:2" ht="15.5" x14ac:dyDescent="0.35">
      <c r="B1074" s="183"/>
    </row>
    <row r="1075" spans="2:2" ht="15.5" x14ac:dyDescent="0.35">
      <c r="B1075" s="183"/>
    </row>
    <row r="1076" spans="2:2" ht="15.5" x14ac:dyDescent="0.35">
      <c r="B1076" s="183"/>
    </row>
    <row r="1077" spans="2:2" ht="15.5" x14ac:dyDescent="0.35">
      <c r="B1077" s="183"/>
    </row>
    <row r="1078" spans="2:2" ht="15.5" x14ac:dyDescent="0.35">
      <c r="B1078" s="183"/>
    </row>
    <row r="1079" spans="2:2" ht="15.5" x14ac:dyDescent="0.35">
      <c r="B1079" s="183"/>
    </row>
    <row r="1080" spans="2:2" ht="15.5" x14ac:dyDescent="0.35">
      <c r="B1080" s="183"/>
    </row>
    <row r="1081" spans="2:2" ht="15.5" x14ac:dyDescent="0.35">
      <c r="B1081" s="183"/>
    </row>
    <row r="1082" spans="2:2" ht="15.5" x14ac:dyDescent="0.35">
      <c r="B1082" s="183"/>
    </row>
    <row r="1083" spans="2:2" ht="15.5" x14ac:dyDescent="0.35">
      <c r="B1083" s="183"/>
    </row>
    <row r="1084" spans="2:2" ht="15.5" x14ac:dyDescent="0.35">
      <c r="B1084" s="183"/>
    </row>
    <row r="1085" spans="2:2" ht="15.5" x14ac:dyDescent="0.35">
      <c r="B1085" s="183"/>
    </row>
    <row r="1086" spans="2:2" ht="15.5" x14ac:dyDescent="0.35">
      <c r="B1086" s="183"/>
    </row>
    <row r="1087" spans="2:2" ht="15.5" x14ac:dyDescent="0.35">
      <c r="B1087" s="183"/>
    </row>
    <row r="1088" spans="2:2" ht="15.5" x14ac:dyDescent="0.35">
      <c r="B1088" s="183"/>
    </row>
    <row r="1089" spans="2:2" ht="15.5" x14ac:dyDescent="0.35">
      <c r="B1089" s="183"/>
    </row>
    <row r="1090" spans="2:2" ht="15.5" x14ac:dyDescent="0.35">
      <c r="B1090" s="183"/>
    </row>
    <row r="1091" spans="2:2" ht="15.5" x14ac:dyDescent="0.35">
      <c r="B1091" s="183"/>
    </row>
    <row r="1092" spans="2:2" ht="15.5" x14ac:dyDescent="0.35">
      <c r="B1092" s="183"/>
    </row>
    <row r="1093" spans="2:2" ht="15.5" x14ac:dyDescent="0.35">
      <c r="B1093" s="183"/>
    </row>
    <row r="1094" spans="2:2" ht="15.5" x14ac:dyDescent="0.35">
      <c r="B1094" s="183"/>
    </row>
    <row r="1095" spans="2:2" ht="15.5" x14ac:dyDescent="0.35">
      <c r="B1095" s="183"/>
    </row>
    <row r="1096" spans="2:2" ht="15.5" x14ac:dyDescent="0.35">
      <c r="B1096" s="183"/>
    </row>
    <row r="1097" spans="2:2" ht="15.5" x14ac:dyDescent="0.35">
      <c r="B1097" s="183"/>
    </row>
    <row r="1098" spans="2:2" ht="15.5" x14ac:dyDescent="0.35">
      <c r="B1098" s="183"/>
    </row>
    <row r="1099" spans="2:2" ht="15.5" x14ac:dyDescent="0.35">
      <c r="B1099" s="183"/>
    </row>
    <row r="1100" spans="2:2" ht="15.5" x14ac:dyDescent="0.35">
      <c r="B1100" s="183"/>
    </row>
    <row r="1101" spans="2:2" ht="15.5" x14ac:dyDescent="0.35">
      <c r="B1101" s="183"/>
    </row>
    <row r="1102" spans="2:2" ht="15.5" x14ac:dyDescent="0.35">
      <c r="B1102" s="183"/>
    </row>
    <row r="1103" spans="2:2" ht="15.5" x14ac:dyDescent="0.35">
      <c r="B1103" s="183"/>
    </row>
    <row r="1104" spans="2:2" ht="15.5" x14ac:dyDescent="0.35">
      <c r="B1104" s="183"/>
    </row>
    <row r="1105" spans="2:2" ht="15.5" x14ac:dyDescent="0.35">
      <c r="B1105" s="183"/>
    </row>
    <row r="1106" spans="2:2" ht="15.5" x14ac:dyDescent="0.35">
      <c r="B1106" s="183"/>
    </row>
    <row r="1107" spans="2:2" ht="15.5" x14ac:dyDescent="0.35">
      <c r="B1107" s="183"/>
    </row>
    <row r="1108" spans="2:2" ht="15.5" x14ac:dyDescent="0.35">
      <c r="B1108" s="183"/>
    </row>
    <row r="1109" spans="2:2" ht="15.5" x14ac:dyDescent="0.35">
      <c r="B1109" s="183"/>
    </row>
    <row r="1110" spans="2:2" ht="15.5" x14ac:dyDescent="0.35">
      <c r="B1110" s="183"/>
    </row>
    <row r="1111" spans="2:2" ht="15.5" x14ac:dyDescent="0.35">
      <c r="B1111" s="183"/>
    </row>
    <row r="1112" spans="2:2" ht="15.5" x14ac:dyDescent="0.35">
      <c r="B1112" s="183"/>
    </row>
    <row r="1113" spans="2:2" ht="15.5" x14ac:dyDescent="0.35">
      <c r="B1113" s="183"/>
    </row>
    <row r="1114" spans="2:2" ht="15.5" x14ac:dyDescent="0.35">
      <c r="B1114" s="183"/>
    </row>
    <row r="1115" spans="2:2" ht="15.5" x14ac:dyDescent="0.35">
      <c r="B1115" s="183"/>
    </row>
    <row r="1116" spans="2:2" ht="15.5" x14ac:dyDescent="0.35">
      <c r="B1116" s="183"/>
    </row>
    <row r="1117" spans="2:2" ht="15.5" x14ac:dyDescent="0.35">
      <c r="B1117" s="183"/>
    </row>
    <row r="1118" spans="2:2" ht="15.5" x14ac:dyDescent="0.35">
      <c r="B1118" s="183"/>
    </row>
    <row r="1119" spans="2:2" ht="15.5" x14ac:dyDescent="0.35">
      <c r="B1119" s="183"/>
    </row>
    <row r="1120" spans="2:2" ht="15.5" x14ac:dyDescent="0.35">
      <c r="B1120" s="183"/>
    </row>
    <row r="1121" spans="2:2" ht="15.5" x14ac:dyDescent="0.35">
      <c r="B1121" s="183"/>
    </row>
    <row r="1122" spans="2:2" ht="15.5" x14ac:dyDescent="0.35">
      <c r="B1122" s="183"/>
    </row>
    <row r="1123" spans="2:2" ht="15.5" x14ac:dyDescent="0.35">
      <c r="B1123" s="183"/>
    </row>
    <row r="1124" spans="2:2" ht="15.5" x14ac:dyDescent="0.35">
      <c r="B1124" s="183"/>
    </row>
    <row r="1125" spans="2:2" ht="15.5" x14ac:dyDescent="0.35">
      <c r="B1125" s="183"/>
    </row>
    <row r="1126" spans="2:2" ht="15.5" x14ac:dyDescent="0.35">
      <c r="B1126" s="183"/>
    </row>
    <row r="1127" spans="2:2" ht="15.5" x14ac:dyDescent="0.35">
      <c r="B1127" s="183"/>
    </row>
    <row r="1128" spans="2:2" ht="15.5" x14ac:dyDescent="0.35">
      <c r="B1128" s="183"/>
    </row>
    <row r="1129" spans="2:2" ht="15.5" x14ac:dyDescent="0.35">
      <c r="B1129" s="183"/>
    </row>
    <row r="1130" spans="2:2" ht="15.5" x14ac:dyDescent="0.35">
      <c r="B1130" s="183"/>
    </row>
    <row r="1131" spans="2:2" ht="15.5" x14ac:dyDescent="0.35">
      <c r="B1131" s="183"/>
    </row>
    <row r="1132" spans="2:2" ht="15.5" x14ac:dyDescent="0.35">
      <c r="B1132" s="183"/>
    </row>
    <row r="1133" spans="2:2" ht="15.5" x14ac:dyDescent="0.35">
      <c r="B1133" s="183"/>
    </row>
    <row r="1134" spans="2:2" ht="15.5" x14ac:dyDescent="0.35">
      <c r="B1134" s="183"/>
    </row>
    <row r="1135" spans="2:2" ht="15.5" x14ac:dyDescent="0.35">
      <c r="B1135" s="183"/>
    </row>
    <row r="1136" spans="2:2" ht="15.5" x14ac:dyDescent="0.35">
      <c r="B1136" s="183"/>
    </row>
    <row r="1137" spans="2:2" ht="15.5" x14ac:dyDescent="0.35">
      <c r="B1137" s="183"/>
    </row>
    <row r="1138" spans="2:2" ht="15.5" x14ac:dyDescent="0.35">
      <c r="B1138" s="183"/>
    </row>
    <row r="1139" spans="2:2" ht="15.5" x14ac:dyDescent="0.35">
      <c r="B1139" s="183"/>
    </row>
    <row r="1140" spans="2:2" ht="15.5" x14ac:dyDescent="0.35">
      <c r="B1140" s="183"/>
    </row>
    <row r="1141" spans="2:2" ht="15.5" x14ac:dyDescent="0.35">
      <c r="B1141" s="183"/>
    </row>
    <row r="1142" spans="2:2" ht="15.5" x14ac:dyDescent="0.35">
      <c r="B1142" s="183"/>
    </row>
    <row r="1143" spans="2:2" ht="15.5" x14ac:dyDescent="0.35">
      <c r="B1143" s="183"/>
    </row>
    <row r="1144" spans="2:2" ht="15.5" x14ac:dyDescent="0.35">
      <c r="B1144" s="183"/>
    </row>
    <row r="1145" spans="2:2" ht="15.5" x14ac:dyDescent="0.35">
      <c r="B1145" s="183"/>
    </row>
    <row r="1146" spans="2:2" ht="15.5" x14ac:dyDescent="0.35">
      <c r="B1146" s="183"/>
    </row>
    <row r="1147" spans="2:2" ht="15.5" x14ac:dyDescent="0.35">
      <c r="B1147" s="183"/>
    </row>
    <row r="1148" spans="2:2" ht="15.5" x14ac:dyDescent="0.35">
      <c r="B1148" s="183"/>
    </row>
    <row r="1149" spans="2:2" ht="15.5" x14ac:dyDescent="0.35">
      <c r="B1149" s="183"/>
    </row>
    <row r="1150" spans="2:2" ht="15.5" x14ac:dyDescent="0.35">
      <c r="B1150" s="183"/>
    </row>
    <row r="1151" spans="2:2" ht="15.5" x14ac:dyDescent="0.35">
      <c r="B1151" s="183"/>
    </row>
    <row r="1152" spans="2:2" ht="15.5" x14ac:dyDescent="0.35">
      <c r="B1152" s="183"/>
    </row>
    <row r="1153" spans="2:2" ht="15.5" x14ac:dyDescent="0.35">
      <c r="B1153" s="183"/>
    </row>
    <row r="1154" spans="2:2" ht="15.5" x14ac:dyDescent="0.35">
      <c r="B1154" s="183"/>
    </row>
    <row r="1155" spans="2:2" ht="15.5" x14ac:dyDescent="0.35">
      <c r="B1155" s="183"/>
    </row>
    <row r="1156" spans="2:2" ht="15.5" x14ac:dyDescent="0.35">
      <c r="B1156" s="183"/>
    </row>
    <row r="1157" spans="2:2" ht="15.5" x14ac:dyDescent="0.35">
      <c r="B1157" s="183"/>
    </row>
    <row r="1158" spans="2:2" ht="15.5" x14ac:dyDescent="0.35">
      <c r="B1158" s="183"/>
    </row>
    <row r="1159" spans="2:2" ht="15.5" x14ac:dyDescent="0.35">
      <c r="B1159" s="183"/>
    </row>
    <row r="1160" spans="2:2" ht="15.5" x14ac:dyDescent="0.35">
      <c r="B1160" s="183"/>
    </row>
    <row r="1161" spans="2:2" ht="15.5" x14ac:dyDescent="0.35">
      <c r="B1161" s="183"/>
    </row>
    <row r="1162" spans="2:2" ht="15.5" x14ac:dyDescent="0.35">
      <c r="B1162" s="183"/>
    </row>
    <row r="1163" spans="2:2" ht="15.5" x14ac:dyDescent="0.35">
      <c r="B1163" s="183"/>
    </row>
    <row r="1164" spans="2:2" ht="15.5" x14ac:dyDescent="0.35">
      <c r="B1164" s="183"/>
    </row>
    <row r="1165" spans="2:2" ht="15.5" x14ac:dyDescent="0.35">
      <c r="B1165" s="183"/>
    </row>
    <row r="1166" spans="2:2" ht="15.5" x14ac:dyDescent="0.35">
      <c r="B1166" s="183"/>
    </row>
    <row r="1167" spans="2:2" ht="15.5" x14ac:dyDescent="0.35">
      <c r="B1167" s="183"/>
    </row>
    <row r="1168" spans="2:2" ht="15.5" x14ac:dyDescent="0.35">
      <c r="B1168" s="183"/>
    </row>
    <row r="1169" spans="2:2" ht="15.5" x14ac:dyDescent="0.35">
      <c r="B1169" s="183"/>
    </row>
    <row r="1170" spans="2:2" ht="15.5" x14ac:dyDescent="0.35">
      <c r="B1170" s="183"/>
    </row>
    <row r="1171" spans="2:2" ht="15.5" x14ac:dyDescent="0.35">
      <c r="B1171" s="183"/>
    </row>
    <row r="1172" spans="2:2" ht="15.5" x14ac:dyDescent="0.35">
      <c r="B1172" s="183"/>
    </row>
    <row r="1173" spans="2:2" ht="15.5" x14ac:dyDescent="0.35">
      <c r="B1173" s="183"/>
    </row>
    <row r="1174" spans="2:2" ht="15.5" x14ac:dyDescent="0.35">
      <c r="B1174" s="183"/>
    </row>
    <row r="1175" spans="2:2" ht="15.5" x14ac:dyDescent="0.35">
      <c r="B1175" s="183"/>
    </row>
    <row r="1176" spans="2:2" ht="15.5" x14ac:dyDescent="0.35">
      <c r="B1176" s="183"/>
    </row>
    <row r="1177" spans="2:2" ht="15.5" x14ac:dyDescent="0.35">
      <c r="B1177" s="183"/>
    </row>
    <row r="1178" spans="2:2" ht="15.5" x14ac:dyDescent="0.35">
      <c r="B1178" s="183"/>
    </row>
    <row r="1179" spans="2:2" ht="15.5" x14ac:dyDescent="0.35">
      <c r="B1179" s="183"/>
    </row>
    <row r="1180" spans="2:2" ht="15.5" x14ac:dyDescent="0.35">
      <c r="B1180" s="183"/>
    </row>
    <row r="1181" spans="2:2" ht="15.5" x14ac:dyDescent="0.35">
      <c r="B1181" s="183"/>
    </row>
    <row r="1182" spans="2:2" ht="15.5" x14ac:dyDescent="0.35">
      <c r="B1182" s="183"/>
    </row>
    <row r="1183" spans="2:2" ht="15.5" x14ac:dyDescent="0.35">
      <c r="B1183" s="183"/>
    </row>
    <row r="1184" spans="2:2" ht="15.5" x14ac:dyDescent="0.35">
      <c r="B1184" s="183"/>
    </row>
    <row r="1185" spans="2:2" ht="15.5" x14ac:dyDescent="0.35">
      <c r="B1185" s="183"/>
    </row>
    <row r="1186" spans="2:2" ht="15.5" x14ac:dyDescent="0.35">
      <c r="B1186" s="183"/>
    </row>
    <row r="1187" spans="2:2" ht="15.5" x14ac:dyDescent="0.35">
      <c r="B1187" s="183"/>
    </row>
    <row r="1188" spans="2:2" ht="15.5" x14ac:dyDescent="0.35">
      <c r="B1188" s="183"/>
    </row>
    <row r="1189" spans="2:2" ht="15.5" x14ac:dyDescent="0.35">
      <c r="B1189" s="183"/>
    </row>
    <row r="1190" spans="2:2" ht="15.5" x14ac:dyDescent="0.35">
      <c r="B1190" s="183"/>
    </row>
    <row r="1191" spans="2:2" ht="15.5" x14ac:dyDescent="0.35">
      <c r="B1191" s="183"/>
    </row>
    <row r="1192" spans="2:2" ht="15.5" x14ac:dyDescent="0.35">
      <c r="B1192" s="183"/>
    </row>
    <row r="1193" spans="2:2" ht="15.5" x14ac:dyDescent="0.35">
      <c r="B1193" s="183"/>
    </row>
    <row r="1194" spans="2:2" ht="15.5" x14ac:dyDescent="0.35">
      <c r="B1194" s="183"/>
    </row>
    <row r="1195" spans="2:2" ht="15.5" x14ac:dyDescent="0.35">
      <c r="B1195" s="183"/>
    </row>
    <row r="1196" spans="2:2" ht="15.5" x14ac:dyDescent="0.35">
      <c r="B1196" s="183"/>
    </row>
    <row r="1197" spans="2:2" ht="15.5" x14ac:dyDescent="0.35">
      <c r="B1197" s="183"/>
    </row>
    <row r="1198" spans="2:2" ht="15.5" x14ac:dyDescent="0.35">
      <c r="B1198" s="183"/>
    </row>
    <row r="1199" spans="2:2" ht="15.5" x14ac:dyDescent="0.35">
      <c r="B1199" s="183"/>
    </row>
    <row r="1200" spans="2:2" ht="15.5" x14ac:dyDescent="0.35">
      <c r="B1200" s="183"/>
    </row>
    <row r="1201" spans="2:2" ht="15.5" x14ac:dyDescent="0.35">
      <c r="B1201" s="183"/>
    </row>
    <row r="1202" spans="2:2" ht="15.5" x14ac:dyDescent="0.35">
      <c r="B1202" s="183"/>
    </row>
    <row r="1203" spans="2:2" ht="15.5" x14ac:dyDescent="0.35">
      <c r="B1203" s="183"/>
    </row>
    <row r="1204" spans="2:2" ht="15.5" x14ac:dyDescent="0.35">
      <c r="B1204" s="183"/>
    </row>
    <row r="1205" spans="2:2" ht="15.5" x14ac:dyDescent="0.35">
      <c r="B1205" s="183"/>
    </row>
    <row r="1206" spans="2:2" ht="15.5" x14ac:dyDescent="0.35">
      <c r="B1206" s="183"/>
    </row>
    <row r="1207" spans="2:2" ht="15.5" x14ac:dyDescent="0.35">
      <c r="B1207" s="183"/>
    </row>
    <row r="1208" spans="2:2" ht="15.5" x14ac:dyDescent="0.35">
      <c r="B1208" s="183"/>
    </row>
    <row r="1209" spans="2:2" ht="15.5" x14ac:dyDescent="0.35">
      <c r="B1209" s="183"/>
    </row>
    <row r="1210" spans="2:2" ht="15.5" x14ac:dyDescent="0.35">
      <c r="B1210" s="183"/>
    </row>
    <row r="1211" spans="2:2" ht="15.5" x14ac:dyDescent="0.35">
      <c r="B1211" s="183"/>
    </row>
    <row r="1212" spans="2:2" ht="15.5" x14ac:dyDescent="0.35">
      <c r="B1212" s="183"/>
    </row>
    <row r="1213" spans="2:2" ht="15.5" x14ac:dyDescent="0.35">
      <c r="B1213" s="183"/>
    </row>
    <row r="1214" spans="2:2" ht="15.5" x14ac:dyDescent="0.35">
      <c r="B1214" s="183"/>
    </row>
    <row r="1215" spans="2:2" ht="15.5" x14ac:dyDescent="0.35">
      <c r="B1215" s="183"/>
    </row>
    <row r="1216" spans="2:2" ht="15.5" x14ac:dyDescent="0.35">
      <c r="B1216" s="183"/>
    </row>
    <row r="1217" spans="2:2" ht="15.5" x14ac:dyDescent="0.35">
      <c r="B1217" s="183"/>
    </row>
    <row r="1218" spans="2:2" ht="15.5" x14ac:dyDescent="0.35">
      <c r="B1218" s="183"/>
    </row>
    <row r="1219" spans="2:2" ht="15.5" x14ac:dyDescent="0.35">
      <c r="B1219" s="183"/>
    </row>
    <row r="1220" spans="2:2" ht="15.5" x14ac:dyDescent="0.35">
      <c r="B1220" s="183"/>
    </row>
    <row r="1221" spans="2:2" ht="15.5" x14ac:dyDescent="0.35">
      <c r="B1221" s="183"/>
    </row>
    <row r="1222" spans="2:2" ht="15.5" x14ac:dyDescent="0.35">
      <c r="B1222" s="183"/>
    </row>
    <row r="1223" spans="2:2" ht="15.5" x14ac:dyDescent="0.35">
      <c r="B1223" s="183"/>
    </row>
    <row r="1224" spans="2:2" ht="15.5" x14ac:dyDescent="0.35">
      <c r="B1224" s="183"/>
    </row>
    <row r="1225" spans="2:2" ht="15.5" x14ac:dyDescent="0.35">
      <c r="B1225" s="183"/>
    </row>
    <row r="1226" spans="2:2" ht="15.5" x14ac:dyDescent="0.35">
      <c r="B1226" s="183"/>
    </row>
    <row r="1227" spans="2:2" ht="15.5" x14ac:dyDescent="0.35">
      <c r="B1227" s="183"/>
    </row>
    <row r="1228" spans="2:2" ht="15.5" x14ac:dyDescent="0.35">
      <c r="B1228" s="183"/>
    </row>
    <row r="1229" spans="2:2" ht="15.5" x14ac:dyDescent="0.35">
      <c r="B1229" s="183"/>
    </row>
    <row r="1230" spans="2:2" ht="15.5" x14ac:dyDescent="0.35">
      <c r="B1230" s="183"/>
    </row>
    <row r="1231" spans="2:2" ht="15.5" x14ac:dyDescent="0.35">
      <c r="B1231" s="183"/>
    </row>
    <row r="1232" spans="2:2" ht="15.5" x14ac:dyDescent="0.35">
      <c r="B1232" s="183"/>
    </row>
    <row r="1233" spans="2:2" ht="15.5" x14ac:dyDescent="0.35">
      <c r="B1233" s="183"/>
    </row>
    <row r="1234" spans="2:2" ht="15.5" x14ac:dyDescent="0.35">
      <c r="B1234" s="183"/>
    </row>
    <row r="1235" spans="2:2" ht="15.5" x14ac:dyDescent="0.35">
      <c r="B1235" s="183"/>
    </row>
    <row r="1236" spans="2:2" ht="15.5" x14ac:dyDescent="0.35">
      <c r="B1236" s="183"/>
    </row>
    <row r="1237" spans="2:2" ht="15.5" x14ac:dyDescent="0.35">
      <c r="B1237" s="183"/>
    </row>
    <row r="1238" spans="2:2" ht="15.5" x14ac:dyDescent="0.35">
      <c r="B1238" s="183"/>
    </row>
    <row r="1239" spans="2:2" ht="15.5" x14ac:dyDescent="0.35">
      <c r="B1239" s="183"/>
    </row>
    <row r="1240" spans="2:2" ht="15.5" x14ac:dyDescent="0.35">
      <c r="B1240" s="183"/>
    </row>
    <row r="1241" spans="2:2" ht="15.5" x14ac:dyDescent="0.35">
      <c r="B1241" s="183"/>
    </row>
    <row r="1242" spans="2:2" ht="15.5" x14ac:dyDescent="0.35">
      <c r="B1242" s="183"/>
    </row>
    <row r="1243" spans="2:2" ht="15.5" x14ac:dyDescent="0.35">
      <c r="B1243" s="183"/>
    </row>
    <row r="1244" spans="2:2" ht="15.5" x14ac:dyDescent="0.35">
      <c r="B1244" s="183"/>
    </row>
    <row r="1245" spans="2:2" ht="15.5" x14ac:dyDescent="0.35">
      <c r="B1245" s="183"/>
    </row>
    <row r="1246" spans="2:2" ht="15.5" x14ac:dyDescent="0.35">
      <c r="B1246" s="183"/>
    </row>
    <row r="1247" spans="2:2" ht="15.5" x14ac:dyDescent="0.35">
      <c r="B1247" s="183"/>
    </row>
    <row r="1248" spans="2:2" ht="15.5" x14ac:dyDescent="0.35">
      <c r="B1248" s="183"/>
    </row>
    <row r="1249" spans="2:2" ht="15.5" x14ac:dyDescent="0.35">
      <c r="B1249" s="183"/>
    </row>
    <row r="1250" spans="2:2" ht="15.5" x14ac:dyDescent="0.35">
      <c r="B1250" s="183"/>
    </row>
    <row r="1251" spans="2:2" ht="15.5" x14ac:dyDescent="0.35">
      <c r="B1251" s="183"/>
    </row>
    <row r="1252" spans="2:2" ht="15.5" x14ac:dyDescent="0.35">
      <c r="B1252" s="183"/>
    </row>
    <row r="1253" spans="2:2" ht="15.5" x14ac:dyDescent="0.35">
      <c r="B1253" s="183"/>
    </row>
    <row r="1254" spans="2:2" ht="15.5" x14ac:dyDescent="0.35">
      <c r="B1254" s="183"/>
    </row>
    <row r="1255" spans="2:2" ht="15.5" x14ac:dyDescent="0.35">
      <c r="B1255" s="183"/>
    </row>
    <row r="1256" spans="2:2" ht="15.5" x14ac:dyDescent="0.35">
      <c r="B1256" s="183"/>
    </row>
    <row r="1257" spans="2:2" ht="15.5" x14ac:dyDescent="0.35">
      <c r="B1257" s="183"/>
    </row>
    <row r="1258" spans="2:2" ht="15.5" x14ac:dyDescent="0.35">
      <c r="B1258" s="183"/>
    </row>
    <row r="1259" spans="2:2" ht="15.5" x14ac:dyDescent="0.35">
      <c r="B1259" s="183"/>
    </row>
    <row r="1260" spans="2:2" ht="15.5" x14ac:dyDescent="0.35">
      <c r="B1260" s="183"/>
    </row>
    <row r="1261" spans="2:2" ht="15.5" x14ac:dyDescent="0.35">
      <c r="B1261" s="183"/>
    </row>
    <row r="1262" spans="2:2" ht="15.5" x14ac:dyDescent="0.35">
      <c r="B1262" s="183"/>
    </row>
    <row r="1263" spans="2:2" ht="15.5" x14ac:dyDescent="0.35">
      <c r="B1263" s="183"/>
    </row>
    <row r="1264" spans="2:2" ht="15.5" x14ac:dyDescent="0.35">
      <c r="B1264" s="183"/>
    </row>
    <row r="1265" spans="2:2" ht="15.5" x14ac:dyDescent="0.35">
      <c r="B1265" s="183"/>
    </row>
    <row r="1266" spans="2:2" ht="15.5" x14ac:dyDescent="0.35">
      <c r="B1266" s="183"/>
    </row>
    <row r="1267" spans="2:2" ht="15.5" x14ac:dyDescent="0.35">
      <c r="B1267" s="183"/>
    </row>
    <row r="1268" spans="2:2" ht="15.5" x14ac:dyDescent="0.35">
      <c r="B1268" s="183"/>
    </row>
    <row r="1269" spans="2:2" ht="15.5" x14ac:dyDescent="0.35">
      <c r="B1269" s="183"/>
    </row>
    <row r="1270" spans="2:2" ht="15.5" x14ac:dyDescent="0.35">
      <c r="B1270" s="183"/>
    </row>
    <row r="1271" spans="2:2" ht="15.5" x14ac:dyDescent="0.35">
      <c r="B1271" s="183"/>
    </row>
    <row r="1272" spans="2:2" ht="15.5" x14ac:dyDescent="0.35">
      <c r="B1272" s="183"/>
    </row>
    <row r="1273" spans="2:2" ht="15.5" x14ac:dyDescent="0.35">
      <c r="B1273" s="183"/>
    </row>
    <row r="1274" spans="2:2" ht="15.5" x14ac:dyDescent="0.35">
      <c r="B1274" s="183"/>
    </row>
    <row r="1275" spans="2:2" ht="15.5" x14ac:dyDescent="0.35">
      <c r="B1275" s="183"/>
    </row>
    <row r="1276" spans="2:2" ht="15.5" x14ac:dyDescent="0.35">
      <c r="B1276" s="183"/>
    </row>
    <row r="1277" spans="2:2" ht="15.5" x14ac:dyDescent="0.35">
      <c r="B1277" s="183"/>
    </row>
    <row r="1278" spans="2:2" ht="15.5" x14ac:dyDescent="0.35">
      <c r="B1278" s="183"/>
    </row>
    <row r="1279" spans="2:2" ht="15.5" x14ac:dyDescent="0.35">
      <c r="B1279" s="183"/>
    </row>
    <row r="1280" spans="2:2" ht="15.5" x14ac:dyDescent="0.35">
      <c r="B1280" s="183"/>
    </row>
    <row r="1281" spans="2:2" ht="15.5" x14ac:dyDescent="0.35">
      <c r="B1281" s="183"/>
    </row>
    <row r="1282" spans="2:2" ht="15.5" x14ac:dyDescent="0.35">
      <c r="B1282" s="183"/>
    </row>
    <row r="1283" spans="2:2" ht="15.5" x14ac:dyDescent="0.35">
      <c r="B1283" s="183"/>
    </row>
    <row r="1284" spans="2:2" ht="15.5" x14ac:dyDescent="0.35">
      <c r="B1284" s="183"/>
    </row>
    <row r="1285" spans="2:2" ht="15.5" x14ac:dyDescent="0.35">
      <c r="B1285" s="183"/>
    </row>
    <row r="1286" spans="2:2" ht="15.5" x14ac:dyDescent="0.35">
      <c r="B1286" s="183"/>
    </row>
    <row r="1287" spans="2:2" ht="15.5" x14ac:dyDescent="0.35">
      <c r="B1287" s="183"/>
    </row>
    <row r="1288" spans="2:2" ht="15.5" x14ac:dyDescent="0.35">
      <c r="B1288" s="183"/>
    </row>
    <row r="1289" spans="2:2" ht="15.5" x14ac:dyDescent="0.35">
      <c r="B1289" s="183"/>
    </row>
    <row r="1290" spans="2:2" ht="15.5" x14ac:dyDescent="0.35">
      <c r="B1290" s="183"/>
    </row>
    <row r="1291" spans="2:2" ht="15.5" x14ac:dyDescent="0.35">
      <c r="B1291" s="183"/>
    </row>
    <row r="1292" spans="2:2" ht="15.5" x14ac:dyDescent="0.35">
      <c r="B1292" s="183"/>
    </row>
    <row r="1293" spans="2:2" ht="15.5" x14ac:dyDescent="0.35">
      <c r="B1293" s="183"/>
    </row>
    <row r="1294" spans="2:2" ht="15.5" x14ac:dyDescent="0.35">
      <c r="B1294" s="183"/>
    </row>
    <row r="1295" spans="2:2" ht="15.5" x14ac:dyDescent="0.35">
      <c r="B1295" s="183"/>
    </row>
    <row r="1296" spans="2:2" ht="15.5" x14ac:dyDescent="0.35">
      <c r="B1296" s="183"/>
    </row>
    <row r="1297" spans="2:2" ht="15.5" x14ac:dyDescent="0.35">
      <c r="B1297" s="183"/>
    </row>
    <row r="1298" spans="2:2" ht="15.5" x14ac:dyDescent="0.35">
      <c r="B1298" s="183"/>
    </row>
    <row r="1299" spans="2:2" ht="15.5" x14ac:dyDescent="0.35">
      <c r="B1299" s="183"/>
    </row>
    <row r="1300" spans="2:2" ht="15.5" x14ac:dyDescent="0.35">
      <c r="B1300" s="183"/>
    </row>
    <row r="1301" spans="2:2" ht="15.5" x14ac:dyDescent="0.35">
      <c r="B1301" s="183"/>
    </row>
    <row r="1302" spans="2:2" ht="15.5" x14ac:dyDescent="0.35">
      <c r="B1302" s="183"/>
    </row>
    <row r="1303" spans="2:2" ht="15.5" x14ac:dyDescent="0.35">
      <c r="B1303" s="183"/>
    </row>
    <row r="1304" spans="2:2" ht="15.5" x14ac:dyDescent="0.35">
      <c r="B1304" s="183"/>
    </row>
    <row r="1305" spans="2:2" ht="15.5" x14ac:dyDescent="0.35">
      <c r="B1305" s="183"/>
    </row>
    <row r="1306" spans="2:2" ht="15.5" x14ac:dyDescent="0.35">
      <c r="B1306" s="183"/>
    </row>
    <row r="1307" spans="2:2" ht="15.5" x14ac:dyDescent="0.35">
      <c r="B1307" s="183"/>
    </row>
    <row r="1308" spans="2:2" ht="15.5" x14ac:dyDescent="0.35">
      <c r="B1308" s="183"/>
    </row>
    <row r="1309" spans="2:2" ht="15.5" x14ac:dyDescent="0.35">
      <c r="B1309" s="183"/>
    </row>
    <row r="1310" spans="2:2" ht="15.5" x14ac:dyDescent="0.35">
      <c r="B1310" s="183"/>
    </row>
    <row r="1311" spans="2:2" ht="15.5" x14ac:dyDescent="0.35">
      <c r="B1311" s="183"/>
    </row>
    <row r="1312" spans="2:2" ht="15.5" x14ac:dyDescent="0.35">
      <c r="B1312" s="183"/>
    </row>
    <row r="1313" spans="2:2" ht="15.5" x14ac:dyDescent="0.35">
      <c r="B1313" s="183"/>
    </row>
    <row r="1314" spans="2:2" ht="15.5" x14ac:dyDescent="0.35">
      <c r="B1314" s="183"/>
    </row>
    <row r="1315" spans="2:2" ht="15.5" x14ac:dyDescent="0.35">
      <c r="B1315" s="183"/>
    </row>
    <row r="1316" spans="2:2" ht="15.5" x14ac:dyDescent="0.35">
      <c r="B1316" s="183"/>
    </row>
    <row r="1317" spans="2:2" ht="15.5" x14ac:dyDescent="0.35">
      <c r="B1317" s="183"/>
    </row>
    <row r="1318" spans="2:2" ht="15.5" x14ac:dyDescent="0.35">
      <c r="B1318" s="183"/>
    </row>
    <row r="1319" spans="2:2" ht="15.5" x14ac:dyDescent="0.35">
      <c r="B1319" s="183"/>
    </row>
    <row r="1320" spans="2:2" ht="15.5" x14ac:dyDescent="0.35">
      <c r="B1320" s="183"/>
    </row>
    <row r="1321" spans="2:2" ht="15.5" x14ac:dyDescent="0.35">
      <c r="B1321" s="183"/>
    </row>
    <row r="1322" spans="2:2" ht="15.5" x14ac:dyDescent="0.35">
      <c r="B1322" s="183"/>
    </row>
    <row r="1323" spans="2:2" ht="15.5" x14ac:dyDescent="0.35">
      <c r="B1323" s="183"/>
    </row>
    <row r="1324" spans="2:2" ht="15.5" x14ac:dyDescent="0.35">
      <c r="B1324" s="183"/>
    </row>
    <row r="1325" spans="2:2" ht="15.5" x14ac:dyDescent="0.35">
      <c r="B1325" s="183"/>
    </row>
    <row r="1326" spans="2:2" ht="15.5" x14ac:dyDescent="0.35">
      <c r="B1326" s="183"/>
    </row>
    <row r="1327" spans="2:2" ht="15.5" x14ac:dyDescent="0.35">
      <c r="B1327" s="183"/>
    </row>
    <row r="1328" spans="2:2" ht="15.5" x14ac:dyDescent="0.35">
      <c r="B1328" s="183"/>
    </row>
    <row r="1329" spans="2:2" ht="15.5" x14ac:dyDescent="0.35">
      <c r="B1329" s="183"/>
    </row>
    <row r="1330" spans="2:2" ht="15.5" x14ac:dyDescent="0.35">
      <c r="B1330" s="183"/>
    </row>
    <row r="1331" spans="2:2" ht="15.5" x14ac:dyDescent="0.35">
      <c r="B1331" s="183"/>
    </row>
    <row r="1332" spans="2:2" ht="15.5" x14ac:dyDescent="0.35">
      <c r="B1332" s="183"/>
    </row>
    <row r="1333" spans="2:2" ht="15.5" x14ac:dyDescent="0.35">
      <c r="B1333" s="183"/>
    </row>
    <row r="1334" spans="2:2" ht="15.5" x14ac:dyDescent="0.35">
      <c r="B1334" s="183"/>
    </row>
    <row r="1335" spans="2:2" ht="15.5" x14ac:dyDescent="0.35">
      <c r="B1335" s="183"/>
    </row>
    <row r="1336" spans="2:2" ht="15.5" x14ac:dyDescent="0.35">
      <c r="B1336" s="183"/>
    </row>
    <row r="1337" spans="2:2" ht="15.5" x14ac:dyDescent="0.35">
      <c r="B1337" s="183"/>
    </row>
    <row r="1338" spans="2:2" ht="15.5" x14ac:dyDescent="0.35">
      <c r="B1338" s="183"/>
    </row>
    <row r="1339" spans="2:2" ht="15.5" x14ac:dyDescent="0.35">
      <c r="B1339" s="183"/>
    </row>
    <row r="1340" spans="2:2" ht="15.5" x14ac:dyDescent="0.35">
      <c r="B1340" s="183"/>
    </row>
    <row r="1341" spans="2:2" ht="15.5" x14ac:dyDescent="0.35">
      <c r="B1341" s="183"/>
    </row>
    <row r="1342" spans="2:2" ht="15.5" x14ac:dyDescent="0.35">
      <c r="B1342" s="183"/>
    </row>
    <row r="1343" spans="2:2" ht="15.5" x14ac:dyDescent="0.35">
      <c r="B1343" s="183"/>
    </row>
    <row r="1344" spans="2:2" ht="15.5" x14ac:dyDescent="0.35">
      <c r="B1344" s="183"/>
    </row>
    <row r="1345" spans="2:2" ht="15.5" x14ac:dyDescent="0.35">
      <c r="B1345" s="183"/>
    </row>
    <row r="1346" spans="2:2" ht="15.5" x14ac:dyDescent="0.35">
      <c r="B1346" s="183"/>
    </row>
    <row r="1347" spans="2:2" ht="15.5" x14ac:dyDescent="0.35">
      <c r="B1347" s="183"/>
    </row>
    <row r="1348" spans="2:2" ht="15.5" x14ac:dyDescent="0.35">
      <c r="B1348" s="183"/>
    </row>
    <row r="1349" spans="2:2" ht="15.5" x14ac:dyDescent="0.35">
      <c r="B1349" s="183"/>
    </row>
    <row r="1350" spans="2:2" ht="15.5" x14ac:dyDescent="0.35">
      <c r="B1350" s="183"/>
    </row>
    <row r="1351" spans="2:2" ht="15.5" x14ac:dyDescent="0.35">
      <c r="B1351" s="183"/>
    </row>
    <row r="1352" spans="2:2" ht="15.5" x14ac:dyDescent="0.35">
      <c r="B1352" s="183"/>
    </row>
    <row r="1353" spans="2:2" ht="15.5" x14ac:dyDescent="0.35">
      <c r="B1353" s="183"/>
    </row>
    <row r="1354" spans="2:2" ht="15.5" x14ac:dyDescent="0.35">
      <c r="B1354" s="183"/>
    </row>
    <row r="1355" spans="2:2" ht="15.5" x14ac:dyDescent="0.35">
      <c r="B1355" s="183"/>
    </row>
    <row r="1356" spans="2:2" ht="15.5" x14ac:dyDescent="0.35">
      <c r="B1356" s="183"/>
    </row>
    <row r="1357" spans="2:2" ht="15.5" x14ac:dyDescent="0.35">
      <c r="B1357" s="183"/>
    </row>
    <row r="1358" spans="2:2" ht="15.5" x14ac:dyDescent="0.35">
      <c r="B1358" s="183"/>
    </row>
    <row r="1359" spans="2:2" ht="15.5" x14ac:dyDescent="0.35">
      <c r="B1359" s="183"/>
    </row>
    <row r="1360" spans="2:2" ht="15.5" x14ac:dyDescent="0.35">
      <c r="B1360" s="183"/>
    </row>
    <row r="1361" spans="2:2" ht="15.5" x14ac:dyDescent="0.35">
      <c r="B1361" s="183"/>
    </row>
    <row r="1362" spans="2:2" ht="15.5" x14ac:dyDescent="0.35">
      <c r="B1362" s="183"/>
    </row>
    <row r="1363" spans="2:2" ht="15.5" x14ac:dyDescent="0.35">
      <c r="B1363" s="183"/>
    </row>
    <row r="1364" spans="2:2" ht="15.5" x14ac:dyDescent="0.35">
      <c r="B1364" s="183"/>
    </row>
    <row r="1365" spans="2:2" ht="15.5" x14ac:dyDescent="0.35">
      <c r="B1365" s="183"/>
    </row>
    <row r="1366" spans="2:2" ht="15.5" x14ac:dyDescent="0.35">
      <c r="B1366" s="183"/>
    </row>
    <row r="1367" spans="2:2" ht="15.5" x14ac:dyDescent="0.35">
      <c r="B1367" s="183"/>
    </row>
    <row r="1368" spans="2:2" ht="15.5" x14ac:dyDescent="0.35">
      <c r="B1368" s="183"/>
    </row>
    <row r="1369" spans="2:2" ht="15.5" x14ac:dyDescent="0.35">
      <c r="B1369" s="183"/>
    </row>
    <row r="1370" spans="2:2" ht="15.5" x14ac:dyDescent="0.35">
      <c r="B1370" s="183"/>
    </row>
    <row r="1371" spans="2:2" ht="15.5" x14ac:dyDescent="0.35">
      <c r="B1371" s="183"/>
    </row>
    <row r="1372" spans="2:2" ht="15.5" x14ac:dyDescent="0.35">
      <c r="B1372" s="183"/>
    </row>
    <row r="1373" spans="2:2" ht="15.5" x14ac:dyDescent="0.35">
      <c r="B1373" s="183"/>
    </row>
    <row r="1374" spans="2:2" ht="15.5" x14ac:dyDescent="0.35">
      <c r="B1374" s="183"/>
    </row>
    <row r="1375" spans="2:2" ht="15.5" x14ac:dyDescent="0.35">
      <c r="B1375" s="183"/>
    </row>
    <row r="1376" spans="2:2" ht="15.5" x14ac:dyDescent="0.35">
      <c r="B1376" s="183"/>
    </row>
    <row r="1377" spans="2:2" ht="15.5" x14ac:dyDescent="0.35">
      <c r="B1377" s="183"/>
    </row>
    <row r="1378" spans="2:2" ht="15.5" x14ac:dyDescent="0.35">
      <c r="B1378" s="183"/>
    </row>
    <row r="1379" spans="2:2" ht="15.5" x14ac:dyDescent="0.35">
      <c r="B1379" s="183"/>
    </row>
    <row r="1380" spans="2:2" ht="15.5" x14ac:dyDescent="0.35">
      <c r="B1380" s="183"/>
    </row>
    <row r="1381" spans="2:2" ht="15.5" x14ac:dyDescent="0.35">
      <c r="B1381" s="183"/>
    </row>
    <row r="1382" spans="2:2" ht="15.5" x14ac:dyDescent="0.35">
      <c r="B1382" s="183"/>
    </row>
    <row r="1383" spans="2:2" ht="15.5" x14ac:dyDescent="0.35">
      <c r="B1383" s="183"/>
    </row>
    <row r="1384" spans="2:2" ht="15.5" x14ac:dyDescent="0.35">
      <c r="B1384" s="183"/>
    </row>
    <row r="1385" spans="2:2" ht="15.5" x14ac:dyDescent="0.35">
      <c r="B1385" s="183"/>
    </row>
    <row r="1386" spans="2:2" ht="15.5" x14ac:dyDescent="0.35">
      <c r="B1386" s="183"/>
    </row>
    <row r="1387" spans="2:2" ht="15.5" x14ac:dyDescent="0.35">
      <c r="B1387" s="183"/>
    </row>
    <row r="1388" spans="2:2" ht="15.5" x14ac:dyDescent="0.35">
      <c r="B1388" s="183"/>
    </row>
    <row r="1389" spans="2:2" ht="15.5" x14ac:dyDescent="0.35">
      <c r="B1389" s="183"/>
    </row>
    <row r="1390" spans="2:2" ht="15.5" x14ac:dyDescent="0.35">
      <c r="B1390" s="183"/>
    </row>
    <row r="1391" spans="2:2" ht="15.5" x14ac:dyDescent="0.35">
      <c r="B1391" s="183"/>
    </row>
    <row r="1392" spans="2:2" ht="15.5" x14ac:dyDescent="0.35">
      <c r="B1392" s="183"/>
    </row>
    <row r="1393" spans="2:2" ht="15.5" x14ac:dyDescent="0.35">
      <c r="B1393" s="183"/>
    </row>
    <row r="1394" spans="2:2" ht="15.5" x14ac:dyDescent="0.35">
      <c r="B1394" s="183"/>
    </row>
    <row r="1395" spans="2:2" ht="15.5" x14ac:dyDescent="0.35">
      <c r="B1395" s="183"/>
    </row>
    <row r="1396" spans="2:2" ht="15.5" x14ac:dyDescent="0.35">
      <c r="B1396" s="183"/>
    </row>
    <row r="1397" spans="2:2" ht="15.5" x14ac:dyDescent="0.35">
      <c r="B1397" s="183"/>
    </row>
    <row r="1398" spans="2:2" ht="15.5" x14ac:dyDescent="0.35">
      <c r="B1398" s="183"/>
    </row>
    <row r="1399" spans="2:2" ht="15.5" x14ac:dyDescent="0.35">
      <c r="B1399" s="183"/>
    </row>
    <row r="1400" spans="2:2" ht="15.5" x14ac:dyDescent="0.35">
      <c r="B1400" s="183"/>
    </row>
    <row r="1401" spans="2:2" ht="15.5" x14ac:dyDescent="0.35">
      <c r="B1401" s="183"/>
    </row>
    <row r="1402" spans="2:2" ht="15.5" x14ac:dyDescent="0.35">
      <c r="B1402" s="183"/>
    </row>
    <row r="1403" spans="2:2" ht="15.5" x14ac:dyDescent="0.35">
      <c r="B1403" s="183"/>
    </row>
    <row r="1404" spans="2:2" ht="15.5" x14ac:dyDescent="0.35">
      <c r="B1404" s="183"/>
    </row>
    <row r="1405" spans="2:2" ht="15.5" x14ac:dyDescent="0.35">
      <c r="B1405" s="183"/>
    </row>
    <row r="1406" spans="2:2" ht="15.5" x14ac:dyDescent="0.35">
      <c r="B1406" s="183"/>
    </row>
    <row r="1407" spans="2:2" ht="15.5" x14ac:dyDescent="0.35">
      <c r="B1407" s="183"/>
    </row>
    <row r="1408" spans="2:2" ht="15.5" x14ac:dyDescent="0.35">
      <c r="B1408" s="183"/>
    </row>
    <row r="1409" spans="2:2" ht="15.5" x14ac:dyDescent="0.35">
      <c r="B1409" s="183"/>
    </row>
    <row r="1410" spans="2:2" ht="15.5" x14ac:dyDescent="0.35">
      <c r="B1410" s="183"/>
    </row>
    <row r="1411" spans="2:2" ht="15.5" x14ac:dyDescent="0.35">
      <c r="B1411" s="183"/>
    </row>
    <row r="1412" spans="2:2" ht="15.5" x14ac:dyDescent="0.35">
      <c r="B1412" s="183"/>
    </row>
    <row r="1413" spans="2:2" ht="15.5" x14ac:dyDescent="0.35">
      <c r="B1413" s="183"/>
    </row>
    <row r="1414" spans="2:2" ht="15.5" x14ac:dyDescent="0.35">
      <c r="B1414" s="183"/>
    </row>
    <row r="1415" spans="2:2" ht="15.5" x14ac:dyDescent="0.35">
      <c r="B1415" s="183"/>
    </row>
    <row r="1416" spans="2:2" ht="15.5" x14ac:dyDescent="0.35">
      <c r="B1416" s="183"/>
    </row>
    <row r="1417" spans="2:2" ht="15.5" x14ac:dyDescent="0.35">
      <c r="B1417" s="183"/>
    </row>
    <row r="1418" spans="2:2" ht="15.5" x14ac:dyDescent="0.35">
      <c r="B1418" s="183"/>
    </row>
    <row r="1419" spans="2:2" ht="15.5" x14ac:dyDescent="0.35">
      <c r="B1419" s="183"/>
    </row>
    <row r="1420" spans="2:2" ht="15.5" x14ac:dyDescent="0.35">
      <c r="B1420" s="183"/>
    </row>
    <row r="1421" spans="2:2" ht="15.5" x14ac:dyDescent="0.35">
      <c r="B1421" s="183"/>
    </row>
    <row r="1422" spans="2:2" ht="15.5" x14ac:dyDescent="0.35">
      <c r="B1422" s="183"/>
    </row>
    <row r="1423" spans="2:2" ht="15.5" x14ac:dyDescent="0.35">
      <c r="B1423" s="183"/>
    </row>
    <row r="1424" spans="2:2" ht="15.5" x14ac:dyDescent="0.35">
      <c r="B1424" s="183"/>
    </row>
    <row r="1425" spans="2:2" ht="15.5" x14ac:dyDescent="0.35">
      <c r="B1425" s="183"/>
    </row>
    <row r="1426" spans="2:2" ht="15.5" x14ac:dyDescent="0.35">
      <c r="B1426" s="183"/>
    </row>
    <row r="1427" spans="2:2" ht="15.5" x14ac:dyDescent="0.35">
      <c r="B1427" s="183"/>
    </row>
    <row r="1428" spans="2:2" ht="15.5" x14ac:dyDescent="0.35">
      <c r="B1428" s="183"/>
    </row>
    <row r="1429" spans="2:2" ht="15.5" x14ac:dyDescent="0.35">
      <c r="B1429" s="183"/>
    </row>
    <row r="1430" spans="2:2" ht="15.5" x14ac:dyDescent="0.35">
      <c r="B1430" s="183"/>
    </row>
    <row r="1431" spans="2:2" ht="15.5" x14ac:dyDescent="0.35">
      <c r="B1431" s="183"/>
    </row>
    <row r="1432" spans="2:2" ht="15.5" x14ac:dyDescent="0.35">
      <c r="B1432" s="183"/>
    </row>
    <row r="1433" spans="2:2" ht="15.5" x14ac:dyDescent="0.35">
      <c r="B1433" s="183"/>
    </row>
    <row r="1434" spans="2:2" ht="15.5" x14ac:dyDescent="0.35">
      <c r="B1434" s="183"/>
    </row>
    <row r="1435" spans="2:2" ht="15.5" x14ac:dyDescent="0.35">
      <c r="B1435" s="183"/>
    </row>
    <row r="1436" spans="2:2" ht="15.5" x14ac:dyDescent="0.35">
      <c r="B1436" s="183"/>
    </row>
    <row r="1437" spans="2:2" ht="15.5" x14ac:dyDescent="0.35">
      <c r="B1437" s="183"/>
    </row>
    <row r="1438" spans="2:2" ht="15.5" x14ac:dyDescent="0.35">
      <c r="B1438" s="183"/>
    </row>
    <row r="1439" spans="2:2" ht="15.5" x14ac:dyDescent="0.35">
      <c r="B1439" s="183"/>
    </row>
    <row r="1440" spans="2:2" ht="15.5" x14ac:dyDescent="0.35">
      <c r="B1440" s="183"/>
    </row>
    <row r="1441" spans="2:2" ht="15.5" x14ac:dyDescent="0.35">
      <c r="B1441" s="183"/>
    </row>
    <row r="1442" spans="2:2" ht="15.5" x14ac:dyDescent="0.35">
      <c r="B1442" s="183"/>
    </row>
    <row r="1443" spans="2:2" ht="15.5" x14ac:dyDescent="0.35">
      <c r="B1443" s="183"/>
    </row>
    <row r="1444" spans="2:2" ht="15.5" x14ac:dyDescent="0.35">
      <c r="B1444" s="183"/>
    </row>
    <row r="1445" spans="2:2" ht="15.5" x14ac:dyDescent="0.35">
      <c r="B1445" s="183"/>
    </row>
    <row r="1446" spans="2:2" ht="15.5" x14ac:dyDescent="0.35">
      <c r="B1446" s="183"/>
    </row>
    <row r="1447" spans="2:2" ht="15.5" x14ac:dyDescent="0.35">
      <c r="B1447" s="183"/>
    </row>
    <row r="1448" spans="2:2" ht="15.5" x14ac:dyDescent="0.35">
      <c r="B1448" s="183"/>
    </row>
    <row r="1449" spans="2:2" ht="15.5" x14ac:dyDescent="0.35">
      <c r="B1449" s="183"/>
    </row>
    <row r="1450" spans="2:2" ht="15.5" x14ac:dyDescent="0.35">
      <c r="B1450" s="183"/>
    </row>
    <row r="1451" spans="2:2" ht="15.5" x14ac:dyDescent="0.35">
      <c r="B1451" s="183"/>
    </row>
    <row r="1452" spans="2:2" ht="15.5" x14ac:dyDescent="0.35">
      <c r="B1452" s="183"/>
    </row>
    <row r="1453" spans="2:2" ht="15.5" x14ac:dyDescent="0.35">
      <c r="B1453" s="183"/>
    </row>
    <row r="1454" spans="2:2" ht="15.5" x14ac:dyDescent="0.35">
      <c r="B1454" s="183"/>
    </row>
    <row r="1455" spans="2:2" ht="15.5" x14ac:dyDescent="0.35">
      <c r="B1455" s="183"/>
    </row>
    <row r="1456" spans="2:2" ht="15.5" x14ac:dyDescent="0.35">
      <c r="B1456" s="183"/>
    </row>
    <row r="1457" spans="2:2" ht="15.5" x14ac:dyDescent="0.35">
      <c r="B1457" s="183"/>
    </row>
    <row r="1458" spans="2:2" ht="15.5" x14ac:dyDescent="0.35">
      <c r="B1458" s="183"/>
    </row>
    <row r="1459" spans="2:2" ht="15.5" x14ac:dyDescent="0.35">
      <c r="B1459" s="183"/>
    </row>
    <row r="1460" spans="2:2" ht="15.5" x14ac:dyDescent="0.35">
      <c r="B1460" s="183"/>
    </row>
    <row r="1461" spans="2:2" ht="15.5" x14ac:dyDescent="0.35">
      <c r="B1461" s="183"/>
    </row>
    <row r="1462" spans="2:2" ht="15.5" x14ac:dyDescent="0.35">
      <c r="B1462" s="183"/>
    </row>
    <row r="1463" spans="2:2" ht="15.5" x14ac:dyDescent="0.35">
      <c r="B1463" s="183"/>
    </row>
    <row r="1464" spans="2:2" ht="15.5" x14ac:dyDescent="0.35">
      <c r="B1464" s="183"/>
    </row>
    <row r="1465" spans="2:2" ht="15.5" x14ac:dyDescent="0.35">
      <c r="B1465" s="183"/>
    </row>
    <row r="1466" spans="2:2" ht="15.5" x14ac:dyDescent="0.35">
      <c r="B1466" s="183"/>
    </row>
    <row r="1467" spans="2:2" ht="15.5" x14ac:dyDescent="0.35">
      <c r="B1467" s="183"/>
    </row>
    <row r="1468" spans="2:2" ht="15.5" x14ac:dyDescent="0.35">
      <c r="B1468" s="183"/>
    </row>
    <row r="1469" spans="2:2" ht="15.5" x14ac:dyDescent="0.35">
      <c r="B1469" s="183"/>
    </row>
    <row r="1470" spans="2:2" ht="15.5" x14ac:dyDescent="0.35">
      <c r="B1470" s="183"/>
    </row>
    <row r="1471" spans="2:2" ht="15.5" x14ac:dyDescent="0.35">
      <c r="B1471" s="183"/>
    </row>
    <row r="1472" spans="2:2" ht="15.5" x14ac:dyDescent="0.35">
      <c r="B1472" s="183"/>
    </row>
    <row r="1473" spans="2:2" ht="15.5" x14ac:dyDescent="0.35">
      <c r="B1473" s="183"/>
    </row>
    <row r="1474" spans="2:2" ht="15.5" x14ac:dyDescent="0.35">
      <c r="B1474" s="183"/>
    </row>
    <row r="1475" spans="2:2" ht="15.5" x14ac:dyDescent="0.35">
      <c r="B1475" s="183"/>
    </row>
    <row r="1476" spans="2:2" ht="15.5" x14ac:dyDescent="0.35">
      <c r="B1476" s="183"/>
    </row>
    <row r="1477" spans="2:2" ht="15.5" x14ac:dyDescent="0.35">
      <c r="B1477" s="183"/>
    </row>
    <row r="1478" spans="2:2" ht="15.5" x14ac:dyDescent="0.35">
      <c r="B1478" s="183"/>
    </row>
    <row r="1479" spans="2:2" ht="15.5" x14ac:dyDescent="0.35">
      <c r="B1479" s="183"/>
    </row>
    <row r="1480" spans="2:2" ht="15.5" x14ac:dyDescent="0.35">
      <c r="B1480" s="183"/>
    </row>
    <row r="1481" spans="2:2" ht="15.5" x14ac:dyDescent="0.35">
      <c r="B1481" s="183"/>
    </row>
    <row r="1482" spans="2:2" ht="15.5" x14ac:dyDescent="0.35">
      <c r="B1482" s="183"/>
    </row>
    <row r="1483" spans="2:2" ht="15.5" x14ac:dyDescent="0.35">
      <c r="B1483" s="183"/>
    </row>
    <row r="1484" spans="2:2" ht="15.5" x14ac:dyDescent="0.35">
      <c r="B1484" s="183"/>
    </row>
    <row r="1485" spans="2:2" ht="15.5" x14ac:dyDescent="0.35">
      <c r="B1485" s="183"/>
    </row>
    <row r="1486" spans="2:2" ht="15.5" x14ac:dyDescent="0.35">
      <c r="B1486" s="183"/>
    </row>
    <row r="1487" spans="2:2" ht="15.5" x14ac:dyDescent="0.35">
      <c r="B1487" s="183"/>
    </row>
    <row r="1488" spans="2:2" ht="15.5" x14ac:dyDescent="0.35">
      <c r="B1488" s="183"/>
    </row>
    <row r="1489" spans="2:2" ht="15.5" x14ac:dyDescent="0.35">
      <c r="B1489" s="183"/>
    </row>
    <row r="1490" spans="2:2" ht="15.5" x14ac:dyDescent="0.35">
      <c r="B1490" s="183"/>
    </row>
    <row r="1491" spans="2:2" ht="15.5" x14ac:dyDescent="0.35">
      <c r="B1491" s="183"/>
    </row>
    <row r="1492" spans="2:2" ht="15.5" x14ac:dyDescent="0.35">
      <c r="B1492" s="183"/>
    </row>
    <row r="1493" spans="2:2" ht="15.5" x14ac:dyDescent="0.35">
      <c r="B1493" s="183"/>
    </row>
    <row r="1494" spans="2:2" ht="15.5" x14ac:dyDescent="0.35">
      <c r="B1494" s="183"/>
    </row>
    <row r="1495" spans="2:2" ht="15.5" x14ac:dyDescent="0.35">
      <c r="B1495" s="183"/>
    </row>
    <row r="1496" spans="2:2" ht="15.5" x14ac:dyDescent="0.35">
      <c r="B1496" s="183"/>
    </row>
    <row r="1497" spans="2:2" ht="15.5" x14ac:dyDescent="0.35">
      <c r="B1497" s="183"/>
    </row>
    <row r="1498" spans="2:2" ht="15.5" x14ac:dyDescent="0.35">
      <c r="B1498" s="183"/>
    </row>
    <row r="1499" spans="2:2" ht="15.5" x14ac:dyDescent="0.35">
      <c r="B1499" s="183"/>
    </row>
    <row r="1500" spans="2:2" ht="15.5" x14ac:dyDescent="0.35">
      <c r="B1500" s="183"/>
    </row>
    <row r="1501" spans="2:2" ht="15.5" x14ac:dyDescent="0.35">
      <c r="B1501" s="183"/>
    </row>
    <row r="1502" spans="2:2" ht="15.5" x14ac:dyDescent="0.35">
      <c r="B1502" s="183"/>
    </row>
    <row r="1503" spans="2:2" ht="15.5" x14ac:dyDescent="0.35">
      <c r="B1503" s="183"/>
    </row>
    <row r="1504" spans="2:2" ht="15.5" x14ac:dyDescent="0.35">
      <c r="B1504" s="183"/>
    </row>
    <row r="1505" spans="2:2" ht="15.5" x14ac:dyDescent="0.35">
      <c r="B1505" s="183"/>
    </row>
    <row r="1506" spans="2:2" ht="15.5" x14ac:dyDescent="0.35">
      <c r="B1506" s="183"/>
    </row>
    <row r="1507" spans="2:2" ht="15.5" x14ac:dyDescent="0.35">
      <c r="B1507" s="183"/>
    </row>
    <row r="1508" spans="2:2" ht="15.5" x14ac:dyDescent="0.35">
      <c r="B1508" s="183"/>
    </row>
    <row r="1509" spans="2:2" ht="15.5" x14ac:dyDescent="0.35">
      <c r="B1509" s="183"/>
    </row>
    <row r="1510" spans="2:2" ht="15.5" x14ac:dyDescent="0.35">
      <c r="B1510" s="183"/>
    </row>
    <row r="1511" spans="2:2" ht="15.5" x14ac:dyDescent="0.35">
      <c r="B1511" s="183"/>
    </row>
    <row r="1512" spans="2:2" ht="15.5" x14ac:dyDescent="0.35">
      <c r="B1512" s="183"/>
    </row>
    <row r="1513" spans="2:2" ht="15.5" x14ac:dyDescent="0.35">
      <c r="B1513" s="183"/>
    </row>
    <row r="1514" spans="2:2" ht="15.5" x14ac:dyDescent="0.35">
      <c r="B1514" s="183"/>
    </row>
    <row r="1515" spans="2:2" ht="15.5" x14ac:dyDescent="0.35">
      <c r="B1515" s="183"/>
    </row>
    <row r="1516" spans="2:2" ht="15.5" x14ac:dyDescent="0.35">
      <c r="B1516" s="183"/>
    </row>
    <row r="1517" spans="2:2" ht="15.5" x14ac:dyDescent="0.35">
      <c r="B1517" s="183"/>
    </row>
    <row r="1518" spans="2:2" ht="15.5" x14ac:dyDescent="0.35">
      <c r="B1518" s="183"/>
    </row>
    <row r="1519" spans="2:2" ht="15.5" x14ac:dyDescent="0.35">
      <c r="B1519" s="183"/>
    </row>
    <row r="1520" spans="2:2" ht="15.5" x14ac:dyDescent="0.35">
      <c r="B1520" s="183"/>
    </row>
    <row r="1521" spans="2:2" ht="15.5" x14ac:dyDescent="0.35">
      <c r="B1521" s="183"/>
    </row>
    <row r="1522" spans="2:2" ht="15.5" x14ac:dyDescent="0.35">
      <c r="B1522" s="183"/>
    </row>
    <row r="1523" spans="2:2" ht="15.5" x14ac:dyDescent="0.35">
      <c r="B1523" s="183"/>
    </row>
    <row r="1524" spans="2:2" ht="15.5" x14ac:dyDescent="0.35">
      <c r="B1524" s="183"/>
    </row>
    <row r="1525" spans="2:2" ht="15.5" x14ac:dyDescent="0.35">
      <c r="B1525" s="183"/>
    </row>
    <row r="1526" spans="2:2" ht="15.5" x14ac:dyDescent="0.35">
      <c r="B1526" s="183"/>
    </row>
    <row r="1527" spans="2:2" ht="15.5" x14ac:dyDescent="0.35">
      <c r="B1527" s="183"/>
    </row>
    <row r="1528" spans="2:2" ht="15.5" x14ac:dyDescent="0.35">
      <c r="B1528" s="183"/>
    </row>
    <row r="1529" spans="2:2" ht="15.5" x14ac:dyDescent="0.35">
      <c r="B1529" s="183"/>
    </row>
    <row r="1530" spans="2:2" ht="15.5" x14ac:dyDescent="0.35">
      <c r="B1530" s="183"/>
    </row>
    <row r="1531" spans="2:2" ht="15.5" x14ac:dyDescent="0.35">
      <c r="B1531" s="183"/>
    </row>
    <row r="1532" spans="2:2" ht="15.5" x14ac:dyDescent="0.35">
      <c r="B1532" s="183"/>
    </row>
    <row r="1533" spans="2:2" ht="15.5" x14ac:dyDescent="0.35">
      <c r="B1533" s="183"/>
    </row>
    <row r="1534" spans="2:2" ht="15.5" x14ac:dyDescent="0.35">
      <c r="B1534" s="183"/>
    </row>
    <row r="1535" spans="2:2" ht="15.5" x14ac:dyDescent="0.35">
      <c r="B1535" s="183"/>
    </row>
    <row r="1536" spans="2:2" ht="15.5" x14ac:dyDescent="0.35">
      <c r="B1536" s="183"/>
    </row>
    <row r="1537" spans="2:2" ht="15.5" x14ac:dyDescent="0.35">
      <c r="B1537" s="183"/>
    </row>
    <row r="1538" spans="2:2" ht="15.5" x14ac:dyDescent="0.35">
      <c r="B1538" s="183"/>
    </row>
    <row r="1539" spans="2:2" ht="15.5" x14ac:dyDescent="0.35">
      <c r="B1539" s="183"/>
    </row>
    <row r="1540" spans="2:2" ht="15.5" x14ac:dyDescent="0.35">
      <c r="B1540" s="183"/>
    </row>
    <row r="1541" spans="2:2" ht="15.5" x14ac:dyDescent="0.35">
      <c r="B1541" s="183"/>
    </row>
    <row r="1542" spans="2:2" ht="15.5" x14ac:dyDescent="0.35">
      <c r="B1542" s="183"/>
    </row>
    <row r="1543" spans="2:2" ht="15.5" x14ac:dyDescent="0.35">
      <c r="B1543" s="183"/>
    </row>
    <row r="1544" spans="2:2" ht="15.5" x14ac:dyDescent="0.35">
      <c r="B1544" s="183"/>
    </row>
    <row r="1545" spans="2:2" ht="15.5" x14ac:dyDescent="0.35">
      <c r="B1545" s="183"/>
    </row>
    <row r="1546" spans="2:2" ht="15.5" x14ac:dyDescent="0.35">
      <c r="B1546" s="183"/>
    </row>
    <row r="1547" spans="2:2" ht="15.5" x14ac:dyDescent="0.35">
      <c r="B1547" s="183"/>
    </row>
    <row r="1548" spans="2:2" ht="15.5" x14ac:dyDescent="0.35">
      <c r="B1548" s="183"/>
    </row>
    <row r="1549" spans="2:2" ht="15.5" x14ac:dyDescent="0.35">
      <c r="B1549" s="183"/>
    </row>
    <row r="1550" spans="2:2" ht="15.5" x14ac:dyDescent="0.35">
      <c r="B1550" s="183"/>
    </row>
    <row r="1551" spans="2:2" ht="15.5" x14ac:dyDescent="0.35">
      <c r="B1551" s="183"/>
    </row>
    <row r="1552" spans="2:2" ht="15.5" x14ac:dyDescent="0.35">
      <c r="B1552" s="183"/>
    </row>
    <row r="1553" spans="2:2" ht="15.5" x14ac:dyDescent="0.35">
      <c r="B1553" s="183"/>
    </row>
    <row r="1554" spans="2:2" ht="15.5" x14ac:dyDescent="0.35">
      <c r="B1554" s="183"/>
    </row>
    <row r="1555" spans="2:2" ht="15.5" x14ac:dyDescent="0.35">
      <c r="B1555" s="183"/>
    </row>
    <row r="1556" spans="2:2" ht="15.5" x14ac:dyDescent="0.35">
      <c r="B1556" s="183"/>
    </row>
    <row r="1557" spans="2:2" ht="15.5" x14ac:dyDescent="0.35">
      <c r="B1557" s="183"/>
    </row>
    <row r="1558" spans="2:2" ht="15.5" x14ac:dyDescent="0.35">
      <c r="B1558" s="183"/>
    </row>
    <row r="1559" spans="2:2" ht="15.5" x14ac:dyDescent="0.35">
      <c r="B1559" s="183"/>
    </row>
    <row r="1560" spans="2:2" ht="15.5" x14ac:dyDescent="0.35">
      <c r="B1560" s="183"/>
    </row>
    <row r="1561" spans="2:2" ht="15.5" x14ac:dyDescent="0.35">
      <c r="B1561" s="183"/>
    </row>
    <row r="1562" spans="2:2" ht="15.5" x14ac:dyDescent="0.35">
      <c r="B1562" s="183"/>
    </row>
    <row r="1563" spans="2:2" ht="15.5" x14ac:dyDescent="0.35">
      <c r="B1563" s="183"/>
    </row>
    <row r="1564" spans="2:2" ht="15.5" x14ac:dyDescent="0.35">
      <c r="B1564" s="183"/>
    </row>
    <row r="1565" spans="2:2" ht="15.5" x14ac:dyDescent="0.35">
      <c r="B1565" s="183"/>
    </row>
    <row r="1566" spans="2:2" ht="15.5" x14ac:dyDescent="0.35">
      <c r="B1566" s="183"/>
    </row>
    <row r="1567" spans="2:2" ht="15.5" x14ac:dyDescent="0.35">
      <c r="B1567" s="183"/>
    </row>
    <row r="1568" spans="2:2" ht="15.5" x14ac:dyDescent="0.35">
      <c r="B1568" s="183"/>
    </row>
    <row r="1569" spans="2:2" ht="15.5" x14ac:dyDescent="0.35">
      <c r="B1569" s="183"/>
    </row>
    <row r="1570" spans="2:2" ht="15.5" x14ac:dyDescent="0.35">
      <c r="B1570" s="183"/>
    </row>
    <row r="1571" spans="2:2" ht="15.5" x14ac:dyDescent="0.35">
      <c r="B1571" s="183"/>
    </row>
    <row r="1572" spans="2:2" ht="15.5" x14ac:dyDescent="0.35">
      <c r="B1572" s="183"/>
    </row>
    <row r="1573" spans="2:2" ht="15.5" x14ac:dyDescent="0.35">
      <c r="B1573" s="183"/>
    </row>
    <row r="1574" spans="2:2" ht="15.5" x14ac:dyDescent="0.35">
      <c r="B1574" s="183"/>
    </row>
    <row r="1575" spans="2:2" ht="15.5" x14ac:dyDescent="0.35">
      <c r="B1575" s="183"/>
    </row>
    <row r="1576" spans="2:2" ht="15.5" x14ac:dyDescent="0.35">
      <c r="B1576" s="183"/>
    </row>
    <row r="1577" spans="2:2" ht="15.5" x14ac:dyDescent="0.35">
      <c r="B1577" s="183"/>
    </row>
    <row r="1578" spans="2:2" ht="15.5" x14ac:dyDescent="0.35">
      <c r="B1578" s="183"/>
    </row>
    <row r="1579" spans="2:2" ht="15.5" x14ac:dyDescent="0.35">
      <c r="B1579" s="183"/>
    </row>
    <row r="1580" spans="2:2" ht="15.5" x14ac:dyDescent="0.35">
      <c r="B1580" s="183"/>
    </row>
    <row r="1581" spans="2:2" ht="15.5" x14ac:dyDescent="0.35">
      <c r="B1581" s="183"/>
    </row>
    <row r="1582" spans="2:2" ht="15.5" x14ac:dyDescent="0.35">
      <c r="B1582" s="183"/>
    </row>
    <row r="1583" spans="2:2" ht="15.5" x14ac:dyDescent="0.35">
      <c r="B1583" s="183"/>
    </row>
    <row r="1584" spans="2:2" ht="15.5" x14ac:dyDescent="0.35">
      <c r="B1584" s="183"/>
    </row>
    <row r="1585" spans="2:2" ht="15.5" x14ac:dyDescent="0.35">
      <c r="B1585" s="183"/>
    </row>
    <row r="1586" spans="2:2" ht="15.5" x14ac:dyDescent="0.35">
      <c r="B1586" s="183"/>
    </row>
    <row r="1587" spans="2:2" ht="15.5" x14ac:dyDescent="0.35">
      <c r="B1587" s="183"/>
    </row>
    <row r="1588" spans="2:2" ht="15.5" x14ac:dyDescent="0.35">
      <c r="B1588" s="183"/>
    </row>
    <row r="1589" spans="2:2" ht="15.5" x14ac:dyDescent="0.35">
      <c r="B1589" s="183"/>
    </row>
    <row r="1590" spans="2:2" ht="15.5" x14ac:dyDescent="0.35">
      <c r="B1590" s="183"/>
    </row>
    <row r="1591" spans="2:2" ht="15.5" x14ac:dyDescent="0.35">
      <c r="B1591" s="183"/>
    </row>
    <row r="1592" spans="2:2" ht="15.5" x14ac:dyDescent="0.35">
      <c r="B1592" s="183"/>
    </row>
    <row r="1593" spans="2:2" ht="15.5" x14ac:dyDescent="0.35">
      <c r="B1593" s="183"/>
    </row>
    <row r="1594" spans="2:2" ht="15.5" x14ac:dyDescent="0.35">
      <c r="B1594" s="183"/>
    </row>
    <row r="1595" spans="2:2" ht="15.5" x14ac:dyDescent="0.35">
      <c r="B1595" s="183"/>
    </row>
    <row r="1596" spans="2:2" ht="15.5" x14ac:dyDescent="0.35">
      <c r="B1596" s="183"/>
    </row>
    <row r="1597" spans="2:2" ht="15.5" x14ac:dyDescent="0.35">
      <c r="B1597" s="183"/>
    </row>
    <row r="1598" spans="2:2" ht="15.5" x14ac:dyDescent="0.35">
      <c r="B1598" s="183"/>
    </row>
    <row r="1599" spans="2:2" ht="15.5" x14ac:dyDescent="0.35">
      <c r="B1599" s="183"/>
    </row>
    <row r="1600" spans="2:2" ht="15.5" x14ac:dyDescent="0.35">
      <c r="B1600" s="183"/>
    </row>
    <row r="1601" spans="2:2" ht="15.5" x14ac:dyDescent="0.35">
      <c r="B1601" s="183"/>
    </row>
    <row r="1602" spans="2:2" ht="15.5" x14ac:dyDescent="0.35">
      <c r="B1602" s="183"/>
    </row>
    <row r="1603" spans="2:2" ht="15.5" x14ac:dyDescent="0.35">
      <c r="B1603" s="183"/>
    </row>
    <row r="1604" spans="2:2" ht="15.5" x14ac:dyDescent="0.35">
      <c r="B1604" s="183"/>
    </row>
    <row r="1605" spans="2:2" ht="15.5" x14ac:dyDescent="0.35">
      <c r="B1605" s="183"/>
    </row>
    <row r="1606" spans="2:2" ht="15.5" x14ac:dyDescent="0.35">
      <c r="B1606" s="183"/>
    </row>
    <row r="1607" spans="2:2" ht="15.5" x14ac:dyDescent="0.35">
      <c r="B1607" s="183"/>
    </row>
    <row r="1608" spans="2:2" ht="15.5" x14ac:dyDescent="0.35">
      <c r="B1608" s="183"/>
    </row>
    <row r="1609" spans="2:2" ht="15.5" x14ac:dyDescent="0.35">
      <c r="B1609" s="183"/>
    </row>
    <row r="1610" spans="2:2" ht="15.5" x14ac:dyDescent="0.35">
      <c r="B1610" s="183"/>
    </row>
    <row r="1611" spans="2:2" ht="15.5" x14ac:dyDescent="0.35">
      <c r="B1611" s="183"/>
    </row>
    <row r="1612" spans="2:2" ht="15.5" x14ac:dyDescent="0.35">
      <c r="B1612" s="183"/>
    </row>
    <row r="1613" spans="2:2" ht="15.5" x14ac:dyDescent="0.35">
      <c r="B1613" s="183"/>
    </row>
    <row r="1614" spans="2:2" ht="15.5" x14ac:dyDescent="0.35">
      <c r="B1614" s="183"/>
    </row>
    <row r="1615" spans="2:2" ht="15.5" x14ac:dyDescent="0.35">
      <c r="B1615" s="183"/>
    </row>
    <row r="1616" spans="2:2" ht="15.5" x14ac:dyDescent="0.35">
      <c r="B1616" s="183"/>
    </row>
    <row r="1617" spans="2:2" ht="15.5" x14ac:dyDescent="0.35">
      <c r="B1617" s="183"/>
    </row>
    <row r="1618" spans="2:2" ht="15.5" x14ac:dyDescent="0.35">
      <c r="B1618" s="183"/>
    </row>
    <row r="1619" spans="2:2" ht="15.5" x14ac:dyDescent="0.35">
      <c r="B1619" s="183"/>
    </row>
    <row r="1620" spans="2:2" ht="15.5" x14ac:dyDescent="0.35">
      <c r="B1620" s="183"/>
    </row>
    <row r="1621" spans="2:2" ht="15.5" x14ac:dyDescent="0.35">
      <c r="B1621" s="183"/>
    </row>
    <row r="1622" spans="2:2" ht="15.5" x14ac:dyDescent="0.35">
      <c r="B1622" s="183"/>
    </row>
    <row r="1623" spans="2:2" ht="15.5" x14ac:dyDescent="0.35">
      <c r="B1623" s="183"/>
    </row>
    <row r="1624" spans="2:2" ht="15.5" x14ac:dyDescent="0.35">
      <c r="B1624" s="183"/>
    </row>
    <row r="1625" spans="2:2" ht="15.5" x14ac:dyDescent="0.35">
      <c r="B1625" s="183"/>
    </row>
    <row r="1626" spans="2:2" ht="15.5" x14ac:dyDescent="0.35">
      <c r="B1626" s="183"/>
    </row>
    <row r="1627" spans="2:2" ht="15.5" x14ac:dyDescent="0.35">
      <c r="B1627" s="183"/>
    </row>
    <row r="1628" spans="2:2" ht="15.5" x14ac:dyDescent="0.35">
      <c r="B1628" s="183"/>
    </row>
    <row r="1629" spans="2:2" ht="15.5" x14ac:dyDescent="0.35">
      <c r="B1629" s="183"/>
    </row>
    <row r="1630" spans="2:2" ht="15.5" x14ac:dyDescent="0.35">
      <c r="B1630" s="183"/>
    </row>
    <row r="1631" spans="2:2" ht="15.5" x14ac:dyDescent="0.35">
      <c r="B1631" s="183"/>
    </row>
    <row r="1632" spans="2:2" ht="15.5" x14ac:dyDescent="0.35">
      <c r="B1632" s="183"/>
    </row>
    <row r="1633" spans="2:2" ht="15.5" x14ac:dyDescent="0.35">
      <c r="B1633" s="183"/>
    </row>
    <row r="1634" spans="2:2" ht="15.5" x14ac:dyDescent="0.35">
      <c r="B1634" s="183"/>
    </row>
    <row r="1635" spans="2:2" ht="15.5" x14ac:dyDescent="0.35">
      <c r="B1635" s="183"/>
    </row>
    <row r="1636" spans="2:2" ht="15.5" x14ac:dyDescent="0.35">
      <c r="B1636" s="183"/>
    </row>
    <row r="1637" spans="2:2" ht="15.5" x14ac:dyDescent="0.35">
      <c r="B1637" s="183"/>
    </row>
    <row r="1638" spans="2:2" ht="15.5" x14ac:dyDescent="0.35">
      <c r="B1638" s="183"/>
    </row>
    <row r="1639" spans="2:2" ht="15.5" x14ac:dyDescent="0.35">
      <c r="B1639" s="183"/>
    </row>
    <row r="1640" spans="2:2" ht="15.5" x14ac:dyDescent="0.35">
      <c r="B1640" s="183"/>
    </row>
    <row r="1641" spans="2:2" ht="15.5" x14ac:dyDescent="0.35">
      <c r="B1641" s="183"/>
    </row>
    <row r="1642" spans="2:2" ht="15.5" x14ac:dyDescent="0.35">
      <c r="B1642" s="183"/>
    </row>
    <row r="1643" spans="2:2" ht="15.5" x14ac:dyDescent="0.35">
      <c r="B1643" s="183"/>
    </row>
    <row r="1644" spans="2:2" ht="15.5" x14ac:dyDescent="0.35">
      <c r="B1644" s="183"/>
    </row>
    <row r="1645" spans="2:2" ht="15.5" x14ac:dyDescent="0.35">
      <c r="B1645" s="183"/>
    </row>
    <row r="1646" spans="2:2" ht="15.5" x14ac:dyDescent="0.35">
      <c r="B1646" s="183"/>
    </row>
    <row r="1647" spans="2:2" ht="15.5" x14ac:dyDescent="0.35">
      <c r="B1647" s="183"/>
    </row>
    <row r="1648" spans="2:2" ht="15.5" x14ac:dyDescent="0.35">
      <c r="B1648" s="183"/>
    </row>
    <row r="1649" spans="2:2" ht="15.5" x14ac:dyDescent="0.35">
      <c r="B1649" s="183"/>
    </row>
    <row r="1650" spans="2:2" ht="15.5" x14ac:dyDescent="0.35">
      <c r="B1650" s="183"/>
    </row>
    <row r="1651" spans="2:2" ht="15.5" x14ac:dyDescent="0.35">
      <c r="B1651" s="183"/>
    </row>
    <row r="1652" spans="2:2" ht="15.5" x14ac:dyDescent="0.35">
      <c r="B1652" s="183"/>
    </row>
    <row r="1653" spans="2:2" ht="15.5" x14ac:dyDescent="0.35">
      <c r="B1653" s="183"/>
    </row>
    <row r="1654" spans="2:2" ht="15.5" x14ac:dyDescent="0.35">
      <c r="B1654" s="183"/>
    </row>
    <row r="1655" spans="2:2" ht="15.5" x14ac:dyDescent="0.35">
      <c r="B1655" s="183"/>
    </row>
    <row r="1656" spans="2:2" ht="15.5" x14ac:dyDescent="0.35">
      <c r="B1656" s="183"/>
    </row>
    <row r="1657" spans="2:2" ht="15.5" x14ac:dyDescent="0.35">
      <c r="B1657" s="183"/>
    </row>
    <row r="1658" spans="2:2" ht="15.5" x14ac:dyDescent="0.35">
      <c r="B1658" s="183"/>
    </row>
    <row r="1659" spans="2:2" ht="15.5" x14ac:dyDescent="0.35">
      <c r="B1659" s="183"/>
    </row>
    <row r="1660" spans="2:2" ht="15.5" x14ac:dyDescent="0.35">
      <c r="B1660" s="183"/>
    </row>
    <row r="1661" spans="2:2" ht="15.5" x14ac:dyDescent="0.35">
      <c r="B1661" s="183"/>
    </row>
    <row r="1662" spans="2:2" ht="15.5" x14ac:dyDescent="0.35">
      <c r="B1662" s="183"/>
    </row>
    <row r="1663" spans="2:2" ht="15.5" x14ac:dyDescent="0.35">
      <c r="B1663" s="183"/>
    </row>
    <row r="1664" spans="2:2" ht="15.5" x14ac:dyDescent="0.35">
      <c r="B1664" s="183"/>
    </row>
    <row r="1665" spans="2:2" ht="15.5" x14ac:dyDescent="0.35">
      <c r="B1665" s="183"/>
    </row>
    <row r="1666" spans="2:2" ht="15.5" x14ac:dyDescent="0.35">
      <c r="B1666" s="183"/>
    </row>
    <row r="1667" spans="2:2" ht="15.5" x14ac:dyDescent="0.35">
      <c r="B1667" s="183"/>
    </row>
    <row r="1668" spans="2:2" ht="15.5" x14ac:dyDescent="0.35">
      <c r="B1668" s="183"/>
    </row>
    <row r="1669" spans="2:2" ht="15.5" x14ac:dyDescent="0.35">
      <c r="B1669" s="183"/>
    </row>
    <row r="1670" spans="2:2" ht="15.5" x14ac:dyDescent="0.35">
      <c r="B1670" s="183"/>
    </row>
    <row r="1671" spans="2:2" ht="15.5" x14ac:dyDescent="0.35">
      <c r="B1671" s="183"/>
    </row>
    <row r="1672" spans="2:2" ht="15.5" x14ac:dyDescent="0.35">
      <c r="B1672" s="183"/>
    </row>
    <row r="1673" spans="2:2" ht="15.5" x14ac:dyDescent="0.35">
      <c r="B1673" s="183"/>
    </row>
    <row r="1674" spans="2:2" ht="15.5" x14ac:dyDescent="0.35">
      <c r="B1674" s="183"/>
    </row>
    <row r="1675" spans="2:2" ht="15.5" x14ac:dyDescent="0.35">
      <c r="B1675" s="183"/>
    </row>
    <row r="1676" spans="2:2" ht="15.5" x14ac:dyDescent="0.35">
      <c r="B1676" s="183"/>
    </row>
    <row r="1677" spans="2:2" ht="15.5" x14ac:dyDescent="0.35">
      <c r="B1677" s="183"/>
    </row>
    <row r="1678" spans="2:2" ht="15.5" x14ac:dyDescent="0.35">
      <c r="B1678" s="183"/>
    </row>
    <row r="1679" spans="2:2" ht="15.5" x14ac:dyDescent="0.35">
      <c r="B1679" s="183"/>
    </row>
    <row r="1680" spans="2:2" ht="15.5" x14ac:dyDescent="0.35">
      <c r="B1680" s="183"/>
    </row>
    <row r="1681" spans="2:2" ht="15.5" x14ac:dyDescent="0.35">
      <c r="B1681" s="183"/>
    </row>
    <row r="1682" spans="2:2" ht="15.5" x14ac:dyDescent="0.35">
      <c r="B1682" s="183"/>
    </row>
    <row r="1683" spans="2:2" ht="15.5" x14ac:dyDescent="0.35">
      <c r="B1683" s="183"/>
    </row>
    <row r="1684" spans="2:2" ht="15.5" x14ac:dyDescent="0.35">
      <c r="B1684" s="183"/>
    </row>
    <row r="1685" spans="2:2" ht="15.5" x14ac:dyDescent="0.35">
      <c r="B1685" s="183"/>
    </row>
    <row r="1686" spans="2:2" ht="15.5" x14ac:dyDescent="0.35">
      <c r="B1686" s="183"/>
    </row>
    <row r="1687" spans="2:2" ht="15.5" x14ac:dyDescent="0.35">
      <c r="B1687" s="183"/>
    </row>
    <row r="1688" spans="2:2" ht="15.5" x14ac:dyDescent="0.35">
      <c r="B1688" s="183"/>
    </row>
    <row r="1689" spans="2:2" ht="15.5" x14ac:dyDescent="0.35">
      <c r="B1689" s="183"/>
    </row>
    <row r="1690" spans="2:2" ht="15.5" x14ac:dyDescent="0.35">
      <c r="B1690" s="183"/>
    </row>
    <row r="1691" spans="2:2" ht="15.5" x14ac:dyDescent="0.35">
      <c r="B1691" s="183"/>
    </row>
    <row r="1692" spans="2:2" ht="15.5" x14ac:dyDescent="0.35">
      <c r="B1692" s="183"/>
    </row>
    <row r="1693" spans="2:2" ht="15.5" x14ac:dyDescent="0.35">
      <c r="B1693" s="183"/>
    </row>
    <row r="1694" spans="2:2" ht="15.5" x14ac:dyDescent="0.35">
      <c r="B1694" s="183"/>
    </row>
    <row r="1695" spans="2:2" ht="15.5" x14ac:dyDescent="0.35">
      <c r="B1695" s="183"/>
    </row>
    <row r="1696" spans="2:2" ht="15.5" x14ac:dyDescent="0.35">
      <c r="B1696" s="183"/>
    </row>
    <row r="1697" spans="2:2" ht="15.5" x14ac:dyDescent="0.35">
      <c r="B1697" s="183"/>
    </row>
    <row r="1698" spans="2:2" ht="15.5" x14ac:dyDescent="0.35">
      <c r="B1698" s="183"/>
    </row>
    <row r="1699" spans="2:2" ht="15.5" x14ac:dyDescent="0.35">
      <c r="B1699" s="183"/>
    </row>
    <row r="1700" spans="2:2" ht="15.5" x14ac:dyDescent="0.35">
      <c r="B1700" s="183"/>
    </row>
    <row r="1701" spans="2:2" ht="15.5" x14ac:dyDescent="0.35">
      <c r="B1701" s="183"/>
    </row>
    <row r="1702" spans="2:2" ht="15.5" x14ac:dyDescent="0.35">
      <c r="B1702" s="183"/>
    </row>
    <row r="1703" spans="2:2" ht="15.5" x14ac:dyDescent="0.35">
      <c r="B1703" s="183"/>
    </row>
    <row r="1704" spans="2:2" ht="15.5" x14ac:dyDescent="0.35">
      <c r="B1704" s="183"/>
    </row>
    <row r="1705" spans="2:2" ht="15.5" x14ac:dyDescent="0.35">
      <c r="B1705" s="183"/>
    </row>
    <row r="1706" spans="2:2" ht="15.5" x14ac:dyDescent="0.35">
      <c r="B1706" s="183"/>
    </row>
    <row r="1707" spans="2:2" ht="15.5" x14ac:dyDescent="0.35">
      <c r="B1707" s="183"/>
    </row>
    <row r="1708" spans="2:2" ht="15.5" x14ac:dyDescent="0.35">
      <c r="B1708" s="183"/>
    </row>
    <row r="1709" spans="2:2" ht="15.5" x14ac:dyDescent="0.35">
      <c r="B1709" s="183"/>
    </row>
    <row r="1710" spans="2:2" ht="15.5" x14ac:dyDescent="0.35">
      <c r="B1710" s="183"/>
    </row>
    <row r="1711" spans="2:2" ht="15.5" x14ac:dyDescent="0.35">
      <c r="B1711" s="183"/>
    </row>
    <row r="1712" spans="2:2" ht="15.5" x14ac:dyDescent="0.35">
      <c r="B1712" s="183"/>
    </row>
    <row r="1713" spans="2:2" ht="15.5" x14ac:dyDescent="0.35">
      <c r="B1713" s="183"/>
    </row>
    <row r="1714" spans="2:2" ht="15.5" x14ac:dyDescent="0.35">
      <c r="B1714" s="183"/>
    </row>
    <row r="1715" spans="2:2" ht="15.5" x14ac:dyDescent="0.35">
      <c r="B1715" s="183"/>
    </row>
    <row r="1716" spans="2:2" ht="15.5" x14ac:dyDescent="0.35">
      <c r="B1716" s="183"/>
    </row>
    <row r="1717" spans="2:2" ht="15.5" x14ac:dyDescent="0.35">
      <c r="B1717" s="183"/>
    </row>
    <row r="1718" spans="2:2" ht="15.5" x14ac:dyDescent="0.35">
      <c r="B1718" s="183"/>
    </row>
    <row r="1719" spans="2:2" ht="15.5" x14ac:dyDescent="0.35">
      <c r="B1719" s="183"/>
    </row>
    <row r="1720" spans="2:2" ht="15.5" x14ac:dyDescent="0.35">
      <c r="B1720" s="183"/>
    </row>
    <row r="1721" spans="2:2" ht="15.5" x14ac:dyDescent="0.35">
      <c r="B1721" s="183"/>
    </row>
    <row r="1722" spans="2:2" ht="15.5" x14ac:dyDescent="0.35">
      <c r="B1722" s="183"/>
    </row>
    <row r="1723" spans="2:2" ht="15.5" x14ac:dyDescent="0.35">
      <c r="B1723" s="183"/>
    </row>
    <row r="1724" spans="2:2" ht="15.5" x14ac:dyDescent="0.35">
      <c r="B1724" s="183"/>
    </row>
    <row r="1725" spans="2:2" ht="15.5" x14ac:dyDescent="0.35">
      <c r="B1725" s="183"/>
    </row>
    <row r="1726" spans="2:2" ht="15.5" x14ac:dyDescent="0.35">
      <c r="B1726" s="183"/>
    </row>
    <row r="1727" spans="2:2" ht="15.5" x14ac:dyDescent="0.35">
      <c r="B1727" s="183"/>
    </row>
    <row r="1728" spans="2:2" ht="15.5" x14ac:dyDescent="0.35">
      <c r="B1728" s="183"/>
    </row>
    <row r="1729" spans="2:2" ht="15.5" x14ac:dyDescent="0.35">
      <c r="B1729" s="183"/>
    </row>
    <row r="1730" spans="2:2" ht="15.5" x14ac:dyDescent="0.35">
      <c r="B1730" s="183"/>
    </row>
    <row r="1731" spans="2:2" ht="15.5" x14ac:dyDescent="0.35">
      <c r="B1731" s="183"/>
    </row>
    <row r="1732" spans="2:2" ht="15.5" x14ac:dyDescent="0.35">
      <c r="B1732" s="183"/>
    </row>
    <row r="1733" spans="2:2" ht="15.5" x14ac:dyDescent="0.35">
      <c r="B1733" s="183"/>
    </row>
    <row r="1734" spans="2:2" ht="15.5" x14ac:dyDescent="0.35">
      <c r="B1734" s="183"/>
    </row>
    <row r="1735" spans="2:2" ht="15.5" x14ac:dyDescent="0.35">
      <c r="B1735" s="183"/>
    </row>
    <row r="1736" spans="2:2" ht="15.5" x14ac:dyDescent="0.35">
      <c r="B1736" s="183"/>
    </row>
    <row r="1737" spans="2:2" ht="15.5" x14ac:dyDescent="0.35">
      <c r="B1737" s="183"/>
    </row>
    <row r="1738" spans="2:2" ht="15.5" x14ac:dyDescent="0.35">
      <c r="B1738" s="183"/>
    </row>
    <row r="1739" spans="2:2" ht="15.5" x14ac:dyDescent="0.35">
      <c r="B1739" s="183"/>
    </row>
    <row r="1740" spans="2:2" ht="15.5" x14ac:dyDescent="0.35">
      <c r="B1740" s="183"/>
    </row>
    <row r="1741" spans="2:2" ht="15.5" x14ac:dyDescent="0.35">
      <c r="B1741" s="183"/>
    </row>
    <row r="1742" spans="2:2" ht="15.5" x14ac:dyDescent="0.35">
      <c r="B1742" s="183"/>
    </row>
    <row r="1743" spans="2:2" ht="15.5" x14ac:dyDescent="0.35">
      <c r="B1743" s="183"/>
    </row>
    <row r="1744" spans="2:2" ht="15.5" x14ac:dyDescent="0.35">
      <c r="B1744" s="183"/>
    </row>
    <row r="1745" spans="2:2" ht="15.5" x14ac:dyDescent="0.35">
      <c r="B1745" s="183"/>
    </row>
    <row r="1746" spans="2:2" ht="15.5" x14ac:dyDescent="0.35">
      <c r="B1746" s="183"/>
    </row>
    <row r="1747" spans="2:2" ht="15.5" x14ac:dyDescent="0.35">
      <c r="B1747" s="183"/>
    </row>
    <row r="1748" spans="2:2" ht="15.5" x14ac:dyDescent="0.35">
      <c r="B1748" s="183"/>
    </row>
    <row r="1749" spans="2:2" ht="15.5" x14ac:dyDescent="0.35">
      <c r="B1749" s="183"/>
    </row>
    <row r="1750" spans="2:2" ht="15.5" x14ac:dyDescent="0.35">
      <c r="B1750" s="183"/>
    </row>
    <row r="1751" spans="2:2" ht="15.5" x14ac:dyDescent="0.35">
      <c r="B1751" s="183"/>
    </row>
    <row r="1752" spans="2:2" ht="15.5" x14ac:dyDescent="0.35">
      <c r="B1752" s="183"/>
    </row>
    <row r="1753" spans="2:2" ht="15.5" x14ac:dyDescent="0.35">
      <c r="B1753" s="183"/>
    </row>
    <row r="1754" spans="2:2" ht="15.5" x14ac:dyDescent="0.35">
      <c r="B1754" s="183"/>
    </row>
    <row r="1755" spans="2:2" ht="15.5" x14ac:dyDescent="0.35">
      <c r="B1755" s="183"/>
    </row>
    <row r="1756" spans="2:2" ht="15.5" x14ac:dyDescent="0.35">
      <c r="B1756" s="183"/>
    </row>
    <row r="1757" spans="2:2" ht="15.5" x14ac:dyDescent="0.35">
      <c r="B1757" s="183"/>
    </row>
    <row r="1758" spans="2:2" ht="15.5" x14ac:dyDescent="0.35">
      <c r="B1758" s="183"/>
    </row>
    <row r="1759" spans="2:2" ht="15.5" x14ac:dyDescent="0.35">
      <c r="B1759" s="183"/>
    </row>
    <row r="1760" spans="2:2" ht="15.5" x14ac:dyDescent="0.35">
      <c r="B1760" s="183"/>
    </row>
    <row r="1761" spans="2:2" ht="15.5" x14ac:dyDescent="0.35">
      <c r="B1761" s="183"/>
    </row>
    <row r="1762" spans="2:2" ht="15.5" x14ac:dyDescent="0.35">
      <c r="B1762" s="183"/>
    </row>
    <row r="1763" spans="2:2" ht="15.5" x14ac:dyDescent="0.35">
      <c r="B1763" s="183"/>
    </row>
    <row r="1764" spans="2:2" ht="15.5" x14ac:dyDescent="0.35">
      <c r="B1764" s="183"/>
    </row>
    <row r="1765" spans="2:2" ht="15.5" x14ac:dyDescent="0.35">
      <c r="B1765" s="183"/>
    </row>
    <row r="1766" spans="2:2" ht="15.5" x14ac:dyDescent="0.35">
      <c r="B1766" s="183"/>
    </row>
    <row r="1767" spans="2:2" ht="15.5" x14ac:dyDescent="0.35">
      <c r="B1767" s="183"/>
    </row>
    <row r="1768" spans="2:2" ht="15.5" x14ac:dyDescent="0.35">
      <c r="B1768" s="183"/>
    </row>
    <row r="1769" spans="2:2" ht="15.5" x14ac:dyDescent="0.35">
      <c r="B1769" s="183"/>
    </row>
    <row r="1770" spans="2:2" ht="15.5" x14ac:dyDescent="0.35">
      <c r="B1770" s="183"/>
    </row>
    <row r="1771" spans="2:2" ht="15.5" x14ac:dyDescent="0.35">
      <c r="B1771" s="183"/>
    </row>
    <row r="1772" spans="2:2" ht="15.5" x14ac:dyDescent="0.35">
      <c r="B1772" s="183"/>
    </row>
    <row r="1773" spans="2:2" ht="15.5" x14ac:dyDescent="0.35">
      <c r="B1773" s="183"/>
    </row>
    <row r="1774" spans="2:2" ht="15.5" x14ac:dyDescent="0.35">
      <c r="B1774" s="183"/>
    </row>
    <row r="1775" spans="2:2" ht="15.5" x14ac:dyDescent="0.35">
      <c r="B1775" s="183"/>
    </row>
    <row r="1776" spans="2:2" ht="15.5" x14ac:dyDescent="0.35">
      <c r="B1776" s="183"/>
    </row>
    <row r="1777" spans="2:2" ht="15.5" x14ac:dyDescent="0.35">
      <c r="B1777" s="183"/>
    </row>
    <row r="1778" spans="2:2" ht="15.5" x14ac:dyDescent="0.35">
      <c r="B1778" s="183"/>
    </row>
    <row r="1779" spans="2:2" ht="15.5" x14ac:dyDescent="0.35">
      <c r="B1779" s="183"/>
    </row>
    <row r="1780" spans="2:2" ht="15.5" x14ac:dyDescent="0.35">
      <c r="B1780" s="183"/>
    </row>
    <row r="1781" spans="2:2" ht="15.5" x14ac:dyDescent="0.35">
      <c r="B1781" s="183"/>
    </row>
    <row r="1782" spans="2:2" ht="15.5" x14ac:dyDescent="0.35">
      <c r="B1782" s="183"/>
    </row>
    <row r="1783" spans="2:2" ht="15.5" x14ac:dyDescent="0.35">
      <c r="B1783" s="183"/>
    </row>
    <row r="1784" spans="2:2" ht="15.5" x14ac:dyDescent="0.35">
      <c r="B1784" s="183"/>
    </row>
    <row r="1785" spans="2:2" ht="15.5" x14ac:dyDescent="0.35">
      <c r="B1785" s="183"/>
    </row>
    <row r="1786" spans="2:2" ht="15.5" x14ac:dyDescent="0.35">
      <c r="B1786" s="183"/>
    </row>
    <row r="1787" spans="2:2" ht="15.5" x14ac:dyDescent="0.35">
      <c r="B1787" s="183"/>
    </row>
    <row r="1788" spans="2:2" ht="15.5" x14ac:dyDescent="0.35">
      <c r="B1788" s="183"/>
    </row>
    <row r="1789" spans="2:2" ht="15.5" x14ac:dyDescent="0.35">
      <c r="B1789" s="183"/>
    </row>
    <row r="1790" spans="2:2" ht="15.5" x14ac:dyDescent="0.35">
      <c r="B1790" s="183"/>
    </row>
    <row r="1791" spans="2:2" ht="15.5" x14ac:dyDescent="0.35">
      <c r="B1791" s="183"/>
    </row>
    <row r="1792" spans="2:2" ht="15.5" x14ac:dyDescent="0.35">
      <c r="B1792" s="183"/>
    </row>
    <row r="1793" spans="2:2" ht="15.5" x14ac:dyDescent="0.35">
      <c r="B1793" s="183"/>
    </row>
    <row r="1794" spans="2:2" ht="15.5" x14ac:dyDescent="0.35">
      <c r="B1794" s="183"/>
    </row>
    <row r="1795" spans="2:2" ht="15.5" x14ac:dyDescent="0.35">
      <c r="B1795" s="183"/>
    </row>
    <row r="1796" spans="2:2" ht="15.5" x14ac:dyDescent="0.35">
      <c r="B1796" s="183"/>
    </row>
    <row r="1797" spans="2:2" ht="15.5" x14ac:dyDescent="0.35">
      <c r="B1797" s="183"/>
    </row>
    <row r="1798" spans="2:2" ht="15.5" x14ac:dyDescent="0.35">
      <c r="B1798" s="183"/>
    </row>
    <row r="1799" spans="2:2" ht="15.5" x14ac:dyDescent="0.35">
      <c r="B1799" s="183"/>
    </row>
    <row r="1800" spans="2:2" ht="15.5" x14ac:dyDescent="0.35">
      <c r="B1800" s="183"/>
    </row>
    <row r="1801" spans="2:2" ht="15.5" x14ac:dyDescent="0.35">
      <c r="B1801" s="183"/>
    </row>
    <row r="1802" spans="2:2" ht="15.5" x14ac:dyDescent="0.35">
      <c r="B1802" s="183"/>
    </row>
    <row r="1803" spans="2:2" ht="15.5" x14ac:dyDescent="0.35">
      <c r="B1803" s="183"/>
    </row>
    <row r="1804" spans="2:2" ht="15.5" x14ac:dyDescent="0.35">
      <c r="B1804" s="183"/>
    </row>
    <row r="1805" spans="2:2" ht="15.5" x14ac:dyDescent="0.35">
      <c r="B1805" s="183"/>
    </row>
    <row r="1806" spans="2:2" ht="15.5" x14ac:dyDescent="0.35">
      <c r="B1806" s="183"/>
    </row>
    <row r="1807" spans="2:2" ht="15.5" x14ac:dyDescent="0.35">
      <c r="B1807" s="183"/>
    </row>
    <row r="1808" spans="2:2" ht="15.5" x14ac:dyDescent="0.35">
      <c r="B1808" s="183"/>
    </row>
    <row r="1809" spans="2:2" ht="15.5" x14ac:dyDescent="0.35">
      <c r="B1809" s="183"/>
    </row>
    <row r="1810" spans="2:2" ht="15.5" x14ac:dyDescent="0.35">
      <c r="B1810" s="183"/>
    </row>
    <row r="1811" spans="2:2" ht="15.5" x14ac:dyDescent="0.35">
      <c r="B1811" s="183"/>
    </row>
    <row r="1812" spans="2:2" ht="15.5" x14ac:dyDescent="0.35">
      <c r="B1812" s="183"/>
    </row>
    <row r="1813" spans="2:2" ht="15.5" x14ac:dyDescent="0.35">
      <c r="B1813" s="183"/>
    </row>
    <row r="1814" spans="2:2" ht="15.5" x14ac:dyDescent="0.35">
      <c r="B1814" s="183"/>
    </row>
    <row r="1815" spans="2:2" ht="15.5" x14ac:dyDescent="0.35">
      <c r="B1815" s="183"/>
    </row>
    <row r="1816" spans="2:2" ht="15.5" x14ac:dyDescent="0.35">
      <c r="B1816" s="183"/>
    </row>
    <row r="1817" spans="2:2" ht="15.5" x14ac:dyDescent="0.35">
      <c r="B1817" s="183"/>
    </row>
    <row r="1818" spans="2:2" ht="15.5" x14ac:dyDescent="0.35">
      <c r="B1818" s="183"/>
    </row>
    <row r="1819" spans="2:2" ht="15.5" x14ac:dyDescent="0.35">
      <c r="B1819" s="183"/>
    </row>
    <row r="1820" spans="2:2" ht="15.5" x14ac:dyDescent="0.35">
      <c r="B1820" s="183"/>
    </row>
    <row r="1821" spans="2:2" ht="15.5" x14ac:dyDescent="0.35">
      <c r="B1821" s="183"/>
    </row>
    <row r="1822" spans="2:2" ht="15.5" x14ac:dyDescent="0.35">
      <c r="B1822" s="183"/>
    </row>
    <row r="1823" spans="2:2" ht="15.5" x14ac:dyDescent="0.35">
      <c r="B1823" s="183"/>
    </row>
    <row r="1824" spans="2:2" ht="15.5" x14ac:dyDescent="0.35">
      <c r="B1824" s="183"/>
    </row>
    <row r="1825" spans="2:2" ht="15.5" x14ac:dyDescent="0.35">
      <c r="B1825" s="183"/>
    </row>
    <row r="1826" spans="2:2" ht="15.5" x14ac:dyDescent="0.35">
      <c r="B1826" s="183"/>
    </row>
    <row r="1827" spans="2:2" ht="15.5" x14ac:dyDescent="0.35">
      <c r="B1827" s="183"/>
    </row>
    <row r="1828" spans="2:2" ht="15.5" x14ac:dyDescent="0.35">
      <c r="B1828" s="183"/>
    </row>
    <row r="1829" spans="2:2" ht="15.5" x14ac:dyDescent="0.35">
      <c r="B1829" s="183"/>
    </row>
    <row r="1830" spans="2:2" ht="15.5" x14ac:dyDescent="0.35">
      <c r="B1830" s="183"/>
    </row>
    <row r="1831" spans="2:2" ht="15.5" x14ac:dyDescent="0.35">
      <c r="B1831" s="183"/>
    </row>
    <row r="1832" spans="2:2" ht="15.5" x14ac:dyDescent="0.35">
      <c r="B1832" s="183"/>
    </row>
    <row r="1833" spans="2:2" ht="15.5" x14ac:dyDescent="0.35">
      <c r="B1833" s="183"/>
    </row>
    <row r="1834" spans="2:2" ht="15.5" x14ac:dyDescent="0.35">
      <c r="B1834" s="183"/>
    </row>
    <row r="1835" spans="2:2" ht="15.5" x14ac:dyDescent="0.35">
      <c r="B1835" s="183"/>
    </row>
    <row r="1836" spans="2:2" ht="15.5" x14ac:dyDescent="0.35">
      <c r="B1836" s="183"/>
    </row>
    <row r="1837" spans="2:2" ht="15.5" x14ac:dyDescent="0.35">
      <c r="B1837" s="183"/>
    </row>
    <row r="1838" spans="2:2" ht="15.5" x14ac:dyDescent="0.35">
      <c r="B1838" s="183"/>
    </row>
    <row r="1839" spans="2:2" ht="15.5" x14ac:dyDescent="0.35">
      <c r="B1839" s="183"/>
    </row>
    <row r="1840" spans="2:2" ht="15.5" x14ac:dyDescent="0.35">
      <c r="B1840" s="183"/>
    </row>
    <row r="1841" spans="2:2" ht="15.5" x14ac:dyDescent="0.35">
      <c r="B1841" s="183"/>
    </row>
    <row r="1842" spans="2:2" ht="15.5" x14ac:dyDescent="0.35">
      <c r="B1842" s="183"/>
    </row>
    <row r="1843" spans="2:2" ht="15.5" x14ac:dyDescent="0.35">
      <c r="B1843" s="183"/>
    </row>
    <row r="1844" spans="2:2" ht="15.5" x14ac:dyDescent="0.35">
      <c r="B1844" s="183"/>
    </row>
    <row r="1845" spans="2:2" ht="15.5" x14ac:dyDescent="0.35">
      <c r="B1845" s="183"/>
    </row>
    <row r="1846" spans="2:2" ht="15.5" x14ac:dyDescent="0.35">
      <c r="B1846" s="183"/>
    </row>
    <row r="1847" spans="2:2" ht="15.5" x14ac:dyDescent="0.35">
      <c r="B1847" s="183"/>
    </row>
    <row r="1848" spans="2:2" ht="15.5" x14ac:dyDescent="0.35">
      <c r="B1848" s="183"/>
    </row>
    <row r="1849" spans="2:2" ht="15.5" x14ac:dyDescent="0.35">
      <c r="B1849" s="183"/>
    </row>
    <row r="1850" spans="2:2" ht="15.5" x14ac:dyDescent="0.35">
      <c r="B1850" s="183"/>
    </row>
    <row r="1851" spans="2:2" ht="15.5" x14ac:dyDescent="0.35">
      <c r="B1851" s="183"/>
    </row>
    <row r="1852" spans="2:2" ht="15.5" x14ac:dyDescent="0.35">
      <c r="B1852" s="183"/>
    </row>
    <row r="1853" spans="2:2" ht="15.5" x14ac:dyDescent="0.35">
      <c r="B1853" s="183"/>
    </row>
    <row r="1854" spans="2:2" ht="15.5" x14ac:dyDescent="0.35">
      <c r="B1854" s="183"/>
    </row>
    <row r="1855" spans="2:2" ht="15.5" x14ac:dyDescent="0.35">
      <c r="B1855" s="183"/>
    </row>
    <row r="1856" spans="2:2" ht="15.5" x14ac:dyDescent="0.35">
      <c r="B1856" s="183"/>
    </row>
    <row r="1857" spans="2:2" ht="15.5" x14ac:dyDescent="0.35">
      <c r="B1857" s="183"/>
    </row>
    <row r="1858" spans="2:2" ht="15.5" x14ac:dyDescent="0.35">
      <c r="B1858" s="183"/>
    </row>
    <row r="1859" spans="2:2" ht="15.5" x14ac:dyDescent="0.35">
      <c r="B1859" s="183"/>
    </row>
    <row r="1860" spans="2:2" ht="15.5" x14ac:dyDescent="0.35">
      <c r="B1860" s="183"/>
    </row>
    <row r="1861" spans="2:2" ht="15.5" x14ac:dyDescent="0.35">
      <c r="B1861" s="183"/>
    </row>
    <row r="1862" spans="2:2" ht="15.5" x14ac:dyDescent="0.35">
      <c r="B1862" s="183"/>
    </row>
    <row r="1863" spans="2:2" ht="15.5" x14ac:dyDescent="0.35">
      <c r="B1863" s="183"/>
    </row>
    <row r="1864" spans="2:2" ht="15.5" x14ac:dyDescent="0.35">
      <c r="B1864" s="183"/>
    </row>
    <row r="1865" spans="2:2" ht="15.5" x14ac:dyDescent="0.35">
      <c r="B1865" s="183"/>
    </row>
    <row r="1866" spans="2:2" ht="15.5" x14ac:dyDescent="0.35">
      <c r="B1866" s="183"/>
    </row>
    <row r="1867" spans="2:2" ht="15.5" x14ac:dyDescent="0.35">
      <c r="B1867" s="183"/>
    </row>
    <row r="1868" spans="2:2" ht="15.5" x14ac:dyDescent="0.35">
      <c r="B1868" s="183"/>
    </row>
    <row r="1869" spans="2:2" ht="15.5" x14ac:dyDescent="0.35">
      <c r="B1869" s="183"/>
    </row>
    <row r="1870" spans="2:2" ht="15.5" x14ac:dyDescent="0.35">
      <c r="B1870" s="183"/>
    </row>
    <row r="1871" spans="2:2" ht="15.5" x14ac:dyDescent="0.35">
      <c r="B1871" s="183"/>
    </row>
    <row r="1872" spans="2:2" ht="15.5" x14ac:dyDescent="0.35">
      <c r="B1872" s="183"/>
    </row>
    <row r="1873" spans="2:2" ht="15.5" x14ac:dyDescent="0.35">
      <c r="B1873" s="183"/>
    </row>
    <row r="1874" spans="2:2" ht="15.5" x14ac:dyDescent="0.35">
      <c r="B1874" s="183"/>
    </row>
    <row r="1875" spans="2:2" ht="15.5" x14ac:dyDescent="0.35">
      <c r="B1875" s="183"/>
    </row>
    <row r="1876" spans="2:2" ht="15.5" x14ac:dyDescent="0.35">
      <c r="B1876" s="183"/>
    </row>
    <row r="1877" spans="2:2" ht="15.5" x14ac:dyDescent="0.35">
      <c r="B1877" s="183"/>
    </row>
    <row r="1878" spans="2:2" ht="15.5" x14ac:dyDescent="0.35">
      <c r="B1878" s="183"/>
    </row>
    <row r="1879" spans="2:2" ht="15.5" x14ac:dyDescent="0.35">
      <c r="B1879" s="183"/>
    </row>
    <row r="1880" spans="2:2" ht="15.5" x14ac:dyDescent="0.35">
      <c r="B1880" s="183"/>
    </row>
    <row r="1881" spans="2:2" ht="15.5" x14ac:dyDescent="0.35">
      <c r="B1881" s="183"/>
    </row>
    <row r="1882" spans="2:2" ht="15.5" x14ac:dyDescent="0.35">
      <c r="B1882" s="183"/>
    </row>
    <row r="1883" spans="2:2" ht="15.5" x14ac:dyDescent="0.35">
      <c r="B1883" s="183"/>
    </row>
    <row r="1884" spans="2:2" ht="15.5" x14ac:dyDescent="0.35">
      <c r="B1884" s="183"/>
    </row>
    <row r="1885" spans="2:2" ht="15.5" x14ac:dyDescent="0.35">
      <c r="B1885" s="183"/>
    </row>
    <row r="1886" spans="2:2" ht="15.5" x14ac:dyDescent="0.35">
      <c r="B1886" s="183"/>
    </row>
    <row r="1887" spans="2:2" ht="15.5" x14ac:dyDescent="0.35">
      <c r="B1887" s="183"/>
    </row>
    <row r="1888" spans="2:2" ht="15.5" x14ac:dyDescent="0.35">
      <c r="B1888" s="183"/>
    </row>
    <row r="1889" spans="2:2" ht="15.5" x14ac:dyDescent="0.35">
      <c r="B1889" s="183"/>
    </row>
    <row r="1890" spans="2:2" ht="15.5" x14ac:dyDescent="0.35">
      <c r="B1890" s="183"/>
    </row>
    <row r="1891" spans="2:2" ht="15.5" x14ac:dyDescent="0.35">
      <c r="B1891" s="183"/>
    </row>
    <row r="1892" spans="2:2" ht="15.5" x14ac:dyDescent="0.35">
      <c r="B1892" s="183"/>
    </row>
    <row r="1893" spans="2:2" ht="15.5" x14ac:dyDescent="0.35">
      <c r="B1893" s="183"/>
    </row>
    <row r="1894" spans="2:2" ht="15.5" x14ac:dyDescent="0.35">
      <c r="B1894" s="183"/>
    </row>
    <row r="1895" spans="2:2" ht="15.5" x14ac:dyDescent="0.35">
      <c r="B1895" s="183"/>
    </row>
    <row r="1896" spans="2:2" ht="15.5" x14ac:dyDescent="0.35">
      <c r="B1896" s="183"/>
    </row>
    <row r="1897" spans="2:2" ht="15.5" x14ac:dyDescent="0.35">
      <c r="B1897" s="183"/>
    </row>
    <row r="1898" spans="2:2" ht="15.5" x14ac:dyDescent="0.35">
      <c r="B1898" s="183"/>
    </row>
    <row r="1899" spans="2:2" ht="15.5" x14ac:dyDescent="0.35">
      <c r="B1899" s="183"/>
    </row>
    <row r="1900" spans="2:2" ht="15.5" x14ac:dyDescent="0.35">
      <c r="B1900" s="183"/>
    </row>
    <row r="1901" spans="2:2" ht="15.5" x14ac:dyDescent="0.35">
      <c r="B1901" s="183"/>
    </row>
    <row r="1902" spans="2:2" ht="15.5" x14ac:dyDescent="0.35">
      <c r="B1902" s="183"/>
    </row>
    <row r="1903" spans="2:2" ht="15.5" x14ac:dyDescent="0.35">
      <c r="B1903" s="183"/>
    </row>
    <row r="1904" spans="2:2" ht="15.5" x14ac:dyDescent="0.35">
      <c r="B1904" s="183"/>
    </row>
    <row r="1905" spans="2:2" ht="15.5" x14ac:dyDescent="0.35">
      <c r="B1905" s="183"/>
    </row>
    <row r="1906" spans="2:2" ht="15.5" x14ac:dyDescent="0.35">
      <c r="B1906" s="183"/>
    </row>
    <row r="1907" spans="2:2" ht="15.5" x14ac:dyDescent="0.35">
      <c r="B1907" s="183"/>
    </row>
    <row r="1908" spans="2:2" ht="15.5" x14ac:dyDescent="0.35">
      <c r="B1908" s="183"/>
    </row>
    <row r="1909" spans="2:2" ht="15.5" x14ac:dyDescent="0.35">
      <c r="B1909" s="183"/>
    </row>
    <row r="1910" spans="2:2" ht="15.5" x14ac:dyDescent="0.35">
      <c r="B1910" s="183"/>
    </row>
    <row r="1911" spans="2:2" ht="15.5" x14ac:dyDescent="0.35">
      <c r="B1911" s="183"/>
    </row>
    <row r="1912" spans="2:2" ht="15.5" x14ac:dyDescent="0.35">
      <c r="B1912" s="183"/>
    </row>
    <row r="1913" spans="2:2" ht="15.5" x14ac:dyDescent="0.35">
      <c r="B1913" s="183"/>
    </row>
    <row r="1914" spans="2:2" ht="15.5" x14ac:dyDescent="0.35">
      <c r="B1914" s="183"/>
    </row>
    <row r="1915" spans="2:2" ht="15.5" x14ac:dyDescent="0.35">
      <c r="B1915" s="183"/>
    </row>
    <row r="1916" spans="2:2" ht="15.5" x14ac:dyDescent="0.35">
      <c r="B1916" s="183"/>
    </row>
    <row r="1917" spans="2:2" ht="15.5" x14ac:dyDescent="0.35">
      <c r="B1917" s="183"/>
    </row>
    <row r="1918" spans="2:2" ht="15.5" x14ac:dyDescent="0.35">
      <c r="B1918" s="183"/>
    </row>
    <row r="1919" spans="2:2" ht="15.5" x14ac:dyDescent="0.35">
      <c r="B1919" s="183"/>
    </row>
    <row r="1920" spans="2:2" ht="15.5" x14ac:dyDescent="0.35">
      <c r="B1920" s="183"/>
    </row>
    <row r="1921" spans="2:2" ht="15.5" x14ac:dyDescent="0.35">
      <c r="B1921" s="183"/>
    </row>
    <row r="1922" spans="2:2" ht="15.5" x14ac:dyDescent="0.35">
      <c r="B1922" s="183"/>
    </row>
    <row r="1923" spans="2:2" ht="15.5" x14ac:dyDescent="0.35">
      <c r="B1923" s="183"/>
    </row>
    <row r="1924" spans="2:2" ht="15.5" x14ac:dyDescent="0.35">
      <c r="B1924" s="183"/>
    </row>
    <row r="1925" spans="2:2" ht="15.5" x14ac:dyDescent="0.35">
      <c r="B1925" s="183"/>
    </row>
    <row r="1926" spans="2:2" ht="15.5" x14ac:dyDescent="0.35">
      <c r="B1926" s="183"/>
    </row>
    <row r="1927" spans="2:2" ht="15.5" x14ac:dyDescent="0.35">
      <c r="B1927" s="183"/>
    </row>
    <row r="1928" spans="2:2" ht="15.5" x14ac:dyDescent="0.35">
      <c r="B1928" s="183"/>
    </row>
    <row r="1929" spans="2:2" ht="15.5" x14ac:dyDescent="0.35">
      <c r="B1929" s="183"/>
    </row>
    <row r="1930" spans="2:2" ht="15.5" x14ac:dyDescent="0.35">
      <c r="B1930" s="183"/>
    </row>
    <row r="1931" spans="2:2" ht="15.5" x14ac:dyDescent="0.35">
      <c r="B1931" s="183"/>
    </row>
    <row r="1932" spans="2:2" ht="15.5" x14ac:dyDescent="0.35">
      <c r="B1932" s="183"/>
    </row>
    <row r="1933" spans="2:2" ht="15.5" x14ac:dyDescent="0.35">
      <c r="B1933" s="183"/>
    </row>
    <row r="1934" spans="2:2" ht="15.5" x14ac:dyDescent="0.35">
      <c r="B1934" s="183"/>
    </row>
    <row r="1935" spans="2:2" ht="15.5" x14ac:dyDescent="0.35">
      <c r="B1935" s="183"/>
    </row>
    <row r="1936" spans="2:2" ht="15.5" x14ac:dyDescent="0.35">
      <c r="B1936" s="183"/>
    </row>
    <row r="1937" spans="2:2" ht="15.5" x14ac:dyDescent="0.35">
      <c r="B1937" s="183"/>
    </row>
    <row r="1938" spans="2:2" ht="15.5" x14ac:dyDescent="0.35">
      <c r="B1938" s="183"/>
    </row>
    <row r="1939" spans="2:2" ht="15.5" x14ac:dyDescent="0.35">
      <c r="B1939" s="183"/>
    </row>
    <row r="1940" spans="2:2" ht="15.5" x14ac:dyDescent="0.35">
      <c r="B1940" s="183"/>
    </row>
    <row r="1941" spans="2:2" ht="15.5" x14ac:dyDescent="0.35">
      <c r="B1941" s="183"/>
    </row>
    <row r="1942" spans="2:2" ht="15.5" x14ac:dyDescent="0.35">
      <c r="B1942" s="183"/>
    </row>
    <row r="1943" spans="2:2" ht="15.5" x14ac:dyDescent="0.35">
      <c r="B1943" s="183"/>
    </row>
    <row r="1944" spans="2:2" ht="15.5" x14ac:dyDescent="0.35">
      <c r="B1944" s="183"/>
    </row>
    <row r="1945" spans="2:2" ht="15.5" x14ac:dyDescent="0.35">
      <c r="B1945" s="183"/>
    </row>
    <row r="1946" spans="2:2" ht="15.5" x14ac:dyDescent="0.35">
      <c r="B1946" s="183"/>
    </row>
    <row r="1947" spans="2:2" ht="15.5" x14ac:dyDescent="0.35">
      <c r="B1947" s="183"/>
    </row>
    <row r="1948" spans="2:2" ht="15.5" x14ac:dyDescent="0.35">
      <c r="B1948" s="183"/>
    </row>
    <row r="1949" spans="2:2" ht="15.5" x14ac:dyDescent="0.35">
      <c r="B1949" s="183"/>
    </row>
    <row r="1950" spans="2:2" ht="15.5" x14ac:dyDescent="0.35">
      <c r="B1950" s="183"/>
    </row>
    <row r="1951" spans="2:2" ht="15.5" x14ac:dyDescent="0.35">
      <c r="B1951" s="183"/>
    </row>
    <row r="1952" spans="2:2" ht="15.5" x14ac:dyDescent="0.35">
      <c r="B1952" s="183"/>
    </row>
    <row r="1953" spans="2:2" ht="15.5" x14ac:dyDescent="0.35">
      <c r="B1953" s="183"/>
    </row>
    <row r="1954" spans="2:2" ht="15.5" x14ac:dyDescent="0.35">
      <c r="B1954" s="183"/>
    </row>
    <row r="1955" spans="2:2" ht="15.5" x14ac:dyDescent="0.35">
      <c r="B1955" s="183"/>
    </row>
    <row r="1956" spans="2:2" ht="15.5" x14ac:dyDescent="0.35">
      <c r="B1956" s="183"/>
    </row>
    <row r="1957" spans="2:2" ht="15.5" x14ac:dyDescent="0.35">
      <c r="B1957" s="183"/>
    </row>
    <row r="1958" spans="2:2" ht="15.5" x14ac:dyDescent="0.35">
      <c r="B1958" s="183"/>
    </row>
    <row r="1959" spans="2:2" ht="15.5" x14ac:dyDescent="0.35">
      <c r="B1959" s="183"/>
    </row>
    <row r="1960" spans="2:2" ht="15.5" x14ac:dyDescent="0.35">
      <c r="B1960" s="183"/>
    </row>
    <row r="1961" spans="2:2" ht="15.5" x14ac:dyDescent="0.35">
      <c r="B1961" s="183"/>
    </row>
    <row r="1962" spans="2:2" ht="15.5" x14ac:dyDescent="0.35">
      <c r="B1962" s="183"/>
    </row>
    <row r="1963" spans="2:2" ht="15.5" x14ac:dyDescent="0.35">
      <c r="B1963" s="183"/>
    </row>
    <row r="1964" spans="2:2" ht="15.5" x14ac:dyDescent="0.35">
      <c r="B1964" s="183"/>
    </row>
    <row r="1965" spans="2:2" ht="15.5" x14ac:dyDescent="0.35">
      <c r="B1965" s="183"/>
    </row>
    <row r="1966" spans="2:2" ht="15.5" x14ac:dyDescent="0.35">
      <c r="B1966" s="183"/>
    </row>
    <row r="1967" spans="2:2" ht="15.5" x14ac:dyDescent="0.35">
      <c r="B1967" s="183"/>
    </row>
    <row r="1968" spans="2:2" ht="15.5" x14ac:dyDescent="0.35">
      <c r="B1968" s="183"/>
    </row>
    <row r="1969" spans="2:2" ht="15.5" x14ac:dyDescent="0.35">
      <c r="B1969" s="183"/>
    </row>
    <row r="1970" spans="2:2" ht="15.5" x14ac:dyDescent="0.35">
      <c r="B1970" s="183"/>
    </row>
    <row r="1971" spans="2:2" ht="15.5" x14ac:dyDescent="0.35">
      <c r="B1971" s="183"/>
    </row>
    <row r="1972" spans="2:2" ht="15.5" x14ac:dyDescent="0.35">
      <c r="B1972" s="183"/>
    </row>
    <row r="1973" spans="2:2" ht="15.5" x14ac:dyDescent="0.35">
      <c r="B1973" s="183"/>
    </row>
    <row r="1974" spans="2:2" ht="15.5" x14ac:dyDescent="0.35">
      <c r="B1974" s="183"/>
    </row>
    <row r="1975" spans="2:2" ht="15.5" x14ac:dyDescent="0.35">
      <c r="B1975" s="183"/>
    </row>
    <row r="1976" spans="2:2" ht="15.5" x14ac:dyDescent="0.35">
      <c r="B1976" s="183"/>
    </row>
    <row r="1977" spans="2:2" ht="15.5" x14ac:dyDescent="0.35">
      <c r="B1977" s="183"/>
    </row>
    <row r="1978" spans="2:2" ht="15.5" x14ac:dyDescent="0.35">
      <c r="B1978" s="183"/>
    </row>
    <row r="1979" spans="2:2" ht="15.5" x14ac:dyDescent="0.35">
      <c r="B1979" s="183"/>
    </row>
    <row r="1980" spans="2:2" ht="15.5" x14ac:dyDescent="0.35">
      <c r="B1980" s="183"/>
    </row>
    <row r="1981" spans="2:2" ht="15.5" x14ac:dyDescent="0.35">
      <c r="B1981" s="183"/>
    </row>
    <row r="1982" spans="2:2" ht="15.5" x14ac:dyDescent="0.35">
      <c r="B1982" s="183"/>
    </row>
    <row r="1983" spans="2:2" ht="15.5" x14ac:dyDescent="0.35">
      <c r="B1983" s="183"/>
    </row>
    <row r="1984" spans="2:2" ht="15.5" x14ac:dyDescent="0.35">
      <c r="B1984" s="183"/>
    </row>
    <row r="1985" spans="2:2" ht="15.5" x14ac:dyDescent="0.35">
      <c r="B1985" s="183"/>
    </row>
    <row r="1986" spans="2:2" ht="15.5" x14ac:dyDescent="0.35">
      <c r="B1986" s="183"/>
    </row>
    <row r="1987" spans="2:2" ht="15.5" x14ac:dyDescent="0.35">
      <c r="B1987" s="183"/>
    </row>
    <row r="1988" spans="2:2" ht="15.5" x14ac:dyDescent="0.35">
      <c r="B1988" s="183"/>
    </row>
    <row r="1989" spans="2:2" ht="15.5" x14ac:dyDescent="0.35">
      <c r="B1989" s="183"/>
    </row>
    <row r="1990" spans="2:2" ht="15.5" x14ac:dyDescent="0.35">
      <c r="B1990" s="183"/>
    </row>
    <row r="1991" spans="2:2" ht="15.5" x14ac:dyDescent="0.35">
      <c r="B1991" s="183"/>
    </row>
    <row r="1992" spans="2:2" ht="15.5" x14ac:dyDescent="0.35">
      <c r="B1992" s="183"/>
    </row>
    <row r="1993" spans="2:2" ht="15.5" x14ac:dyDescent="0.35">
      <c r="B1993" s="183"/>
    </row>
    <row r="1994" spans="2:2" ht="15.5" x14ac:dyDescent="0.35">
      <c r="B1994" s="183"/>
    </row>
    <row r="1995" spans="2:2" ht="15.5" x14ac:dyDescent="0.35">
      <c r="B1995" s="183"/>
    </row>
    <row r="1996" spans="2:2" ht="15.5" x14ac:dyDescent="0.35">
      <c r="B1996" s="183"/>
    </row>
    <row r="1997" spans="2:2" ht="15.5" x14ac:dyDescent="0.35">
      <c r="B1997" s="183"/>
    </row>
    <row r="1998" spans="2:2" ht="15.5" x14ac:dyDescent="0.35">
      <c r="B1998" s="183"/>
    </row>
    <row r="1999" spans="2:2" ht="15.5" x14ac:dyDescent="0.35">
      <c r="B1999" s="183"/>
    </row>
    <row r="2000" spans="2:2" ht="15.5" x14ac:dyDescent="0.35">
      <c r="B2000" s="183"/>
    </row>
    <row r="2001" spans="2:2" ht="15.5" x14ac:dyDescent="0.35">
      <c r="B2001" s="183"/>
    </row>
    <row r="2002" spans="2:2" ht="15.5" x14ac:dyDescent="0.35">
      <c r="B2002" s="183"/>
    </row>
    <row r="2003" spans="2:2" ht="15.5" x14ac:dyDescent="0.35">
      <c r="B2003" s="183"/>
    </row>
    <row r="2004" spans="2:2" ht="15.5" x14ac:dyDescent="0.35">
      <c r="B2004" s="183"/>
    </row>
    <row r="2005" spans="2:2" ht="15.5" x14ac:dyDescent="0.35">
      <c r="B2005" s="183"/>
    </row>
    <row r="2006" spans="2:2" ht="15.5" x14ac:dyDescent="0.35">
      <c r="B2006" s="183"/>
    </row>
    <row r="2007" spans="2:2" ht="15.5" x14ac:dyDescent="0.35">
      <c r="B2007" s="183"/>
    </row>
    <row r="2008" spans="2:2" ht="15.5" x14ac:dyDescent="0.35">
      <c r="B2008" s="183"/>
    </row>
    <row r="2009" spans="2:2" ht="15.5" x14ac:dyDescent="0.35">
      <c r="B2009" s="183"/>
    </row>
    <row r="2010" spans="2:2" ht="15.5" x14ac:dyDescent="0.35">
      <c r="B2010" s="183"/>
    </row>
    <row r="2011" spans="2:2" ht="15.5" x14ac:dyDescent="0.35">
      <c r="B2011" s="183"/>
    </row>
    <row r="2012" spans="2:2" ht="15.5" x14ac:dyDescent="0.35">
      <c r="B2012" s="183"/>
    </row>
    <row r="2013" spans="2:2" ht="15.5" x14ac:dyDescent="0.35">
      <c r="B2013" s="183"/>
    </row>
    <row r="2014" spans="2:2" ht="15.5" x14ac:dyDescent="0.35">
      <c r="B2014" s="183"/>
    </row>
    <row r="2015" spans="2:2" ht="15.5" x14ac:dyDescent="0.35">
      <c r="B2015" s="183"/>
    </row>
    <row r="2016" spans="2:2" ht="15.5" x14ac:dyDescent="0.35">
      <c r="B2016" s="183"/>
    </row>
    <row r="2017" spans="2:2" ht="15.5" x14ac:dyDescent="0.35">
      <c r="B2017" s="183"/>
    </row>
    <row r="2018" spans="2:2" ht="15.5" x14ac:dyDescent="0.35">
      <c r="B2018" s="183"/>
    </row>
    <row r="2019" spans="2:2" ht="15.5" x14ac:dyDescent="0.35">
      <c r="B2019" s="183"/>
    </row>
    <row r="2020" spans="2:2" ht="15.5" x14ac:dyDescent="0.35">
      <c r="B2020" s="183"/>
    </row>
    <row r="2021" spans="2:2" ht="15.5" x14ac:dyDescent="0.35">
      <c r="B2021" s="183"/>
    </row>
    <row r="2022" spans="2:2" ht="15.5" x14ac:dyDescent="0.35">
      <c r="B2022" s="183"/>
    </row>
    <row r="2023" spans="2:2" ht="15.5" x14ac:dyDescent="0.35">
      <c r="B2023" s="183"/>
    </row>
    <row r="2024" spans="2:2" ht="15.5" x14ac:dyDescent="0.35">
      <c r="B2024" s="183"/>
    </row>
    <row r="2025" spans="2:2" ht="15.5" x14ac:dyDescent="0.35">
      <c r="B2025" s="183"/>
    </row>
    <row r="2026" spans="2:2" ht="15.5" x14ac:dyDescent="0.35">
      <c r="B2026" s="183"/>
    </row>
    <row r="2027" spans="2:2" ht="15.5" x14ac:dyDescent="0.35">
      <c r="B2027" s="183"/>
    </row>
    <row r="2028" spans="2:2" ht="15.5" x14ac:dyDescent="0.35">
      <c r="B2028" s="183"/>
    </row>
    <row r="2029" spans="2:2" ht="15.5" x14ac:dyDescent="0.35">
      <c r="B2029" s="183"/>
    </row>
    <row r="2030" spans="2:2" ht="15.5" x14ac:dyDescent="0.35">
      <c r="B2030" s="183"/>
    </row>
    <row r="2031" spans="2:2" ht="15.5" x14ac:dyDescent="0.35">
      <c r="B2031" s="183"/>
    </row>
    <row r="2032" spans="2:2" ht="15.5" x14ac:dyDescent="0.35">
      <c r="B2032" s="183"/>
    </row>
    <row r="2033" spans="2:2" ht="15.5" x14ac:dyDescent="0.35">
      <c r="B2033" s="183"/>
    </row>
    <row r="2034" spans="2:2" ht="15.5" x14ac:dyDescent="0.35">
      <c r="B2034" s="183"/>
    </row>
    <row r="2035" spans="2:2" ht="15.5" x14ac:dyDescent="0.35">
      <c r="B2035" s="183"/>
    </row>
    <row r="2036" spans="2:2" ht="15.5" x14ac:dyDescent="0.35">
      <c r="B2036" s="183"/>
    </row>
    <row r="2037" spans="2:2" ht="15.5" x14ac:dyDescent="0.35">
      <c r="B2037" s="183"/>
    </row>
    <row r="2038" spans="2:2" ht="15.5" x14ac:dyDescent="0.35">
      <c r="B2038" s="183"/>
    </row>
    <row r="2039" spans="2:2" ht="15.5" x14ac:dyDescent="0.35">
      <c r="B2039" s="183"/>
    </row>
    <row r="2040" spans="2:2" ht="15.5" x14ac:dyDescent="0.35">
      <c r="B2040" s="183"/>
    </row>
    <row r="2041" spans="2:2" ht="15.5" x14ac:dyDescent="0.35">
      <c r="B2041" s="183"/>
    </row>
    <row r="2042" spans="2:2" ht="15.5" x14ac:dyDescent="0.35">
      <c r="B2042" s="183"/>
    </row>
    <row r="2043" spans="2:2" ht="15.5" x14ac:dyDescent="0.35">
      <c r="B2043" s="183"/>
    </row>
    <row r="2044" spans="2:2" ht="15.5" x14ac:dyDescent="0.35">
      <c r="B2044" s="183"/>
    </row>
    <row r="2045" spans="2:2" ht="15.5" x14ac:dyDescent="0.35">
      <c r="B2045" s="183"/>
    </row>
    <row r="2046" spans="2:2" ht="15.5" x14ac:dyDescent="0.35">
      <c r="B2046" s="183"/>
    </row>
    <row r="2047" spans="2:2" ht="15.5" x14ac:dyDescent="0.35">
      <c r="B2047" s="183"/>
    </row>
    <row r="2048" spans="2:2" ht="15.5" x14ac:dyDescent="0.35">
      <c r="B2048" s="183"/>
    </row>
    <row r="2049" spans="2:2" ht="15.5" x14ac:dyDescent="0.35">
      <c r="B2049" s="183"/>
    </row>
    <row r="2050" spans="2:2" ht="15.5" x14ac:dyDescent="0.35">
      <c r="B2050" s="183"/>
    </row>
    <row r="2051" spans="2:2" ht="15.5" x14ac:dyDescent="0.35">
      <c r="B2051" s="183"/>
    </row>
    <row r="2052" spans="2:2" ht="15.5" x14ac:dyDescent="0.35">
      <c r="B2052" s="183"/>
    </row>
    <row r="2053" spans="2:2" ht="15.5" x14ac:dyDescent="0.35">
      <c r="B2053" s="183"/>
    </row>
    <row r="2054" spans="2:2" ht="15.5" x14ac:dyDescent="0.35">
      <c r="B2054" s="183"/>
    </row>
    <row r="2055" spans="2:2" ht="15.5" x14ac:dyDescent="0.35">
      <c r="B2055" s="183"/>
    </row>
    <row r="2056" spans="2:2" ht="15.5" x14ac:dyDescent="0.35">
      <c r="B2056" s="183"/>
    </row>
    <row r="2057" spans="2:2" ht="15.5" x14ac:dyDescent="0.35">
      <c r="B2057" s="183"/>
    </row>
    <row r="2058" spans="2:2" ht="15.5" x14ac:dyDescent="0.35">
      <c r="B2058" s="183"/>
    </row>
    <row r="2059" spans="2:2" ht="15.5" x14ac:dyDescent="0.35">
      <c r="B2059" s="183"/>
    </row>
    <row r="2060" spans="2:2" ht="15.5" x14ac:dyDescent="0.35">
      <c r="B2060" s="183"/>
    </row>
    <row r="2061" spans="2:2" ht="15.5" x14ac:dyDescent="0.35">
      <c r="B2061" s="183"/>
    </row>
    <row r="2062" spans="2:2" ht="15.5" x14ac:dyDescent="0.35">
      <c r="B2062" s="183"/>
    </row>
    <row r="2063" spans="2:2" ht="15.5" x14ac:dyDescent="0.35">
      <c r="B2063" s="183"/>
    </row>
    <row r="2064" spans="2:2" ht="15.5" x14ac:dyDescent="0.35">
      <c r="B2064" s="183"/>
    </row>
    <row r="2065" spans="2:2" ht="15.5" x14ac:dyDescent="0.35">
      <c r="B2065" s="183"/>
    </row>
    <row r="2066" spans="2:2" ht="15.5" x14ac:dyDescent="0.35">
      <c r="B2066" s="183"/>
    </row>
    <row r="2067" spans="2:2" ht="15.5" x14ac:dyDescent="0.35">
      <c r="B2067" s="183"/>
    </row>
    <row r="2068" spans="2:2" ht="15.5" x14ac:dyDescent="0.35">
      <c r="B2068" s="183"/>
    </row>
    <row r="2069" spans="2:2" ht="15.5" x14ac:dyDescent="0.35">
      <c r="B2069" s="183"/>
    </row>
    <row r="2070" spans="2:2" ht="15.5" x14ac:dyDescent="0.35">
      <c r="B2070" s="183"/>
    </row>
    <row r="2071" spans="2:2" ht="15.5" x14ac:dyDescent="0.35">
      <c r="B2071" s="183"/>
    </row>
    <row r="2072" spans="2:2" ht="15.5" x14ac:dyDescent="0.35">
      <c r="B2072" s="183"/>
    </row>
    <row r="2073" spans="2:2" ht="15.5" x14ac:dyDescent="0.35">
      <c r="B2073" s="183"/>
    </row>
    <row r="2074" spans="2:2" ht="15.5" x14ac:dyDescent="0.35">
      <c r="B2074" s="183"/>
    </row>
    <row r="2075" spans="2:2" ht="15.5" x14ac:dyDescent="0.35">
      <c r="B2075" s="183"/>
    </row>
    <row r="2076" spans="2:2" ht="15.5" x14ac:dyDescent="0.35">
      <c r="B2076" s="183"/>
    </row>
    <row r="2077" spans="2:2" ht="15.5" x14ac:dyDescent="0.35">
      <c r="B2077" s="183"/>
    </row>
    <row r="2078" spans="2:2" ht="15.5" x14ac:dyDescent="0.35">
      <c r="B2078" s="183"/>
    </row>
    <row r="2079" spans="2:2" ht="15.5" x14ac:dyDescent="0.35">
      <c r="B2079" s="183"/>
    </row>
    <row r="2080" spans="2:2" ht="15.5" x14ac:dyDescent="0.35">
      <c r="B2080" s="183"/>
    </row>
    <row r="2081" spans="2:2" ht="15.5" x14ac:dyDescent="0.35">
      <c r="B2081" s="183"/>
    </row>
    <row r="2082" spans="2:2" ht="15.5" x14ac:dyDescent="0.35">
      <c r="B2082" s="183"/>
    </row>
    <row r="2083" spans="2:2" ht="15.5" x14ac:dyDescent="0.35">
      <c r="B2083" s="183"/>
    </row>
    <row r="2084" spans="2:2" ht="15.5" x14ac:dyDescent="0.35">
      <c r="B2084" s="183"/>
    </row>
    <row r="2085" spans="2:2" ht="15.5" x14ac:dyDescent="0.35">
      <c r="B2085" s="183"/>
    </row>
    <row r="2086" spans="2:2" ht="15.5" x14ac:dyDescent="0.35">
      <c r="B2086" s="183"/>
    </row>
    <row r="2087" spans="2:2" ht="15.5" x14ac:dyDescent="0.35">
      <c r="B2087" s="183"/>
    </row>
    <row r="2088" spans="2:2" ht="15.5" x14ac:dyDescent="0.35">
      <c r="B2088" s="183"/>
    </row>
    <row r="2089" spans="2:2" ht="15.5" x14ac:dyDescent="0.35">
      <c r="B2089" s="183"/>
    </row>
    <row r="2090" spans="2:2" ht="15.5" x14ac:dyDescent="0.35">
      <c r="B2090" s="183"/>
    </row>
    <row r="2091" spans="2:2" ht="15.5" x14ac:dyDescent="0.35">
      <c r="B2091" s="183"/>
    </row>
    <row r="2092" spans="2:2" ht="15.5" x14ac:dyDescent="0.35">
      <c r="B2092" s="183"/>
    </row>
    <row r="2093" spans="2:2" ht="15.5" x14ac:dyDescent="0.35">
      <c r="B2093" s="183"/>
    </row>
    <row r="2094" spans="2:2" ht="15.5" x14ac:dyDescent="0.35">
      <c r="B2094" s="183"/>
    </row>
    <row r="2095" spans="2:2" ht="15.5" x14ac:dyDescent="0.35">
      <c r="B2095" s="183"/>
    </row>
    <row r="2096" spans="2:2" ht="15.5" x14ac:dyDescent="0.35">
      <c r="B2096" s="183"/>
    </row>
    <row r="2097" spans="2:2" ht="15.5" x14ac:dyDescent="0.35">
      <c r="B2097" s="183"/>
    </row>
    <row r="2098" spans="2:2" ht="15.5" x14ac:dyDescent="0.35">
      <c r="B2098" s="183"/>
    </row>
    <row r="2099" spans="2:2" ht="15.5" x14ac:dyDescent="0.35">
      <c r="B2099" s="183"/>
    </row>
    <row r="2100" spans="2:2" ht="15.5" x14ac:dyDescent="0.35">
      <c r="B2100" s="183"/>
    </row>
    <row r="2101" spans="2:2" ht="15.5" x14ac:dyDescent="0.35">
      <c r="B2101" s="183"/>
    </row>
    <row r="2102" spans="2:2" ht="15.5" x14ac:dyDescent="0.35">
      <c r="B2102" s="183"/>
    </row>
    <row r="2103" spans="2:2" ht="15.5" x14ac:dyDescent="0.35">
      <c r="B2103" s="183"/>
    </row>
    <row r="2104" spans="2:2" ht="15.5" x14ac:dyDescent="0.35">
      <c r="B2104" s="183"/>
    </row>
    <row r="2105" spans="2:2" ht="15.5" x14ac:dyDescent="0.35">
      <c r="B2105" s="183"/>
    </row>
    <row r="2106" spans="2:2" ht="15.5" x14ac:dyDescent="0.35">
      <c r="B2106" s="183"/>
    </row>
    <row r="2107" spans="2:2" ht="15.5" x14ac:dyDescent="0.35">
      <c r="B2107" s="183"/>
    </row>
    <row r="2108" spans="2:2" ht="15.5" x14ac:dyDescent="0.35">
      <c r="B2108" s="183"/>
    </row>
    <row r="2109" spans="2:2" ht="15.5" x14ac:dyDescent="0.35">
      <c r="B2109" s="183"/>
    </row>
    <row r="2110" spans="2:2" ht="15.5" x14ac:dyDescent="0.35">
      <c r="B2110" s="183"/>
    </row>
    <row r="2111" spans="2:2" ht="15.5" x14ac:dyDescent="0.35">
      <c r="B2111" s="183"/>
    </row>
    <row r="2112" spans="2:2" ht="15.5" x14ac:dyDescent="0.35">
      <c r="B2112" s="183"/>
    </row>
    <row r="2113" spans="2:2" ht="15.5" x14ac:dyDescent="0.35">
      <c r="B2113" s="183"/>
    </row>
    <row r="2114" spans="2:2" ht="15.5" x14ac:dyDescent="0.35">
      <c r="B2114" s="183"/>
    </row>
    <row r="2115" spans="2:2" ht="15.5" x14ac:dyDescent="0.35">
      <c r="B2115" s="183"/>
    </row>
    <row r="2116" spans="2:2" ht="15.5" x14ac:dyDescent="0.35">
      <c r="B2116" s="183"/>
    </row>
    <row r="2117" spans="2:2" ht="15.5" x14ac:dyDescent="0.35">
      <c r="B2117" s="183"/>
    </row>
    <row r="2118" spans="2:2" ht="15.5" x14ac:dyDescent="0.35">
      <c r="B2118" s="183"/>
    </row>
    <row r="2119" spans="2:2" ht="15.5" x14ac:dyDescent="0.35">
      <c r="B2119" s="183"/>
    </row>
    <row r="2120" spans="2:2" ht="15.5" x14ac:dyDescent="0.35">
      <c r="B2120" s="183"/>
    </row>
    <row r="2121" spans="2:2" ht="15.5" x14ac:dyDescent="0.35">
      <c r="B2121" s="183"/>
    </row>
    <row r="2122" spans="2:2" ht="15.5" x14ac:dyDescent="0.35">
      <c r="B2122" s="183"/>
    </row>
    <row r="2123" spans="2:2" ht="15.5" x14ac:dyDescent="0.35">
      <c r="B2123" s="183"/>
    </row>
    <row r="2124" spans="2:2" ht="15.5" x14ac:dyDescent="0.35">
      <c r="B2124" s="183"/>
    </row>
    <row r="2125" spans="2:2" ht="15.5" x14ac:dyDescent="0.35">
      <c r="B2125" s="183"/>
    </row>
    <row r="2126" spans="2:2" ht="15.5" x14ac:dyDescent="0.35">
      <c r="B2126" s="183"/>
    </row>
    <row r="2127" spans="2:2" ht="15.5" x14ac:dyDescent="0.35">
      <c r="B2127" s="183"/>
    </row>
    <row r="2128" spans="2:2" ht="15.5" x14ac:dyDescent="0.35">
      <c r="B2128" s="183"/>
    </row>
    <row r="2129" spans="2:2" ht="15.5" x14ac:dyDescent="0.35">
      <c r="B2129" s="183"/>
    </row>
    <row r="2130" spans="2:2" ht="15.5" x14ac:dyDescent="0.35">
      <c r="B2130" s="183"/>
    </row>
    <row r="2131" spans="2:2" ht="15.5" x14ac:dyDescent="0.35">
      <c r="B2131" s="183"/>
    </row>
    <row r="2132" spans="2:2" ht="15.5" x14ac:dyDescent="0.35">
      <c r="B2132" s="183"/>
    </row>
    <row r="2133" spans="2:2" ht="15.5" x14ac:dyDescent="0.35">
      <c r="B2133" s="183"/>
    </row>
    <row r="2134" spans="2:2" ht="15.5" x14ac:dyDescent="0.35">
      <c r="B2134" s="183"/>
    </row>
    <row r="2135" spans="2:2" ht="15.5" x14ac:dyDescent="0.35">
      <c r="B2135" s="183"/>
    </row>
    <row r="2136" spans="2:2" ht="15.5" x14ac:dyDescent="0.35">
      <c r="B2136" s="183"/>
    </row>
    <row r="2137" spans="2:2" ht="15.5" x14ac:dyDescent="0.35">
      <c r="B2137" s="183"/>
    </row>
    <row r="2138" spans="2:2" ht="15.5" x14ac:dyDescent="0.35">
      <c r="B2138" s="183"/>
    </row>
    <row r="2139" spans="2:2" ht="15.5" x14ac:dyDescent="0.35">
      <c r="B2139" s="183"/>
    </row>
    <row r="2140" spans="2:2" ht="15.5" x14ac:dyDescent="0.35">
      <c r="B2140" s="183"/>
    </row>
    <row r="2141" spans="2:2" ht="15.5" x14ac:dyDescent="0.35">
      <c r="B2141" s="183"/>
    </row>
    <row r="2142" spans="2:2" ht="15.5" x14ac:dyDescent="0.35">
      <c r="B2142" s="183"/>
    </row>
    <row r="2143" spans="2:2" ht="15.5" x14ac:dyDescent="0.35">
      <c r="B2143" s="183"/>
    </row>
    <row r="2144" spans="2:2" ht="15.5" x14ac:dyDescent="0.35">
      <c r="B2144" s="183"/>
    </row>
    <row r="2145" spans="2:2" ht="15.5" x14ac:dyDescent="0.35">
      <c r="B2145" s="183"/>
    </row>
    <row r="2146" spans="2:2" ht="15.5" x14ac:dyDescent="0.35">
      <c r="B2146" s="183"/>
    </row>
    <row r="2147" spans="2:2" ht="15.5" x14ac:dyDescent="0.35">
      <c r="B2147" s="183"/>
    </row>
    <row r="2148" spans="2:2" ht="15.5" x14ac:dyDescent="0.35">
      <c r="B2148" s="183"/>
    </row>
    <row r="2149" spans="2:2" ht="15.5" x14ac:dyDescent="0.35">
      <c r="B2149" s="183"/>
    </row>
    <row r="2150" spans="2:2" ht="15.5" x14ac:dyDescent="0.35">
      <c r="B2150" s="183"/>
    </row>
    <row r="2151" spans="2:2" ht="15.5" x14ac:dyDescent="0.35">
      <c r="B2151" s="183"/>
    </row>
    <row r="2152" spans="2:2" ht="15.5" x14ac:dyDescent="0.35">
      <c r="B2152" s="183"/>
    </row>
    <row r="2153" spans="2:2" ht="15.5" x14ac:dyDescent="0.35">
      <c r="B2153" s="183"/>
    </row>
    <row r="2154" spans="2:2" ht="15.5" x14ac:dyDescent="0.35">
      <c r="B2154" s="183"/>
    </row>
    <row r="2155" spans="2:2" ht="15.5" x14ac:dyDescent="0.35">
      <c r="B2155" s="183"/>
    </row>
    <row r="2156" spans="2:2" ht="15.5" x14ac:dyDescent="0.35">
      <c r="B2156" s="183"/>
    </row>
    <row r="2157" spans="2:2" ht="15.5" x14ac:dyDescent="0.35">
      <c r="B2157" s="183"/>
    </row>
    <row r="2158" spans="2:2" ht="15.5" x14ac:dyDescent="0.35">
      <c r="B2158" s="183"/>
    </row>
    <row r="2159" spans="2:2" ht="15.5" x14ac:dyDescent="0.35">
      <c r="B2159" s="183"/>
    </row>
    <row r="2160" spans="2:2" ht="15.5" x14ac:dyDescent="0.35">
      <c r="B2160" s="183"/>
    </row>
    <row r="2161" spans="2:2" ht="15.5" x14ac:dyDescent="0.35">
      <c r="B2161" s="183"/>
    </row>
    <row r="2162" spans="2:2" ht="15.5" x14ac:dyDescent="0.35">
      <c r="B2162" s="183"/>
    </row>
    <row r="2163" spans="2:2" ht="15.5" x14ac:dyDescent="0.35">
      <c r="B2163" s="183"/>
    </row>
    <row r="2164" spans="2:2" ht="15.5" x14ac:dyDescent="0.35">
      <c r="B2164" s="183"/>
    </row>
    <row r="2165" spans="2:2" ht="15.5" x14ac:dyDescent="0.35">
      <c r="B2165" s="183"/>
    </row>
    <row r="2166" spans="2:2" ht="15.5" x14ac:dyDescent="0.35">
      <c r="B2166" s="183"/>
    </row>
    <row r="2167" spans="2:2" ht="15.5" x14ac:dyDescent="0.35">
      <c r="B2167" s="183"/>
    </row>
    <row r="2168" spans="2:2" ht="15.5" x14ac:dyDescent="0.35">
      <c r="B2168" s="183"/>
    </row>
    <row r="2169" spans="2:2" ht="15.5" x14ac:dyDescent="0.35">
      <c r="B2169" s="183"/>
    </row>
    <row r="2170" spans="2:2" ht="15.5" x14ac:dyDescent="0.35">
      <c r="B2170" s="183"/>
    </row>
    <row r="2171" spans="2:2" ht="15.5" x14ac:dyDescent="0.35">
      <c r="B2171" s="183"/>
    </row>
    <row r="2172" spans="2:2" ht="15.5" x14ac:dyDescent="0.35">
      <c r="B2172" s="183"/>
    </row>
    <row r="2173" spans="2:2" ht="15.5" x14ac:dyDescent="0.35">
      <c r="B2173" s="183"/>
    </row>
    <row r="2174" spans="2:2" ht="15.5" x14ac:dyDescent="0.35">
      <c r="B2174" s="183"/>
    </row>
    <row r="2175" spans="2:2" ht="15.5" x14ac:dyDescent="0.35">
      <c r="B2175" s="183"/>
    </row>
    <row r="2176" spans="2:2" ht="15.5" x14ac:dyDescent="0.35">
      <c r="B2176" s="183"/>
    </row>
    <row r="2177" spans="2:2" ht="15.5" x14ac:dyDescent="0.35">
      <c r="B2177" s="183"/>
    </row>
    <row r="2178" spans="2:2" ht="15.5" x14ac:dyDescent="0.35">
      <c r="B2178" s="183"/>
    </row>
    <row r="2179" spans="2:2" ht="15.5" x14ac:dyDescent="0.35">
      <c r="B2179" s="183"/>
    </row>
    <row r="2180" spans="2:2" ht="15.5" x14ac:dyDescent="0.35">
      <c r="B2180" s="183"/>
    </row>
    <row r="2181" spans="2:2" ht="15.5" x14ac:dyDescent="0.35">
      <c r="B2181" s="183"/>
    </row>
    <row r="2182" spans="2:2" ht="15.5" x14ac:dyDescent="0.35">
      <c r="B2182" s="183"/>
    </row>
    <row r="2183" spans="2:2" ht="15.5" x14ac:dyDescent="0.35">
      <c r="B2183" s="183"/>
    </row>
    <row r="2184" spans="2:2" ht="15.5" x14ac:dyDescent="0.35">
      <c r="B2184" s="183"/>
    </row>
    <row r="2185" spans="2:2" ht="15.5" x14ac:dyDescent="0.35">
      <c r="B2185" s="183"/>
    </row>
    <row r="2186" spans="2:2" ht="15.5" x14ac:dyDescent="0.35">
      <c r="B2186" s="183"/>
    </row>
    <row r="2187" spans="2:2" ht="15.5" x14ac:dyDescent="0.35">
      <c r="B2187" s="183"/>
    </row>
    <row r="2188" spans="2:2" ht="15.5" x14ac:dyDescent="0.35">
      <c r="B2188" s="183"/>
    </row>
    <row r="2189" spans="2:2" ht="15.5" x14ac:dyDescent="0.35">
      <c r="B2189" s="183"/>
    </row>
    <row r="2190" spans="2:2" ht="15.5" x14ac:dyDescent="0.35">
      <c r="B2190" s="183"/>
    </row>
    <row r="2191" spans="2:2" ht="15.5" x14ac:dyDescent="0.35">
      <c r="B2191" s="183"/>
    </row>
    <row r="2192" spans="2:2" ht="15.5" x14ac:dyDescent="0.35">
      <c r="B2192" s="183"/>
    </row>
    <row r="2193" spans="2:2" ht="15.5" x14ac:dyDescent="0.35">
      <c r="B2193" s="183"/>
    </row>
    <row r="2194" spans="2:2" ht="15.5" x14ac:dyDescent="0.35">
      <c r="B2194" s="183"/>
    </row>
    <row r="2195" spans="2:2" ht="15.5" x14ac:dyDescent="0.35">
      <c r="B2195" s="183"/>
    </row>
    <row r="2196" spans="2:2" ht="15.5" x14ac:dyDescent="0.35">
      <c r="B2196" s="183"/>
    </row>
    <row r="2197" spans="2:2" ht="15.5" x14ac:dyDescent="0.35">
      <c r="B2197" s="183"/>
    </row>
    <row r="2198" spans="2:2" ht="15.5" x14ac:dyDescent="0.35">
      <c r="B2198" s="183"/>
    </row>
    <row r="2199" spans="2:2" ht="15.5" x14ac:dyDescent="0.35">
      <c r="B2199" s="183"/>
    </row>
    <row r="2200" spans="2:2" ht="15.5" x14ac:dyDescent="0.35">
      <c r="B2200" s="183"/>
    </row>
    <row r="2201" spans="2:2" ht="15.5" x14ac:dyDescent="0.35">
      <c r="B2201" s="183"/>
    </row>
    <row r="2202" spans="2:2" ht="15.5" x14ac:dyDescent="0.35">
      <c r="B2202" s="183"/>
    </row>
    <row r="2203" spans="2:2" ht="15.5" x14ac:dyDescent="0.35">
      <c r="B2203" s="183"/>
    </row>
    <row r="2204" spans="2:2" ht="15.5" x14ac:dyDescent="0.35">
      <c r="B2204" s="183"/>
    </row>
    <row r="2205" spans="2:2" ht="15.5" x14ac:dyDescent="0.35">
      <c r="B2205" s="183"/>
    </row>
    <row r="2206" spans="2:2" ht="15.5" x14ac:dyDescent="0.35">
      <c r="B2206" s="183"/>
    </row>
    <row r="2207" spans="2:2" ht="15.5" x14ac:dyDescent="0.35">
      <c r="B2207" s="183"/>
    </row>
    <row r="2208" spans="2:2" ht="15.5" x14ac:dyDescent="0.35">
      <c r="B2208" s="183"/>
    </row>
    <row r="2209" spans="2:2" ht="15.5" x14ac:dyDescent="0.35">
      <c r="B2209" s="183"/>
    </row>
    <row r="2210" spans="2:2" ht="15.5" x14ac:dyDescent="0.35">
      <c r="B2210" s="183"/>
    </row>
    <row r="2211" spans="2:2" ht="15.5" x14ac:dyDescent="0.35">
      <c r="B2211" s="183"/>
    </row>
    <row r="2212" spans="2:2" ht="15.5" x14ac:dyDescent="0.35">
      <c r="B2212" s="183"/>
    </row>
    <row r="2213" spans="2:2" ht="15.5" x14ac:dyDescent="0.35">
      <c r="B2213" s="183"/>
    </row>
    <row r="2214" spans="2:2" ht="15.5" x14ac:dyDescent="0.35">
      <c r="B2214" s="183"/>
    </row>
    <row r="2215" spans="2:2" ht="15.5" x14ac:dyDescent="0.35">
      <c r="B2215" s="183"/>
    </row>
    <row r="2216" spans="2:2" ht="15.5" x14ac:dyDescent="0.35">
      <c r="B2216" s="183"/>
    </row>
    <row r="2217" spans="2:2" ht="15.5" x14ac:dyDescent="0.35">
      <c r="B2217" s="183"/>
    </row>
    <row r="2218" spans="2:2" ht="15.5" x14ac:dyDescent="0.35">
      <c r="B2218" s="183"/>
    </row>
    <row r="2219" spans="2:2" ht="15.5" x14ac:dyDescent="0.35">
      <c r="B2219" s="183"/>
    </row>
    <row r="2220" spans="2:2" ht="15.5" x14ac:dyDescent="0.35">
      <c r="B2220" s="183"/>
    </row>
    <row r="2221" spans="2:2" ht="15.5" x14ac:dyDescent="0.35">
      <c r="B2221" s="183"/>
    </row>
    <row r="2222" spans="2:2" ht="15.5" x14ac:dyDescent="0.35">
      <c r="B2222" s="183"/>
    </row>
    <row r="2223" spans="2:2" ht="15.5" x14ac:dyDescent="0.35">
      <c r="B2223" s="183"/>
    </row>
    <row r="2224" spans="2:2" ht="15.5" x14ac:dyDescent="0.35">
      <c r="B2224" s="183"/>
    </row>
    <row r="2225" spans="2:2" ht="15.5" x14ac:dyDescent="0.35">
      <c r="B2225" s="183"/>
    </row>
    <row r="2226" spans="2:2" ht="15.5" x14ac:dyDescent="0.35">
      <c r="B2226" s="183"/>
    </row>
    <row r="2227" spans="2:2" ht="15.5" x14ac:dyDescent="0.35">
      <c r="B2227" s="183"/>
    </row>
    <row r="2228" spans="2:2" ht="15.5" x14ac:dyDescent="0.35">
      <c r="B2228" s="183"/>
    </row>
    <row r="2229" spans="2:2" ht="15.5" x14ac:dyDescent="0.35">
      <c r="B2229" s="183"/>
    </row>
    <row r="2230" spans="2:2" ht="15.5" x14ac:dyDescent="0.35">
      <c r="B2230" s="183"/>
    </row>
    <row r="2231" spans="2:2" ht="15.5" x14ac:dyDescent="0.35">
      <c r="B2231" s="183"/>
    </row>
    <row r="2232" spans="2:2" ht="15.5" x14ac:dyDescent="0.35">
      <c r="B2232" s="183"/>
    </row>
    <row r="2233" spans="2:2" ht="15.5" x14ac:dyDescent="0.35">
      <c r="B2233" s="183"/>
    </row>
    <row r="2234" spans="2:2" ht="15.5" x14ac:dyDescent="0.35">
      <c r="B2234" s="183"/>
    </row>
    <row r="2235" spans="2:2" ht="15.5" x14ac:dyDescent="0.35">
      <c r="B2235" s="183"/>
    </row>
    <row r="2236" spans="2:2" ht="15.5" x14ac:dyDescent="0.35">
      <c r="B2236" s="183"/>
    </row>
    <row r="2237" spans="2:2" ht="15.5" x14ac:dyDescent="0.35">
      <c r="B2237" s="183"/>
    </row>
    <row r="2238" spans="2:2" ht="15.5" x14ac:dyDescent="0.35">
      <c r="B2238" s="183"/>
    </row>
    <row r="2239" spans="2:2" ht="15.5" x14ac:dyDescent="0.35">
      <c r="B2239" s="183"/>
    </row>
    <row r="2240" spans="2:2" ht="15.5" x14ac:dyDescent="0.35">
      <c r="B2240" s="183"/>
    </row>
    <row r="2241" spans="2:2" ht="15.5" x14ac:dyDescent="0.35">
      <c r="B2241" s="183"/>
    </row>
    <row r="2242" spans="2:2" ht="15.5" x14ac:dyDescent="0.35">
      <c r="B2242" s="183"/>
    </row>
    <row r="2243" spans="2:2" ht="15.5" x14ac:dyDescent="0.35">
      <c r="B2243" s="183"/>
    </row>
    <row r="2244" spans="2:2" ht="15.5" x14ac:dyDescent="0.35">
      <c r="B2244" s="183"/>
    </row>
    <row r="2245" spans="2:2" ht="15.5" x14ac:dyDescent="0.35">
      <c r="B2245" s="183"/>
    </row>
    <row r="2246" spans="2:2" ht="15.5" x14ac:dyDescent="0.35">
      <c r="B2246" s="183"/>
    </row>
    <row r="2247" spans="2:2" ht="15.5" x14ac:dyDescent="0.35">
      <c r="B2247" s="183"/>
    </row>
    <row r="2248" spans="2:2" ht="15.5" x14ac:dyDescent="0.35">
      <c r="B2248" s="183"/>
    </row>
    <row r="2249" spans="2:2" ht="15.5" x14ac:dyDescent="0.35">
      <c r="B2249" s="183"/>
    </row>
    <row r="2250" spans="2:2" ht="15.5" x14ac:dyDescent="0.35">
      <c r="B2250" s="183"/>
    </row>
    <row r="2251" spans="2:2" ht="15.5" x14ac:dyDescent="0.35">
      <c r="B2251" s="183"/>
    </row>
    <row r="2252" spans="2:2" ht="15.5" x14ac:dyDescent="0.35">
      <c r="B2252" s="183"/>
    </row>
    <row r="2253" spans="2:2" ht="15.5" x14ac:dyDescent="0.35">
      <c r="B2253" s="183"/>
    </row>
    <row r="2254" spans="2:2" ht="15.5" x14ac:dyDescent="0.35">
      <c r="B2254" s="183"/>
    </row>
    <row r="2255" spans="2:2" ht="15.5" x14ac:dyDescent="0.35">
      <c r="B2255" s="183"/>
    </row>
    <row r="2256" spans="2:2" ht="15.5" x14ac:dyDescent="0.35">
      <c r="B2256" s="183"/>
    </row>
    <row r="2257" spans="2:2" ht="15.5" x14ac:dyDescent="0.35">
      <c r="B2257" s="183"/>
    </row>
    <row r="2258" spans="2:2" ht="15.5" x14ac:dyDescent="0.35">
      <c r="B2258" s="183"/>
    </row>
    <row r="2259" spans="2:2" ht="15.5" x14ac:dyDescent="0.35">
      <c r="B2259" s="183"/>
    </row>
    <row r="2260" spans="2:2" ht="15.5" x14ac:dyDescent="0.35">
      <c r="B2260" s="183"/>
    </row>
    <row r="2261" spans="2:2" ht="15.5" x14ac:dyDescent="0.35">
      <c r="B2261" s="183"/>
    </row>
    <row r="2262" spans="2:2" ht="15.5" x14ac:dyDescent="0.35">
      <c r="B2262" s="183"/>
    </row>
    <row r="2263" spans="2:2" ht="15.5" x14ac:dyDescent="0.35">
      <c r="B2263" s="183"/>
    </row>
    <row r="2264" spans="2:2" ht="15.5" x14ac:dyDescent="0.35">
      <c r="B2264" s="183"/>
    </row>
    <row r="2265" spans="2:2" ht="15.5" x14ac:dyDescent="0.35">
      <c r="B2265" s="183"/>
    </row>
    <row r="2266" spans="2:2" ht="15.5" x14ac:dyDescent="0.35">
      <c r="B2266" s="183"/>
    </row>
    <row r="2267" spans="2:2" ht="15.5" x14ac:dyDescent="0.35">
      <c r="B2267" s="183"/>
    </row>
    <row r="2268" spans="2:2" ht="15.5" x14ac:dyDescent="0.35">
      <c r="B2268" s="183"/>
    </row>
    <row r="2269" spans="2:2" ht="15.5" x14ac:dyDescent="0.35">
      <c r="B2269" s="183"/>
    </row>
    <row r="2270" spans="2:2" ht="15.5" x14ac:dyDescent="0.35">
      <c r="B2270" s="183"/>
    </row>
    <row r="2271" spans="2:2" ht="15.5" x14ac:dyDescent="0.35">
      <c r="B2271" s="183"/>
    </row>
    <row r="2272" spans="2:2" ht="15.5" x14ac:dyDescent="0.35">
      <c r="B2272" s="183"/>
    </row>
    <row r="2273" spans="2:2" ht="15.5" x14ac:dyDescent="0.35">
      <c r="B2273" s="183"/>
    </row>
    <row r="2274" spans="2:2" ht="15.5" x14ac:dyDescent="0.35">
      <c r="B2274" s="183"/>
    </row>
    <row r="2275" spans="2:2" ht="15.5" x14ac:dyDescent="0.35">
      <c r="B2275" s="183"/>
    </row>
    <row r="2276" spans="2:2" ht="15.5" x14ac:dyDescent="0.35">
      <c r="B2276" s="183"/>
    </row>
    <row r="2277" spans="2:2" ht="15.5" x14ac:dyDescent="0.35">
      <c r="B2277" s="183"/>
    </row>
    <row r="2278" spans="2:2" ht="15.5" x14ac:dyDescent="0.35">
      <c r="B2278" s="183"/>
    </row>
    <row r="2279" spans="2:2" ht="15.5" x14ac:dyDescent="0.35">
      <c r="B2279" s="183"/>
    </row>
    <row r="2280" spans="2:2" ht="15.5" x14ac:dyDescent="0.35">
      <c r="B2280" s="183"/>
    </row>
    <row r="2281" spans="2:2" ht="15.5" x14ac:dyDescent="0.35">
      <c r="B2281" s="183"/>
    </row>
    <row r="2282" spans="2:2" ht="15.5" x14ac:dyDescent="0.35">
      <c r="B2282" s="183"/>
    </row>
    <row r="2283" spans="2:2" ht="15.5" x14ac:dyDescent="0.35">
      <c r="B2283" s="183"/>
    </row>
    <row r="2284" spans="2:2" ht="15.5" x14ac:dyDescent="0.35">
      <c r="B2284" s="183"/>
    </row>
    <row r="2285" spans="2:2" ht="15.5" x14ac:dyDescent="0.35">
      <c r="B2285" s="183"/>
    </row>
    <row r="2286" spans="2:2" ht="15.5" x14ac:dyDescent="0.35">
      <c r="B2286" s="183"/>
    </row>
    <row r="2287" spans="2:2" ht="15.5" x14ac:dyDescent="0.35">
      <c r="B2287" s="183"/>
    </row>
    <row r="2288" spans="2:2" ht="15.5" x14ac:dyDescent="0.35">
      <c r="B2288" s="183"/>
    </row>
    <row r="2289" spans="2:2" ht="15.5" x14ac:dyDescent="0.35">
      <c r="B2289" s="183"/>
    </row>
    <row r="2290" spans="2:2" ht="15.5" x14ac:dyDescent="0.35">
      <c r="B2290" s="183"/>
    </row>
    <row r="2291" spans="2:2" ht="15.5" x14ac:dyDescent="0.35">
      <c r="B2291" s="183"/>
    </row>
    <row r="2292" spans="2:2" ht="15.5" x14ac:dyDescent="0.35">
      <c r="B2292" s="183"/>
    </row>
    <row r="2293" spans="2:2" ht="15.5" x14ac:dyDescent="0.35">
      <c r="B2293" s="183"/>
    </row>
    <row r="2294" spans="2:2" ht="15.5" x14ac:dyDescent="0.35">
      <c r="B2294" s="183"/>
    </row>
    <row r="2295" spans="2:2" ht="15.5" x14ac:dyDescent="0.35">
      <c r="B2295" s="183"/>
    </row>
    <row r="2296" spans="2:2" ht="15.5" x14ac:dyDescent="0.35">
      <c r="B2296" s="183"/>
    </row>
    <row r="2297" spans="2:2" ht="15.5" x14ac:dyDescent="0.35">
      <c r="B2297" s="183"/>
    </row>
    <row r="2298" spans="2:2" ht="15.5" x14ac:dyDescent="0.35">
      <c r="B2298" s="183"/>
    </row>
    <row r="2299" spans="2:2" ht="15.5" x14ac:dyDescent="0.35">
      <c r="B2299" s="183"/>
    </row>
    <row r="2300" spans="2:2" ht="15.5" x14ac:dyDescent="0.35">
      <c r="B2300" s="183"/>
    </row>
    <row r="2301" spans="2:2" ht="15.5" x14ac:dyDescent="0.35">
      <c r="B2301" s="183"/>
    </row>
    <row r="2302" spans="2:2" ht="15.5" x14ac:dyDescent="0.35">
      <c r="B2302" s="183"/>
    </row>
    <row r="2303" spans="2:2" ht="15.5" x14ac:dyDescent="0.35">
      <c r="B2303" s="183"/>
    </row>
    <row r="2304" spans="2:2" ht="15.5" x14ac:dyDescent="0.35">
      <c r="B2304" s="183"/>
    </row>
    <row r="2305" spans="2:2" ht="15.5" x14ac:dyDescent="0.35">
      <c r="B2305" s="183"/>
    </row>
    <row r="2306" spans="2:2" ht="15.5" x14ac:dyDescent="0.35">
      <c r="B2306" s="183"/>
    </row>
    <row r="2307" spans="2:2" ht="15.5" x14ac:dyDescent="0.35">
      <c r="B2307" s="183"/>
    </row>
    <row r="2308" spans="2:2" ht="15.5" x14ac:dyDescent="0.35">
      <c r="B2308" s="183"/>
    </row>
    <row r="2309" spans="2:2" ht="15.5" x14ac:dyDescent="0.35">
      <c r="B2309" s="183"/>
    </row>
    <row r="2310" spans="2:2" ht="15.5" x14ac:dyDescent="0.35">
      <c r="B2310" s="183"/>
    </row>
    <row r="2311" spans="2:2" ht="15.5" x14ac:dyDescent="0.35">
      <c r="B2311" s="183"/>
    </row>
    <row r="2312" spans="2:2" ht="15.5" x14ac:dyDescent="0.35">
      <c r="B2312" s="183"/>
    </row>
    <row r="2313" spans="2:2" ht="15.5" x14ac:dyDescent="0.35">
      <c r="B2313" s="183"/>
    </row>
    <row r="2314" spans="2:2" ht="15.5" x14ac:dyDescent="0.35">
      <c r="B2314" s="183"/>
    </row>
    <row r="2315" spans="2:2" ht="15.5" x14ac:dyDescent="0.35">
      <c r="B2315" s="183"/>
    </row>
    <row r="2316" spans="2:2" ht="15.5" x14ac:dyDescent="0.35">
      <c r="B2316" s="183"/>
    </row>
    <row r="2317" spans="2:2" ht="15.5" x14ac:dyDescent="0.35">
      <c r="B2317" s="183"/>
    </row>
    <row r="2318" spans="2:2" ht="15.5" x14ac:dyDescent="0.35">
      <c r="B2318" s="183"/>
    </row>
    <row r="2319" spans="2:2" ht="15.5" x14ac:dyDescent="0.35">
      <c r="B2319" s="183"/>
    </row>
    <row r="2320" spans="2:2" ht="15.5" x14ac:dyDescent="0.35">
      <c r="B2320" s="183"/>
    </row>
    <row r="2321" spans="2:2" ht="15.5" x14ac:dyDescent="0.35">
      <c r="B2321" s="183"/>
    </row>
    <row r="2322" spans="2:2" ht="15.5" x14ac:dyDescent="0.35">
      <c r="B2322" s="183"/>
    </row>
    <row r="2323" spans="2:2" ht="15.5" x14ac:dyDescent="0.35">
      <c r="B2323" s="183"/>
    </row>
    <row r="2324" spans="2:2" ht="15.5" x14ac:dyDescent="0.35">
      <c r="B2324" s="183"/>
    </row>
    <row r="2325" spans="2:2" ht="15.5" x14ac:dyDescent="0.35">
      <c r="B2325" s="183"/>
    </row>
    <row r="2326" spans="2:2" ht="15.5" x14ac:dyDescent="0.35">
      <c r="B2326" s="183"/>
    </row>
    <row r="2327" spans="2:2" ht="15.5" x14ac:dyDescent="0.35">
      <c r="B2327" s="183"/>
    </row>
    <row r="2328" spans="2:2" ht="15.5" x14ac:dyDescent="0.35">
      <c r="B2328" s="183"/>
    </row>
    <row r="2329" spans="2:2" ht="15.5" x14ac:dyDescent="0.35">
      <c r="B2329" s="183"/>
    </row>
    <row r="2330" spans="2:2" ht="15.5" x14ac:dyDescent="0.35">
      <c r="B2330" s="183"/>
    </row>
    <row r="2331" spans="2:2" ht="15.5" x14ac:dyDescent="0.35">
      <c r="B2331" s="183"/>
    </row>
    <row r="2332" spans="2:2" ht="15.5" x14ac:dyDescent="0.35">
      <c r="B2332" s="183"/>
    </row>
    <row r="2333" spans="2:2" ht="15.5" x14ac:dyDescent="0.35">
      <c r="B2333" s="183"/>
    </row>
    <row r="2334" spans="2:2" ht="15.5" x14ac:dyDescent="0.35">
      <c r="B2334" s="183"/>
    </row>
    <row r="2335" spans="2:2" ht="15.5" x14ac:dyDescent="0.35">
      <c r="B2335" s="183"/>
    </row>
    <row r="2336" spans="2:2" ht="15.5" x14ac:dyDescent="0.35">
      <c r="B2336" s="183"/>
    </row>
    <row r="2337" spans="2:2" ht="15.5" x14ac:dyDescent="0.35">
      <c r="B2337" s="183"/>
    </row>
    <row r="2338" spans="2:2" ht="15.5" x14ac:dyDescent="0.35">
      <c r="B2338" s="183"/>
    </row>
    <row r="2339" spans="2:2" ht="15.5" x14ac:dyDescent="0.35">
      <c r="B2339" s="183"/>
    </row>
    <row r="2340" spans="2:2" ht="15.5" x14ac:dyDescent="0.35">
      <c r="B2340" s="183"/>
    </row>
    <row r="2341" spans="2:2" ht="15.5" x14ac:dyDescent="0.35">
      <c r="B2341" s="183"/>
    </row>
    <row r="2342" spans="2:2" ht="15.5" x14ac:dyDescent="0.35">
      <c r="B2342" s="183"/>
    </row>
    <row r="2343" spans="2:2" ht="15.5" x14ac:dyDescent="0.35">
      <c r="B2343" s="183"/>
    </row>
    <row r="2344" spans="2:2" ht="15.5" x14ac:dyDescent="0.35">
      <c r="B2344" s="183"/>
    </row>
    <row r="2345" spans="2:2" ht="15.5" x14ac:dyDescent="0.35">
      <c r="B2345" s="183"/>
    </row>
    <row r="2346" spans="2:2" ht="15.5" x14ac:dyDescent="0.35">
      <c r="B2346" s="183"/>
    </row>
    <row r="2347" spans="2:2" ht="15.5" x14ac:dyDescent="0.35">
      <c r="B2347" s="183"/>
    </row>
    <row r="2348" spans="2:2" ht="15.5" x14ac:dyDescent="0.35">
      <c r="B2348" s="183"/>
    </row>
    <row r="2349" spans="2:2" ht="15.5" x14ac:dyDescent="0.35">
      <c r="B2349" s="183"/>
    </row>
    <row r="2350" spans="2:2" ht="15.5" x14ac:dyDescent="0.35">
      <c r="B2350" s="183"/>
    </row>
    <row r="2351" spans="2:2" ht="15.5" x14ac:dyDescent="0.35">
      <c r="B2351" s="183"/>
    </row>
    <row r="2352" spans="2:2" ht="15.5" x14ac:dyDescent="0.35">
      <c r="B2352" s="183"/>
    </row>
    <row r="2353" spans="2:2" ht="15.5" x14ac:dyDescent="0.35">
      <c r="B2353" s="183"/>
    </row>
    <row r="2354" spans="2:2" ht="15.5" x14ac:dyDescent="0.35">
      <c r="B2354" s="183"/>
    </row>
    <row r="2355" spans="2:2" ht="15.5" x14ac:dyDescent="0.35">
      <c r="B2355" s="183"/>
    </row>
    <row r="2356" spans="2:2" ht="15.5" x14ac:dyDescent="0.35">
      <c r="B2356" s="183"/>
    </row>
    <row r="2357" spans="2:2" ht="15.5" x14ac:dyDescent="0.35">
      <c r="B2357" s="183"/>
    </row>
    <row r="2358" spans="2:2" ht="15.5" x14ac:dyDescent="0.35">
      <c r="B2358" s="183"/>
    </row>
    <row r="2359" spans="2:2" ht="15.5" x14ac:dyDescent="0.35">
      <c r="B2359" s="183"/>
    </row>
    <row r="2360" spans="2:2" ht="15.5" x14ac:dyDescent="0.35">
      <c r="B2360" s="183"/>
    </row>
    <row r="2361" spans="2:2" ht="15.5" x14ac:dyDescent="0.35">
      <c r="B2361" s="183"/>
    </row>
    <row r="2362" spans="2:2" ht="15.5" x14ac:dyDescent="0.35">
      <c r="B2362" s="183"/>
    </row>
    <row r="2363" spans="2:2" ht="15.5" x14ac:dyDescent="0.35">
      <c r="B2363" s="183"/>
    </row>
    <row r="2364" spans="2:2" ht="15.5" x14ac:dyDescent="0.35">
      <c r="B2364" s="183"/>
    </row>
    <row r="2365" spans="2:2" ht="15.5" x14ac:dyDescent="0.35">
      <c r="B2365" s="183"/>
    </row>
    <row r="2366" spans="2:2" ht="15.5" x14ac:dyDescent="0.35">
      <c r="B2366" s="183"/>
    </row>
    <row r="2367" spans="2:2" ht="15.5" x14ac:dyDescent="0.35">
      <c r="B2367" s="183"/>
    </row>
    <row r="2368" spans="2:2" ht="15.5" x14ac:dyDescent="0.35">
      <c r="B2368" s="183"/>
    </row>
    <row r="2369" spans="2:2" ht="15.5" x14ac:dyDescent="0.35">
      <c r="B2369" s="183"/>
    </row>
    <row r="2370" spans="2:2" ht="15.5" x14ac:dyDescent="0.35">
      <c r="B2370" s="183"/>
    </row>
    <row r="2371" spans="2:2" ht="15.5" x14ac:dyDescent="0.35">
      <c r="B2371" s="183"/>
    </row>
    <row r="2372" spans="2:2" ht="15.5" x14ac:dyDescent="0.35">
      <c r="B2372" s="183"/>
    </row>
    <row r="2373" spans="2:2" ht="15.5" x14ac:dyDescent="0.35">
      <c r="B2373" s="183"/>
    </row>
    <row r="2374" spans="2:2" ht="15.5" x14ac:dyDescent="0.35">
      <c r="B2374" s="183"/>
    </row>
    <row r="2375" spans="2:2" ht="15.5" x14ac:dyDescent="0.35">
      <c r="B2375" s="183"/>
    </row>
    <row r="2376" spans="2:2" ht="15.5" x14ac:dyDescent="0.35">
      <c r="B2376" s="183"/>
    </row>
    <row r="2377" spans="2:2" ht="15.5" x14ac:dyDescent="0.35">
      <c r="B2377" s="183"/>
    </row>
    <row r="2378" spans="2:2" ht="15.5" x14ac:dyDescent="0.35">
      <c r="B2378" s="183"/>
    </row>
    <row r="2379" spans="2:2" ht="15.5" x14ac:dyDescent="0.35">
      <c r="B2379" s="183"/>
    </row>
    <row r="2380" spans="2:2" ht="15.5" x14ac:dyDescent="0.35">
      <c r="B2380" s="183"/>
    </row>
    <row r="2381" spans="2:2" ht="15.5" x14ac:dyDescent="0.35">
      <c r="B2381" s="183"/>
    </row>
    <row r="2382" spans="2:2" ht="15.5" x14ac:dyDescent="0.35">
      <c r="B2382" s="183"/>
    </row>
    <row r="2383" spans="2:2" ht="15.5" x14ac:dyDescent="0.35">
      <c r="B2383" s="183"/>
    </row>
    <row r="2384" spans="2:2" ht="15.5" x14ac:dyDescent="0.35">
      <c r="B2384" s="183"/>
    </row>
    <row r="2385" spans="2:2" ht="15.5" x14ac:dyDescent="0.35">
      <c r="B2385" s="183"/>
    </row>
    <row r="2386" spans="2:2" ht="15.5" x14ac:dyDescent="0.35">
      <c r="B2386" s="183"/>
    </row>
    <row r="2387" spans="2:2" ht="15.5" x14ac:dyDescent="0.35">
      <c r="B2387" s="183"/>
    </row>
    <row r="2388" spans="2:2" ht="15.5" x14ac:dyDescent="0.35">
      <c r="B2388" s="183"/>
    </row>
    <row r="2389" spans="2:2" ht="15.5" x14ac:dyDescent="0.35">
      <c r="B2389" s="183"/>
    </row>
    <row r="2390" spans="2:2" ht="15.5" x14ac:dyDescent="0.35">
      <c r="B2390" s="183"/>
    </row>
    <row r="2391" spans="2:2" ht="15.5" x14ac:dyDescent="0.35">
      <c r="B2391" s="183"/>
    </row>
    <row r="2392" spans="2:2" ht="15.5" x14ac:dyDescent="0.35">
      <c r="B2392" s="183"/>
    </row>
    <row r="2393" spans="2:2" ht="15.5" x14ac:dyDescent="0.35">
      <c r="B2393" s="183"/>
    </row>
    <row r="2394" spans="2:2" ht="15.5" x14ac:dyDescent="0.35">
      <c r="B2394" s="183"/>
    </row>
    <row r="2395" spans="2:2" ht="15.5" x14ac:dyDescent="0.35">
      <c r="B2395" s="183"/>
    </row>
    <row r="2396" spans="2:2" ht="15.5" x14ac:dyDescent="0.35">
      <c r="B2396" s="183"/>
    </row>
    <row r="2397" spans="2:2" ht="15.5" x14ac:dyDescent="0.35">
      <c r="B2397" s="183"/>
    </row>
    <row r="2398" spans="2:2" ht="15.5" x14ac:dyDescent="0.35">
      <c r="B2398" s="183"/>
    </row>
    <row r="2399" spans="2:2" ht="15.5" x14ac:dyDescent="0.35">
      <c r="B2399" s="183"/>
    </row>
    <row r="2400" spans="2:2" ht="15.5" x14ac:dyDescent="0.35">
      <c r="B2400" s="183"/>
    </row>
    <row r="2401" spans="2:2" ht="15.5" x14ac:dyDescent="0.35">
      <c r="B2401" s="183"/>
    </row>
    <row r="2402" spans="2:2" ht="15.5" x14ac:dyDescent="0.35">
      <c r="B2402" s="183"/>
    </row>
    <row r="2403" spans="2:2" ht="15.5" x14ac:dyDescent="0.35">
      <c r="B2403" s="183"/>
    </row>
    <row r="2404" spans="2:2" ht="15.5" x14ac:dyDescent="0.35">
      <c r="B2404" s="183"/>
    </row>
    <row r="2405" spans="2:2" ht="15.5" x14ac:dyDescent="0.35">
      <c r="B2405" s="183"/>
    </row>
    <row r="2406" spans="2:2" ht="15.5" x14ac:dyDescent="0.35">
      <c r="B2406" s="183"/>
    </row>
    <row r="2407" spans="2:2" ht="15.5" x14ac:dyDescent="0.35">
      <c r="B2407" s="183"/>
    </row>
    <row r="2408" spans="2:2" ht="15.5" x14ac:dyDescent="0.35">
      <c r="B2408" s="183"/>
    </row>
    <row r="2409" spans="2:2" ht="15.5" x14ac:dyDescent="0.35">
      <c r="B2409" s="183"/>
    </row>
    <row r="2410" spans="2:2" ht="15.5" x14ac:dyDescent="0.35">
      <c r="B2410" s="183"/>
    </row>
    <row r="2411" spans="2:2" ht="15.5" x14ac:dyDescent="0.35">
      <c r="B2411" s="183"/>
    </row>
    <row r="2412" spans="2:2" ht="15.5" x14ac:dyDescent="0.35">
      <c r="B2412" s="183"/>
    </row>
    <row r="2413" spans="2:2" ht="15.5" x14ac:dyDescent="0.35">
      <c r="B2413" s="183"/>
    </row>
    <row r="2414" spans="2:2" ht="15.5" x14ac:dyDescent="0.35">
      <c r="B2414" s="183"/>
    </row>
    <row r="2415" spans="2:2" ht="15.5" x14ac:dyDescent="0.35">
      <c r="B2415" s="183"/>
    </row>
    <row r="2416" spans="2:2" ht="15.5" x14ac:dyDescent="0.35">
      <c r="B2416" s="183"/>
    </row>
    <row r="2417" spans="2:2" ht="15.5" x14ac:dyDescent="0.35">
      <c r="B2417" s="183"/>
    </row>
    <row r="2418" spans="2:2" ht="15.5" x14ac:dyDescent="0.35">
      <c r="B2418" s="183"/>
    </row>
    <row r="2419" spans="2:2" ht="15.5" x14ac:dyDescent="0.35">
      <c r="B2419" s="183"/>
    </row>
    <row r="2420" spans="2:2" ht="15.5" x14ac:dyDescent="0.35">
      <c r="B2420" s="183"/>
    </row>
    <row r="2421" spans="2:2" ht="15.5" x14ac:dyDescent="0.35">
      <c r="B2421" s="183"/>
    </row>
    <row r="2422" spans="2:2" ht="15.5" x14ac:dyDescent="0.35">
      <c r="B2422" s="183"/>
    </row>
    <row r="2423" spans="2:2" ht="15.5" x14ac:dyDescent="0.35">
      <c r="B2423" s="183"/>
    </row>
    <row r="2424" spans="2:2" ht="15.5" x14ac:dyDescent="0.35">
      <c r="B2424" s="183"/>
    </row>
    <row r="2425" spans="2:2" ht="15.5" x14ac:dyDescent="0.35">
      <c r="B2425" s="183"/>
    </row>
    <row r="2426" spans="2:2" ht="15.5" x14ac:dyDescent="0.35">
      <c r="B2426" s="183"/>
    </row>
    <row r="2427" spans="2:2" ht="15.5" x14ac:dyDescent="0.35">
      <c r="B2427" s="183"/>
    </row>
    <row r="2428" spans="2:2" ht="15.5" x14ac:dyDescent="0.35">
      <c r="B2428" s="183"/>
    </row>
    <row r="2429" spans="2:2" ht="15.5" x14ac:dyDescent="0.35">
      <c r="B2429" s="183"/>
    </row>
    <row r="2430" spans="2:2" ht="15.5" x14ac:dyDescent="0.35">
      <c r="B2430" s="183"/>
    </row>
    <row r="2431" spans="2:2" ht="15.5" x14ac:dyDescent="0.35">
      <c r="B2431" s="183"/>
    </row>
    <row r="2432" spans="2:2" ht="15.5" x14ac:dyDescent="0.35">
      <c r="B2432" s="183"/>
    </row>
    <row r="2433" spans="2:2" ht="15.5" x14ac:dyDescent="0.35">
      <c r="B2433" s="183"/>
    </row>
    <row r="2434" spans="2:2" ht="15.5" x14ac:dyDescent="0.35">
      <c r="B2434" s="183"/>
    </row>
    <row r="2435" spans="2:2" ht="15.5" x14ac:dyDescent="0.35">
      <c r="B2435" s="183"/>
    </row>
    <row r="2436" spans="2:2" ht="15.5" x14ac:dyDescent="0.35">
      <c r="B2436" s="183"/>
    </row>
    <row r="2437" spans="2:2" ht="15.5" x14ac:dyDescent="0.35">
      <c r="B2437" s="183"/>
    </row>
    <row r="2438" spans="2:2" ht="15.5" x14ac:dyDescent="0.35">
      <c r="B2438" s="183"/>
    </row>
    <row r="2439" spans="2:2" ht="15.5" x14ac:dyDescent="0.35">
      <c r="B2439" s="183"/>
    </row>
    <row r="2440" spans="2:2" ht="15.5" x14ac:dyDescent="0.35">
      <c r="B2440" s="183"/>
    </row>
    <row r="2441" spans="2:2" ht="15.5" x14ac:dyDescent="0.35">
      <c r="B2441" s="183"/>
    </row>
    <row r="2442" spans="2:2" ht="15.5" x14ac:dyDescent="0.35">
      <c r="B2442" s="183"/>
    </row>
    <row r="2443" spans="2:2" ht="15.5" x14ac:dyDescent="0.35">
      <c r="B2443" s="183"/>
    </row>
    <row r="2444" spans="2:2" ht="15.5" x14ac:dyDescent="0.35">
      <c r="B2444" s="183"/>
    </row>
    <row r="2445" spans="2:2" ht="15.5" x14ac:dyDescent="0.35">
      <c r="B2445" s="183"/>
    </row>
    <row r="2446" spans="2:2" ht="15.5" x14ac:dyDescent="0.35">
      <c r="B2446" s="183"/>
    </row>
    <row r="2447" spans="2:2" ht="15.5" x14ac:dyDescent="0.35">
      <c r="B2447" s="183"/>
    </row>
    <row r="2448" spans="2:2" ht="15.5" x14ac:dyDescent="0.35">
      <c r="B2448" s="183"/>
    </row>
    <row r="2449" spans="2:2" ht="15.5" x14ac:dyDescent="0.35">
      <c r="B2449" s="183"/>
    </row>
    <row r="2450" spans="2:2" ht="15.5" x14ac:dyDescent="0.35">
      <c r="B2450" s="183"/>
    </row>
    <row r="2451" spans="2:2" ht="15.5" x14ac:dyDescent="0.35">
      <c r="B2451" s="183"/>
    </row>
    <row r="2452" spans="2:2" ht="15.5" x14ac:dyDescent="0.35">
      <c r="B2452" s="183"/>
    </row>
    <row r="2453" spans="2:2" ht="15.5" x14ac:dyDescent="0.35">
      <c r="B2453" s="183"/>
    </row>
    <row r="2454" spans="2:2" ht="15.5" x14ac:dyDescent="0.35">
      <c r="B2454" s="183"/>
    </row>
    <row r="2455" spans="2:2" ht="15.5" x14ac:dyDescent="0.35">
      <c r="B2455" s="183"/>
    </row>
    <row r="2456" spans="2:2" ht="15.5" x14ac:dyDescent="0.35">
      <c r="B2456" s="183"/>
    </row>
    <row r="2457" spans="2:2" ht="15.5" x14ac:dyDescent="0.35">
      <c r="B2457" s="183"/>
    </row>
    <row r="2458" spans="2:2" ht="15.5" x14ac:dyDescent="0.35">
      <c r="B2458" s="183"/>
    </row>
    <row r="2459" spans="2:2" ht="15.5" x14ac:dyDescent="0.35">
      <c r="B2459" s="183"/>
    </row>
    <row r="2460" spans="2:2" ht="15.5" x14ac:dyDescent="0.35">
      <c r="B2460" s="183"/>
    </row>
    <row r="2461" spans="2:2" ht="15.5" x14ac:dyDescent="0.35">
      <c r="B2461" s="183"/>
    </row>
    <row r="2462" spans="2:2" ht="15.5" x14ac:dyDescent="0.35">
      <c r="B2462" s="183"/>
    </row>
    <row r="2463" spans="2:2" ht="15.5" x14ac:dyDescent="0.35">
      <c r="B2463" s="183"/>
    </row>
    <row r="2464" spans="2:2" ht="15.5" x14ac:dyDescent="0.35">
      <c r="B2464" s="183"/>
    </row>
    <row r="2465" spans="2:2" ht="15.5" x14ac:dyDescent="0.35">
      <c r="B2465" s="183"/>
    </row>
    <row r="2466" spans="2:2" ht="15.5" x14ac:dyDescent="0.35">
      <c r="B2466" s="183"/>
    </row>
    <row r="2467" spans="2:2" ht="15.5" x14ac:dyDescent="0.35">
      <c r="B2467" s="183"/>
    </row>
    <row r="2468" spans="2:2" ht="15.5" x14ac:dyDescent="0.35">
      <c r="B2468" s="183"/>
    </row>
    <row r="2469" spans="2:2" ht="15.5" x14ac:dyDescent="0.35">
      <c r="B2469" s="183"/>
    </row>
    <row r="2470" spans="2:2" ht="15.5" x14ac:dyDescent="0.35">
      <c r="B2470" s="183"/>
    </row>
    <row r="2471" spans="2:2" ht="15.5" x14ac:dyDescent="0.35">
      <c r="B2471" s="183"/>
    </row>
    <row r="2472" spans="2:2" ht="15.5" x14ac:dyDescent="0.35">
      <c r="B2472" s="183"/>
    </row>
    <row r="2473" spans="2:2" ht="15.5" x14ac:dyDescent="0.35">
      <c r="B2473" s="183"/>
    </row>
    <row r="2474" spans="2:2" ht="15.5" x14ac:dyDescent="0.35">
      <c r="B2474" s="183"/>
    </row>
    <row r="2475" spans="2:2" ht="15.5" x14ac:dyDescent="0.35">
      <c r="B2475" s="183"/>
    </row>
    <row r="2476" spans="2:2" ht="15.5" x14ac:dyDescent="0.35">
      <c r="B2476" s="183"/>
    </row>
    <row r="2477" spans="2:2" ht="15.5" x14ac:dyDescent="0.35">
      <c r="B2477" s="183"/>
    </row>
    <row r="2478" spans="2:2" ht="15.5" x14ac:dyDescent="0.35">
      <c r="B2478" s="183"/>
    </row>
    <row r="2479" spans="2:2" ht="15.5" x14ac:dyDescent="0.35">
      <c r="B2479" s="183"/>
    </row>
    <row r="2480" spans="2:2" ht="15.5" x14ac:dyDescent="0.35">
      <c r="B2480" s="183"/>
    </row>
    <row r="2481" spans="2:2" ht="15.5" x14ac:dyDescent="0.35">
      <c r="B2481" s="183"/>
    </row>
    <row r="2482" spans="2:2" ht="15.5" x14ac:dyDescent="0.35">
      <c r="B2482" s="183"/>
    </row>
    <row r="2483" spans="2:2" ht="15.5" x14ac:dyDescent="0.35">
      <c r="B2483" s="183"/>
    </row>
    <row r="2484" spans="2:2" ht="15.5" x14ac:dyDescent="0.35">
      <c r="B2484" s="183"/>
    </row>
    <row r="2485" spans="2:2" ht="15.5" x14ac:dyDescent="0.35">
      <c r="B2485" s="183"/>
    </row>
    <row r="2486" spans="2:2" ht="15.5" x14ac:dyDescent="0.35">
      <c r="B2486" s="183"/>
    </row>
    <row r="2487" spans="2:2" ht="15.5" x14ac:dyDescent="0.35">
      <c r="B2487" s="183"/>
    </row>
    <row r="2488" spans="2:2" ht="15.5" x14ac:dyDescent="0.35">
      <c r="B2488" s="183"/>
    </row>
    <row r="2489" spans="2:2" ht="15.5" x14ac:dyDescent="0.35">
      <c r="B2489" s="183"/>
    </row>
    <row r="2490" spans="2:2" ht="15.5" x14ac:dyDescent="0.35">
      <c r="B2490" s="183"/>
    </row>
    <row r="2491" spans="2:2" ht="15.5" x14ac:dyDescent="0.35">
      <c r="B2491" s="183"/>
    </row>
    <row r="2492" spans="2:2" ht="15.5" x14ac:dyDescent="0.35">
      <c r="B2492" s="183"/>
    </row>
    <row r="2493" spans="2:2" ht="15.5" x14ac:dyDescent="0.35">
      <c r="B2493" s="183"/>
    </row>
    <row r="2494" spans="2:2" ht="15.5" x14ac:dyDescent="0.35">
      <c r="B2494" s="183"/>
    </row>
    <row r="2495" spans="2:2" ht="15.5" x14ac:dyDescent="0.35">
      <c r="B2495" s="183"/>
    </row>
    <row r="2496" spans="2:2" ht="15.5" x14ac:dyDescent="0.35">
      <c r="B2496" s="183"/>
    </row>
    <row r="2497" spans="2:2" ht="15.5" x14ac:dyDescent="0.35">
      <c r="B2497" s="183"/>
    </row>
    <row r="2498" spans="2:2" ht="15.5" x14ac:dyDescent="0.35">
      <c r="B2498" s="183"/>
    </row>
    <row r="2499" spans="2:2" ht="15.5" x14ac:dyDescent="0.35">
      <c r="B2499" s="183"/>
    </row>
    <row r="2500" spans="2:2" ht="15.5" x14ac:dyDescent="0.35">
      <c r="B2500" s="183"/>
    </row>
    <row r="2501" spans="2:2" ht="15.5" x14ac:dyDescent="0.35">
      <c r="B2501" s="183"/>
    </row>
    <row r="2502" spans="2:2" ht="15.5" x14ac:dyDescent="0.35">
      <c r="B2502" s="183"/>
    </row>
    <row r="2503" spans="2:2" ht="15.5" x14ac:dyDescent="0.35">
      <c r="B2503" s="183"/>
    </row>
    <row r="2504" spans="2:2" ht="15.5" x14ac:dyDescent="0.35">
      <c r="B2504" s="183"/>
    </row>
    <row r="2505" spans="2:2" ht="15.5" x14ac:dyDescent="0.35">
      <c r="B2505" s="183"/>
    </row>
    <row r="2506" spans="2:2" ht="15.5" x14ac:dyDescent="0.35">
      <c r="B2506" s="183"/>
    </row>
    <row r="2507" spans="2:2" ht="15.5" x14ac:dyDescent="0.35">
      <c r="B2507" s="183"/>
    </row>
    <row r="2508" spans="2:2" ht="15.5" x14ac:dyDescent="0.35">
      <c r="B2508" s="183"/>
    </row>
    <row r="2509" spans="2:2" ht="15.5" x14ac:dyDescent="0.35">
      <c r="B2509" s="183"/>
    </row>
    <row r="2510" spans="2:2" ht="15.5" x14ac:dyDescent="0.35">
      <c r="B2510" s="183"/>
    </row>
    <row r="2511" spans="2:2" ht="15.5" x14ac:dyDescent="0.35">
      <c r="B2511" s="183"/>
    </row>
    <row r="2512" spans="2:2" ht="15.5" x14ac:dyDescent="0.35">
      <c r="B2512" s="183"/>
    </row>
    <row r="2513" spans="2:2" ht="15.5" x14ac:dyDescent="0.35">
      <c r="B2513" s="183"/>
    </row>
    <row r="2514" spans="2:2" ht="15.5" x14ac:dyDescent="0.35">
      <c r="B2514" s="183"/>
    </row>
    <row r="2515" spans="2:2" ht="15.5" x14ac:dyDescent="0.35">
      <c r="B2515" s="183"/>
    </row>
    <row r="2516" spans="2:2" ht="15.5" x14ac:dyDescent="0.35">
      <c r="B2516" s="183"/>
    </row>
    <row r="2517" spans="2:2" ht="15.5" x14ac:dyDescent="0.35">
      <c r="B2517" s="183"/>
    </row>
    <row r="2518" spans="2:2" ht="15.5" x14ac:dyDescent="0.35">
      <c r="B2518" s="183"/>
    </row>
    <row r="2519" spans="2:2" ht="15.5" x14ac:dyDescent="0.35">
      <c r="B2519" s="183"/>
    </row>
    <row r="2520" spans="2:2" ht="15.5" x14ac:dyDescent="0.35">
      <c r="B2520" s="183"/>
    </row>
    <row r="2521" spans="2:2" ht="15.5" x14ac:dyDescent="0.35">
      <c r="B2521" s="183"/>
    </row>
    <row r="2522" spans="2:2" ht="15.5" x14ac:dyDescent="0.35">
      <c r="B2522" s="183"/>
    </row>
    <row r="2523" spans="2:2" ht="15.5" x14ac:dyDescent="0.35">
      <c r="B2523" s="183"/>
    </row>
    <row r="2524" spans="2:2" ht="15.5" x14ac:dyDescent="0.35">
      <c r="B2524" s="183"/>
    </row>
    <row r="2525" spans="2:2" ht="15.5" x14ac:dyDescent="0.35">
      <c r="B2525" s="183"/>
    </row>
    <row r="2526" spans="2:2" ht="15.5" x14ac:dyDescent="0.35">
      <c r="B2526" s="183"/>
    </row>
    <row r="2527" spans="2:2" ht="15.5" x14ac:dyDescent="0.35">
      <c r="B2527" s="183"/>
    </row>
    <row r="2528" spans="2:2" ht="15.5" x14ac:dyDescent="0.35">
      <c r="B2528" s="183"/>
    </row>
    <row r="2529" spans="2:2" ht="15.5" x14ac:dyDescent="0.35">
      <c r="B2529" s="183"/>
    </row>
    <row r="2530" spans="2:2" ht="15.5" x14ac:dyDescent="0.35">
      <c r="B2530" s="183"/>
    </row>
    <row r="2531" spans="2:2" ht="15.5" x14ac:dyDescent="0.35">
      <c r="B2531" s="183"/>
    </row>
    <row r="2532" spans="2:2" ht="15.5" x14ac:dyDescent="0.35">
      <c r="B2532" s="183"/>
    </row>
    <row r="2533" spans="2:2" ht="15.5" x14ac:dyDescent="0.35">
      <c r="B2533" s="183"/>
    </row>
    <row r="2534" spans="2:2" ht="15.5" x14ac:dyDescent="0.35">
      <c r="B2534" s="183"/>
    </row>
    <row r="2535" spans="2:2" ht="15.5" x14ac:dyDescent="0.35">
      <c r="B2535" s="183"/>
    </row>
    <row r="2536" spans="2:2" ht="15.5" x14ac:dyDescent="0.35">
      <c r="B2536" s="183"/>
    </row>
    <row r="2537" spans="2:2" ht="15.5" x14ac:dyDescent="0.35">
      <c r="B2537" s="183"/>
    </row>
    <row r="2538" spans="2:2" ht="15.5" x14ac:dyDescent="0.35">
      <c r="B2538" s="183"/>
    </row>
    <row r="2539" spans="2:2" ht="15.5" x14ac:dyDescent="0.35">
      <c r="B2539" s="183"/>
    </row>
    <row r="2540" spans="2:2" ht="15.5" x14ac:dyDescent="0.35">
      <c r="B2540" s="183"/>
    </row>
    <row r="2541" spans="2:2" ht="15.5" x14ac:dyDescent="0.35">
      <c r="B2541" s="183"/>
    </row>
    <row r="2542" spans="2:2" ht="15.5" x14ac:dyDescent="0.35">
      <c r="B2542" s="183"/>
    </row>
    <row r="2543" spans="2:2" ht="15.5" x14ac:dyDescent="0.35">
      <c r="B2543" s="183"/>
    </row>
    <row r="2544" spans="2:2" ht="15.5" x14ac:dyDescent="0.35">
      <c r="B2544" s="183"/>
    </row>
    <row r="2545" spans="2:2" ht="15.5" x14ac:dyDescent="0.35">
      <c r="B2545" s="183"/>
    </row>
    <row r="2546" spans="2:2" ht="15.5" x14ac:dyDescent="0.35">
      <c r="B2546" s="183"/>
    </row>
    <row r="2547" spans="2:2" ht="15.5" x14ac:dyDescent="0.35">
      <c r="B2547" s="183"/>
    </row>
    <row r="2548" spans="2:2" ht="15.5" x14ac:dyDescent="0.35">
      <c r="B2548" s="183"/>
    </row>
    <row r="2549" spans="2:2" ht="15.5" x14ac:dyDescent="0.35">
      <c r="B2549" s="183"/>
    </row>
    <row r="2550" spans="2:2" ht="15.5" x14ac:dyDescent="0.35">
      <c r="B2550" s="183"/>
    </row>
    <row r="2551" spans="2:2" ht="15.5" x14ac:dyDescent="0.35">
      <c r="B2551" s="183"/>
    </row>
    <row r="2552" spans="2:2" ht="15.5" x14ac:dyDescent="0.35">
      <c r="B2552" s="183"/>
    </row>
    <row r="2553" spans="2:2" ht="15.5" x14ac:dyDescent="0.35">
      <c r="B2553" s="183"/>
    </row>
    <row r="2554" spans="2:2" ht="15.5" x14ac:dyDescent="0.35">
      <c r="B2554" s="183"/>
    </row>
    <row r="2555" spans="2:2" ht="15.5" x14ac:dyDescent="0.35">
      <c r="B2555" s="183"/>
    </row>
    <row r="2556" spans="2:2" ht="15.5" x14ac:dyDescent="0.35">
      <c r="B2556" s="183"/>
    </row>
    <row r="2557" spans="2:2" ht="15.5" x14ac:dyDescent="0.35">
      <c r="B2557" s="183"/>
    </row>
    <row r="2558" spans="2:2" ht="15.5" x14ac:dyDescent="0.35">
      <c r="B2558" s="183"/>
    </row>
    <row r="2559" spans="2:2" ht="15.5" x14ac:dyDescent="0.35">
      <c r="B2559" s="183"/>
    </row>
    <row r="2560" spans="2:2" ht="15.5" x14ac:dyDescent="0.35">
      <c r="B2560" s="183"/>
    </row>
    <row r="2561" spans="2:2" ht="15.5" x14ac:dyDescent="0.35">
      <c r="B2561" s="183"/>
    </row>
    <row r="2562" spans="2:2" ht="15.5" x14ac:dyDescent="0.35">
      <c r="B2562" s="183"/>
    </row>
    <row r="2563" spans="2:2" ht="15.5" x14ac:dyDescent="0.35">
      <c r="B2563" s="183"/>
    </row>
    <row r="2564" spans="2:2" ht="15.5" x14ac:dyDescent="0.35">
      <c r="B2564" s="183"/>
    </row>
    <row r="2565" spans="2:2" ht="15.5" x14ac:dyDescent="0.35">
      <c r="B2565" s="183"/>
    </row>
    <row r="2566" spans="2:2" ht="15.5" x14ac:dyDescent="0.35">
      <c r="B2566" s="183"/>
    </row>
    <row r="2567" spans="2:2" ht="15.5" x14ac:dyDescent="0.35">
      <c r="B2567" s="183"/>
    </row>
    <row r="2568" spans="2:2" ht="15.5" x14ac:dyDescent="0.35">
      <c r="B2568" s="183"/>
    </row>
    <row r="2569" spans="2:2" ht="15.5" x14ac:dyDescent="0.35">
      <c r="B2569" s="183"/>
    </row>
    <row r="2570" spans="2:2" ht="15.5" x14ac:dyDescent="0.35">
      <c r="B2570" s="183"/>
    </row>
    <row r="2571" spans="2:2" ht="15.5" x14ac:dyDescent="0.35">
      <c r="B2571" s="183"/>
    </row>
    <row r="2572" spans="2:2" ht="15.5" x14ac:dyDescent="0.35">
      <c r="B2572" s="183"/>
    </row>
    <row r="2573" spans="2:2" ht="15.5" x14ac:dyDescent="0.35">
      <c r="B2573" s="183"/>
    </row>
    <row r="2574" spans="2:2" ht="15.5" x14ac:dyDescent="0.35">
      <c r="B2574" s="183"/>
    </row>
    <row r="2575" spans="2:2" ht="15.5" x14ac:dyDescent="0.35">
      <c r="B2575" s="183"/>
    </row>
    <row r="2576" spans="2:2" ht="15.5" x14ac:dyDescent="0.35">
      <c r="B2576" s="183"/>
    </row>
    <row r="2577" spans="2:2" ht="15.5" x14ac:dyDescent="0.35">
      <c r="B2577" s="183"/>
    </row>
    <row r="2578" spans="2:2" ht="15.5" x14ac:dyDescent="0.35">
      <c r="B2578" s="183"/>
    </row>
    <row r="2579" spans="2:2" ht="15.5" x14ac:dyDescent="0.35">
      <c r="B2579" s="183"/>
    </row>
    <row r="2580" spans="2:2" ht="15.5" x14ac:dyDescent="0.35">
      <c r="B2580" s="183"/>
    </row>
    <row r="2581" spans="2:2" ht="15.5" x14ac:dyDescent="0.35">
      <c r="B2581" s="183"/>
    </row>
    <row r="2582" spans="2:2" ht="15.5" x14ac:dyDescent="0.35">
      <c r="B2582" s="183"/>
    </row>
    <row r="2583" spans="2:2" ht="15.5" x14ac:dyDescent="0.35">
      <c r="B2583" s="183"/>
    </row>
    <row r="2584" spans="2:2" ht="15.5" x14ac:dyDescent="0.35">
      <c r="B2584" s="183"/>
    </row>
    <row r="2585" spans="2:2" ht="15.5" x14ac:dyDescent="0.35">
      <c r="B2585" s="183"/>
    </row>
    <row r="2586" spans="2:2" ht="15.5" x14ac:dyDescent="0.35">
      <c r="B2586" s="183"/>
    </row>
    <row r="2587" spans="2:2" ht="15.5" x14ac:dyDescent="0.35">
      <c r="B2587" s="183"/>
    </row>
    <row r="2588" spans="2:2" ht="15.5" x14ac:dyDescent="0.35">
      <c r="B2588" s="183"/>
    </row>
    <row r="2589" spans="2:2" ht="15.5" x14ac:dyDescent="0.35">
      <c r="B2589" s="183"/>
    </row>
    <row r="2590" spans="2:2" ht="15.5" x14ac:dyDescent="0.35">
      <c r="B2590" s="183"/>
    </row>
    <row r="2591" spans="2:2" ht="15.5" x14ac:dyDescent="0.35">
      <c r="B2591" s="183"/>
    </row>
    <row r="2592" spans="2:2" ht="15.5" x14ac:dyDescent="0.35">
      <c r="B2592" s="183"/>
    </row>
    <row r="2593" spans="2:2" ht="15.5" x14ac:dyDescent="0.35">
      <c r="B2593" s="183"/>
    </row>
    <row r="2594" spans="2:2" ht="15.5" x14ac:dyDescent="0.35">
      <c r="B2594" s="183"/>
    </row>
    <row r="2595" spans="2:2" ht="15.5" x14ac:dyDescent="0.35">
      <c r="B2595" s="183"/>
    </row>
    <row r="2596" spans="2:2" ht="15.5" x14ac:dyDescent="0.35">
      <c r="B2596" s="183"/>
    </row>
    <row r="2597" spans="2:2" ht="15.5" x14ac:dyDescent="0.35">
      <c r="B2597" s="183"/>
    </row>
    <row r="2598" spans="2:2" ht="15.5" x14ac:dyDescent="0.35">
      <c r="B2598" s="183"/>
    </row>
    <row r="2599" spans="2:2" ht="15.5" x14ac:dyDescent="0.35">
      <c r="B2599" s="183"/>
    </row>
    <row r="2600" spans="2:2" ht="15.5" x14ac:dyDescent="0.35">
      <c r="B2600" s="183"/>
    </row>
    <row r="2601" spans="2:2" ht="15.5" x14ac:dyDescent="0.35">
      <c r="B2601" s="183"/>
    </row>
    <row r="2602" spans="2:2" ht="15.5" x14ac:dyDescent="0.35">
      <c r="B2602" s="183"/>
    </row>
    <row r="2603" spans="2:2" ht="15.5" x14ac:dyDescent="0.35">
      <c r="B2603" s="183"/>
    </row>
    <row r="2604" spans="2:2" ht="15.5" x14ac:dyDescent="0.35">
      <c r="B2604" s="183"/>
    </row>
    <row r="2605" spans="2:2" ht="15.5" x14ac:dyDescent="0.35">
      <c r="B2605" s="183"/>
    </row>
    <row r="2606" spans="2:2" ht="15.5" x14ac:dyDescent="0.35">
      <c r="B2606" s="183"/>
    </row>
    <row r="2607" spans="2:2" ht="15.5" x14ac:dyDescent="0.35">
      <c r="B2607" s="183"/>
    </row>
    <row r="2608" spans="2:2" ht="15.5" x14ac:dyDescent="0.35">
      <c r="B2608" s="183"/>
    </row>
    <row r="2609" spans="2:2" ht="15.5" x14ac:dyDescent="0.35">
      <c r="B2609" s="183"/>
    </row>
    <row r="2610" spans="2:2" ht="15.5" x14ac:dyDescent="0.35">
      <c r="B2610" s="183"/>
    </row>
    <row r="2611" spans="2:2" ht="15.5" x14ac:dyDescent="0.35">
      <c r="B2611" s="183"/>
    </row>
    <row r="2612" spans="2:2" ht="15.5" x14ac:dyDescent="0.35">
      <c r="B2612" s="183"/>
    </row>
    <row r="2613" spans="2:2" ht="15.5" x14ac:dyDescent="0.35">
      <c r="B2613" s="183"/>
    </row>
    <row r="2614" spans="2:2" ht="15.5" x14ac:dyDescent="0.35">
      <c r="B2614" s="183"/>
    </row>
    <row r="2615" spans="2:2" ht="15.5" x14ac:dyDescent="0.35">
      <c r="B2615" s="183"/>
    </row>
    <row r="2616" spans="2:2" ht="15.5" x14ac:dyDescent="0.35">
      <c r="B2616" s="183"/>
    </row>
    <row r="2617" spans="2:2" ht="15.5" x14ac:dyDescent="0.35">
      <c r="B2617" s="183"/>
    </row>
    <row r="2618" spans="2:2" ht="15.5" x14ac:dyDescent="0.35">
      <c r="B2618" s="183"/>
    </row>
    <row r="2619" spans="2:2" ht="15.5" x14ac:dyDescent="0.35">
      <c r="B2619" s="183"/>
    </row>
    <row r="2620" spans="2:2" ht="15.5" x14ac:dyDescent="0.35">
      <c r="B2620" s="183"/>
    </row>
    <row r="2621" spans="2:2" ht="15.5" x14ac:dyDescent="0.35">
      <c r="B2621" s="183"/>
    </row>
    <row r="2622" spans="2:2" ht="15.5" x14ac:dyDescent="0.35">
      <c r="B2622" s="183"/>
    </row>
    <row r="2623" spans="2:2" ht="15.5" x14ac:dyDescent="0.35">
      <c r="B2623" s="183"/>
    </row>
    <row r="2624" spans="2:2" ht="15.5" x14ac:dyDescent="0.35">
      <c r="B2624" s="183"/>
    </row>
    <row r="2625" spans="2:2" ht="15.5" x14ac:dyDescent="0.35">
      <c r="B2625" s="183"/>
    </row>
    <row r="2626" spans="2:2" ht="15.5" x14ac:dyDescent="0.35">
      <c r="B2626" s="183"/>
    </row>
    <row r="2627" spans="2:2" ht="15.5" x14ac:dyDescent="0.35">
      <c r="B2627" s="183"/>
    </row>
    <row r="2628" spans="2:2" ht="15.5" x14ac:dyDescent="0.35">
      <c r="B2628" s="183"/>
    </row>
    <row r="2629" spans="2:2" ht="15.5" x14ac:dyDescent="0.35">
      <c r="B2629" s="183"/>
    </row>
    <row r="2630" spans="2:2" ht="15.5" x14ac:dyDescent="0.35">
      <c r="B2630" s="183"/>
    </row>
    <row r="2631" spans="2:2" ht="15.5" x14ac:dyDescent="0.35">
      <c r="B2631" s="183"/>
    </row>
    <row r="2632" spans="2:2" ht="15.5" x14ac:dyDescent="0.35">
      <c r="B2632" s="183"/>
    </row>
    <row r="2633" spans="2:2" ht="15.5" x14ac:dyDescent="0.35">
      <c r="B2633" s="183"/>
    </row>
    <row r="2634" spans="2:2" ht="15.5" x14ac:dyDescent="0.35">
      <c r="B2634" s="183"/>
    </row>
    <row r="2635" spans="2:2" ht="15.5" x14ac:dyDescent="0.35">
      <c r="B2635" s="183"/>
    </row>
    <row r="2636" spans="2:2" ht="15.5" x14ac:dyDescent="0.35">
      <c r="B2636" s="183"/>
    </row>
    <row r="2637" spans="2:2" ht="15.5" x14ac:dyDescent="0.35">
      <c r="B2637" s="183"/>
    </row>
    <row r="2638" spans="2:2" ht="15.5" x14ac:dyDescent="0.35">
      <c r="B2638" s="183"/>
    </row>
    <row r="2639" spans="2:2" ht="15.5" x14ac:dyDescent="0.35">
      <c r="B2639" s="183"/>
    </row>
    <row r="2640" spans="2:2" ht="15.5" x14ac:dyDescent="0.35">
      <c r="B2640" s="183"/>
    </row>
    <row r="2641" spans="2:2" ht="15.5" x14ac:dyDescent="0.35">
      <c r="B2641" s="183"/>
    </row>
    <row r="2642" spans="2:2" ht="15.5" x14ac:dyDescent="0.35">
      <c r="B2642" s="183"/>
    </row>
    <row r="2643" spans="2:2" ht="15.5" x14ac:dyDescent="0.35">
      <c r="B2643" s="183"/>
    </row>
    <row r="2644" spans="2:2" ht="15.5" x14ac:dyDescent="0.35">
      <c r="B2644" s="183"/>
    </row>
    <row r="2645" spans="2:2" ht="15.5" x14ac:dyDescent="0.35">
      <c r="B2645" s="183"/>
    </row>
    <row r="2646" spans="2:2" ht="15.5" x14ac:dyDescent="0.35">
      <c r="B2646" s="183"/>
    </row>
    <row r="2647" spans="2:2" ht="15.5" x14ac:dyDescent="0.35">
      <c r="B2647" s="183"/>
    </row>
    <row r="2648" spans="2:2" ht="15.5" x14ac:dyDescent="0.35">
      <c r="B2648" s="183"/>
    </row>
    <row r="2649" spans="2:2" ht="15.5" x14ac:dyDescent="0.35">
      <c r="B2649" s="183"/>
    </row>
    <row r="2650" spans="2:2" ht="15.5" x14ac:dyDescent="0.35">
      <c r="B2650" s="183"/>
    </row>
    <row r="2651" spans="2:2" ht="15.5" x14ac:dyDescent="0.35">
      <c r="B2651" s="183"/>
    </row>
    <row r="2652" spans="2:2" ht="15.5" x14ac:dyDescent="0.35">
      <c r="B2652" s="183"/>
    </row>
    <row r="2653" spans="2:2" ht="15.5" x14ac:dyDescent="0.35">
      <c r="B2653" s="183"/>
    </row>
    <row r="2654" spans="2:2" ht="15.5" x14ac:dyDescent="0.35">
      <c r="B2654" s="183"/>
    </row>
    <row r="2655" spans="2:2" ht="15.5" x14ac:dyDescent="0.35">
      <c r="B2655" s="183"/>
    </row>
    <row r="2656" spans="2:2" ht="15.5" x14ac:dyDescent="0.35">
      <c r="B2656" s="183"/>
    </row>
    <row r="2657" spans="2:2" ht="15.5" x14ac:dyDescent="0.35">
      <c r="B2657" s="183"/>
    </row>
    <row r="2658" spans="2:2" ht="15.5" x14ac:dyDescent="0.35">
      <c r="B2658" s="183"/>
    </row>
    <row r="2659" spans="2:2" ht="15.5" x14ac:dyDescent="0.35">
      <c r="B2659" s="183"/>
    </row>
    <row r="2660" spans="2:2" ht="15.5" x14ac:dyDescent="0.35">
      <c r="B2660" s="183"/>
    </row>
    <row r="2661" spans="2:2" ht="15.5" x14ac:dyDescent="0.35">
      <c r="B2661" s="183"/>
    </row>
    <row r="2662" spans="2:2" ht="15.5" x14ac:dyDescent="0.35">
      <c r="B2662" s="183"/>
    </row>
    <row r="2663" spans="2:2" ht="15.5" x14ac:dyDescent="0.35">
      <c r="B2663" s="183"/>
    </row>
    <row r="2664" spans="2:2" ht="15.5" x14ac:dyDescent="0.35">
      <c r="B2664" s="183"/>
    </row>
    <row r="2665" spans="2:2" ht="15.5" x14ac:dyDescent="0.35">
      <c r="B2665" s="183"/>
    </row>
    <row r="2666" spans="2:2" ht="15.5" x14ac:dyDescent="0.35">
      <c r="B2666" s="183"/>
    </row>
    <row r="2667" spans="2:2" ht="15.5" x14ac:dyDescent="0.35">
      <c r="B2667" s="183"/>
    </row>
    <row r="2668" spans="2:2" ht="15.5" x14ac:dyDescent="0.35">
      <c r="B2668" s="183"/>
    </row>
    <row r="2669" spans="2:2" ht="15.5" x14ac:dyDescent="0.35">
      <c r="B2669" s="183"/>
    </row>
    <row r="2670" spans="2:2" ht="15.5" x14ac:dyDescent="0.35">
      <c r="B2670" s="183"/>
    </row>
    <row r="2671" spans="2:2" ht="15.5" x14ac:dyDescent="0.35">
      <c r="B2671" s="183"/>
    </row>
    <row r="2672" spans="2:2" ht="15.5" x14ac:dyDescent="0.35">
      <c r="B2672" s="183"/>
    </row>
    <row r="2673" spans="2:2" ht="15.5" x14ac:dyDescent="0.35">
      <c r="B2673" s="183"/>
    </row>
    <row r="2674" spans="2:2" ht="15.5" x14ac:dyDescent="0.35">
      <c r="B2674" s="183"/>
    </row>
    <row r="2675" spans="2:2" ht="15.5" x14ac:dyDescent="0.35">
      <c r="B2675" s="183"/>
    </row>
    <row r="2676" spans="2:2" ht="15.5" x14ac:dyDescent="0.35">
      <c r="B2676" s="183"/>
    </row>
    <row r="2677" spans="2:2" ht="15.5" x14ac:dyDescent="0.35">
      <c r="B2677" s="183"/>
    </row>
    <row r="2678" spans="2:2" ht="15.5" x14ac:dyDescent="0.35">
      <c r="B2678" s="183"/>
    </row>
    <row r="2679" spans="2:2" ht="15.5" x14ac:dyDescent="0.35">
      <c r="B2679" s="183"/>
    </row>
    <row r="2680" spans="2:2" ht="15.5" x14ac:dyDescent="0.35">
      <c r="B2680" s="183"/>
    </row>
    <row r="2681" spans="2:2" ht="15.5" x14ac:dyDescent="0.35">
      <c r="B2681" s="183"/>
    </row>
    <row r="2682" spans="2:2" ht="15.5" x14ac:dyDescent="0.35">
      <c r="B2682" s="183"/>
    </row>
    <row r="2683" spans="2:2" ht="15.5" x14ac:dyDescent="0.35">
      <c r="B2683" s="183"/>
    </row>
    <row r="2684" spans="2:2" ht="15.5" x14ac:dyDescent="0.35">
      <c r="B2684" s="183"/>
    </row>
    <row r="2685" spans="2:2" ht="15.5" x14ac:dyDescent="0.35">
      <c r="B2685" s="183"/>
    </row>
    <row r="2686" spans="2:2" ht="15.5" x14ac:dyDescent="0.35">
      <c r="B2686" s="183"/>
    </row>
    <row r="2687" spans="2:2" ht="15.5" x14ac:dyDescent="0.35">
      <c r="B2687" s="183"/>
    </row>
    <row r="2688" spans="2:2" ht="15.5" x14ac:dyDescent="0.35">
      <c r="B2688" s="183"/>
    </row>
    <row r="2689" spans="2:2" ht="15.5" x14ac:dyDescent="0.35">
      <c r="B2689" s="183"/>
    </row>
    <row r="2690" spans="2:2" ht="15.5" x14ac:dyDescent="0.35">
      <c r="B2690" s="183"/>
    </row>
    <row r="2691" spans="2:2" ht="15.5" x14ac:dyDescent="0.35">
      <c r="B2691" s="183"/>
    </row>
    <row r="2692" spans="2:2" ht="15.5" x14ac:dyDescent="0.35">
      <c r="B2692" s="183"/>
    </row>
    <row r="2693" spans="2:2" ht="15.5" x14ac:dyDescent="0.35">
      <c r="B2693" s="183"/>
    </row>
    <row r="2694" spans="2:2" ht="15.5" x14ac:dyDescent="0.35">
      <c r="B2694" s="183"/>
    </row>
    <row r="2695" spans="2:2" ht="15.5" x14ac:dyDescent="0.35">
      <c r="B2695" s="183"/>
    </row>
    <row r="2696" spans="2:2" ht="15.5" x14ac:dyDescent="0.35">
      <c r="B2696" s="183"/>
    </row>
    <row r="2697" spans="2:2" ht="15.5" x14ac:dyDescent="0.35">
      <c r="B2697" s="183"/>
    </row>
    <row r="2698" spans="2:2" ht="15.5" x14ac:dyDescent="0.35">
      <c r="B2698" s="183"/>
    </row>
    <row r="2699" spans="2:2" ht="15.5" x14ac:dyDescent="0.35">
      <c r="B2699" s="183"/>
    </row>
    <row r="2700" spans="2:2" ht="15.5" x14ac:dyDescent="0.35">
      <c r="B2700" s="183"/>
    </row>
    <row r="2701" spans="2:2" ht="15.5" x14ac:dyDescent="0.35">
      <c r="B2701" s="183"/>
    </row>
    <row r="2702" spans="2:2" ht="15.5" x14ac:dyDescent="0.35">
      <c r="B2702" s="183"/>
    </row>
    <row r="2703" spans="2:2" ht="15.5" x14ac:dyDescent="0.35">
      <c r="B2703" s="183"/>
    </row>
    <row r="2704" spans="2:2" ht="15.5" x14ac:dyDescent="0.35">
      <c r="B2704" s="183"/>
    </row>
    <row r="2705" spans="2:2" ht="15.5" x14ac:dyDescent="0.35">
      <c r="B2705" s="183"/>
    </row>
    <row r="2706" spans="2:2" ht="15.5" x14ac:dyDescent="0.35">
      <c r="B2706" s="183"/>
    </row>
    <row r="2707" spans="2:2" ht="15.5" x14ac:dyDescent="0.35">
      <c r="B2707" s="183"/>
    </row>
    <row r="2708" spans="2:2" ht="15.5" x14ac:dyDescent="0.35">
      <c r="B2708" s="183"/>
    </row>
    <row r="2709" spans="2:2" ht="15.5" x14ac:dyDescent="0.35">
      <c r="B2709" s="183"/>
    </row>
    <row r="2710" spans="2:2" ht="15.5" x14ac:dyDescent="0.35">
      <c r="B2710" s="183"/>
    </row>
    <row r="2711" spans="2:2" ht="15.5" x14ac:dyDescent="0.35">
      <c r="B2711" s="183"/>
    </row>
    <row r="2712" spans="2:2" ht="15.5" x14ac:dyDescent="0.35">
      <c r="B2712" s="183"/>
    </row>
    <row r="2713" spans="2:2" ht="15.5" x14ac:dyDescent="0.35">
      <c r="B2713" s="183"/>
    </row>
    <row r="2714" spans="2:2" ht="15.5" x14ac:dyDescent="0.35">
      <c r="B2714" s="183"/>
    </row>
    <row r="2715" spans="2:2" ht="15.5" x14ac:dyDescent="0.35">
      <c r="B2715" s="183"/>
    </row>
    <row r="2716" spans="2:2" ht="15.5" x14ac:dyDescent="0.35">
      <c r="B2716" s="183"/>
    </row>
    <row r="2717" spans="2:2" ht="15.5" x14ac:dyDescent="0.35">
      <c r="B2717" s="183"/>
    </row>
    <row r="2718" spans="2:2" ht="15.5" x14ac:dyDescent="0.35">
      <c r="B2718" s="183"/>
    </row>
    <row r="2719" spans="2:2" ht="15.5" x14ac:dyDescent="0.35">
      <c r="B2719" s="183"/>
    </row>
    <row r="2720" spans="2:2" ht="15.5" x14ac:dyDescent="0.35">
      <c r="B2720" s="183"/>
    </row>
    <row r="2721" spans="2:2" ht="15.5" x14ac:dyDescent="0.35">
      <c r="B2721" s="183"/>
    </row>
    <row r="2722" spans="2:2" ht="15.5" x14ac:dyDescent="0.35">
      <c r="B2722" s="183"/>
    </row>
    <row r="2723" spans="2:2" ht="15.5" x14ac:dyDescent="0.35">
      <c r="B2723" s="183"/>
    </row>
    <row r="2724" spans="2:2" ht="15.5" x14ac:dyDescent="0.35">
      <c r="B2724" s="183"/>
    </row>
    <row r="2725" spans="2:2" ht="15.5" x14ac:dyDescent="0.35">
      <c r="B2725" s="183"/>
    </row>
    <row r="2726" spans="2:2" ht="15.5" x14ac:dyDescent="0.35">
      <c r="B2726" s="183"/>
    </row>
    <row r="2727" spans="2:2" ht="15.5" x14ac:dyDescent="0.35">
      <c r="B2727" s="183"/>
    </row>
    <row r="2728" spans="2:2" ht="15.5" x14ac:dyDescent="0.35">
      <c r="B2728" s="183"/>
    </row>
    <row r="2729" spans="2:2" ht="15.5" x14ac:dyDescent="0.35">
      <c r="B2729" s="183"/>
    </row>
    <row r="2730" spans="2:2" ht="15.5" x14ac:dyDescent="0.35">
      <c r="B2730" s="183"/>
    </row>
    <row r="2731" spans="2:2" ht="15.5" x14ac:dyDescent="0.35">
      <c r="B2731" s="183"/>
    </row>
    <row r="2732" spans="2:2" ht="15.5" x14ac:dyDescent="0.35">
      <c r="B2732" s="183"/>
    </row>
    <row r="2733" spans="2:2" ht="15.5" x14ac:dyDescent="0.35">
      <c r="B2733" s="183"/>
    </row>
    <row r="2734" spans="2:2" ht="15.5" x14ac:dyDescent="0.35">
      <c r="B2734" s="183"/>
    </row>
    <row r="2735" spans="2:2" ht="15.5" x14ac:dyDescent="0.35">
      <c r="B2735" s="183"/>
    </row>
    <row r="2736" spans="2:2" ht="15.5" x14ac:dyDescent="0.35">
      <c r="B2736" s="183"/>
    </row>
    <row r="2737" spans="2:2" ht="15.5" x14ac:dyDescent="0.35">
      <c r="B2737" s="183"/>
    </row>
    <row r="2738" spans="2:2" ht="15.5" x14ac:dyDescent="0.35">
      <c r="B2738" s="183"/>
    </row>
    <row r="2739" spans="2:2" ht="15.5" x14ac:dyDescent="0.35">
      <c r="B2739" s="183"/>
    </row>
    <row r="2740" spans="2:2" ht="15.5" x14ac:dyDescent="0.35">
      <c r="B2740" s="183"/>
    </row>
    <row r="2741" spans="2:2" ht="15.5" x14ac:dyDescent="0.35">
      <c r="B2741" s="183"/>
    </row>
    <row r="2742" spans="2:2" ht="15.5" x14ac:dyDescent="0.35">
      <c r="B2742" s="183"/>
    </row>
    <row r="2743" spans="2:2" ht="15.5" x14ac:dyDescent="0.35">
      <c r="B2743" s="183"/>
    </row>
    <row r="2744" spans="2:2" ht="15.5" x14ac:dyDescent="0.35">
      <c r="B2744" s="183"/>
    </row>
    <row r="2745" spans="2:2" ht="15.5" x14ac:dyDescent="0.35">
      <c r="B2745" s="183"/>
    </row>
    <row r="2746" spans="2:2" ht="15.5" x14ac:dyDescent="0.35">
      <c r="B2746" s="183"/>
    </row>
    <row r="2747" spans="2:2" ht="15.5" x14ac:dyDescent="0.35">
      <c r="B2747" s="183"/>
    </row>
    <row r="2748" spans="2:2" ht="15.5" x14ac:dyDescent="0.35">
      <c r="B2748" s="183"/>
    </row>
    <row r="2749" spans="2:2" ht="15.5" x14ac:dyDescent="0.35">
      <c r="B2749" s="183"/>
    </row>
    <row r="2750" spans="2:2" ht="15.5" x14ac:dyDescent="0.35">
      <c r="B2750" s="183"/>
    </row>
    <row r="2751" spans="2:2" ht="15.5" x14ac:dyDescent="0.35">
      <c r="B2751" s="183"/>
    </row>
    <row r="2752" spans="2:2" ht="15.5" x14ac:dyDescent="0.35">
      <c r="B2752" s="183"/>
    </row>
    <row r="2753" spans="2:2" ht="15.5" x14ac:dyDescent="0.35">
      <c r="B2753" s="183"/>
    </row>
    <row r="2754" spans="2:2" ht="15.5" x14ac:dyDescent="0.35">
      <c r="B2754" s="183"/>
    </row>
    <row r="2755" spans="2:2" ht="15.5" x14ac:dyDescent="0.35">
      <c r="B2755" s="183"/>
    </row>
    <row r="2756" spans="2:2" ht="15.5" x14ac:dyDescent="0.35">
      <c r="B2756" s="183"/>
    </row>
    <row r="2757" spans="2:2" ht="15.5" x14ac:dyDescent="0.35">
      <c r="B2757" s="183"/>
    </row>
    <row r="2758" spans="2:2" ht="15.5" x14ac:dyDescent="0.35">
      <c r="B2758" s="183"/>
    </row>
    <row r="2759" spans="2:2" ht="15.5" x14ac:dyDescent="0.35">
      <c r="B2759" s="183"/>
    </row>
    <row r="2760" spans="2:2" ht="15.5" x14ac:dyDescent="0.35">
      <c r="B2760" s="183"/>
    </row>
    <row r="2761" spans="2:2" ht="15.5" x14ac:dyDescent="0.35">
      <c r="B2761" s="183"/>
    </row>
    <row r="2762" spans="2:2" ht="15.5" x14ac:dyDescent="0.35">
      <c r="B2762" s="183"/>
    </row>
    <row r="2763" spans="2:2" ht="15.5" x14ac:dyDescent="0.35">
      <c r="B2763" s="183"/>
    </row>
    <row r="2764" spans="2:2" ht="15.5" x14ac:dyDescent="0.35">
      <c r="B2764" s="183"/>
    </row>
    <row r="2765" spans="2:2" ht="15.5" x14ac:dyDescent="0.35">
      <c r="B2765" s="183"/>
    </row>
    <row r="2766" spans="2:2" ht="15.5" x14ac:dyDescent="0.35">
      <c r="B2766" s="183"/>
    </row>
    <row r="2767" spans="2:2" ht="15.5" x14ac:dyDescent="0.35">
      <c r="B2767" s="183"/>
    </row>
    <row r="2768" spans="2:2" ht="15.5" x14ac:dyDescent="0.35">
      <c r="B2768" s="183"/>
    </row>
    <row r="2769" spans="2:2" ht="15.5" x14ac:dyDescent="0.35">
      <c r="B2769" s="183"/>
    </row>
    <row r="2770" spans="2:2" ht="15.5" x14ac:dyDescent="0.35">
      <c r="B2770" s="183"/>
    </row>
    <row r="2771" spans="2:2" ht="15.5" x14ac:dyDescent="0.35">
      <c r="B2771" s="183"/>
    </row>
    <row r="2772" spans="2:2" ht="15.5" x14ac:dyDescent="0.35">
      <c r="B2772" s="183"/>
    </row>
    <row r="2773" spans="2:2" ht="15.5" x14ac:dyDescent="0.35">
      <c r="B2773" s="183"/>
    </row>
    <row r="2774" spans="2:2" ht="15.5" x14ac:dyDescent="0.35">
      <c r="B2774" s="183"/>
    </row>
    <row r="2775" spans="2:2" ht="15.5" x14ac:dyDescent="0.35">
      <c r="B2775" s="183"/>
    </row>
    <row r="2776" spans="2:2" ht="15.5" x14ac:dyDescent="0.35">
      <c r="B2776" s="183"/>
    </row>
    <row r="2777" spans="2:2" ht="15.5" x14ac:dyDescent="0.35">
      <c r="B2777" s="183"/>
    </row>
    <row r="2778" spans="2:2" ht="15.5" x14ac:dyDescent="0.35">
      <c r="B2778" s="183"/>
    </row>
    <row r="2779" spans="2:2" ht="15.5" x14ac:dyDescent="0.35">
      <c r="B2779" s="183"/>
    </row>
    <row r="2780" spans="2:2" ht="15.5" x14ac:dyDescent="0.35">
      <c r="B2780" s="183"/>
    </row>
    <row r="2781" spans="2:2" ht="15.5" x14ac:dyDescent="0.35">
      <c r="B2781" s="183"/>
    </row>
    <row r="2782" spans="2:2" ht="15.5" x14ac:dyDescent="0.35">
      <c r="B2782" s="183"/>
    </row>
    <row r="2783" spans="2:2" ht="15.5" x14ac:dyDescent="0.35">
      <c r="B2783" s="183"/>
    </row>
    <row r="2784" spans="2:2" ht="15.5" x14ac:dyDescent="0.35">
      <c r="B2784" s="183"/>
    </row>
    <row r="2785" spans="2:2" ht="15.5" x14ac:dyDescent="0.35">
      <c r="B2785" s="183"/>
    </row>
    <row r="2786" spans="2:2" ht="15.5" x14ac:dyDescent="0.35">
      <c r="B2786" s="183"/>
    </row>
    <row r="2787" spans="2:2" ht="15.5" x14ac:dyDescent="0.35">
      <c r="B2787" s="183"/>
    </row>
    <row r="2788" spans="2:2" ht="15.5" x14ac:dyDescent="0.35">
      <c r="B2788" s="183"/>
    </row>
    <row r="2789" spans="2:2" ht="15.5" x14ac:dyDescent="0.35">
      <c r="B2789" s="183"/>
    </row>
    <row r="2790" spans="2:2" ht="15.5" x14ac:dyDescent="0.35">
      <c r="B2790" s="183"/>
    </row>
    <row r="2791" spans="2:2" ht="15.5" x14ac:dyDescent="0.35">
      <c r="B2791" s="183"/>
    </row>
    <row r="2792" spans="2:2" ht="15.5" x14ac:dyDescent="0.35">
      <c r="B2792" s="183"/>
    </row>
    <row r="2793" spans="2:2" ht="15.5" x14ac:dyDescent="0.35">
      <c r="B2793" s="183"/>
    </row>
    <row r="2794" spans="2:2" ht="15.5" x14ac:dyDescent="0.35">
      <c r="B2794" s="183"/>
    </row>
    <row r="2795" spans="2:2" ht="15.5" x14ac:dyDescent="0.35">
      <c r="B2795" s="183"/>
    </row>
    <row r="2796" spans="2:2" ht="15.5" x14ac:dyDescent="0.35">
      <c r="B2796" s="183"/>
    </row>
    <row r="2797" spans="2:2" ht="15.5" x14ac:dyDescent="0.35">
      <c r="B2797" s="183"/>
    </row>
    <row r="2798" spans="2:2" ht="15.5" x14ac:dyDescent="0.35">
      <c r="B2798" s="183"/>
    </row>
    <row r="2799" spans="2:2" ht="15.5" x14ac:dyDescent="0.35">
      <c r="B2799" s="183"/>
    </row>
    <row r="2800" spans="2:2" ht="15.5" x14ac:dyDescent="0.35">
      <c r="B2800" s="183"/>
    </row>
    <row r="2801" spans="2:2" ht="15.5" x14ac:dyDescent="0.35">
      <c r="B2801" s="183"/>
    </row>
    <row r="2802" spans="2:2" ht="15.5" x14ac:dyDescent="0.35">
      <c r="B2802" s="183"/>
    </row>
    <row r="2803" spans="2:2" ht="15.5" x14ac:dyDescent="0.35">
      <c r="B2803" s="183"/>
    </row>
    <row r="2804" spans="2:2" ht="15.5" x14ac:dyDescent="0.35">
      <c r="B2804" s="183"/>
    </row>
    <row r="2805" spans="2:2" ht="15.5" x14ac:dyDescent="0.35">
      <c r="B2805" s="183"/>
    </row>
    <row r="2806" spans="2:2" ht="15.5" x14ac:dyDescent="0.35">
      <c r="B2806" s="183"/>
    </row>
    <row r="2807" spans="2:2" ht="15.5" x14ac:dyDescent="0.35">
      <c r="B2807" s="183"/>
    </row>
    <row r="2808" spans="2:2" ht="15.5" x14ac:dyDescent="0.35">
      <c r="B2808" s="183"/>
    </row>
    <row r="2809" spans="2:2" ht="15.5" x14ac:dyDescent="0.35">
      <c r="B2809" s="183"/>
    </row>
    <row r="2810" spans="2:2" ht="15.5" x14ac:dyDescent="0.35">
      <c r="B2810" s="183"/>
    </row>
    <row r="2811" spans="2:2" ht="15.5" x14ac:dyDescent="0.35">
      <c r="B2811" s="183"/>
    </row>
    <row r="2812" spans="2:2" ht="15.5" x14ac:dyDescent="0.35">
      <c r="B2812" s="183"/>
    </row>
    <row r="2813" spans="2:2" ht="15.5" x14ac:dyDescent="0.35">
      <c r="B2813" s="183"/>
    </row>
    <row r="2814" spans="2:2" ht="15.5" x14ac:dyDescent="0.35">
      <c r="B2814" s="183"/>
    </row>
    <row r="2815" spans="2:2" ht="15.5" x14ac:dyDescent="0.35">
      <c r="B2815" s="183"/>
    </row>
    <row r="2816" spans="2:2" ht="15.5" x14ac:dyDescent="0.35">
      <c r="B2816" s="183"/>
    </row>
    <row r="2817" spans="2:2" ht="15.5" x14ac:dyDescent="0.35">
      <c r="B2817" s="183"/>
    </row>
    <row r="2818" spans="2:2" ht="15.5" x14ac:dyDescent="0.35">
      <c r="B2818" s="183"/>
    </row>
    <row r="2819" spans="2:2" ht="15.5" x14ac:dyDescent="0.35">
      <c r="B2819" s="183"/>
    </row>
    <row r="2820" spans="2:2" ht="15.5" x14ac:dyDescent="0.35">
      <c r="B2820" s="183"/>
    </row>
    <row r="2821" spans="2:2" ht="15.5" x14ac:dyDescent="0.35">
      <c r="B2821" s="183"/>
    </row>
    <row r="2822" spans="2:2" ht="15.5" x14ac:dyDescent="0.35">
      <c r="B2822" s="183"/>
    </row>
    <row r="2823" spans="2:2" ht="15.5" x14ac:dyDescent="0.35">
      <c r="B2823" s="183"/>
    </row>
    <row r="2824" spans="2:2" ht="15.5" x14ac:dyDescent="0.35">
      <c r="B2824" s="183"/>
    </row>
    <row r="2825" spans="2:2" ht="15.5" x14ac:dyDescent="0.35">
      <c r="B2825" s="183"/>
    </row>
    <row r="2826" spans="2:2" ht="15.5" x14ac:dyDescent="0.35">
      <c r="B2826" s="183"/>
    </row>
    <row r="2827" spans="2:2" ht="15.5" x14ac:dyDescent="0.35">
      <c r="B2827" s="183"/>
    </row>
    <row r="2828" spans="2:2" ht="15.5" x14ac:dyDescent="0.35">
      <c r="B2828" s="183"/>
    </row>
    <row r="2829" spans="2:2" ht="15.5" x14ac:dyDescent="0.35">
      <c r="B2829" s="183"/>
    </row>
    <row r="2830" spans="2:2" ht="15.5" x14ac:dyDescent="0.35">
      <c r="B2830" s="183"/>
    </row>
    <row r="2831" spans="2:2" ht="15.5" x14ac:dyDescent="0.35">
      <c r="B2831" s="183"/>
    </row>
    <row r="2832" spans="2:2" ht="15.5" x14ac:dyDescent="0.35">
      <c r="B2832" s="183"/>
    </row>
    <row r="2833" spans="2:2" ht="15.5" x14ac:dyDescent="0.35">
      <c r="B2833" s="183"/>
    </row>
    <row r="2834" spans="2:2" ht="15.5" x14ac:dyDescent="0.35">
      <c r="B2834" s="183"/>
    </row>
    <row r="2835" spans="2:2" ht="15.5" x14ac:dyDescent="0.35">
      <c r="B2835" s="183"/>
    </row>
    <row r="2836" spans="2:2" ht="15.5" x14ac:dyDescent="0.35">
      <c r="B2836" s="183"/>
    </row>
    <row r="2837" spans="2:2" ht="15.5" x14ac:dyDescent="0.35">
      <c r="B2837" s="183"/>
    </row>
    <row r="2838" spans="2:2" ht="15.5" x14ac:dyDescent="0.35">
      <c r="B2838" s="183"/>
    </row>
    <row r="2839" spans="2:2" ht="15.5" x14ac:dyDescent="0.35">
      <c r="B2839" s="183"/>
    </row>
    <row r="2840" spans="2:2" ht="15.5" x14ac:dyDescent="0.35">
      <c r="B2840" s="183"/>
    </row>
    <row r="2841" spans="2:2" ht="15.5" x14ac:dyDescent="0.35">
      <c r="B2841" s="183"/>
    </row>
    <row r="2842" spans="2:2" ht="15.5" x14ac:dyDescent="0.35">
      <c r="B2842" s="183"/>
    </row>
    <row r="2843" spans="2:2" ht="15.5" x14ac:dyDescent="0.35">
      <c r="B2843" s="183"/>
    </row>
    <row r="2844" spans="2:2" ht="15.5" x14ac:dyDescent="0.35">
      <c r="B2844" s="183"/>
    </row>
    <row r="2845" spans="2:2" ht="15.5" x14ac:dyDescent="0.35">
      <c r="B2845" s="183"/>
    </row>
    <row r="2846" spans="2:2" ht="15.5" x14ac:dyDescent="0.35">
      <c r="B2846" s="183"/>
    </row>
    <row r="2847" spans="2:2" ht="15.5" x14ac:dyDescent="0.35">
      <c r="B2847" s="183"/>
    </row>
    <row r="2848" spans="2:2" ht="15.5" x14ac:dyDescent="0.35">
      <c r="B2848" s="183"/>
    </row>
    <row r="2849" spans="2:2" ht="15.5" x14ac:dyDescent="0.35">
      <c r="B2849" s="183"/>
    </row>
    <row r="2850" spans="2:2" ht="15.5" x14ac:dyDescent="0.35">
      <c r="B2850" s="183"/>
    </row>
    <row r="2851" spans="2:2" ht="15.5" x14ac:dyDescent="0.35">
      <c r="B2851" s="183"/>
    </row>
    <row r="2852" spans="2:2" ht="15.5" x14ac:dyDescent="0.35">
      <c r="B2852" s="183"/>
    </row>
    <row r="2853" spans="2:2" ht="15.5" x14ac:dyDescent="0.35">
      <c r="B2853" s="183"/>
    </row>
    <row r="2854" spans="2:2" ht="15.5" x14ac:dyDescent="0.35">
      <c r="B2854" s="183"/>
    </row>
    <row r="2855" spans="2:2" ht="15.5" x14ac:dyDescent="0.35">
      <c r="B2855" s="183"/>
    </row>
    <row r="2856" spans="2:2" ht="15.5" x14ac:dyDescent="0.35">
      <c r="B2856" s="183"/>
    </row>
    <row r="2857" spans="2:2" ht="15.5" x14ac:dyDescent="0.35">
      <c r="B2857" s="183"/>
    </row>
    <row r="2858" spans="2:2" ht="15.5" x14ac:dyDescent="0.35">
      <c r="B2858" s="183"/>
    </row>
    <row r="2859" spans="2:2" ht="15.5" x14ac:dyDescent="0.35">
      <c r="B2859" s="183"/>
    </row>
    <row r="2860" spans="2:2" ht="15.5" x14ac:dyDescent="0.35">
      <c r="B2860" s="183"/>
    </row>
    <row r="2861" spans="2:2" ht="15.5" x14ac:dyDescent="0.35">
      <c r="B2861" s="183"/>
    </row>
    <row r="2862" spans="2:2" ht="15.5" x14ac:dyDescent="0.35">
      <c r="B2862" s="183"/>
    </row>
    <row r="2863" spans="2:2" ht="15.5" x14ac:dyDescent="0.35">
      <c r="B2863" s="183"/>
    </row>
    <row r="2864" spans="2:2" ht="15.5" x14ac:dyDescent="0.35">
      <c r="B2864" s="183"/>
    </row>
    <row r="2865" spans="2:2" ht="15.5" x14ac:dyDescent="0.35">
      <c r="B2865" s="183"/>
    </row>
    <row r="2866" spans="2:2" ht="15.5" x14ac:dyDescent="0.35">
      <c r="B2866" s="183"/>
    </row>
    <row r="2867" spans="2:2" ht="15.5" x14ac:dyDescent="0.35">
      <c r="B2867" s="183"/>
    </row>
    <row r="2868" spans="2:2" ht="15.5" x14ac:dyDescent="0.35">
      <c r="B2868" s="183"/>
    </row>
    <row r="2869" spans="2:2" ht="15.5" x14ac:dyDescent="0.35">
      <c r="B2869" s="183"/>
    </row>
    <row r="2870" spans="2:2" ht="15.5" x14ac:dyDescent="0.35">
      <c r="B2870" s="183"/>
    </row>
    <row r="2871" spans="2:2" ht="15.5" x14ac:dyDescent="0.35">
      <c r="B2871" s="183"/>
    </row>
    <row r="2872" spans="2:2" ht="15.5" x14ac:dyDescent="0.35">
      <c r="B2872" s="183"/>
    </row>
    <row r="2873" spans="2:2" ht="15.5" x14ac:dyDescent="0.35">
      <c r="B2873" s="183"/>
    </row>
    <row r="2874" spans="2:2" ht="15.5" x14ac:dyDescent="0.35">
      <c r="B2874" s="183"/>
    </row>
    <row r="2875" spans="2:2" ht="15.5" x14ac:dyDescent="0.35">
      <c r="B2875" s="183"/>
    </row>
    <row r="2876" spans="2:2" ht="15.5" x14ac:dyDescent="0.35">
      <c r="B2876" s="183"/>
    </row>
    <row r="2877" spans="2:2" ht="15.5" x14ac:dyDescent="0.35">
      <c r="B2877" s="183"/>
    </row>
    <row r="2878" spans="2:2" ht="15.5" x14ac:dyDescent="0.35">
      <c r="B2878" s="183"/>
    </row>
    <row r="2879" spans="2:2" ht="15.5" x14ac:dyDescent="0.35">
      <c r="B2879" s="183"/>
    </row>
    <row r="2880" spans="2:2" ht="15.5" x14ac:dyDescent="0.35">
      <c r="B2880" s="183"/>
    </row>
    <row r="2881" spans="2:2" ht="15.5" x14ac:dyDescent="0.35">
      <c r="B2881" s="183"/>
    </row>
    <row r="2882" spans="2:2" ht="15.5" x14ac:dyDescent="0.35">
      <c r="B2882" s="183"/>
    </row>
    <row r="2883" spans="2:2" ht="15.5" x14ac:dyDescent="0.35">
      <c r="B2883" s="183"/>
    </row>
    <row r="2884" spans="2:2" ht="15.5" x14ac:dyDescent="0.35">
      <c r="B2884" s="183"/>
    </row>
    <row r="2885" spans="2:2" ht="15.5" x14ac:dyDescent="0.35">
      <c r="B2885" s="183"/>
    </row>
    <row r="2886" spans="2:2" ht="15.5" x14ac:dyDescent="0.35">
      <c r="B2886" s="183"/>
    </row>
    <row r="2887" spans="2:2" ht="15.5" x14ac:dyDescent="0.35">
      <c r="B2887" s="183"/>
    </row>
    <row r="2888" spans="2:2" ht="15.5" x14ac:dyDescent="0.35">
      <c r="B2888" s="183"/>
    </row>
    <row r="2889" spans="2:2" ht="15.5" x14ac:dyDescent="0.35">
      <c r="B2889" s="183"/>
    </row>
    <row r="2890" spans="2:2" ht="15.5" x14ac:dyDescent="0.35">
      <c r="B2890" s="183"/>
    </row>
    <row r="2891" spans="2:2" ht="15.5" x14ac:dyDescent="0.35">
      <c r="B2891" s="183"/>
    </row>
    <row r="2892" spans="2:2" ht="15.5" x14ac:dyDescent="0.35">
      <c r="B2892" s="183"/>
    </row>
    <row r="2893" spans="2:2" ht="15.5" x14ac:dyDescent="0.35">
      <c r="B2893" s="183"/>
    </row>
    <row r="2894" spans="2:2" ht="15.5" x14ac:dyDescent="0.35">
      <c r="B2894" s="183"/>
    </row>
    <row r="2895" spans="2:2" ht="15.5" x14ac:dyDescent="0.35">
      <c r="B2895" s="183"/>
    </row>
    <row r="2896" spans="2:2" ht="15.5" x14ac:dyDescent="0.35">
      <c r="B2896" s="183"/>
    </row>
    <row r="2897" spans="2:2" ht="15.5" x14ac:dyDescent="0.35">
      <c r="B2897" s="183"/>
    </row>
    <row r="2898" spans="2:2" ht="15.5" x14ac:dyDescent="0.35">
      <c r="B2898" s="183"/>
    </row>
    <row r="2899" spans="2:2" ht="15.5" x14ac:dyDescent="0.35">
      <c r="B2899" s="183"/>
    </row>
    <row r="2900" spans="2:2" ht="15.5" x14ac:dyDescent="0.35">
      <c r="B2900" s="183"/>
    </row>
    <row r="2901" spans="2:2" ht="15.5" x14ac:dyDescent="0.35">
      <c r="B2901" s="183"/>
    </row>
    <row r="2902" spans="2:2" ht="15.5" x14ac:dyDescent="0.35">
      <c r="B2902" s="183"/>
    </row>
    <row r="2903" spans="2:2" ht="15.5" x14ac:dyDescent="0.35">
      <c r="B2903" s="183"/>
    </row>
    <row r="2904" spans="2:2" ht="15.5" x14ac:dyDescent="0.35">
      <c r="B2904" s="183"/>
    </row>
    <row r="2905" spans="2:2" ht="15.5" x14ac:dyDescent="0.35">
      <c r="B2905" s="183"/>
    </row>
    <row r="2906" spans="2:2" ht="15.5" x14ac:dyDescent="0.35">
      <c r="B2906" s="183"/>
    </row>
    <row r="2907" spans="2:2" ht="15.5" x14ac:dyDescent="0.35">
      <c r="B2907" s="183"/>
    </row>
    <row r="2908" spans="2:2" ht="15.5" x14ac:dyDescent="0.35">
      <c r="B2908" s="183"/>
    </row>
    <row r="2909" spans="2:2" ht="15.5" x14ac:dyDescent="0.35">
      <c r="B2909" s="183"/>
    </row>
    <row r="2910" spans="2:2" ht="15.5" x14ac:dyDescent="0.35">
      <c r="B2910" s="183"/>
    </row>
    <row r="2911" spans="2:2" ht="15.5" x14ac:dyDescent="0.35">
      <c r="B2911" s="183"/>
    </row>
    <row r="2912" spans="2:2" ht="15.5" x14ac:dyDescent="0.35">
      <c r="B2912" s="183"/>
    </row>
    <row r="2913" spans="2:2" ht="15.5" x14ac:dyDescent="0.35">
      <c r="B2913" s="183"/>
    </row>
    <row r="2914" spans="2:2" ht="15.5" x14ac:dyDescent="0.35">
      <c r="B2914" s="183"/>
    </row>
    <row r="2915" spans="2:2" ht="15.5" x14ac:dyDescent="0.35">
      <c r="B2915" s="183"/>
    </row>
    <row r="2916" spans="2:2" ht="15.5" x14ac:dyDescent="0.35">
      <c r="B2916" s="183"/>
    </row>
    <row r="2917" spans="2:2" ht="15.5" x14ac:dyDescent="0.35">
      <c r="B2917" s="183"/>
    </row>
    <row r="2918" spans="2:2" ht="15.5" x14ac:dyDescent="0.35">
      <c r="B2918" s="183"/>
    </row>
    <row r="2919" spans="2:2" ht="15.5" x14ac:dyDescent="0.35">
      <c r="B2919" s="183"/>
    </row>
    <row r="2920" spans="2:2" ht="15.5" x14ac:dyDescent="0.35">
      <c r="B2920" s="183"/>
    </row>
    <row r="2921" spans="2:2" ht="15.5" x14ac:dyDescent="0.35">
      <c r="B2921" s="183"/>
    </row>
    <row r="2922" spans="2:2" ht="15.5" x14ac:dyDescent="0.35">
      <c r="B2922" s="183"/>
    </row>
    <row r="2923" spans="2:2" ht="15.5" x14ac:dyDescent="0.35">
      <c r="B2923" s="183"/>
    </row>
    <row r="2924" spans="2:2" ht="15.5" x14ac:dyDescent="0.35">
      <c r="B2924" s="183"/>
    </row>
    <row r="2925" spans="2:2" ht="15.5" x14ac:dyDescent="0.35">
      <c r="B2925" s="183"/>
    </row>
    <row r="2926" spans="2:2" ht="15.5" x14ac:dyDescent="0.35">
      <c r="B2926" s="183"/>
    </row>
    <row r="2927" spans="2:2" ht="15.5" x14ac:dyDescent="0.35">
      <c r="B2927" s="183"/>
    </row>
    <row r="2928" spans="2:2" ht="15.5" x14ac:dyDescent="0.35">
      <c r="B2928" s="183"/>
    </row>
    <row r="2929" spans="2:2" ht="15.5" x14ac:dyDescent="0.35">
      <c r="B2929" s="183"/>
    </row>
    <row r="2930" spans="2:2" ht="15.5" x14ac:dyDescent="0.35">
      <c r="B2930" s="183"/>
    </row>
    <row r="2931" spans="2:2" ht="15.5" x14ac:dyDescent="0.35">
      <c r="B2931" s="183"/>
    </row>
    <row r="2932" spans="2:2" ht="15.5" x14ac:dyDescent="0.35">
      <c r="B2932" s="183"/>
    </row>
    <row r="2933" spans="2:2" ht="15.5" x14ac:dyDescent="0.35">
      <c r="B2933" s="183"/>
    </row>
    <row r="2934" spans="2:2" ht="15.5" x14ac:dyDescent="0.35">
      <c r="B2934" s="183"/>
    </row>
    <row r="2935" spans="2:2" ht="15.5" x14ac:dyDescent="0.35">
      <c r="B2935" s="183"/>
    </row>
    <row r="2936" spans="2:2" ht="15.5" x14ac:dyDescent="0.35">
      <c r="B2936" s="183"/>
    </row>
    <row r="2937" spans="2:2" ht="15.5" x14ac:dyDescent="0.35">
      <c r="B2937" s="183"/>
    </row>
    <row r="2938" spans="2:2" ht="15.5" x14ac:dyDescent="0.35">
      <c r="B2938" s="183"/>
    </row>
    <row r="2939" spans="2:2" ht="15.5" x14ac:dyDescent="0.35">
      <c r="B2939" s="183"/>
    </row>
    <row r="2940" spans="2:2" ht="15.5" x14ac:dyDescent="0.35">
      <c r="B2940" s="183"/>
    </row>
    <row r="2941" spans="2:2" ht="15.5" x14ac:dyDescent="0.35">
      <c r="B2941" s="183"/>
    </row>
    <row r="2942" spans="2:2" ht="15.5" x14ac:dyDescent="0.35">
      <c r="B2942" s="183"/>
    </row>
    <row r="2943" spans="2:2" ht="15.5" x14ac:dyDescent="0.35">
      <c r="B2943" s="183"/>
    </row>
    <row r="2944" spans="2:2" ht="15.5" x14ac:dyDescent="0.35">
      <c r="B2944" s="183"/>
    </row>
    <row r="2945" spans="2:2" ht="15.5" x14ac:dyDescent="0.35">
      <c r="B2945" s="183"/>
    </row>
    <row r="2946" spans="2:2" ht="15.5" x14ac:dyDescent="0.35">
      <c r="B2946" s="183"/>
    </row>
    <row r="2947" spans="2:2" ht="15.5" x14ac:dyDescent="0.35">
      <c r="B2947" s="183"/>
    </row>
    <row r="2948" spans="2:2" ht="15.5" x14ac:dyDescent="0.35">
      <c r="B2948" s="183"/>
    </row>
    <row r="2949" spans="2:2" ht="15.5" x14ac:dyDescent="0.35">
      <c r="B2949" s="183"/>
    </row>
    <row r="2950" spans="2:2" ht="15.5" x14ac:dyDescent="0.35">
      <c r="B2950" s="183"/>
    </row>
    <row r="2951" spans="2:2" ht="15.5" x14ac:dyDescent="0.35">
      <c r="B2951" s="183"/>
    </row>
    <row r="2952" spans="2:2" ht="15.5" x14ac:dyDescent="0.35">
      <c r="B2952" s="183"/>
    </row>
    <row r="2953" spans="2:2" ht="15.5" x14ac:dyDescent="0.35">
      <c r="B2953" s="183"/>
    </row>
    <row r="2954" spans="2:2" ht="15.5" x14ac:dyDescent="0.35">
      <c r="B2954" s="183"/>
    </row>
    <row r="2955" spans="2:2" ht="15.5" x14ac:dyDescent="0.35">
      <c r="B2955" s="183"/>
    </row>
    <row r="2956" spans="2:2" ht="15.5" x14ac:dyDescent="0.35">
      <c r="B2956" s="183"/>
    </row>
    <row r="2957" spans="2:2" ht="15.5" x14ac:dyDescent="0.35">
      <c r="B2957" s="183"/>
    </row>
    <row r="2958" spans="2:2" ht="15.5" x14ac:dyDescent="0.35">
      <c r="B2958" s="183"/>
    </row>
    <row r="2959" spans="2:2" ht="15.5" x14ac:dyDescent="0.35">
      <c r="B2959" s="183"/>
    </row>
    <row r="2960" spans="2:2" ht="15.5" x14ac:dyDescent="0.35">
      <c r="B2960" s="183"/>
    </row>
    <row r="2961" spans="2:2" ht="15.5" x14ac:dyDescent="0.35">
      <c r="B2961" s="183"/>
    </row>
    <row r="2962" spans="2:2" ht="15.5" x14ac:dyDescent="0.35">
      <c r="B2962" s="183"/>
    </row>
    <row r="2963" spans="2:2" ht="15.5" x14ac:dyDescent="0.35">
      <c r="B2963" s="183"/>
    </row>
    <row r="2964" spans="2:2" ht="15.5" x14ac:dyDescent="0.35">
      <c r="B2964" s="183"/>
    </row>
    <row r="2965" spans="2:2" ht="15.5" x14ac:dyDescent="0.35">
      <c r="B2965" s="183"/>
    </row>
    <row r="2966" spans="2:2" ht="15.5" x14ac:dyDescent="0.35">
      <c r="B2966" s="183"/>
    </row>
    <row r="2967" spans="2:2" ht="15.5" x14ac:dyDescent="0.35">
      <c r="B2967" s="183"/>
    </row>
    <row r="2968" spans="2:2" ht="15.5" x14ac:dyDescent="0.35">
      <c r="B2968" s="183"/>
    </row>
    <row r="2969" spans="2:2" ht="15.5" x14ac:dyDescent="0.35">
      <c r="B2969" s="183"/>
    </row>
    <row r="2970" spans="2:2" ht="15.5" x14ac:dyDescent="0.35">
      <c r="B2970" s="183"/>
    </row>
    <row r="2971" spans="2:2" ht="15.5" x14ac:dyDescent="0.35">
      <c r="B2971" s="183"/>
    </row>
    <row r="2972" spans="2:2" ht="15.5" x14ac:dyDescent="0.35">
      <c r="B2972" s="183"/>
    </row>
    <row r="2973" spans="2:2" ht="15.5" x14ac:dyDescent="0.35">
      <c r="B2973" s="183"/>
    </row>
    <row r="2974" spans="2:2" ht="15.5" x14ac:dyDescent="0.35">
      <c r="B2974" s="183"/>
    </row>
    <row r="2975" spans="2:2" ht="15.5" x14ac:dyDescent="0.35">
      <c r="B2975" s="183"/>
    </row>
    <row r="2976" spans="2:2" ht="15.5" x14ac:dyDescent="0.35">
      <c r="B2976" s="183"/>
    </row>
    <row r="2977" spans="2:2" ht="15.5" x14ac:dyDescent="0.35">
      <c r="B2977" s="183"/>
    </row>
    <row r="2978" spans="2:2" ht="15.5" x14ac:dyDescent="0.35">
      <c r="B2978" s="183"/>
    </row>
    <row r="2979" spans="2:2" ht="15.5" x14ac:dyDescent="0.35">
      <c r="B2979" s="183"/>
    </row>
    <row r="2980" spans="2:2" ht="15.5" x14ac:dyDescent="0.35">
      <c r="B2980" s="183"/>
    </row>
    <row r="2981" spans="2:2" ht="15.5" x14ac:dyDescent="0.35">
      <c r="B2981" s="183"/>
    </row>
    <row r="2982" spans="2:2" ht="15.5" x14ac:dyDescent="0.35">
      <c r="B2982" s="183"/>
    </row>
    <row r="2983" spans="2:2" ht="15.5" x14ac:dyDescent="0.35">
      <c r="B2983" s="183"/>
    </row>
    <row r="2984" spans="2:2" ht="15.5" x14ac:dyDescent="0.35">
      <c r="B2984" s="183"/>
    </row>
    <row r="2985" spans="2:2" ht="15.5" x14ac:dyDescent="0.35">
      <c r="B2985" s="183"/>
    </row>
    <row r="2986" spans="2:2" ht="15.5" x14ac:dyDescent="0.35">
      <c r="B2986" s="183"/>
    </row>
    <row r="2987" spans="2:2" ht="15.5" x14ac:dyDescent="0.35">
      <c r="B2987" s="183"/>
    </row>
    <row r="2988" spans="2:2" ht="15.5" x14ac:dyDescent="0.35">
      <c r="B2988" s="183"/>
    </row>
    <row r="2989" spans="2:2" ht="15.5" x14ac:dyDescent="0.35">
      <c r="B2989" s="183"/>
    </row>
    <row r="2990" spans="2:2" ht="15.5" x14ac:dyDescent="0.35">
      <c r="B2990" s="183"/>
    </row>
    <row r="2991" spans="2:2" ht="15.5" x14ac:dyDescent="0.35">
      <c r="B2991" s="183"/>
    </row>
    <row r="2992" spans="2:2" ht="15.5" x14ac:dyDescent="0.35">
      <c r="B2992" s="183"/>
    </row>
    <row r="2993" spans="2:2" ht="15.5" x14ac:dyDescent="0.35">
      <c r="B2993" s="183"/>
    </row>
    <row r="2994" spans="2:2" ht="15.5" x14ac:dyDescent="0.35">
      <c r="B2994" s="183"/>
    </row>
    <row r="2995" spans="2:2" ht="15.5" x14ac:dyDescent="0.35">
      <c r="B2995" s="183"/>
    </row>
    <row r="2996" spans="2:2" ht="15.5" x14ac:dyDescent="0.35">
      <c r="B2996" s="183"/>
    </row>
    <row r="2997" spans="2:2" ht="15.5" x14ac:dyDescent="0.35">
      <c r="B2997" s="183"/>
    </row>
    <row r="2998" spans="2:2" ht="15.5" x14ac:dyDescent="0.35">
      <c r="B2998" s="183"/>
    </row>
    <row r="2999" spans="2:2" ht="15.5" x14ac:dyDescent="0.35">
      <c r="B2999" s="183"/>
    </row>
    <row r="3000" spans="2:2" ht="15.5" x14ac:dyDescent="0.35">
      <c r="B3000" s="183"/>
    </row>
    <row r="3001" spans="2:2" ht="15.5" x14ac:dyDescent="0.35">
      <c r="B3001" s="183"/>
    </row>
    <row r="3002" spans="2:2" ht="15.5" x14ac:dyDescent="0.35">
      <c r="B3002" s="183"/>
    </row>
    <row r="3003" spans="2:2" ht="15.5" x14ac:dyDescent="0.35">
      <c r="B3003" s="183"/>
    </row>
    <row r="3004" spans="2:2" ht="15.5" x14ac:dyDescent="0.35">
      <c r="B3004" s="183"/>
    </row>
    <row r="3005" spans="2:2" ht="15.5" x14ac:dyDescent="0.35">
      <c r="B3005" s="183"/>
    </row>
    <row r="3006" spans="2:2" ht="15.5" x14ac:dyDescent="0.35">
      <c r="B3006" s="183"/>
    </row>
    <row r="3007" spans="2:2" ht="15.5" x14ac:dyDescent="0.35">
      <c r="B3007" s="183"/>
    </row>
    <row r="3008" spans="2:2" ht="15.5" x14ac:dyDescent="0.35">
      <c r="B3008" s="183"/>
    </row>
    <row r="3009" spans="2:2" ht="15.5" x14ac:dyDescent="0.35">
      <c r="B3009" s="183"/>
    </row>
    <row r="3010" spans="2:2" ht="15.5" x14ac:dyDescent="0.35">
      <c r="B3010" s="183"/>
    </row>
    <row r="3011" spans="2:2" ht="15.5" x14ac:dyDescent="0.35">
      <c r="B3011" s="183"/>
    </row>
    <row r="3012" spans="2:2" ht="15.5" x14ac:dyDescent="0.35">
      <c r="B3012" s="183"/>
    </row>
    <row r="3013" spans="2:2" ht="15.5" x14ac:dyDescent="0.35">
      <c r="B3013" s="183"/>
    </row>
    <row r="3014" spans="2:2" ht="15.5" x14ac:dyDescent="0.35">
      <c r="B3014" s="183"/>
    </row>
    <row r="3015" spans="2:2" ht="15.5" x14ac:dyDescent="0.35">
      <c r="B3015" s="183"/>
    </row>
    <row r="3016" spans="2:2" ht="15.5" x14ac:dyDescent="0.35">
      <c r="B3016" s="183"/>
    </row>
    <row r="3017" spans="2:2" ht="15.5" x14ac:dyDescent="0.35">
      <c r="B3017" s="183"/>
    </row>
    <row r="3018" spans="2:2" ht="15.5" x14ac:dyDescent="0.35">
      <c r="B3018" s="183"/>
    </row>
    <row r="3019" spans="2:2" ht="15.5" x14ac:dyDescent="0.35">
      <c r="B3019" s="183"/>
    </row>
    <row r="3020" spans="2:2" ht="15.5" x14ac:dyDescent="0.35">
      <c r="B3020" s="183"/>
    </row>
    <row r="3021" spans="2:2" ht="15.5" x14ac:dyDescent="0.35">
      <c r="B3021" s="183"/>
    </row>
    <row r="3022" spans="2:2" ht="15.5" x14ac:dyDescent="0.35">
      <c r="B3022" s="183"/>
    </row>
    <row r="3023" spans="2:2" ht="15.5" x14ac:dyDescent="0.35">
      <c r="B3023" s="183"/>
    </row>
    <row r="3024" spans="2:2" ht="15.5" x14ac:dyDescent="0.35">
      <c r="B3024" s="183"/>
    </row>
    <row r="3025" spans="2:2" ht="15.5" x14ac:dyDescent="0.35">
      <c r="B3025" s="183"/>
    </row>
    <row r="3026" spans="2:2" ht="15.5" x14ac:dyDescent="0.35">
      <c r="B3026" s="183"/>
    </row>
    <row r="3027" spans="2:2" ht="15.5" x14ac:dyDescent="0.35">
      <c r="B3027" s="183"/>
    </row>
    <row r="3028" spans="2:2" ht="15.5" x14ac:dyDescent="0.35">
      <c r="B3028" s="183"/>
    </row>
    <row r="3029" spans="2:2" ht="15.5" x14ac:dyDescent="0.35">
      <c r="B3029" s="183"/>
    </row>
    <row r="3030" spans="2:2" ht="15.5" x14ac:dyDescent="0.35">
      <c r="B3030" s="183"/>
    </row>
    <row r="3031" spans="2:2" ht="15.5" x14ac:dyDescent="0.35">
      <c r="B3031" s="183"/>
    </row>
    <row r="3032" spans="2:2" ht="15.5" x14ac:dyDescent="0.35">
      <c r="B3032" s="183"/>
    </row>
    <row r="3033" spans="2:2" ht="15.5" x14ac:dyDescent="0.35">
      <c r="B3033" s="183"/>
    </row>
    <row r="3034" spans="2:2" ht="15.5" x14ac:dyDescent="0.35">
      <c r="B3034" s="183"/>
    </row>
    <row r="3035" spans="2:2" ht="15.5" x14ac:dyDescent="0.35">
      <c r="B3035" s="183"/>
    </row>
    <row r="3036" spans="2:2" ht="15.5" x14ac:dyDescent="0.35">
      <c r="B3036" s="183"/>
    </row>
    <row r="3037" spans="2:2" ht="15.5" x14ac:dyDescent="0.35">
      <c r="B3037" s="183"/>
    </row>
    <row r="3038" spans="2:2" ht="15.5" x14ac:dyDescent="0.35">
      <c r="B3038" s="183"/>
    </row>
    <row r="3039" spans="2:2" ht="15.5" x14ac:dyDescent="0.35">
      <c r="B3039" s="183"/>
    </row>
    <row r="3040" spans="2:2" ht="15.5" x14ac:dyDescent="0.35">
      <c r="B3040" s="183"/>
    </row>
    <row r="3041" spans="2:2" ht="15.5" x14ac:dyDescent="0.35">
      <c r="B3041" s="183"/>
    </row>
    <row r="3042" spans="2:2" ht="15.5" x14ac:dyDescent="0.35">
      <c r="B3042" s="183"/>
    </row>
    <row r="3043" spans="2:2" ht="15.5" x14ac:dyDescent="0.35">
      <c r="B3043" s="183"/>
    </row>
    <row r="3044" spans="2:2" ht="15.5" x14ac:dyDescent="0.35">
      <c r="B3044" s="183"/>
    </row>
    <row r="3045" spans="2:2" ht="15.5" x14ac:dyDescent="0.35">
      <c r="B3045" s="183"/>
    </row>
    <row r="3046" spans="2:2" ht="15.5" x14ac:dyDescent="0.35">
      <c r="B3046" s="183"/>
    </row>
    <row r="3047" spans="2:2" ht="15.5" x14ac:dyDescent="0.35">
      <c r="B3047" s="183"/>
    </row>
    <row r="3048" spans="2:2" ht="15.5" x14ac:dyDescent="0.35">
      <c r="B3048" s="183"/>
    </row>
    <row r="3049" spans="2:2" ht="15.5" x14ac:dyDescent="0.35">
      <c r="B3049" s="183"/>
    </row>
    <row r="3050" spans="2:2" ht="15.5" x14ac:dyDescent="0.35">
      <c r="B3050" s="183"/>
    </row>
    <row r="3051" spans="2:2" ht="15.5" x14ac:dyDescent="0.35">
      <c r="B3051" s="183"/>
    </row>
    <row r="3052" spans="2:2" ht="15.5" x14ac:dyDescent="0.35">
      <c r="B3052" s="183"/>
    </row>
    <row r="3053" spans="2:2" ht="15.5" x14ac:dyDescent="0.35">
      <c r="B3053" s="183"/>
    </row>
    <row r="3054" spans="2:2" ht="15.5" x14ac:dyDescent="0.35">
      <c r="B3054" s="183"/>
    </row>
    <row r="3055" spans="2:2" ht="15.5" x14ac:dyDescent="0.35">
      <c r="B3055" s="183"/>
    </row>
    <row r="3056" spans="2:2" ht="15.5" x14ac:dyDescent="0.35">
      <c r="B3056" s="183"/>
    </row>
    <row r="3057" spans="2:2" ht="15.5" x14ac:dyDescent="0.35">
      <c r="B3057" s="183"/>
    </row>
    <row r="3058" spans="2:2" ht="15.5" x14ac:dyDescent="0.35">
      <c r="B3058" s="183"/>
    </row>
    <row r="3059" spans="2:2" ht="15.5" x14ac:dyDescent="0.35">
      <c r="B3059" s="183"/>
    </row>
    <row r="3060" spans="2:2" ht="15.5" x14ac:dyDescent="0.35">
      <c r="B3060" s="183"/>
    </row>
    <row r="3061" spans="2:2" ht="15.5" x14ac:dyDescent="0.35">
      <c r="B3061" s="183"/>
    </row>
    <row r="3062" spans="2:2" ht="15.5" x14ac:dyDescent="0.35">
      <c r="B3062" s="183"/>
    </row>
    <row r="3063" spans="2:2" ht="15.5" x14ac:dyDescent="0.35">
      <c r="B3063" s="183"/>
    </row>
    <row r="3064" spans="2:2" ht="15.5" x14ac:dyDescent="0.35">
      <c r="B3064" s="183"/>
    </row>
    <row r="3065" spans="2:2" ht="15.5" x14ac:dyDescent="0.35">
      <c r="B3065" s="183"/>
    </row>
    <row r="3066" spans="2:2" ht="15.5" x14ac:dyDescent="0.35">
      <c r="B3066" s="183"/>
    </row>
    <row r="3067" spans="2:2" ht="15.5" x14ac:dyDescent="0.35">
      <c r="B3067" s="183"/>
    </row>
    <row r="3068" spans="2:2" ht="15.5" x14ac:dyDescent="0.35">
      <c r="B3068" s="183"/>
    </row>
    <row r="3069" spans="2:2" ht="15.5" x14ac:dyDescent="0.35">
      <c r="B3069" s="183"/>
    </row>
    <row r="3070" spans="2:2" ht="15.5" x14ac:dyDescent="0.35">
      <c r="B3070" s="183"/>
    </row>
    <row r="3071" spans="2:2" ht="15.5" x14ac:dyDescent="0.35">
      <c r="B3071" s="183"/>
    </row>
    <row r="3072" spans="2:2" ht="15.5" x14ac:dyDescent="0.35">
      <c r="B3072" s="183"/>
    </row>
    <row r="3073" spans="2:2" ht="15.5" x14ac:dyDescent="0.35">
      <c r="B3073" s="183"/>
    </row>
    <row r="3074" spans="2:2" ht="15.5" x14ac:dyDescent="0.35">
      <c r="B3074" s="183"/>
    </row>
    <row r="3075" spans="2:2" ht="15.5" x14ac:dyDescent="0.35">
      <c r="B3075" s="183"/>
    </row>
    <row r="3076" spans="2:2" ht="15.5" x14ac:dyDescent="0.35">
      <c r="B3076" s="183"/>
    </row>
    <row r="3077" spans="2:2" ht="15.5" x14ac:dyDescent="0.35">
      <c r="B3077" s="183"/>
    </row>
    <row r="3078" spans="2:2" ht="15.5" x14ac:dyDescent="0.35">
      <c r="B3078" s="183"/>
    </row>
    <row r="3079" spans="2:2" ht="15.5" x14ac:dyDescent="0.35">
      <c r="B3079" s="183"/>
    </row>
    <row r="3080" spans="2:2" ht="15.5" x14ac:dyDescent="0.35">
      <c r="B3080" s="183"/>
    </row>
    <row r="3081" spans="2:2" ht="15.5" x14ac:dyDescent="0.35">
      <c r="B3081" s="183"/>
    </row>
    <row r="3082" spans="2:2" ht="15.5" x14ac:dyDescent="0.35">
      <c r="B3082" s="183"/>
    </row>
    <row r="3083" spans="2:2" ht="15.5" x14ac:dyDescent="0.35">
      <c r="B3083" s="183"/>
    </row>
    <row r="3084" spans="2:2" ht="15.5" x14ac:dyDescent="0.35">
      <c r="B3084" s="183"/>
    </row>
    <row r="3085" spans="2:2" ht="15.5" x14ac:dyDescent="0.35">
      <c r="B3085" s="183"/>
    </row>
    <row r="3086" spans="2:2" ht="15.5" x14ac:dyDescent="0.35">
      <c r="B3086" s="183"/>
    </row>
    <row r="3087" spans="2:2" ht="15.5" x14ac:dyDescent="0.35">
      <c r="B3087" s="183"/>
    </row>
    <row r="3088" spans="2:2" ht="15.5" x14ac:dyDescent="0.35">
      <c r="B3088" s="183"/>
    </row>
    <row r="3089" spans="2:2" ht="15.5" x14ac:dyDescent="0.35">
      <c r="B3089" s="183"/>
    </row>
    <row r="3090" spans="2:2" ht="15.5" x14ac:dyDescent="0.35">
      <c r="B3090" s="183"/>
    </row>
    <row r="3091" spans="2:2" ht="15.5" x14ac:dyDescent="0.35">
      <c r="B3091" s="183"/>
    </row>
    <row r="3092" spans="2:2" ht="15.5" x14ac:dyDescent="0.35">
      <c r="B3092" s="183"/>
    </row>
    <row r="3093" spans="2:2" ht="15.5" x14ac:dyDescent="0.35">
      <c r="B3093" s="183"/>
    </row>
    <row r="3094" spans="2:2" ht="15.5" x14ac:dyDescent="0.35">
      <c r="B3094" s="183"/>
    </row>
    <row r="3095" spans="2:2" ht="15.5" x14ac:dyDescent="0.35">
      <c r="B3095" s="183"/>
    </row>
    <row r="3096" spans="2:2" ht="15.5" x14ac:dyDescent="0.35">
      <c r="B3096" s="183"/>
    </row>
    <row r="3097" spans="2:2" ht="15.5" x14ac:dyDescent="0.35">
      <c r="B3097" s="183"/>
    </row>
    <row r="3098" spans="2:2" ht="15.5" x14ac:dyDescent="0.35">
      <c r="B3098" s="183"/>
    </row>
    <row r="3099" spans="2:2" ht="15.5" x14ac:dyDescent="0.35">
      <c r="B3099" s="183"/>
    </row>
    <row r="3100" spans="2:2" ht="15.5" x14ac:dyDescent="0.35">
      <c r="B3100" s="183"/>
    </row>
    <row r="3101" spans="2:2" ht="15.5" x14ac:dyDescent="0.35">
      <c r="B3101" s="183"/>
    </row>
    <row r="3102" spans="2:2" ht="15.5" x14ac:dyDescent="0.35">
      <c r="B3102" s="183"/>
    </row>
    <row r="3103" spans="2:2" ht="15.5" x14ac:dyDescent="0.35">
      <c r="B3103" s="183"/>
    </row>
    <row r="3104" spans="2:2" ht="15.5" x14ac:dyDescent="0.35">
      <c r="B3104" s="183"/>
    </row>
    <row r="3105" spans="2:2" ht="15.5" x14ac:dyDescent="0.35">
      <c r="B3105" s="183"/>
    </row>
    <row r="3106" spans="2:2" ht="15.5" x14ac:dyDescent="0.35">
      <c r="B3106" s="183"/>
    </row>
    <row r="3107" spans="2:2" ht="15.5" x14ac:dyDescent="0.35">
      <c r="B3107" s="183"/>
    </row>
    <row r="3108" spans="2:2" ht="15.5" x14ac:dyDescent="0.35">
      <c r="B3108" s="183"/>
    </row>
    <row r="3109" spans="2:2" ht="15.5" x14ac:dyDescent="0.35">
      <c r="B3109" s="183"/>
    </row>
    <row r="3110" spans="2:2" ht="15.5" x14ac:dyDescent="0.35">
      <c r="B3110" s="183"/>
    </row>
    <row r="3111" spans="2:2" ht="15.5" x14ac:dyDescent="0.35">
      <c r="B3111" s="183"/>
    </row>
    <row r="3112" spans="2:2" ht="15.5" x14ac:dyDescent="0.35">
      <c r="B3112" s="183"/>
    </row>
    <row r="3113" spans="2:2" ht="15.5" x14ac:dyDescent="0.35">
      <c r="B3113" s="183"/>
    </row>
    <row r="3114" spans="2:2" ht="15.5" x14ac:dyDescent="0.35">
      <c r="B3114" s="183"/>
    </row>
    <row r="3115" spans="2:2" ht="15.5" x14ac:dyDescent="0.35">
      <c r="B3115" s="183"/>
    </row>
    <row r="3116" spans="2:2" ht="15.5" x14ac:dyDescent="0.35">
      <c r="B3116" s="183"/>
    </row>
    <row r="3117" spans="2:2" ht="15.5" x14ac:dyDescent="0.35">
      <c r="B3117" s="183"/>
    </row>
    <row r="3118" spans="2:2" ht="15.5" x14ac:dyDescent="0.35">
      <c r="B3118" s="183"/>
    </row>
    <row r="3119" spans="2:2" ht="15.5" x14ac:dyDescent="0.35">
      <c r="B3119" s="183"/>
    </row>
    <row r="3120" spans="2:2" ht="15.5" x14ac:dyDescent="0.35">
      <c r="B3120" s="183"/>
    </row>
    <row r="3121" spans="2:2" ht="15.5" x14ac:dyDescent="0.35">
      <c r="B3121" s="183"/>
    </row>
    <row r="3122" spans="2:2" ht="15.5" x14ac:dyDescent="0.35">
      <c r="B3122" s="183"/>
    </row>
    <row r="3123" spans="2:2" ht="15.5" x14ac:dyDescent="0.35">
      <c r="B3123" s="183"/>
    </row>
    <row r="3124" spans="2:2" ht="15.5" x14ac:dyDescent="0.35">
      <c r="B3124" s="183"/>
    </row>
    <row r="3125" spans="2:2" ht="15.5" x14ac:dyDescent="0.35">
      <c r="B3125" s="183"/>
    </row>
    <row r="3126" spans="2:2" ht="15.5" x14ac:dyDescent="0.35">
      <c r="B3126" s="183"/>
    </row>
    <row r="3127" spans="2:2" ht="15.5" x14ac:dyDescent="0.35">
      <c r="B3127" s="183"/>
    </row>
    <row r="3128" spans="2:2" ht="15.5" x14ac:dyDescent="0.35">
      <c r="B3128" s="183"/>
    </row>
    <row r="3129" spans="2:2" ht="15.5" x14ac:dyDescent="0.35">
      <c r="B3129" s="183"/>
    </row>
    <row r="3130" spans="2:2" ht="15.5" x14ac:dyDescent="0.35">
      <c r="B3130" s="183"/>
    </row>
    <row r="3131" spans="2:2" ht="15.5" x14ac:dyDescent="0.35">
      <c r="B3131" s="183"/>
    </row>
    <row r="3132" spans="2:2" ht="15.5" x14ac:dyDescent="0.35">
      <c r="B3132" s="183"/>
    </row>
    <row r="3133" spans="2:2" ht="15.5" x14ac:dyDescent="0.35">
      <c r="B3133" s="183"/>
    </row>
    <row r="3134" spans="2:2" ht="15.5" x14ac:dyDescent="0.35">
      <c r="B3134" s="183"/>
    </row>
    <row r="3135" spans="2:2" ht="15.5" x14ac:dyDescent="0.35">
      <c r="B3135" s="183"/>
    </row>
    <row r="3136" spans="2:2" ht="15.5" x14ac:dyDescent="0.35">
      <c r="B3136" s="183"/>
    </row>
    <row r="3137" spans="2:2" ht="15.5" x14ac:dyDescent="0.35">
      <c r="B3137" s="183"/>
    </row>
    <row r="3138" spans="2:2" ht="15.5" x14ac:dyDescent="0.35">
      <c r="B3138" s="183"/>
    </row>
    <row r="3139" spans="2:2" ht="15.5" x14ac:dyDescent="0.35">
      <c r="B3139" s="183"/>
    </row>
    <row r="3140" spans="2:2" ht="15.5" x14ac:dyDescent="0.35">
      <c r="B3140" s="183"/>
    </row>
    <row r="3141" spans="2:2" ht="15.5" x14ac:dyDescent="0.35">
      <c r="B3141" s="183"/>
    </row>
    <row r="3142" spans="2:2" ht="15.5" x14ac:dyDescent="0.35">
      <c r="B3142" s="183"/>
    </row>
    <row r="3143" spans="2:2" ht="15.5" x14ac:dyDescent="0.35">
      <c r="B3143" s="183"/>
    </row>
    <row r="3144" spans="2:2" ht="15.5" x14ac:dyDescent="0.35">
      <c r="B3144" s="183"/>
    </row>
    <row r="3145" spans="2:2" ht="15.5" x14ac:dyDescent="0.35">
      <c r="B3145" s="183"/>
    </row>
    <row r="3146" spans="2:2" ht="15.5" x14ac:dyDescent="0.35">
      <c r="B3146" s="183"/>
    </row>
    <row r="3147" spans="2:2" ht="15.5" x14ac:dyDescent="0.35">
      <c r="B3147" s="183"/>
    </row>
    <row r="3148" spans="2:2" ht="15.5" x14ac:dyDescent="0.35">
      <c r="B3148" s="183"/>
    </row>
    <row r="3149" spans="2:2" ht="15.5" x14ac:dyDescent="0.35">
      <c r="B3149" s="183"/>
    </row>
    <row r="3150" spans="2:2" ht="15.5" x14ac:dyDescent="0.35">
      <c r="B3150" s="183"/>
    </row>
    <row r="3151" spans="2:2" ht="15.5" x14ac:dyDescent="0.35">
      <c r="B3151" s="183"/>
    </row>
    <row r="3152" spans="2:2" ht="15.5" x14ac:dyDescent="0.35">
      <c r="B3152" s="183"/>
    </row>
    <row r="3153" spans="2:2" ht="15.5" x14ac:dyDescent="0.35">
      <c r="B3153" s="183"/>
    </row>
    <row r="3154" spans="2:2" ht="15.5" x14ac:dyDescent="0.35">
      <c r="B3154" s="183"/>
    </row>
    <row r="3155" spans="2:2" ht="15.5" x14ac:dyDescent="0.35">
      <c r="B3155" s="183"/>
    </row>
    <row r="3156" spans="2:2" ht="15.5" x14ac:dyDescent="0.35">
      <c r="B3156" s="183"/>
    </row>
    <row r="3157" spans="2:2" ht="15.5" x14ac:dyDescent="0.35">
      <c r="B3157" s="183"/>
    </row>
    <row r="3158" spans="2:2" ht="15.5" x14ac:dyDescent="0.35">
      <c r="B3158" s="183"/>
    </row>
    <row r="3159" spans="2:2" ht="15.5" x14ac:dyDescent="0.35">
      <c r="B3159" s="183"/>
    </row>
    <row r="3160" spans="2:2" ht="15.5" x14ac:dyDescent="0.35">
      <c r="B3160" s="183"/>
    </row>
    <row r="3161" spans="2:2" ht="15.5" x14ac:dyDescent="0.35">
      <c r="B3161" s="183"/>
    </row>
    <row r="3162" spans="2:2" ht="15.5" x14ac:dyDescent="0.35">
      <c r="B3162" s="183"/>
    </row>
    <row r="3163" spans="2:2" ht="15.5" x14ac:dyDescent="0.35">
      <c r="B3163" s="183"/>
    </row>
    <row r="3164" spans="2:2" ht="15.5" x14ac:dyDescent="0.35">
      <c r="B3164" s="183"/>
    </row>
    <row r="3165" spans="2:2" ht="15.5" x14ac:dyDescent="0.35">
      <c r="B3165" s="183"/>
    </row>
    <row r="3166" spans="2:2" ht="15.5" x14ac:dyDescent="0.35">
      <c r="B3166" s="183"/>
    </row>
    <row r="3167" spans="2:2" ht="15.5" x14ac:dyDescent="0.35">
      <c r="B3167" s="183"/>
    </row>
    <row r="3168" spans="2:2" ht="15.5" x14ac:dyDescent="0.35">
      <c r="B3168" s="183"/>
    </row>
    <row r="3169" spans="2:2" ht="15.5" x14ac:dyDescent="0.35">
      <c r="B3169" s="183"/>
    </row>
    <row r="3170" spans="2:2" ht="15.5" x14ac:dyDescent="0.35">
      <c r="B3170" s="183"/>
    </row>
    <row r="3171" spans="2:2" ht="15.5" x14ac:dyDescent="0.35">
      <c r="B3171" s="183"/>
    </row>
    <row r="3172" spans="2:2" ht="15.5" x14ac:dyDescent="0.35">
      <c r="B3172" s="183"/>
    </row>
    <row r="3173" spans="2:2" ht="15.5" x14ac:dyDescent="0.35">
      <c r="B3173" s="183"/>
    </row>
    <row r="3174" spans="2:2" ht="15.5" x14ac:dyDescent="0.35">
      <c r="B3174" s="183"/>
    </row>
    <row r="3175" spans="2:2" ht="15.5" x14ac:dyDescent="0.35">
      <c r="B3175" s="183"/>
    </row>
    <row r="3176" spans="2:2" ht="15.5" x14ac:dyDescent="0.35">
      <c r="B3176" s="183"/>
    </row>
    <row r="3177" spans="2:2" ht="15.5" x14ac:dyDescent="0.35">
      <c r="B3177" s="183"/>
    </row>
    <row r="3178" spans="2:2" ht="15.5" x14ac:dyDescent="0.35">
      <c r="B3178" s="183"/>
    </row>
    <row r="3179" spans="2:2" ht="15.5" x14ac:dyDescent="0.35">
      <c r="B3179" s="183"/>
    </row>
    <row r="3180" spans="2:2" ht="15.5" x14ac:dyDescent="0.35">
      <c r="B3180" s="183"/>
    </row>
    <row r="3181" spans="2:2" ht="15.5" x14ac:dyDescent="0.35">
      <c r="B3181" s="183"/>
    </row>
    <row r="3182" spans="2:2" ht="15.5" x14ac:dyDescent="0.35">
      <c r="B3182" s="183"/>
    </row>
    <row r="3183" spans="2:2" ht="15.5" x14ac:dyDescent="0.35">
      <c r="B3183" s="183"/>
    </row>
    <row r="3184" spans="2:2" ht="15.5" x14ac:dyDescent="0.35">
      <c r="B3184" s="183"/>
    </row>
    <row r="3185" spans="2:2" ht="15.5" x14ac:dyDescent="0.35">
      <c r="B3185" s="183"/>
    </row>
    <row r="3186" spans="2:2" ht="15.5" x14ac:dyDescent="0.35">
      <c r="B3186" s="183"/>
    </row>
    <row r="3187" spans="2:2" ht="15.5" x14ac:dyDescent="0.35">
      <c r="B3187" s="183"/>
    </row>
    <row r="3188" spans="2:2" ht="15.5" x14ac:dyDescent="0.35">
      <c r="B3188" s="183"/>
    </row>
    <row r="3189" spans="2:2" ht="15.5" x14ac:dyDescent="0.35">
      <c r="B3189" s="183"/>
    </row>
    <row r="3190" spans="2:2" ht="15.5" x14ac:dyDescent="0.35">
      <c r="B3190" s="183"/>
    </row>
    <row r="3191" spans="2:2" ht="15.5" x14ac:dyDescent="0.35">
      <c r="B3191" s="183"/>
    </row>
    <row r="3192" spans="2:2" ht="15.5" x14ac:dyDescent="0.35">
      <c r="B3192" s="183"/>
    </row>
    <row r="3193" spans="2:2" ht="15.5" x14ac:dyDescent="0.35">
      <c r="B3193" s="183"/>
    </row>
    <row r="3194" spans="2:2" ht="15.5" x14ac:dyDescent="0.35">
      <c r="B3194" s="183"/>
    </row>
    <row r="3195" spans="2:2" ht="15.5" x14ac:dyDescent="0.35">
      <c r="B3195" s="183"/>
    </row>
    <row r="3196" spans="2:2" ht="15.5" x14ac:dyDescent="0.35">
      <c r="B3196" s="183"/>
    </row>
    <row r="3197" spans="2:2" ht="15.5" x14ac:dyDescent="0.35">
      <c r="B3197" s="183"/>
    </row>
    <row r="3198" spans="2:2" ht="15.5" x14ac:dyDescent="0.35">
      <c r="B3198" s="183"/>
    </row>
    <row r="3199" spans="2:2" ht="15.5" x14ac:dyDescent="0.35">
      <c r="B3199" s="183"/>
    </row>
    <row r="3200" spans="2:2" ht="15.5" x14ac:dyDescent="0.35">
      <c r="B3200" s="183"/>
    </row>
    <row r="3201" spans="2:2" ht="15.5" x14ac:dyDescent="0.35">
      <c r="B3201" s="183"/>
    </row>
    <row r="3202" spans="2:2" ht="15.5" x14ac:dyDescent="0.35">
      <c r="B3202" s="183"/>
    </row>
    <row r="3203" spans="2:2" ht="15.5" x14ac:dyDescent="0.35">
      <c r="B3203" s="183"/>
    </row>
    <row r="3204" spans="2:2" ht="15.5" x14ac:dyDescent="0.35">
      <c r="B3204" s="183"/>
    </row>
    <row r="3205" spans="2:2" ht="15.5" x14ac:dyDescent="0.35">
      <c r="B3205" s="183"/>
    </row>
    <row r="3206" spans="2:2" ht="15.5" x14ac:dyDescent="0.35">
      <c r="B3206" s="183"/>
    </row>
    <row r="3207" spans="2:2" ht="15.5" x14ac:dyDescent="0.35">
      <c r="B3207" s="183"/>
    </row>
    <row r="3208" spans="2:2" ht="15.5" x14ac:dyDescent="0.35">
      <c r="B3208" s="183"/>
    </row>
    <row r="3209" spans="2:2" ht="15.5" x14ac:dyDescent="0.35">
      <c r="B3209" s="183"/>
    </row>
    <row r="3210" spans="2:2" ht="15.5" x14ac:dyDescent="0.35">
      <c r="B3210" s="183"/>
    </row>
    <row r="3211" spans="2:2" ht="15.5" x14ac:dyDescent="0.35">
      <c r="B3211" s="183"/>
    </row>
    <row r="3212" spans="2:2" ht="15.5" x14ac:dyDescent="0.35">
      <c r="B3212" s="183"/>
    </row>
    <row r="3213" spans="2:2" ht="15.5" x14ac:dyDescent="0.35">
      <c r="B3213" s="183"/>
    </row>
    <row r="3214" spans="2:2" ht="15.5" x14ac:dyDescent="0.35">
      <c r="B3214" s="183"/>
    </row>
    <row r="3215" spans="2:2" ht="15.5" x14ac:dyDescent="0.35">
      <c r="B3215" s="183"/>
    </row>
    <row r="3216" spans="2:2" ht="15.5" x14ac:dyDescent="0.35">
      <c r="B3216" s="183"/>
    </row>
    <row r="3217" spans="2:2" ht="15.5" x14ac:dyDescent="0.35">
      <c r="B3217" s="183"/>
    </row>
    <row r="3218" spans="2:2" ht="15.5" x14ac:dyDescent="0.35">
      <c r="B3218" s="183"/>
    </row>
    <row r="3219" spans="2:2" ht="15.5" x14ac:dyDescent="0.35">
      <c r="B3219" s="183"/>
    </row>
    <row r="3220" spans="2:2" ht="15.5" x14ac:dyDescent="0.35">
      <c r="B3220" s="183"/>
    </row>
    <row r="3221" spans="2:2" ht="15.5" x14ac:dyDescent="0.35">
      <c r="B3221" s="183"/>
    </row>
    <row r="3222" spans="2:2" ht="15.5" x14ac:dyDescent="0.35">
      <c r="B3222" s="183"/>
    </row>
    <row r="3223" spans="2:2" ht="15.5" x14ac:dyDescent="0.35">
      <c r="B3223" s="183"/>
    </row>
    <row r="3224" spans="2:2" ht="15.5" x14ac:dyDescent="0.35">
      <c r="B3224" s="183"/>
    </row>
    <row r="3225" spans="2:2" ht="15.5" x14ac:dyDescent="0.35">
      <c r="B3225" s="183"/>
    </row>
    <row r="3226" spans="2:2" ht="15.5" x14ac:dyDescent="0.35">
      <c r="B3226" s="183"/>
    </row>
    <row r="3227" spans="2:2" ht="15.5" x14ac:dyDescent="0.35">
      <c r="B3227" s="183"/>
    </row>
    <row r="3228" spans="2:2" ht="15.5" x14ac:dyDescent="0.35">
      <c r="B3228" s="183"/>
    </row>
    <row r="3229" spans="2:2" ht="15.5" x14ac:dyDescent="0.35">
      <c r="B3229" s="183"/>
    </row>
    <row r="3230" spans="2:2" ht="15.5" x14ac:dyDescent="0.35">
      <c r="B3230" s="183"/>
    </row>
    <row r="3231" spans="2:2" ht="15.5" x14ac:dyDescent="0.35">
      <c r="B3231" s="183"/>
    </row>
    <row r="3232" spans="2:2" ht="15.5" x14ac:dyDescent="0.35">
      <c r="B3232" s="183"/>
    </row>
    <row r="3233" spans="2:2" ht="15.5" x14ac:dyDescent="0.35">
      <c r="B3233" s="183"/>
    </row>
    <row r="3234" spans="2:2" ht="15.5" x14ac:dyDescent="0.35">
      <c r="B3234" s="183"/>
    </row>
    <row r="3235" spans="2:2" ht="15.5" x14ac:dyDescent="0.35">
      <c r="B3235" s="183"/>
    </row>
    <row r="3236" spans="2:2" ht="15.5" x14ac:dyDescent="0.35">
      <c r="B3236" s="183"/>
    </row>
    <row r="3237" spans="2:2" ht="15.5" x14ac:dyDescent="0.35">
      <c r="B3237" s="183"/>
    </row>
    <row r="3238" spans="2:2" ht="15.5" x14ac:dyDescent="0.35">
      <c r="B3238" s="183"/>
    </row>
    <row r="3239" spans="2:2" ht="15.5" x14ac:dyDescent="0.35">
      <c r="B3239" s="183"/>
    </row>
    <row r="3240" spans="2:2" ht="15.5" x14ac:dyDescent="0.35">
      <c r="B3240" s="183"/>
    </row>
    <row r="3241" spans="2:2" ht="15.5" x14ac:dyDescent="0.35">
      <c r="B3241" s="183"/>
    </row>
    <row r="3242" spans="2:2" ht="15.5" x14ac:dyDescent="0.35">
      <c r="B3242" s="183"/>
    </row>
    <row r="3243" spans="2:2" ht="15.5" x14ac:dyDescent="0.35">
      <c r="B3243" s="183"/>
    </row>
    <row r="3244" spans="2:2" ht="15.5" x14ac:dyDescent="0.35">
      <c r="B3244" s="183"/>
    </row>
    <row r="3245" spans="2:2" ht="15.5" x14ac:dyDescent="0.35">
      <c r="B3245" s="183"/>
    </row>
    <row r="3246" spans="2:2" ht="15.5" x14ac:dyDescent="0.35">
      <c r="B3246" s="183"/>
    </row>
    <row r="3247" spans="2:2" ht="15.5" x14ac:dyDescent="0.35">
      <c r="B3247" s="183"/>
    </row>
    <row r="3248" spans="2:2" ht="15.5" x14ac:dyDescent="0.35">
      <c r="B3248" s="183"/>
    </row>
    <row r="3249" spans="2:2" ht="15.5" x14ac:dyDescent="0.35">
      <c r="B3249" s="183"/>
    </row>
    <row r="3250" spans="2:2" ht="15.5" x14ac:dyDescent="0.35">
      <c r="B3250" s="183"/>
    </row>
    <row r="3251" spans="2:2" ht="15.5" x14ac:dyDescent="0.35">
      <c r="B3251" s="183"/>
    </row>
    <row r="3252" spans="2:2" ht="15.5" x14ac:dyDescent="0.35">
      <c r="B3252" s="183"/>
    </row>
    <row r="3253" spans="2:2" ht="15.5" x14ac:dyDescent="0.35">
      <c r="B3253" s="183"/>
    </row>
    <row r="3254" spans="2:2" ht="15.5" x14ac:dyDescent="0.35">
      <c r="B3254" s="183"/>
    </row>
    <row r="3255" spans="2:2" ht="15.5" x14ac:dyDescent="0.35">
      <c r="B3255" s="183"/>
    </row>
    <row r="3256" spans="2:2" ht="15.5" x14ac:dyDescent="0.35">
      <c r="B3256" s="183"/>
    </row>
    <row r="3257" spans="2:2" ht="15.5" x14ac:dyDescent="0.35">
      <c r="B3257" s="183"/>
    </row>
    <row r="3258" spans="2:2" ht="15.5" x14ac:dyDescent="0.35">
      <c r="B3258" s="183"/>
    </row>
    <row r="3259" spans="2:2" ht="15.5" x14ac:dyDescent="0.35">
      <c r="B3259" s="183"/>
    </row>
    <row r="3260" spans="2:2" ht="15.5" x14ac:dyDescent="0.35">
      <c r="B3260" s="183"/>
    </row>
    <row r="3261" spans="2:2" ht="15.5" x14ac:dyDescent="0.35">
      <c r="B3261" s="183"/>
    </row>
    <row r="3262" spans="2:2" ht="15.5" x14ac:dyDescent="0.35">
      <c r="B3262" s="183"/>
    </row>
    <row r="3263" spans="2:2" ht="15.5" x14ac:dyDescent="0.35">
      <c r="B3263" s="183"/>
    </row>
    <row r="3264" spans="2:2" ht="15.5" x14ac:dyDescent="0.35">
      <c r="B3264" s="183"/>
    </row>
    <row r="3265" spans="2:2" ht="15.5" x14ac:dyDescent="0.35">
      <c r="B3265" s="183"/>
    </row>
    <row r="3266" spans="2:2" ht="15.5" x14ac:dyDescent="0.35">
      <c r="B3266" s="183"/>
    </row>
    <row r="3267" spans="2:2" ht="15.5" x14ac:dyDescent="0.35">
      <c r="B3267" s="183"/>
    </row>
    <row r="3268" spans="2:2" ht="15.5" x14ac:dyDescent="0.35">
      <c r="B3268" s="183"/>
    </row>
    <row r="3269" spans="2:2" ht="15.5" x14ac:dyDescent="0.35">
      <c r="B3269" s="183"/>
    </row>
    <row r="3270" spans="2:2" ht="15.5" x14ac:dyDescent="0.35">
      <c r="B3270" s="183"/>
    </row>
    <row r="3271" spans="2:2" ht="15.5" x14ac:dyDescent="0.35">
      <c r="B3271" s="183"/>
    </row>
    <row r="3272" spans="2:2" ht="15.5" x14ac:dyDescent="0.35">
      <c r="B3272" s="183"/>
    </row>
    <row r="3273" spans="2:2" ht="15.5" x14ac:dyDescent="0.35">
      <c r="B3273" s="183"/>
    </row>
    <row r="3274" spans="2:2" ht="15.5" x14ac:dyDescent="0.35">
      <c r="B3274" s="183"/>
    </row>
    <row r="3275" spans="2:2" ht="15.5" x14ac:dyDescent="0.35">
      <c r="B3275" s="183"/>
    </row>
    <row r="3276" spans="2:2" ht="15.5" x14ac:dyDescent="0.35">
      <c r="B3276" s="183"/>
    </row>
    <row r="3277" spans="2:2" ht="15.5" x14ac:dyDescent="0.35">
      <c r="B3277" s="183"/>
    </row>
    <row r="3278" spans="2:2" ht="15.5" x14ac:dyDescent="0.35">
      <c r="B3278" s="183"/>
    </row>
    <row r="3279" spans="2:2" ht="15.5" x14ac:dyDescent="0.35">
      <c r="B3279" s="183"/>
    </row>
    <row r="3280" spans="2:2" ht="15.5" x14ac:dyDescent="0.35">
      <c r="B3280" s="183"/>
    </row>
    <row r="3281" spans="2:2" ht="15.5" x14ac:dyDescent="0.35">
      <c r="B3281" s="183"/>
    </row>
    <row r="3282" spans="2:2" ht="15.5" x14ac:dyDescent="0.35">
      <c r="B3282" s="183"/>
    </row>
    <row r="3283" spans="2:2" ht="15.5" x14ac:dyDescent="0.35">
      <c r="B3283" s="183"/>
    </row>
    <row r="3284" spans="2:2" ht="15.5" x14ac:dyDescent="0.35">
      <c r="B3284" s="183"/>
    </row>
    <row r="3285" spans="2:2" ht="15.5" x14ac:dyDescent="0.35">
      <c r="B3285" s="183"/>
    </row>
    <row r="3286" spans="2:2" ht="15.5" x14ac:dyDescent="0.35">
      <c r="B3286" s="183"/>
    </row>
    <row r="3287" spans="2:2" ht="15.5" x14ac:dyDescent="0.35">
      <c r="B3287" s="183"/>
    </row>
    <row r="3288" spans="2:2" ht="15.5" x14ac:dyDescent="0.35">
      <c r="B3288" s="183"/>
    </row>
    <row r="3289" spans="2:2" ht="15.5" x14ac:dyDescent="0.35">
      <c r="B3289" s="183"/>
    </row>
    <row r="3290" spans="2:2" ht="15.5" x14ac:dyDescent="0.35">
      <c r="B3290" s="183"/>
    </row>
    <row r="3291" spans="2:2" ht="15.5" x14ac:dyDescent="0.35">
      <c r="B3291" s="183"/>
    </row>
    <row r="3292" spans="2:2" ht="15.5" x14ac:dyDescent="0.35">
      <c r="B3292" s="183"/>
    </row>
    <row r="3293" spans="2:2" ht="15.5" x14ac:dyDescent="0.35">
      <c r="B3293" s="183"/>
    </row>
    <row r="3294" spans="2:2" ht="15.5" x14ac:dyDescent="0.35">
      <c r="B3294" s="183"/>
    </row>
    <row r="3295" spans="2:2" ht="15.5" x14ac:dyDescent="0.35">
      <c r="B3295" s="183"/>
    </row>
    <row r="3296" spans="2:2" ht="15.5" x14ac:dyDescent="0.35">
      <c r="B3296" s="183"/>
    </row>
    <row r="3297" spans="2:2" ht="15.5" x14ac:dyDescent="0.35">
      <c r="B3297" s="183"/>
    </row>
    <row r="3298" spans="2:2" ht="15.5" x14ac:dyDescent="0.35">
      <c r="B3298" s="183"/>
    </row>
    <row r="3299" spans="2:2" ht="15.5" x14ac:dyDescent="0.35">
      <c r="B3299" s="183"/>
    </row>
    <row r="3300" spans="2:2" ht="15.5" x14ac:dyDescent="0.35">
      <c r="B3300" s="183"/>
    </row>
    <row r="3301" spans="2:2" ht="15.5" x14ac:dyDescent="0.35">
      <c r="B3301" s="183"/>
    </row>
    <row r="3302" spans="2:2" ht="15.5" x14ac:dyDescent="0.35">
      <c r="B3302" s="183"/>
    </row>
    <row r="3303" spans="2:2" ht="15.5" x14ac:dyDescent="0.35">
      <c r="B3303" s="183"/>
    </row>
    <row r="3304" spans="2:2" ht="15.5" x14ac:dyDescent="0.35">
      <c r="B3304" s="183"/>
    </row>
    <row r="3305" spans="2:2" ht="15.5" x14ac:dyDescent="0.35">
      <c r="B3305" s="183"/>
    </row>
    <row r="3306" spans="2:2" ht="15.5" x14ac:dyDescent="0.35">
      <c r="B3306" s="183"/>
    </row>
    <row r="3307" spans="2:2" ht="15.5" x14ac:dyDescent="0.35">
      <c r="B3307" s="183"/>
    </row>
    <row r="3308" spans="2:2" ht="15.5" x14ac:dyDescent="0.35">
      <c r="B3308" s="183"/>
    </row>
    <row r="3309" spans="2:2" ht="15.5" x14ac:dyDescent="0.35">
      <c r="B3309" s="183"/>
    </row>
    <row r="3310" spans="2:2" ht="15.5" x14ac:dyDescent="0.35">
      <c r="B3310" s="183"/>
    </row>
    <row r="3311" spans="2:2" ht="15.5" x14ac:dyDescent="0.35">
      <c r="B3311" s="183"/>
    </row>
    <row r="3312" spans="2:2" ht="15.5" x14ac:dyDescent="0.35">
      <c r="B3312" s="183"/>
    </row>
    <row r="3313" spans="2:2" ht="15.5" x14ac:dyDescent="0.35">
      <c r="B3313" s="183"/>
    </row>
    <row r="3314" spans="2:2" ht="15.5" x14ac:dyDescent="0.35">
      <c r="B3314" s="183"/>
    </row>
    <row r="3315" spans="2:2" ht="15.5" x14ac:dyDescent="0.35">
      <c r="B3315" s="183"/>
    </row>
    <row r="3316" spans="2:2" ht="15.5" x14ac:dyDescent="0.35">
      <c r="B3316" s="183"/>
    </row>
    <row r="3317" spans="2:2" ht="15.5" x14ac:dyDescent="0.35">
      <c r="B3317" s="183"/>
    </row>
    <row r="3318" spans="2:2" ht="15.5" x14ac:dyDescent="0.35">
      <c r="B3318" s="183"/>
    </row>
    <row r="3319" spans="2:2" ht="15.5" x14ac:dyDescent="0.35">
      <c r="B3319" s="183"/>
    </row>
    <row r="3320" spans="2:2" ht="15.5" x14ac:dyDescent="0.35">
      <c r="B3320" s="183"/>
    </row>
    <row r="3321" spans="2:2" ht="15.5" x14ac:dyDescent="0.35">
      <c r="B3321" s="183"/>
    </row>
    <row r="3322" spans="2:2" ht="15.5" x14ac:dyDescent="0.35">
      <c r="B3322" s="183"/>
    </row>
    <row r="3323" spans="2:2" ht="15.5" x14ac:dyDescent="0.35">
      <c r="B3323" s="183"/>
    </row>
    <row r="3324" spans="2:2" ht="15.5" x14ac:dyDescent="0.35">
      <c r="B3324" s="183"/>
    </row>
    <row r="3325" spans="2:2" ht="15.5" x14ac:dyDescent="0.35">
      <c r="B3325" s="183"/>
    </row>
    <row r="3326" spans="2:2" ht="15.5" x14ac:dyDescent="0.35">
      <c r="B3326" s="183"/>
    </row>
    <row r="3327" spans="2:2" ht="15.5" x14ac:dyDescent="0.35">
      <c r="B3327" s="183"/>
    </row>
    <row r="3328" spans="2:2" ht="15.5" x14ac:dyDescent="0.35">
      <c r="B3328" s="183"/>
    </row>
    <row r="3329" spans="2:2" ht="15.5" x14ac:dyDescent="0.35">
      <c r="B3329" s="183"/>
    </row>
    <row r="3330" spans="2:2" ht="15.5" x14ac:dyDescent="0.35">
      <c r="B3330" s="183"/>
    </row>
    <row r="3331" spans="2:2" ht="15.5" x14ac:dyDescent="0.35">
      <c r="B3331" s="183"/>
    </row>
    <row r="3332" spans="2:2" ht="15.5" x14ac:dyDescent="0.35">
      <c r="B3332" s="183"/>
    </row>
    <row r="3333" spans="2:2" ht="15.5" x14ac:dyDescent="0.35">
      <c r="B3333" s="183"/>
    </row>
    <row r="3334" spans="2:2" ht="15.5" x14ac:dyDescent="0.35">
      <c r="B3334" s="183"/>
    </row>
    <row r="3335" spans="2:2" ht="15.5" x14ac:dyDescent="0.35">
      <c r="B3335" s="183"/>
    </row>
    <row r="3336" spans="2:2" ht="15.5" x14ac:dyDescent="0.35">
      <c r="B3336" s="183"/>
    </row>
    <row r="3337" spans="2:2" ht="15.5" x14ac:dyDescent="0.35">
      <c r="B3337" s="183"/>
    </row>
    <row r="3338" spans="2:2" ht="15.5" x14ac:dyDescent="0.35">
      <c r="B3338" s="183"/>
    </row>
    <row r="3339" spans="2:2" ht="15.5" x14ac:dyDescent="0.35">
      <c r="B3339" s="183"/>
    </row>
    <row r="3340" spans="2:2" ht="15.5" x14ac:dyDescent="0.35">
      <c r="B3340" s="183"/>
    </row>
    <row r="3341" spans="2:2" ht="15.5" x14ac:dyDescent="0.35">
      <c r="B3341" s="183"/>
    </row>
    <row r="3342" spans="2:2" ht="15.5" x14ac:dyDescent="0.35">
      <c r="B3342" s="183"/>
    </row>
    <row r="3343" spans="2:2" ht="15.5" x14ac:dyDescent="0.35">
      <c r="B3343" s="183"/>
    </row>
    <row r="3344" spans="2:2" ht="15.5" x14ac:dyDescent="0.35">
      <c r="B3344" s="183"/>
    </row>
    <row r="3345" spans="2:2" ht="15.5" x14ac:dyDescent="0.35">
      <c r="B3345" s="183"/>
    </row>
    <row r="3346" spans="2:2" ht="15.5" x14ac:dyDescent="0.35">
      <c r="B3346" s="183"/>
    </row>
    <row r="3347" spans="2:2" ht="15.5" x14ac:dyDescent="0.35">
      <c r="B3347" s="183"/>
    </row>
    <row r="3348" spans="2:2" ht="15.5" x14ac:dyDescent="0.35">
      <c r="B3348" s="183"/>
    </row>
    <row r="3349" spans="2:2" ht="15.5" x14ac:dyDescent="0.35">
      <c r="B3349" s="183"/>
    </row>
    <row r="3350" spans="2:2" ht="15.5" x14ac:dyDescent="0.35">
      <c r="B3350" s="183"/>
    </row>
    <row r="3351" spans="2:2" ht="15.5" x14ac:dyDescent="0.35">
      <c r="B3351" s="183"/>
    </row>
    <row r="3352" spans="2:2" ht="15.5" x14ac:dyDescent="0.35">
      <c r="B3352" s="183"/>
    </row>
    <row r="3353" spans="2:2" ht="15.5" x14ac:dyDescent="0.35">
      <c r="B3353" s="183"/>
    </row>
    <row r="3354" spans="2:2" ht="15.5" x14ac:dyDescent="0.35">
      <c r="B3354" s="183"/>
    </row>
    <row r="3355" spans="2:2" ht="15.5" x14ac:dyDescent="0.35">
      <c r="B3355" s="183"/>
    </row>
    <row r="3356" spans="2:2" ht="15.5" x14ac:dyDescent="0.35">
      <c r="B3356" s="183"/>
    </row>
    <row r="3357" spans="2:2" ht="15.5" x14ac:dyDescent="0.35">
      <c r="B3357" s="183"/>
    </row>
    <row r="3358" spans="2:2" ht="15.5" x14ac:dyDescent="0.35">
      <c r="B3358" s="183"/>
    </row>
    <row r="3359" spans="2:2" ht="15.5" x14ac:dyDescent="0.35">
      <c r="B3359" s="183"/>
    </row>
    <row r="3360" spans="2:2" ht="15.5" x14ac:dyDescent="0.35">
      <c r="B3360" s="183"/>
    </row>
    <row r="3361" spans="2:2" ht="15.5" x14ac:dyDescent="0.35">
      <c r="B3361" s="183"/>
    </row>
    <row r="3362" spans="2:2" ht="15.5" x14ac:dyDescent="0.35">
      <c r="B3362" s="183"/>
    </row>
    <row r="3363" spans="2:2" ht="15.5" x14ac:dyDescent="0.35">
      <c r="B3363" s="183"/>
    </row>
    <row r="3364" spans="2:2" ht="15.5" x14ac:dyDescent="0.35">
      <c r="B3364" s="183"/>
    </row>
    <row r="3365" spans="2:2" ht="15.5" x14ac:dyDescent="0.35">
      <c r="B3365" s="183"/>
    </row>
    <row r="3366" spans="2:2" ht="15.5" x14ac:dyDescent="0.35">
      <c r="B3366" s="183"/>
    </row>
    <row r="3367" spans="2:2" ht="15.5" x14ac:dyDescent="0.35">
      <c r="B3367" s="183"/>
    </row>
    <row r="3368" spans="2:2" ht="15.5" x14ac:dyDescent="0.35">
      <c r="B3368" s="183"/>
    </row>
    <row r="3369" spans="2:2" ht="15.5" x14ac:dyDescent="0.35">
      <c r="B3369" s="183"/>
    </row>
    <row r="3370" spans="2:2" ht="15.5" x14ac:dyDescent="0.35">
      <c r="B3370" s="183"/>
    </row>
    <row r="3371" spans="2:2" ht="15.5" x14ac:dyDescent="0.35">
      <c r="B3371" s="183"/>
    </row>
    <row r="3372" spans="2:2" ht="15.5" x14ac:dyDescent="0.35">
      <c r="B3372" s="183"/>
    </row>
    <row r="3373" spans="2:2" ht="15.5" x14ac:dyDescent="0.35">
      <c r="B3373" s="183"/>
    </row>
    <row r="3374" spans="2:2" ht="15.5" x14ac:dyDescent="0.35">
      <c r="B3374" s="183"/>
    </row>
    <row r="3375" spans="2:2" ht="15.5" x14ac:dyDescent="0.35">
      <c r="B3375" s="183"/>
    </row>
    <row r="3376" spans="2:2" ht="15.5" x14ac:dyDescent="0.35">
      <c r="B3376" s="183"/>
    </row>
    <row r="3377" spans="2:2" ht="15.5" x14ac:dyDescent="0.35">
      <c r="B3377" s="183"/>
    </row>
    <row r="3378" spans="2:2" ht="15.5" x14ac:dyDescent="0.35">
      <c r="B3378" s="183"/>
    </row>
    <row r="3379" spans="2:2" ht="15.5" x14ac:dyDescent="0.35">
      <c r="B3379" s="183"/>
    </row>
    <row r="3380" spans="2:2" ht="15.5" x14ac:dyDescent="0.35">
      <c r="B3380" s="183"/>
    </row>
    <row r="3381" spans="2:2" ht="15.5" x14ac:dyDescent="0.35">
      <c r="B3381" s="183"/>
    </row>
    <row r="3382" spans="2:2" ht="15.5" x14ac:dyDescent="0.35">
      <c r="B3382" s="183"/>
    </row>
    <row r="3383" spans="2:2" ht="15.5" x14ac:dyDescent="0.35">
      <c r="B3383" s="183"/>
    </row>
    <row r="3384" spans="2:2" ht="15.5" x14ac:dyDescent="0.35">
      <c r="B3384" s="183"/>
    </row>
    <row r="3385" spans="2:2" ht="15.5" x14ac:dyDescent="0.35">
      <c r="B3385" s="183"/>
    </row>
    <row r="3386" spans="2:2" ht="15.5" x14ac:dyDescent="0.35">
      <c r="B3386" s="183"/>
    </row>
    <row r="3387" spans="2:2" ht="15.5" x14ac:dyDescent="0.35">
      <c r="B3387" s="183"/>
    </row>
    <row r="3388" spans="2:2" ht="15.5" x14ac:dyDescent="0.35">
      <c r="B3388" s="183"/>
    </row>
    <row r="3389" spans="2:2" ht="15.5" x14ac:dyDescent="0.35">
      <c r="B3389" s="183"/>
    </row>
    <row r="3390" spans="2:2" ht="15.5" x14ac:dyDescent="0.35">
      <c r="B3390" s="183"/>
    </row>
    <row r="3391" spans="2:2" ht="15.5" x14ac:dyDescent="0.35">
      <c r="B3391" s="183"/>
    </row>
    <row r="3392" spans="2:2" ht="15.5" x14ac:dyDescent="0.35">
      <c r="B3392" s="183"/>
    </row>
    <row r="3393" spans="2:2" ht="15.5" x14ac:dyDescent="0.35">
      <c r="B3393" s="183"/>
    </row>
    <row r="3394" spans="2:2" ht="15.5" x14ac:dyDescent="0.35">
      <c r="B3394" s="183"/>
    </row>
    <row r="3395" spans="2:2" ht="15.5" x14ac:dyDescent="0.35">
      <c r="B3395" s="183"/>
    </row>
    <row r="3396" spans="2:2" ht="15.5" x14ac:dyDescent="0.35">
      <c r="B3396" s="183"/>
    </row>
    <row r="3397" spans="2:2" ht="15.5" x14ac:dyDescent="0.35">
      <c r="B3397" s="183"/>
    </row>
    <row r="3398" spans="2:2" ht="15.5" x14ac:dyDescent="0.35">
      <c r="B3398" s="183"/>
    </row>
    <row r="3399" spans="2:2" ht="15.5" x14ac:dyDescent="0.35">
      <c r="B3399" s="183"/>
    </row>
    <row r="3400" spans="2:2" ht="15.5" x14ac:dyDescent="0.35">
      <c r="B3400" s="183"/>
    </row>
    <row r="3401" spans="2:2" ht="15.5" x14ac:dyDescent="0.35">
      <c r="B3401" s="183"/>
    </row>
    <row r="3402" spans="2:2" ht="15.5" x14ac:dyDescent="0.35">
      <c r="B3402" s="183"/>
    </row>
    <row r="3403" spans="2:2" ht="15.5" x14ac:dyDescent="0.35">
      <c r="B3403" s="183"/>
    </row>
    <row r="3404" spans="2:2" ht="15.5" x14ac:dyDescent="0.35">
      <c r="B3404" s="183"/>
    </row>
    <row r="3405" spans="2:2" ht="15.5" x14ac:dyDescent="0.35">
      <c r="B3405" s="183"/>
    </row>
    <row r="3406" spans="2:2" ht="15.5" x14ac:dyDescent="0.35">
      <c r="B3406" s="183"/>
    </row>
    <row r="3407" spans="2:2" ht="15.5" x14ac:dyDescent="0.35">
      <c r="B3407" s="183"/>
    </row>
    <row r="3408" spans="2:2" ht="15.5" x14ac:dyDescent="0.35">
      <c r="B3408" s="183"/>
    </row>
    <row r="3409" spans="2:2" ht="15.5" x14ac:dyDescent="0.35">
      <c r="B3409" s="183"/>
    </row>
    <row r="3410" spans="2:2" ht="15.5" x14ac:dyDescent="0.35">
      <c r="B3410" s="183"/>
    </row>
    <row r="3411" spans="2:2" ht="15.5" x14ac:dyDescent="0.35">
      <c r="B3411" s="183"/>
    </row>
    <row r="3412" spans="2:2" ht="15.5" x14ac:dyDescent="0.35">
      <c r="B3412" s="183"/>
    </row>
    <row r="3413" spans="2:2" ht="15.5" x14ac:dyDescent="0.35">
      <c r="B3413" s="183"/>
    </row>
    <row r="3414" spans="2:2" ht="15.5" x14ac:dyDescent="0.35">
      <c r="B3414" s="183"/>
    </row>
    <row r="3415" spans="2:2" ht="15.5" x14ac:dyDescent="0.35">
      <c r="B3415" s="183"/>
    </row>
    <row r="3416" spans="2:2" ht="15.5" x14ac:dyDescent="0.35">
      <c r="B3416" s="183"/>
    </row>
    <row r="3417" spans="2:2" ht="15.5" x14ac:dyDescent="0.35">
      <c r="B3417" s="183"/>
    </row>
    <row r="3418" spans="2:2" ht="15.5" x14ac:dyDescent="0.35">
      <c r="B3418" s="183"/>
    </row>
    <row r="3419" spans="2:2" ht="15.5" x14ac:dyDescent="0.35">
      <c r="B3419" s="183"/>
    </row>
    <row r="3420" spans="2:2" ht="15.5" x14ac:dyDescent="0.35">
      <c r="B3420" s="183"/>
    </row>
    <row r="3421" spans="2:2" ht="15.5" x14ac:dyDescent="0.35">
      <c r="B3421" s="183"/>
    </row>
    <row r="3422" spans="2:2" ht="15.5" x14ac:dyDescent="0.35">
      <c r="B3422" s="183"/>
    </row>
    <row r="3423" spans="2:2" ht="15.5" x14ac:dyDescent="0.35">
      <c r="B3423" s="183"/>
    </row>
    <row r="3424" spans="2:2" ht="15.5" x14ac:dyDescent="0.35">
      <c r="B3424" s="183"/>
    </row>
    <row r="3425" spans="2:2" ht="15.5" x14ac:dyDescent="0.35">
      <c r="B3425" s="183"/>
    </row>
    <row r="3426" spans="2:2" ht="15.5" x14ac:dyDescent="0.35">
      <c r="B3426" s="183"/>
    </row>
    <row r="3427" spans="2:2" ht="15.5" x14ac:dyDescent="0.35">
      <c r="B3427" s="183"/>
    </row>
    <row r="3428" spans="2:2" ht="15.5" x14ac:dyDescent="0.35">
      <c r="B3428" s="183"/>
    </row>
    <row r="3429" spans="2:2" ht="15.5" x14ac:dyDescent="0.35">
      <c r="B3429" s="183"/>
    </row>
    <row r="3430" spans="2:2" ht="15.5" x14ac:dyDescent="0.35">
      <c r="B3430" s="183"/>
    </row>
    <row r="3431" spans="2:2" ht="15.5" x14ac:dyDescent="0.35">
      <c r="B3431" s="183"/>
    </row>
    <row r="3432" spans="2:2" ht="15.5" x14ac:dyDescent="0.35">
      <c r="B3432" s="183"/>
    </row>
    <row r="3433" spans="2:2" ht="15.5" x14ac:dyDescent="0.35">
      <c r="B3433" s="183"/>
    </row>
    <row r="3434" spans="2:2" ht="15.5" x14ac:dyDescent="0.35">
      <c r="B3434" s="183"/>
    </row>
    <row r="3435" spans="2:2" ht="15.5" x14ac:dyDescent="0.35">
      <c r="B3435" s="183"/>
    </row>
    <row r="3436" spans="2:2" ht="15.5" x14ac:dyDescent="0.35">
      <c r="B3436" s="183"/>
    </row>
    <row r="3437" spans="2:2" ht="15.5" x14ac:dyDescent="0.35">
      <c r="B3437" s="183"/>
    </row>
    <row r="3438" spans="2:2" ht="15.5" x14ac:dyDescent="0.35">
      <c r="B3438" s="183"/>
    </row>
    <row r="3439" spans="2:2" ht="15.5" x14ac:dyDescent="0.35">
      <c r="B3439" s="183"/>
    </row>
    <row r="3440" spans="2:2" ht="15.5" x14ac:dyDescent="0.35">
      <c r="B3440" s="183"/>
    </row>
    <row r="3441" spans="2:2" ht="15.5" x14ac:dyDescent="0.35">
      <c r="B3441" s="183"/>
    </row>
    <row r="3442" spans="2:2" ht="15.5" x14ac:dyDescent="0.35">
      <c r="B3442" s="183"/>
    </row>
    <row r="3443" spans="2:2" ht="15.5" x14ac:dyDescent="0.35">
      <c r="B3443" s="183"/>
    </row>
    <row r="3444" spans="2:2" ht="15.5" x14ac:dyDescent="0.35">
      <c r="B3444" s="183"/>
    </row>
    <row r="3445" spans="2:2" ht="15.5" x14ac:dyDescent="0.35">
      <c r="B3445" s="183"/>
    </row>
    <row r="3446" spans="2:2" ht="15.5" x14ac:dyDescent="0.35">
      <c r="B3446" s="183"/>
    </row>
    <row r="3447" spans="2:2" ht="15.5" x14ac:dyDescent="0.35">
      <c r="B3447" s="183"/>
    </row>
    <row r="3448" spans="2:2" ht="15.5" x14ac:dyDescent="0.35">
      <c r="B3448" s="183"/>
    </row>
    <row r="3449" spans="2:2" ht="15.5" x14ac:dyDescent="0.35">
      <c r="B3449" s="183"/>
    </row>
    <row r="3450" spans="2:2" ht="15.5" x14ac:dyDescent="0.35">
      <c r="B3450" s="183"/>
    </row>
    <row r="3451" spans="2:2" ht="15.5" x14ac:dyDescent="0.35">
      <c r="B3451" s="183"/>
    </row>
    <row r="3452" spans="2:2" ht="15.5" x14ac:dyDescent="0.35">
      <c r="B3452" s="183"/>
    </row>
    <row r="3453" spans="2:2" ht="15.5" x14ac:dyDescent="0.35">
      <c r="B3453" s="183"/>
    </row>
    <row r="3454" spans="2:2" ht="15.5" x14ac:dyDescent="0.35">
      <c r="B3454" s="183"/>
    </row>
    <row r="3455" spans="2:2" ht="15.5" x14ac:dyDescent="0.35">
      <c r="B3455" s="183"/>
    </row>
    <row r="3456" spans="2:2" ht="15.5" x14ac:dyDescent="0.35">
      <c r="B3456" s="183"/>
    </row>
    <row r="3457" spans="2:2" ht="15.5" x14ac:dyDescent="0.35">
      <c r="B3457" s="183"/>
    </row>
    <row r="3458" spans="2:2" ht="15.5" x14ac:dyDescent="0.35">
      <c r="B3458" s="183"/>
    </row>
    <row r="3459" spans="2:2" ht="15.5" x14ac:dyDescent="0.35">
      <c r="B3459" s="183"/>
    </row>
    <row r="3460" spans="2:2" ht="15.5" x14ac:dyDescent="0.35">
      <c r="B3460" s="183"/>
    </row>
    <row r="3461" spans="2:2" ht="15.5" x14ac:dyDescent="0.35">
      <c r="B3461" s="183"/>
    </row>
    <row r="3462" spans="2:2" ht="15.5" x14ac:dyDescent="0.35">
      <c r="B3462" s="183"/>
    </row>
    <row r="3463" spans="2:2" ht="15.5" x14ac:dyDescent="0.35">
      <c r="B3463" s="183"/>
    </row>
    <row r="3464" spans="2:2" ht="15.5" x14ac:dyDescent="0.35">
      <c r="B3464" s="183"/>
    </row>
    <row r="3465" spans="2:2" ht="15.5" x14ac:dyDescent="0.35">
      <c r="B3465" s="183"/>
    </row>
    <row r="3466" spans="2:2" ht="15.5" x14ac:dyDescent="0.35">
      <c r="B3466" s="183"/>
    </row>
    <row r="3467" spans="2:2" ht="15.5" x14ac:dyDescent="0.35">
      <c r="B3467" s="183"/>
    </row>
    <row r="3468" spans="2:2" ht="15.5" x14ac:dyDescent="0.35">
      <c r="B3468" s="183"/>
    </row>
    <row r="3469" spans="2:2" ht="15.5" x14ac:dyDescent="0.35">
      <c r="B3469" s="183"/>
    </row>
    <row r="3470" spans="2:2" ht="15.5" x14ac:dyDescent="0.35">
      <c r="B3470" s="183"/>
    </row>
    <row r="3471" spans="2:2" ht="15.5" x14ac:dyDescent="0.35">
      <c r="B3471" s="183"/>
    </row>
    <row r="3472" spans="2:2" ht="15.5" x14ac:dyDescent="0.35">
      <c r="B3472" s="183"/>
    </row>
    <row r="3473" spans="2:2" ht="15.5" x14ac:dyDescent="0.35">
      <c r="B3473" s="183"/>
    </row>
    <row r="3474" spans="2:2" ht="15.5" x14ac:dyDescent="0.35">
      <c r="B3474" s="183"/>
    </row>
    <row r="3475" spans="2:2" ht="15.5" x14ac:dyDescent="0.35">
      <c r="B3475" s="183"/>
    </row>
    <row r="3476" spans="2:2" ht="15.5" x14ac:dyDescent="0.35">
      <c r="B3476" s="183"/>
    </row>
    <row r="3477" spans="2:2" ht="15.5" x14ac:dyDescent="0.35">
      <c r="B3477" s="183"/>
    </row>
    <row r="3478" spans="2:2" ht="15.5" x14ac:dyDescent="0.35">
      <c r="B3478" s="183"/>
    </row>
    <row r="3479" spans="2:2" ht="15.5" x14ac:dyDescent="0.35">
      <c r="B3479" s="183"/>
    </row>
    <row r="3480" spans="2:2" ht="15.5" x14ac:dyDescent="0.35">
      <c r="B3480" s="183"/>
    </row>
    <row r="3481" spans="2:2" ht="15.5" x14ac:dyDescent="0.35">
      <c r="B3481" s="183"/>
    </row>
    <row r="3482" spans="2:2" ht="15.5" x14ac:dyDescent="0.35">
      <c r="B3482" s="183"/>
    </row>
    <row r="3483" spans="2:2" ht="15.5" x14ac:dyDescent="0.35">
      <c r="B3483" s="183"/>
    </row>
    <row r="3484" spans="2:2" ht="15.5" x14ac:dyDescent="0.35">
      <c r="B3484" s="183"/>
    </row>
    <row r="3485" spans="2:2" ht="15.5" x14ac:dyDescent="0.35">
      <c r="B3485" s="183"/>
    </row>
    <row r="3486" spans="2:2" ht="15.5" x14ac:dyDescent="0.35">
      <c r="B3486" s="183"/>
    </row>
    <row r="3487" spans="2:2" ht="15.5" x14ac:dyDescent="0.35">
      <c r="B3487" s="183"/>
    </row>
    <row r="3488" spans="2:2" ht="15.5" x14ac:dyDescent="0.35">
      <c r="B3488" s="183"/>
    </row>
    <row r="3489" spans="2:2" ht="15.5" x14ac:dyDescent="0.35">
      <c r="B3489" s="183"/>
    </row>
    <row r="3490" spans="2:2" ht="15.5" x14ac:dyDescent="0.35">
      <c r="B3490" s="183"/>
    </row>
    <row r="3491" spans="2:2" ht="15.5" x14ac:dyDescent="0.35">
      <c r="B3491" s="183"/>
    </row>
    <row r="3492" spans="2:2" ht="15.5" x14ac:dyDescent="0.35">
      <c r="B3492" s="183"/>
    </row>
    <row r="3493" spans="2:2" ht="15.5" x14ac:dyDescent="0.35">
      <c r="B3493" s="183"/>
    </row>
    <row r="3494" spans="2:2" ht="15.5" x14ac:dyDescent="0.35">
      <c r="B3494" s="183"/>
    </row>
    <row r="3495" spans="2:2" ht="15.5" x14ac:dyDescent="0.35">
      <c r="B3495" s="183"/>
    </row>
    <row r="3496" spans="2:2" ht="15.5" x14ac:dyDescent="0.35">
      <c r="B3496" s="183"/>
    </row>
    <row r="3497" spans="2:2" ht="15.5" x14ac:dyDescent="0.35">
      <c r="B3497" s="183"/>
    </row>
    <row r="3498" spans="2:2" ht="15.5" x14ac:dyDescent="0.35">
      <c r="B3498" s="183"/>
    </row>
    <row r="3499" spans="2:2" ht="15.5" x14ac:dyDescent="0.35">
      <c r="B3499" s="183"/>
    </row>
    <row r="3500" spans="2:2" ht="15.5" x14ac:dyDescent="0.35">
      <c r="B3500" s="183"/>
    </row>
    <row r="3501" spans="2:2" ht="15.5" x14ac:dyDescent="0.35">
      <c r="B3501" s="183"/>
    </row>
    <row r="3502" spans="2:2" ht="15.5" x14ac:dyDescent="0.35">
      <c r="B3502" s="183"/>
    </row>
    <row r="3503" spans="2:2" ht="15.5" x14ac:dyDescent="0.35">
      <c r="B3503" s="183"/>
    </row>
    <row r="3504" spans="2:2" ht="15.5" x14ac:dyDescent="0.35">
      <c r="B3504" s="183"/>
    </row>
    <row r="3505" spans="2:2" ht="15.5" x14ac:dyDescent="0.35">
      <c r="B3505" s="183"/>
    </row>
    <row r="3506" spans="2:2" ht="15.5" x14ac:dyDescent="0.35">
      <c r="B3506" s="183"/>
    </row>
    <row r="3507" spans="2:2" ht="15.5" x14ac:dyDescent="0.35">
      <c r="B3507" s="183"/>
    </row>
    <row r="3508" spans="2:2" ht="15.5" x14ac:dyDescent="0.35">
      <c r="B3508" s="183"/>
    </row>
    <row r="3509" spans="2:2" ht="15.5" x14ac:dyDescent="0.35">
      <c r="B3509" s="183"/>
    </row>
    <row r="3510" spans="2:2" ht="15.5" x14ac:dyDescent="0.35">
      <c r="B3510" s="183"/>
    </row>
    <row r="3511" spans="2:2" ht="15.5" x14ac:dyDescent="0.35">
      <c r="B3511" s="183"/>
    </row>
    <row r="3512" spans="2:2" ht="15.5" x14ac:dyDescent="0.35">
      <c r="B3512" s="183"/>
    </row>
    <row r="3513" spans="2:2" ht="15.5" x14ac:dyDescent="0.35">
      <c r="B3513" s="183"/>
    </row>
    <row r="3514" spans="2:2" ht="15.5" x14ac:dyDescent="0.35">
      <c r="B3514" s="183"/>
    </row>
    <row r="3515" spans="2:2" ht="15.5" x14ac:dyDescent="0.35">
      <c r="B3515" s="183"/>
    </row>
    <row r="3516" spans="2:2" ht="15.5" x14ac:dyDescent="0.35">
      <c r="B3516" s="183"/>
    </row>
    <row r="3517" spans="2:2" ht="15.5" x14ac:dyDescent="0.35">
      <c r="B3517" s="183"/>
    </row>
    <row r="3518" spans="2:2" ht="15.5" x14ac:dyDescent="0.35">
      <c r="B3518" s="183"/>
    </row>
    <row r="3519" spans="2:2" ht="15.5" x14ac:dyDescent="0.35">
      <c r="B3519" s="183"/>
    </row>
    <row r="3520" spans="2:2" ht="15.5" x14ac:dyDescent="0.35">
      <c r="B3520" s="183"/>
    </row>
    <row r="3521" spans="2:2" ht="15.5" x14ac:dyDescent="0.35">
      <c r="B3521" s="183"/>
    </row>
    <row r="3522" spans="2:2" ht="15.5" x14ac:dyDescent="0.35">
      <c r="B3522" s="183"/>
    </row>
    <row r="3523" spans="2:2" ht="15.5" x14ac:dyDescent="0.35">
      <c r="B3523" s="183"/>
    </row>
    <row r="3524" spans="2:2" ht="15.5" x14ac:dyDescent="0.35">
      <c r="B3524" s="183"/>
    </row>
    <row r="3525" spans="2:2" ht="15.5" x14ac:dyDescent="0.35">
      <c r="B3525" s="183"/>
    </row>
    <row r="3526" spans="2:2" ht="15.5" x14ac:dyDescent="0.35">
      <c r="B3526" s="183"/>
    </row>
    <row r="3527" spans="2:2" ht="15.5" x14ac:dyDescent="0.35">
      <c r="B3527" s="183"/>
    </row>
    <row r="3528" spans="2:2" ht="15.5" x14ac:dyDescent="0.35">
      <c r="B3528" s="183"/>
    </row>
    <row r="3529" spans="2:2" ht="15.5" x14ac:dyDescent="0.35">
      <c r="B3529" s="183"/>
    </row>
    <row r="3530" spans="2:2" ht="15.5" x14ac:dyDescent="0.35">
      <c r="B3530" s="183"/>
    </row>
    <row r="3531" spans="2:2" ht="15.5" x14ac:dyDescent="0.35">
      <c r="B3531" s="183"/>
    </row>
    <row r="3532" spans="2:2" ht="15.5" x14ac:dyDescent="0.35">
      <c r="B3532" s="183"/>
    </row>
    <row r="3533" spans="2:2" ht="15.5" x14ac:dyDescent="0.35">
      <c r="B3533" s="183"/>
    </row>
    <row r="3534" spans="2:2" ht="15.5" x14ac:dyDescent="0.35">
      <c r="B3534" s="183"/>
    </row>
    <row r="3535" spans="2:2" ht="15.5" x14ac:dyDescent="0.35">
      <c r="B3535" s="183"/>
    </row>
    <row r="3536" spans="2:2" ht="15.5" x14ac:dyDescent="0.35">
      <c r="B3536" s="183"/>
    </row>
    <row r="3537" spans="2:2" ht="15.5" x14ac:dyDescent="0.35">
      <c r="B3537" s="183"/>
    </row>
    <row r="3538" spans="2:2" ht="15.5" x14ac:dyDescent="0.35">
      <c r="B3538" s="183"/>
    </row>
    <row r="3539" spans="2:2" ht="15.5" x14ac:dyDescent="0.35">
      <c r="B3539" s="183"/>
    </row>
    <row r="3540" spans="2:2" ht="15.5" x14ac:dyDescent="0.35">
      <c r="B3540" s="183"/>
    </row>
    <row r="3541" spans="2:2" ht="15.5" x14ac:dyDescent="0.35">
      <c r="B3541" s="183"/>
    </row>
    <row r="3542" spans="2:2" ht="15.5" x14ac:dyDescent="0.35">
      <c r="B3542" s="183"/>
    </row>
    <row r="3543" spans="2:2" ht="15.5" x14ac:dyDescent="0.35">
      <c r="B3543" s="183"/>
    </row>
    <row r="3544" spans="2:2" ht="15.5" x14ac:dyDescent="0.35">
      <c r="B3544" s="183"/>
    </row>
    <row r="3545" spans="2:2" ht="15.5" x14ac:dyDescent="0.35">
      <c r="B3545" s="183"/>
    </row>
    <row r="3546" spans="2:2" ht="15.5" x14ac:dyDescent="0.35">
      <c r="B3546" s="183"/>
    </row>
    <row r="3547" spans="2:2" ht="15.5" x14ac:dyDescent="0.35">
      <c r="B3547" s="183"/>
    </row>
    <row r="3548" spans="2:2" ht="15.5" x14ac:dyDescent="0.35">
      <c r="B3548" s="183"/>
    </row>
    <row r="3549" spans="2:2" ht="15.5" x14ac:dyDescent="0.35">
      <c r="B3549" s="183"/>
    </row>
    <row r="3550" spans="2:2" ht="15.5" x14ac:dyDescent="0.35">
      <c r="B3550" s="183"/>
    </row>
    <row r="3551" spans="2:2" ht="15.5" x14ac:dyDescent="0.35">
      <c r="B3551" s="183"/>
    </row>
    <row r="3552" spans="2:2" ht="15.5" x14ac:dyDescent="0.35">
      <c r="B3552" s="183"/>
    </row>
    <row r="3553" spans="2:2" ht="15.5" x14ac:dyDescent="0.35">
      <c r="B3553" s="183"/>
    </row>
    <row r="3554" spans="2:2" ht="15.5" x14ac:dyDescent="0.35">
      <c r="B3554" s="183"/>
    </row>
    <row r="3555" spans="2:2" ht="15.5" x14ac:dyDescent="0.35">
      <c r="B3555" s="183"/>
    </row>
    <row r="3556" spans="2:2" ht="15.5" x14ac:dyDescent="0.35">
      <c r="B3556" s="183"/>
    </row>
    <row r="3557" spans="2:2" ht="15.5" x14ac:dyDescent="0.35">
      <c r="B3557" s="183"/>
    </row>
    <row r="3558" spans="2:2" ht="15.5" x14ac:dyDescent="0.35">
      <c r="B3558" s="183"/>
    </row>
    <row r="3559" spans="2:2" ht="15.5" x14ac:dyDescent="0.35">
      <c r="B3559" s="183"/>
    </row>
    <row r="3560" spans="2:2" ht="15.5" x14ac:dyDescent="0.35">
      <c r="B3560" s="183"/>
    </row>
    <row r="3561" spans="2:2" ht="15.5" x14ac:dyDescent="0.35">
      <c r="B3561" s="183"/>
    </row>
    <row r="3562" spans="2:2" ht="15.5" x14ac:dyDescent="0.35">
      <c r="B3562" s="183"/>
    </row>
    <row r="3563" spans="2:2" ht="15.5" x14ac:dyDescent="0.35">
      <c r="B3563" s="183"/>
    </row>
    <row r="3564" spans="2:2" ht="15.5" x14ac:dyDescent="0.35">
      <c r="B3564" s="183"/>
    </row>
    <row r="3565" spans="2:2" ht="15.5" x14ac:dyDescent="0.35">
      <c r="B3565" s="183"/>
    </row>
    <row r="3566" spans="2:2" ht="15.5" x14ac:dyDescent="0.35">
      <c r="B3566" s="183"/>
    </row>
    <row r="3567" spans="2:2" ht="15.5" x14ac:dyDescent="0.35">
      <c r="B3567" s="183"/>
    </row>
    <row r="3568" spans="2:2" ht="15.5" x14ac:dyDescent="0.35">
      <c r="B3568" s="183"/>
    </row>
    <row r="3569" spans="2:2" ht="15.5" x14ac:dyDescent="0.35">
      <c r="B3569" s="183"/>
    </row>
    <row r="3570" spans="2:2" ht="15.5" x14ac:dyDescent="0.35">
      <c r="B3570" s="183"/>
    </row>
    <row r="3571" spans="2:2" ht="15.5" x14ac:dyDescent="0.35">
      <c r="B3571" s="183"/>
    </row>
    <row r="3572" spans="2:2" ht="15.5" x14ac:dyDescent="0.35">
      <c r="B3572" s="183"/>
    </row>
    <row r="3573" spans="2:2" ht="15.5" x14ac:dyDescent="0.35">
      <c r="B3573" s="183"/>
    </row>
    <row r="3574" spans="2:2" ht="15.5" x14ac:dyDescent="0.35">
      <c r="B3574" s="183"/>
    </row>
    <row r="3575" spans="2:2" ht="15.5" x14ac:dyDescent="0.35">
      <c r="B3575" s="183"/>
    </row>
    <row r="3576" spans="2:2" ht="15.5" x14ac:dyDescent="0.35">
      <c r="B3576" s="183"/>
    </row>
    <row r="3577" spans="2:2" ht="15.5" x14ac:dyDescent="0.35">
      <c r="B3577" s="183"/>
    </row>
    <row r="3578" spans="2:2" ht="15.5" x14ac:dyDescent="0.35">
      <c r="B3578" s="183"/>
    </row>
    <row r="3579" spans="2:2" ht="15.5" x14ac:dyDescent="0.35">
      <c r="B3579" s="183"/>
    </row>
    <row r="3580" spans="2:2" ht="15.5" x14ac:dyDescent="0.35">
      <c r="B3580" s="183"/>
    </row>
    <row r="3581" spans="2:2" ht="15.5" x14ac:dyDescent="0.35">
      <c r="B3581" s="183"/>
    </row>
    <row r="3582" spans="2:2" ht="15.5" x14ac:dyDescent="0.35">
      <c r="B3582" s="183"/>
    </row>
    <row r="3583" spans="2:2" ht="15.5" x14ac:dyDescent="0.35">
      <c r="B3583" s="183"/>
    </row>
    <row r="3584" spans="2:2" ht="15.5" x14ac:dyDescent="0.35">
      <c r="B3584" s="183"/>
    </row>
    <row r="3585" spans="2:2" ht="15.5" x14ac:dyDescent="0.35">
      <c r="B3585" s="183"/>
    </row>
    <row r="3586" spans="2:2" ht="15.5" x14ac:dyDescent="0.35">
      <c r="B3586" s="183"/>
    </row>
    <row r="3587" spans="2:2" ht="15.5" x14ac:dyDescent="0.35">
      <c r="B3587" s="183"/>
    </row>
    <row r="3588" spans="2:2" ht="15.5" x14ac:dyDescent="0.35">
      <c r="B3588" s="183"/>
    </row>
    <row r="3589" spans="2:2" ht="15.5" x14ac:dyDescent="0.35">
      <c r="B3589" s="183"/>
    </row>
    <row r="3590" spans="2:2" ht="15.5" x14ac:dyDescent="0.35">
      <c r="B3590" s="183"/>
    </row>
    <row r="3591" spans="2:2" ht="15.5" x14ac:dyDescent="0.35">
      <c r="B3591" s="183"/>
    </row>
    <row r="3592" spans="2:2" ht="15.5" x14ac:dyDescent="0.35">
      <c r="B3592" s="183"/>
    </row>
    <row r="3593" spans="2:2" ht="15.5" x14ac:dyDescent="0.35">
      <c r="B3593" s="183"/>
    </row>
    <row r="3594" spans="2:2" ht="15.5" x14ac:dyDescent="0.35">
      <c r="B3594" s="183"/>
    </row>
    <row r="3595" spans="2:2" ht="15.5" x14ac:dyDescent="0.35">
      <c r="B3595" s="183"/>
    </row>
    <row r="3596" spans="2:2" ht="15.5" x14ac:dyDescent="0.35">
      <c r="B3596" s="183"/>
    </row>
    <row r="3597" spans="2:2" ht="15.5" x14ac:dyDescent="0.35">
      <c r="B3597" s="183"/>
    </row>
    <row r="3598" spans="2:2" ht="15.5" x14ac:dyDescent="0.35">
      <c r="B3598" s="183"/>
    </row>
    <row r="3599" spans="2:2" ht="15.5" x14ac:dyDescent="0.35">
      <c r="B3599" s="183"/>
    </row>
    <row r="3600" spans="2:2" ht="15.5" x14ac:dyDescent="0.35">
      <c r="B3600" s="183"/>
    </row>
    <row r="3601" spans="2:2" ht="15.5" x14ac:dyDescent="0.35">
      <c r="B3601" s="183"/>
    </row>
    <row r="3602" spans="2:2" ht="15.5" x14ac:dyDescent="0.35">
      <c r="B3602" s="183"/>
    </row>
    <row r="3603" spans="2:2" ht="15.5" x14ac:dyDescent="0.35">
      <c r="B3603" s="183"/>
    </row>
    <row r="3604" spans="2:2" ht="15.5" x14ac:dyDescent="0.35">
      <c r="B3604" s="183"/>
    </row>
    <row r="3605" spans="2:2" ht="15.5" x14ac:dyDescent="0.35">
      <c r="B3605" s="183"/>
    </row>
    <row r="3606" spans="2:2" ht="15.5" x14ac:dyDescent="0.35">
      <c r="B3606" s="183"/>
    </row>
    <row r="3607" spans="2:2" ht="15.5" x14ac:dyDescent="0.35">
      <c r="B3607" s="183"/>
    </row>
    <row r="3608" spans="2:2" ht="15.5" x14ac:dyDescent="0.35">
      <c r="B3608" s="183"/>
    </row>
    <row r="3609" spans="2:2" ht="15.5" x14ac:dyDescent="0.35">
      <c r="B3609" s="183"/>
    </row>
    <row r="3610" spans="2:2" ht="15.5" x14ac:dyDescent="0.35">
      <c r="B3610" s="183"/>
    </row>
    <row r="3611" spans="2:2" ht="15.5" x14ac:dyDescent="0.35">
      <c r="B3611" s="183"/>
    </row>
    <row r="3612" spans="2:2" ht="15.5" x14ac:dyDescent="0.35">
      <c r="B3612" s="183"/>
    </row>
    <row r="3613" spans="2:2" ht="15.5" x14ac:dyDescent="0.35">
      <c r="B3613" s="183"/>
    </row>
    <row r="3614" spans="2:2" ht="15.5" x14ac:dyDescent="0.35">
      <c r="B3614" s="183"/>
    </row>
    <row r="3615" spans="2:2" ht="15.5" x14ac:dyDescent="0.35">
      <c r="B3615" s="183"/>
    </row>
    <row r="3616" spans="2:2" ht="15.5" x14ac:dyDescent="0.35">
      <c r="B3616" s="183"/>
    </row>
    <row r="3617" spans="2:2" ht="15.5" x14ac:dyDescent="0.35">
      <c r="B3617" s="183"/>
    </row>
    <row r="3618" spans="2:2" ht="15.5" x14ac:dyDescent="0.35">
      <c r="B3618" s="183"/>
    </row>
    <row r="3619" spans="2:2" ht="15.5" x14ac:dyDescent="0.35">
      <c r="B3619" s="183"/>
    </row>
    <row r="3620" spans="2:2" ht="15.5" x14ac:dyDescent="0.35">
      <c r="B3620" s="183"/>
    </row>
    <row r="3621" spans="2:2" ht="15.5" x14ac:dyDescent="0.35">
      <c r="B3621" s="183"/>
    </row>
    <row r="3622" spans="2:2" ht="15.5" x14ac:dyDescent="0.35">
      <c r="B3622" s="183"/>
    </row>
    <row r="3623" spans="2:2" ht="15.5" x14ac:dyDescent="0.35">
      <c r="B3623" s="183"/>
    </row>
    <row r="3624" spans="2:2" ht="15.5" x14ac:dyDescent="0.35">
      <c r="B3624" s="183"/>
    </row>
    <row r="3625" spans="2:2" ht="15.5" x14ac:dyDescent="0.35">
      <c r="B3625" s="183"/>
    </row>
    <row r="3626" spans="2:2" ht="15.5" x14ac:dyDescent="0.35">
      <c r="B3626" s="183"/>
    </row>
    <row r="3627" spans="2:2" ht="15.5" x14ac:dyDescent="0.35">
      <c r="B3627" s="183"/>
    </row>
    <row r="3628" spans="2:2" ht="15.5" x14ac:dyDescent="0.35">
      <c r="B3628" s="183"/>
    </row>
    <row r="3629" spans="2:2" ht="15.5" x14ac:dyDescent="0.35">
      <c r="B3629" s="183"/>
    </row>
    <row r="3630" spans="2:2" ht="15.5" x14ac:dyDescent="0.35">
      <c r="B3630" s="183"/>
    </row>
    <row r="3631" spans="2:2" ht="15.5" x14ac:dyDescent="0.35">
      <c r="B3631" s="183"/>
    </row>
    <row r="3632" spans="2:2" ht="15.5" x14ac:dyDescent="0.35">
      <c r="B3632" s="183"/>
    </row>
    <row r="3633" spans="2:2" ht="15.5" x14ac:dyDescent="0.35">
      <c r="B3633" s="183"/>
    </row>
    <row r="3634" spans="2:2" ht="15.5" x14ac:dyDescent="0.35">
      <c r="B3634" s="183"/>
    </row>
    <row r="3635" spans="2:2" ht="15.5" x14ac:dyDescent="0.35">
      <c r="B3635" s="183"/>
    </row>
    <row r="3636" spans="2:2" ht="15.5" x14ac:dyDescent="0.35">
      <c r="B3636" s="183"/>
    </row>
    <row r="3637" spans="2:2" ht="15.5" x14ac:dyDescent="0.35">
      <c r="B3637" s="183"/>
    </row>
    <row r="3638" spans="2:2" ht="15.5" x14ac:dyDescent="0.35">
      <c r="B3638" s="183"/>
    </row>
    <row r="3639" spans="2:2" ht="15.5" x14ac:dyDescent="0.35">
      <c r="B3639" s="183"/>
    </row>
    <row r="3640" spans="2:2" ht="15.5" x14ac:dyDescent="0.35">
      <c r="B3640" s="183"/>
    </row>
    <row r="3641" spans="2:2" ht="15.5" x14ac:dyDescent="0.35">
      <c r="B3641" s="183"/>
    </row>
    <row r="3642" spans="2:2" ht="15.5" x14ac:dyDescent="0.35">
      <c r="B3642" s="183"/>
    </row>
    <row r="3643" spans="2:2" ht="15.5" x14ac:dyDescent="0.35">
      <c r="B3643" s="183"/>
    </row>
    <row r="3644" spans="2:2" ht="15.5" x14ac:dyDescent="0.35">
      <c r="B3644" s="183"/>
    </row>
    <row r="3645" spans="2:2" ht="15.5" x14ac:dyDescent="0.35">
      <c r="B3645" s="183"/>
    </row>
    <row r="3646" spans="2:2" ht="15.5" x14ac:dyDescent="0.35">
      <c r="B3646" s="183"/>
    </row>
    <row r="3647" spans="2:2" ht="15.5" x14ac:dyDescent="0.35">
      <c r="B3647" s="183"/>
    </row>
    <row r="3648" spans="2:2" ht="15.5" x14ac:dyDescent="0.35">
      <c r="B3648" s="183"/>
    </row>
    <row r="3649" spans="2:2" ht="15.5" x14ac:dyDescent="0.35">
      <c r="B3649" s="183"/>
    </row>
    <row r="3650" spans="2:2" ht="15.5" x14ac:dyDescent="0.35">
      <c r="B3650" s="183"/>
    </row>
    <row r="3651" spans="2:2" ht="15.5" x14ac:dyDescent="0.35">
      <c r="B3651" s="183"/>
    </row>
    <row r="3652" spans="2:2" ht="15.5" x14ac:dyDescent="0.35">
      <c r="B3652" s="183"/>
    </row>
    <row r="3653" spans="2:2" ht="15.5" x14ac:dyDescent="0.35">
      <c r="B3653" s="183"/>
    </row>
    <row r="3654" spans="2:2" ht="15.5" x14ac:dyDescent="0.35">
      <c r="B3654" s="183"/>
    </row>
    <row r="3655" spans="2:2" ht="15.5" x14ac:dyDescent="0.35">
      <c r="B3655" s="183"/>
    </row>
    <row r="3656" spans="2:2" ht="15.5" x14ac:dyDescent="0.35">
      <c r="B3656" s="183"/>
    </row>
    <row r="3657" spans="2:2" ht="15.5" x14ac:dyDescent="0.35">
      <c r="B3657" s="183"/>
    </row>
    <row r="3658" spans="2:2" ht="15.5" x14ac:dyDescent="0.35">
      <c r="B3658" s="183"/>
    </row>
    <row r="3659" spans="2:2" ht="15.5" x14ac:dyDescent="0.35">
      <c r="B3659" s="183"/>
    </row>
    <row r="3660" spans="2:2" ht="15.5" x14ac:dyDescent="0.35">
      <c r="B3660" s="183"/>
    </row>
    <row r="3661" spans="2:2" ht="15.5" x14ac:dyDescent="0.35">
      <c r="B3661" s="183"/>
    </row>
    <row r="3662" spans="2:2" ht="15.5" x14ac:dyDescent="0.35">
      <c r="B3662" s="183"/>
    </row>
    <row r="3663" spans="2:2" ht="15.5" x14ac:dyDescent="0.35">
      <c r="B3663" s="183"/>
    </row>
    <row r="3664" spans="2:2" ht="15.5" x14ac:dyDescent="0.35">
      <c r="B3664" s="183"/>
    </row>
    <row r="3665" spans="2:2" ht="15.5" x14ac:dyDescent="0.35">
      <c r="B3665" s="183"/>
    </row>
    <row r="3666" spans="2:2" ht="15.5" x14ac:dyDescent="0.35">
      <c r="B3666" s="183"/>
    </row>
    <row r="3667" spans="2:2" ht="15.5" x14ac:dyDescent="0.35">
      <c r="B3667" s="183"/>
    </row>
    <row r="3668" spans="2:2" ht="15.5" x14ac:dyDescent="0.35">
      <c r="B3668" s="183"/>
    </row>
    <row r="3669" spans="2:2" ht="15.5" x14ac:dyDescent="0.35">
      <c r="B3669" s="183"/>
    </row>
    <row r="3670" spans="2:2" ht="15.5" x14ac:dyDescent="0.35">
      <c r="B3670" s="183"/>
    </row>
    <row r="3671" spans="2:2" ht="15.5" x14ac:dyDescent="0.35">
      <c r="B3671" s="183"/>
    </row>
    <row r="3672" spans="2:2" ht="15.5" x14ac:dyDescent="0.35">
      <c r="B3672" s="183"/>
    </row>
    <row r="3673" spans="2:2" ht="15.5" x14ac:dyDescent="0.35">
      <c r="B3673" s="183"/>
    </row>
    <row r="3674" spans="2:2" ht="15.5" x14ac:dyDescent="0.35">
      <c r="B3674" s="183"/>
    </row>
    <row r="3675" spans="2:2" ht="15.5" x14ac:dyDescent="0.35">
      <c r="B3675" s="183"/>
    </row>
    <row r="3676" spans="2:2" ht="15.5" x14ac:dyDescent="0.35">
      <c r="B3676" s="183"/>
    </row>
    <row r="3677" spans="2:2" ht="15.5" x14ac:dyDescent="0.35">
      <c r="B3677" s="183"/>
    </row>
    <row r="3678" spans="2:2" ht="15.5" x14ac:dyDescent="0.35">
      <c r="B3678" s="183"/>
    </row>
    <row r="3679" spans="2:2" ht="15.5" x14ac:dyDescent="0.35">
      <c r="B3679" s="183"/>
    </row>
    <row r="3680" spans="2:2" ht="15.5" x14ac:dyDescent="0.35">
      <c r="B3680" s="183"/>
    </row>
    <row r="3681" spans="2:2" ht="15.5" x14ac:dyDescent="0.35">
      <c r="B3681" s="183"/>
    </row>
    <row r="3682" spans="2:2" ht="15.5" x14ac:dyDescent="0.35">
      <c r="B3682" s="183"/>
    </row>
    <row r="3683" spans="2:2" ht="15.5" x14ac:dyDescent="0.35">
      <c r="B3683" s="183"/>
    </row>
    <row r="3684" spans="2:2" ht="15.5" x14ac:dyDescent="0.35">
      <c r="B3684" s="183"/>
    </row>
    <row r="3685" spans="2:2" ht="15.5" x14ac:dyDescent="0.35">
      <c r="B3685" s="183"/>
    </row>
    <row r="3686" spans="2:2" ht="15.5" x14ac:dyDescent="0.35">
      <c r="B3686" s="183"/>
    </row>
    <row r="3687" spans="2:2" ht="15.5" x14ac:dyDescent="0.35">
      <c r="B3687" s="183"/>
    </row>
    <row r="3688" spans="2:2" ht="15.5" x14ac:dyDescent="0.35">
      <c r="B3688" s="183"/>
    </row>
    <row r="3689" spans="2:2" ht="15.5" x14ac:dyDescent="0.35">
      <c r="B3689" s="183"/>
    </row>
    <row r="3690" spans="2:2" ht="15.5" x14ac:dyDescent="0.35">
      <c r="B3690" s="183"/>
    </row>
    <row r="3691" spans="2:2" ht="15.5" x14ac:dyDescent="0.35">
      <c r="B3691" s="183"/>
    </row>
    <row r="3692" spans="2:2" ht="15.5" x14ac:dyDescent="0.35">
      <c r="B3692" s="183"/>
    </row>
    <row r="3693" spans="2:2" ht="15.5" x14ac:dyDescent="0.35">
      <c r="B3693" s="183"/>
    </row>
    <row r="3694" spans="2:2" ht="15.5" x14ac:dyDescent="0.35">
      <c r="B3694" s="183"/>
    </row>
    <row r="3695" spans="2:2" ht="15.5" x14ac:dyDescent="0.35">
      <c r="B3695" s="183"/>
    </row>
    <row r="3696" spans="2:2" ht="15.5" x14ac:dyDescent="0.35">
      <c r="B3696" s="183"/>
    </row>
    <row r="3697" spans="2:2" ht="15.5" x14ac:dyDescent="0.35">
      <c r="B3697" s="183"/>
    </row>
    <row r="3698" spans="2:2" ht="15.5" x14ac:dyDescent="0.35">
      <c r="B3698" s="183"/>
    </row>
    <row r="3699" spans="2:2" ht="15.5" x14ac:dyDescent="0.35">
      <c r="B3699" s="183"/>
    </row>
    <row r="3700" spans="2:2" ht="15.5" x14ac:dyDescent="0.35">
      <c r="B3700" s="183"/>
    </row>
    <row r="3701" spans="2:2" ht="15.5" x14ac:dyDescent="0.35">
      <c r="B3701" s="183"/>
    </row>
    <row r="3702" spans="2:2" ht="15.5" x14ac:dyDescent="0.35">
      <c r="B3702" s="183"/>
    </row>
    <row r="3703" spans="2:2" ht="15.5" x14ac:dyDescent="0.35">
      <c r="B3703" s="183"/>
    </row>
    <row r="3704" spans="2:2" ht="15.5" x14ac:dyDescent="0.35">
      <c r="B3704" s="183"/>
    </row>
    <row r="3705" spans="2:2" ht="15.5" x14ac:dyDescent="0.35">
      <c r="B3705" s="183"/>
    </row>
    <row r="3706" spans="2:2" ht="15.5" x14ac:dyDescent="0.35">
      <c r="B3706" s="183"/>
    </row>
    <row r="3707" spans="2:2" ht="15.5" x14ac:dyDescent="0.35">
      <c r="B3707" s="183"/>
    </row>
    <row r="3708" spans="2:2" ht="15.5" x14ac:dyDescent="0.35">
      <c r="B3708" s="183"/>
    </row>
    <row r="3709" spans="2:2" ht="15.5" x14ac:dyDescent="0.35">
      <c r="B3709" s="183"/>
    </row>
    <row r="3710" spans="2:2" ht="15.5" x14ac:dyDescent="0.35">
      <c r="B3710" s="183"/>
    </row>
    <row r="3711" spans="2:2" ht="15.5" x14ac:dyDescent="0.35">
      <c r="B3711" s="183"/>
    </row>
    <row r="3712" spans="2:2" ht="15.5" x14ac:dyDescent="0.35">
      <c r="B3712" s="183"/>
    </row>
    <row r="3713" spans="2:2" ht="15.5" x14ac:dyDescent="0.35">
      <c r="B3713" s="183"/>
    </row>
    <row r="3714" spans="2:2" ht="15.5" x14ac:dyDescent="0.35">
      <c r="B3714" s="183"/>
    </row>
    <row r="3715" spans="2:2" ht="15.5" x14ac:dyDescent="0.35">
      <c r="B3715" s="183"/>
    </row>
    <row r="3716" spans="2:2" ht="15.5" x14ac:dyDescent="0.35">
      <c r="B3716" s="183"/>
    </row>
    <row r="3717" spans="2:2" ht="15.5" x14ac:dyDescent="0.35">
      <c r="B3717" s="183"/>
    </row>
    <row r="3718" spans="2:2" ht="15.5" x14ac:dyDescent="0.35">
      <c r="B3718" s="183"/>
    </row>
    <row r="3719" spans="2:2" ht="15.5" x14ac:dyDescent="0.35">
      <c r="B3719" s="183"/>
    </row>
    <row r="3720" spans="2:2" ht="15.5" x14ac:dyDescent="0.35">
      <c r="B3720" s="183"/>
    </row>
    <row r="3721" spans="2:2" ht="15.5" x14ac:dyDescent="0.35">
      <c r="B3721" s="183"/>
    </row>
    <row r="3722" spans="2:2" ht="15.5" x14ac:dyDescent="0.35">
      <c r="B3722" s="183"/>
    </row>
    <row r="3723" spans="2:2" ht="15.5" x14ac:dyDescent="0.35">
      <c r="B3723" s="183"/>
    </row>
    <row r="3724" spans="2:2" ht="15.5" x14ac:dyDescent="0.35">
      <c r="B3724" s="183"/>
    </row>
    <row r="3725" spans="2:2" ht="15.5" x14ac:dyDescent="0.35">
      <c r="B3725" s="183"/>
    </row>
    <row r="3726" spans="2:2" ht="15.5" x14ac:dyDescent="0.35">
      <c r="B3726" s="183"/>
    </row>
    <row r="3727" spans="2:2" ht="15.5" x14ac:dyDescent="0.35">
      <c r="B3727" s="183"/>
    </row>
    <row r="3728" spans="2:2" ht="15.5" x14ac:dyDescent="0.35">
      <c r="B3728" s="183"/>
    </row>
    <row r="3729" spans="2:2" ht="15.5" x14ac:dyDescent="0.35">
      <c r="B3729" s="183"/>
    </row>
    <row r="3730" spans="2:2" ht="15.5" x14ac:dyDescent="0.35">
      <c r="B3730" s="183"/>
    </row>
    <row r="3731" spans="2:2" ht="15.5" x14ac:dyDescent="0.35">
      <c r="B3731" s="183"/>
    </row>
    <row r="3732" spans="2:2" ht="15.5" x14ac:dyDescent="0.35">
      <c r="B3732" s="183"/>
    </row>
    <row r="3733" spans="2:2" ht="15.5" x14ac:dyDescent="0.35">
      <c r="B3733" s="183"/>
    </row>
    <row r="3734" spans="2:2" ht="15.5" x14ac:dyDescent="0.35">
      <c r="B3734" s="183"/>
    </row>
    <row r="3735" spans="2:2" ht="15.5" x14ac:dyDescent="0.35">
      <c r="B3735" s="183"/>
    </row>
    <row r="3736" spans="2:2" ht="15.5" x14ac:dyDescent="0.35">
      <c r="B3736" s="183"/>
    </row>
    <row r="3737" spans="2:2" ht="15.5" x14ac:dyDescent="0.35">
      <c r="B3737" s="183"/>
    </row>
    <row r="3738" spans="2:2" ht="15.5" x14ac:dyDescent="0.35">
      <c r="B3738" s="183"/>
    </row>
    <row r="3739" spans="2:2" ht="15.5" x14ac:dyDescent="0.35">
      <c r="B3739" s="183"/>
    </row>
    <row r="3740" spans="2:2" ht="15.5" x14ac:dyDescent="0.35">
      <c r="B3740" s="183"/>
    </row>
    <row r="3741" spans="2:2" ht="15.5" x14ac:dyDescent="0.35">
      <c r="B3741" s="183"/>
    </row>
    <row r="3742" spans="2:2" ht="15.5" x14ac:dyDescent="0.35">
      <c r="B3742" s="183"/>
    </row>
    <row r="3743" spans="2:2" ht="15.5" x14ac:dyDescent="0.35">
      <c r="B3743" s="183"/>
    </row>
    <row r="3744" spans="2:2" ht="15.5" x14ac:dyDescent="0.35">
      <c r="B3744" s="183"/>
    </row>
    <row r="3745" spans="2:2" ht="15.5" x14ac:dyDescent="0.35">
      <c r="B3745" s="183"/>
    </row>
    <row r="3746" spans="2:2" ht="15.5" x14ac:dyDescent="0.35">
      <c r="B3746" s="183"/>
    </row>
    <row r="3747" spans="2:2" ht="15.5" x14ac:dyDescent="0.35">
      <c r="B3747" s="183"/>
    </row>
    <row r="3748" spans="2:2" ht="15.5" x14ac:dyDescent="0.35">
      <c r="B3748" s="183"/>
    </row>
    <row r="3749" spans="2:2" ht="15.5" x14ac:dyDescent="0.35">
      <c r="B3749" s="183"/>
    </row>
    <row r="3750" spans="2:2" ht="15.5" x14ac:dyDescent="0.35">
      <c r="B3750" s="183"/>
    </row>
    <row r="3751" spans="2:2" ht="15.5" x14ac:dyDescent="0.35">
      <c r="B3751" s="183"/>
    </row>
    <row r="3752" spans="2:2" ht="15.5" x14ac:dyDescent="0.35">
      <c r="B3752" s="183"/>
    </row>
    <row r="3753" spans="2:2" ht="15.5" x14ac:dyDescent="0.35">
      <c r="B3753" s="183"/>
    </row>
    <row r="3754" spans="2:2" ht="15.5" x14ac:dyDescent="0.35">
      <c r="B3754" s="183"/>
    </row>
    <row r="3755" spans="2:2" ht="15.5" x14ac:dyDescent="0.35">
      <c r="B3755" s="183"/>
    </row>
    <row r="3756" spans="2:2" ht="15.5" x14ac:dyDescent="0.35">
      <c r="B3756" s="183"/>
    </row>
    <row r="3757" spans="2:2" ht="15.5" x14ac:dyDescent="0.35">
      <c r="B3757" s="183"/>
    </row>
    <row r="3758" spans="2:2" ht="15.5" x14ac:dyDescent="0.35">
      <c r="B3758" s="183"/>
    </row>
    <row r="3759" spans="2:2" ht="15.5" x14ac:dyDescent="0.35">
      <c r="B3759" s="183"/>
    </row>
    <row r="3760" spans="2:2" ht="15.5" x14ac:dyDescent="0.35">
      <c r="B3760" s="183"/>
    </row>
    <row r="3761" spans="2:2" ht="15.5" x14ac:dyDescent="0.35">
      <c r="B3761" s="183"/>
    </row>
    <row r="3762" spans="2:2" ht="15.5" x14ac:dyDescent="0.35">
      <c r="B3762" s="183"/>
    </row>
    <row r="3763" spans="2:2" ht="15.5" x14ac:dyDescent="0.35">
      <c r="B3763" s="183"/>
    </row>
    <row r="3764" spans="2:2" ht="15.5" x14ac:dyDescent="0.35">
      <c r="B3764" s="183"/>
    </row>
    <row r="3765" spans="2:2" ht="15.5" x14ac:dyDescent="0.35">
      <c r="B3765" s="183"/>
    </row>
    <row r="3766" spans="2:2" ht="15.5" x14ac:dyDescent="0.35">
      <c r="B3766" s="183"/>
    </row>
    <row r="3767" spans="2:2" ht="15.5" x14ac:dyDescent="0.35">
      <c r="B3767" s="183"/>
    </row>
    <row r="3768" spans="2:2" ht="15.5" x14ac:dyDescent="0.35">
      <c r="B3768" s="183"/>
    </row>
    <row r="3769" spans="2:2" ht="15.5" x14ac:dyDescent="0.35">
      <c r="B3769" s="183"/>
    </row>
    <row r="3770" spans="2:2" ht="15.5" x14ac:dyDescent="0.35">
      <c r="B3770" s="183"/>
    </row>
    <row r="3771" spans="2:2" ht="15.5" x14ac:dyDescent="0.35">
      <c r="B3771" s="183"/>
    </row>
    <row r="3772" spans="2:2" ht="15.5" x14ac:dyDescent="0.35">
      <c r="B3772" s="183"/>
    </row>
    <row r="3773" spans="2:2" ht="15.5" x14ac:dyDescent="0.35">
      <c r="B3773" s="183"/>
    </row>
    <row r="3774" spans="2:2" ht="15.5" x14ac:dyDescent="0.35">
      <c r="B3774" s="183"/>
    </row>
    <row r="3775" spans="2:2" ht="15.5" x14ac:dyDescent="0.35">
      <c r="B3775" s="183"/>
    </row>
    <row r="3776" spans="2:2" ht="15.5" x14ac:dyDescent="0.35">
      <c r="B3776" s="183"/>
    </row>
    <row r="3777" spans="2:2" ht="15.5" x14ac:dyDescent="0.35">
      <c r="B3777" s="183"/>
    </row>
    <row r="3778" spans="2:2" ht="15.5" x14ac:dyDescent="0.35">
      <c r="B3778" s="183"/>
    </row>
    <row r="3779" spans="2:2" ht="15.5" x14ac:dyDescent="0.35">
      <c r="B3779" s="183"/>
    </row>
    <row r="3780" spans="2:2" ht="15.5" x14ac:dyDescent="0.35">
      <c r="B3780" s="183"/>
    </row>
    <row r="3781" spans="2:2" ht="15.5" x14ac:dyDescent="0.35">
      <c r="B3781" s="183"/>
    </row>
    <row r="3782" spans="2:2" ht="15.5" x14ac:dyDescent="0.35">
      <c r="B3782" s="183"/>
    </row>
    <row r="3783" spans="2:2" ht="15.5" x14ac:dyDescent="0.35">
      <c r="B3783" s="183"/>
    </row>
    <row r="3784" spans="2:2" ht="15.5" x14ac:dyDescent="0.35">
      <c r="B3784" s="183"/>
    </row>
    <row r="3785" spans="2:2" ht="15.5" x14ac:dyDescent="0.35">
      <c r="B3785" s="183"/>
    </row>
    <row r="3786" spans="2:2" ht="15.5" x14ac:dyDescent="0.35">
      <c r="B3786" s="183"/>
    </row>
    <row r="3787" spans="2:2" ht="15.5" x14ac:dyDescent="0.35">
      <c r="B3787" s="183"/>
    </row>
    <row r="3788" spans="2:2" ht="15.5" x14ac:dyDescent="0.35">
      <c r="B3788" s="183"/>
    </row>
    <row r="3789" spans="2:2" ht="15.5" x14ac:dyDescent="0.35">
      <c r="B3789" s="183"/>
    </row>
    <row r="3790" spans="2:2" ht="15.5" x14ac:dyDescent="0.35">
      <c r="B3790" s="183"/>
    </row>
    <row r="3791" spans="2:2" ht="15.5" x14ac:dyDescent="0.35">
      <c r="B3791" s="183"/>
    </row>
    <row r="3792" spans="2:2" ht="15.5" x14ac:dyDescent="0.35">
      <c r="B3792" s="183"/>
    </row>
    <row r="3793" spans="2:2" ht="15.5" x14ac:dyDescent="0.35">
      <c r="B3793" s="183"/>
    </row>
    <row r="3794" spans="2:2" ht="15.5" x14ac:dyDescent="0.35">
      <c r="B3794" s="183"/>
    </row>
    <row r="3795" spans="2:2" ht="15.5" x14ac:dyDescent="0.35">
      <c r="B3795" s="183"/>
    </row>
    <row r="3796" spans="2:2" ht="15.5" x14ac:dyDescent="0.35">
      <c r="B3796" s="183"/>
    </row>
    <row r="3797" spans="2:2" ht="15.5" x14ac:dyDescent="0.35">
      <c r="B3797" s="183"/>
    </row>
    <row r="3798" spans="2:2" ht="15.5" x14ac:dyDescent="0.35">
      <c r="B3798" s="183"/>
    </row>
    <row r="3799" spans="2:2" ht="15.5" x14ac:dyDescent="0.35">
      <c r="B3799" s="183"/>
    </row>
    <row r="3800" spans="2:2" ht="15.5" x14ac:dyDescent="0.35">
      <c r="B3800" s="183"/>
    </row>
    <row r="3801" spans="2:2" ht="15.5" x14ac:dyDescent="0.35">
      <c r="B3801" s="183"/>
    </row>
    <row r="3802" spans="2:2" ht="15.5" x14ac:dyDescent="0.35">
      <c r="B3802" s="183"/>
    </row>
    <row r="3803" spans="2:2" ht="15.5" x14ac:dyDescent="0.35">
      <c r="B3803" s="183"/>
    </row>
    <row r="3804" spans="2:2" ht="15.5" x14ac:dyDescent="0.35">
      <c r="B3804" s="183"/>
    </row>
    <row r="3805" spans="2:2" ht="15.5" x14ac:dyDescent="0.35">
      <c r="B3805" s="183"/>
    </row>
    <row r="3806" spans="2:2" ht="15.5" x14ac:dyDescent="0.35">
      <c r="B3806" s="183"/>
    </row>
    <row r="3807" spans="2:2" ht="15.5" x14ac:dyDescent="0.35">
      <c r="B3807" s="183"/>
    </row>
    <row r="3808" spans="2:2" ht="15.5" x14ac:dyDescent="0.35">
      <c r="B3808" s="183"/>
    </row>
    <row r="3809" spans="2:2" ht="15.5" x14ac:dyDescent="0.35">
      <c r="B3809" s="183"/>
    </row>
    <row r="3810" spans="2:2" ht="15.5" x14ac:dyDescent="0.35">
      <c r="B3810" s="183"/>
    </row>
    <row r="3811" spans="2:2" ht="15.5" x14ac:dyDescent="0.35">
      <c r="B3811" s="183"/>
    </row>
    <row r="3812" spans="2:2" ht="15.5" x14ac:dyDescent="0.35">
      <c r="B3812" s="183"/>
    </row>
    <row r="3813" spans="2:2" ht="15.5" x14ac:dyDescent="0.35">
      <c r="B3813" s="183"/>
    </row>
    <row r="3814" spans="2:2" ht="15.5" x14ac:dyDescent="0.35">
      <c r="B3814" s="183"/>
    </row>
    <row r="3815" spans="2:2" ht="15.5" x14ac:dyDescent="0.35">
      <c r="B3815" s="183"/>
    </row>
    <row r="3816" spans="2:2" ht="15.5" x14ac:dyDescent="0.35">
      <c r="B3816" s="183"/>
    </row>
    <row r="3817" spans="2:2" ht="15.5" x14ac:dyDescent="0.35">
      <c r="B3817" s="183"/>
    </row>
    <row r="3818" spans="2:2" ht="15.5" x14ac:dyDescent="0.35">
      <c r="B3818" s="183"/>
    </row>
    <row r="3819" spans="2:2" ht="15.5" x14ac:dyDescent="0.35">
      <c r="B3819" s="183"/>
    </row>
    <row r="3820" spans="2:2" ht="15.5" x14ac:dyDescent="0.35">
      <c r="B3820" s="183"/>
    </row>
    <row r="3821" spans="2:2" ht="15.5" x14ac:dyDescent="0.35">
      <c r="B3821" s="183"/>
    </row>
    <row r="3822" spans="2:2" ht="15.5" x14ac:dyDescent="0.35">
      <c r="B3822" s="183"/>
    </row>
    <row r="3823" spans="2:2" ht="15.5" x14ac:dyDescent="0.35">
      <c r="B3823" s="183"/>
    </row>
    <row r="3824" spans="2:2" ht="15.5" x14ac:dyDescent="0.35">
      <c r="B3824" s="183"/>
    </row>
    <row r="3825" spans="2:2" ht="15.5" x14ac:dyDescent="0.35">
      <c r="B3825" s="183"/>
    </row>
    <row r="3826" spans="2:2" ht="15.5" x14ac:dyDescent="0.35">
      <c r="B3826" s="183"/>
    </row>
    <row r="3827" spans="2:2" ht="15.5" x14ac:dyDescent="0.35">
      <c r="B3827" s="183"/>
    </row>
    <row r="3828" spans="2:2" ht="15.5" x14ac:dyDescent="0.35">
      <c r="B3828" s="183"/>
    </row>
    <row r="3829" spans="2:2" ht="15.5" x14ac:dyDescent="0.35">
      <c r="B3829" s="183"/>
    </row>
    <row r="3830" spans="2:2" ht="15.5" x14ac:dyDescent="0.35">
      <c r="B3830" s="183"/>
    </row>
    <row r="3831" spans="2:2" ht="15.5" x14ac:dyDescent="0.35">
      <c r="B3831" s="183"/>
    </row>
    <row r="3832" spans="2:2" ht="15.5" x14ac:dyDescent="0.35">
      <c r="B3832" s="183"/>
    </row>
    <row r="3833" spans="2:2" ht="15.5" x14ac:dyDescent="0.35">
      <c r="B3833" s="183"/>
    </row>
    <row r="3834" spans="2:2" ht="15.5" x14ac:dyDescent="0.35">
      <c r="B3834" s="183"/>
    </row>
    <row r="3835" spans="2:2" ht="15.5" x14ac:dyDescent="0.35">
      <c r="B3835" s="183"/>
    </row>
    <row r="3836" spans="2:2" ht="15.5" x14ac:dyDescent="0.35">
      <c r="B3836" s="183"/>
    </row>
    <row r="3837" spans="2:2" ht="15.5" x14ac:dyDescent="0.35">
      <c r="B3837" s="183"/>
    </row>
    <row r="3838" spans="2:2" ht="15.5" x14ac:dyDescent="0.35">
      <c r="B3838" s="183"/>
    </row>
    <row r="3839" spans="2:2" ht="15.5" x14ac:dyDescent="0.35">
      <c r="B3839" s="183"/>
    </row>
    <row r="3840" spans="2:2" ht="15.5" x14ac:dyDescent="0.35">
      <c r="B3840" s="183"/>
    </row>
    <row r="3841" spans="2:2" ht="15.5" x14ac:dyDescent="0.35">
      <c r="B3841" s="183"/>
    </row>
    <row r="3842" spans="2:2" ht="15.5" x14ac:dyDescent="0.35">
      <c r="B3842" s="183"/>
    </row>
    <row r="3843" spans="2:2" ht="15.5" x14ac:dyDescent="0.35">
      <c r="B3843" s="183"/>
    </row>
    <row r="3844" spans="2:2" ht="15.5" x14ac:dyDescent="0.35">
      <c r="B3844" s="183"/>
    </row>
    <row r="3845" spans="2:2" ht="15.5" x14ac:dyDescent="0.35">
      <c r="B3845" s="183"/>
    </row>
    <row r="3846" spans="2:2" ht="15.5" x14ac:dyDescent="0.35">
      <c r="B3846" s="183"/>
    </row>
    <row r="3847" spans="2:2" ht="15.5" x14ac:dyDescent="0.35">
      <c r="B3847" s="183"/>
    </row>
    <row r="3848" spans="2:2" ht="15.5" x14ac:dyDescent="0.35">
      <c r="B3848" s="183"/>
    </row>
    <row r="3849" spans="2:2" ht="15.5" x14ac:dyDescent="0.35">
      <c r="B3849" s="183"/>
    </row>
    <row r="3850" spans="2:2" ht="15.5" x14ac:dyDescent="0.35">
      <c r="B3850" s="183"/>
    </row>
    <row r="3851" spans="2:2" ht="15.5" x14ac:dyDescent="0.35">
      <c r="B3851" s="183"/>
    </row>
    <row r="3852" spans="2:2" ht="15.5" x14ac:dyDescent="0.35">
      <c r="B3852" s="183"/>
    </row>
    <row r="3853" spans="2:2" ht="15.5" x14ac:dyDescent="0.35">
      <c r="B3853" s="183"/>
    </row>
    <row r="3854" spans="2:2" ht="15.5" x14ac:dyDescent="0.35">
      <c r="B3854" s="183"/>
    </row>
    <row r="3855" spans="2:2" ht="15.5" x14ac:dyDescent="0.35">
      <c r="B3855" s="183"/>
    </row>
    <row r="3856" spans="2:2" ht="15.5" x14ac:dyDescent="0.35">
      <c r="B3856" s="183"/>
    </row>
    <row r="3857" spans="2:2" ht="15.5" x14ac:dyDescent="0.35">
      <c r="B3857" s="183"/>
    </row>
    <row r="3858" spans="2:2" ht="15.5" x14ac:dyDescent="0.35">
      <c r="B3858" s="183"/>
    </row>
    <row r="3859" spans="2:2" ht="15.5" x14ac:dyDescent="0.35">
      <c r="B3859" s="183"/>
    </row>
    <row r="3860" spans="2:2" ht="15.5" x14ac:dyDescent="0.35">
      <c r="B3860" s="183"/>
    </row>
    <row r="3861" spans="2:2" ht="15.5" x14ac:dyDescent="0.35">
      <c r="B3861" s="183"/>
    </row>
    <row r="3862" spans="2:2" ht="15.5" x14ac:dyDescent="0.35">
      <c r="B3862" s="183"/>
    </row>
    <row r="3863" spans="2:2" ht="15.5" x14ac:dyDescent="0.35">
      <c r="B3863" s="183"/>
    </row>
    <row r="3864" spans="2:2" ht="15.5" x14ac:dyDescent="0.35">
      <c r="B3864" s="183"/>
    </row>
    <row r="3865" spans="2:2" ht="15.5" x14ac:dyDescent="0.35">
      <c r="B3865" s="183"/>
    </row>
    <row r="3866" spans="2:2" ht="15.5" x14ac:dyDescent="0.35">
      <c r="B3866" s="183"/>
    </row>
    <row r="3867" spans="2:2" ht="15.5" x14ac:dyDescent="0.35">
      <c r="B3867" s="183"/>
    </row>
    <row r="3868" spans="2:2" ht="15.5" x14ac:dyDescent="0.35">
      <c r="B3868" s="183"/>
    </row>
    <row r="3869" spans="2:2" ht="15.5" x14ac:dyDescent="0.35">
      <c r="B3869" s="183"/>
    </row>
    <row r="3870" spans="2:2" ht="15.5" x14ac:dyDescent="0.35">
      <c r="B3870" s="183"/>
    </row>
    <row r="3871" spans="2:2" ht="15.5" x14ac:dyDescent="0.35">
      <c r="B3871" s="183"/>
    </row>
    <row r="3872" spans="2:2" ht="15.5" x14ac:dyDescent="0.35">
      <c r="B3872" s="183"/>
    </row>
    <row r="3873" spans="2:2" ht="15.5" x14ac:dyDescent="0.35">
      <c r="B3873" s="183"/>
    </row>
    <row r="3874" spans="2:2" ht="15.5" x14ac:dyDescent="0.35">
      <c r="B3874" s="183"/>
    </row>
    <row r="3875" spans="2:2" ht="15.5" x14ac:dyDescent="0.35">
      <c r="B3875" s="183"/>
    </row>
    <row r="3876" spans="2:2" ht="15.5" x14ac:dyDescent="0.35">
      <c r="B3876" s="183"/>
    </row>
    <row r="3877" spans="2:2" ht="15.5" x14ac:dyDescent="0.35">
      <c r="B3877" s="183"/>
    </row>
    <row r="3878" spans="2:2" ht="15.5" x14ac:dyDescent="0.35">
      <c r="B3878" s="183"/>
    </row>
    <row r="3879" spans="2:2" ht="15.5" x14ac:dyDescent="0.35">
      <c r="B3879" s="183"/>
    </row>
    <row r="3880" spans="2:2" ht="15.5" x14ac:dyDescent="0.35">
      <c r="B3880" s="183"/>
    </row>
    <row r="3881" spans="2:2" ht="15.5" x14ac:dyDescent="0.35">
      <c r="B3881" s="183"/>
    </row>
    <row r="3882" spans="2:2" ht="15.5" x14ac:dyDescent="0.35">
      <c r="B3882" s="183"/>
    </row>
    <row r="3883" spans="2:2" ht="15.5" x14ac:dyDescent="0.35">
      <c r="B3883" s="183"/>
    </row>
    <row r="3884" spans="2:2" ht="15.5" x14ac:dyDescent="0.35">
      <c r="B3884" s="183"/>
    </row>
    <row r="3885" spans="2:2" ht="15.5" x14ac:dyDescent="0.35">
      <c r="B3885" s="183"/>
    </row>
    <row r="3886" spans="2:2" ht="15.5" x14ac:dyDescent="0.35">
      <c r="B3886" s="183"/>
    </row>
    <row r="3887" spans="2:2" ht="15.5" x14ac:dyDescent="0.35">
      <c r="B3887" s="183"/>
    </row>
    <row r="3888" spans="2:2" ht="15.5" x14ac:dyDescent="0.35">
      <c r="B3888" s="183"/>
    </row>
    <row r="3889" spans="2:2" ht="15.5" x14ac:dyDescent="0.35">
      <c r="B3889" s="183"/>
    </row>
    <row r="3890" spans="2:2" ht="15.5" x14ac:dyDescent="0.35">
      <c r="B3890" s="183"/>
    </row>
    <row r="3891" spans="2:2" ht="15.5" x14ac:dyDescent="0.35">
      <c r="B3891" s="183"/>
    </row>
    <row r="3892" spans="2:2" ht="15.5" x14ac:dyDescent="0.35">
      <c r="B3892" s="183"/>
    </row>
    <row r="3893" spans="2:2" ht="15.5" x14ac:dyDescent="0.35">
      <c r="B3893" s="183"/>
    </row>
    <row r="3894" spans="2:2" ht="15.5" x14ac:dyDescent="0.35">
      <c r="B3894" s="183"/>
    </row>
    <row r="3895" spans="2:2" ht="15.5" x14ac:dyDescent="0.35">
      <c r="B3895" s="183"/>
    </row>
    <row r="3896" spans="2:2" ht="15.5" x14ac:dyDescent="0.35">
      <c r="B3896" s="183"/>
    </row>
    <row r="3897" spans="2:2" ht="15.5" x14ac:dyDescent="0.35">
      <c r="B3897" s="183"/>
    </row>
    <row r="3898" spans="2:2" ht="15.5" x14ac:dyDescent="0.35">
      <c r="B3898" s="183"/>
    </row>
    <row r="3899" spans="2:2" ht="15.5" x14ac:dyDescent="0.35">
      <c r="B3899" s="183"/>
    </row>
    <row r="3900" spans="2:2" ht="15.5" x14ac:dyDescent="0.35">
      <c r="B3900" s="183"/>
    </row>
    <row r="3901" spans="2:2" ht="15.5" x14ac:dyDescent="0.35">
      <c r="B3901" s="183"/>
    </row>
    <row r="3902" spans="2:2" ht="15.5" x14ac:dyDescent="0.35">
      <c r="B3902" s="183"/>
    </row>
    <row r="3903" spans="2:2" ht="15.5" x14ac:dyDescent="0.35">
      <c r="B3903" s="183"/>
    </row>
    <row r="3904" spans="2:2" ht="15.5" x14ac:dyDescent="0.35">
      <c r="B3904" s="183"/>
    </row>
    <row r="3905" spans="2:2" ht="15.5" x14ac:dyDescent="0.35">
      <c r="B3905" s="183"/>
    </row>
    <row r="3906" spans="2:2" ht="15.5" x14ac:dyDescent="0.35">
      <c r="B3906" s="183"/>
    </row>
    <row r="3907" spans="2:2" ht="15.5" x14ac:dyDescent="0.35">
      <c r="B3907" s="183"/>
    </row>
    <row r="3908" spans="2:2" ht="15.5" x14ac:dyDescent="0.35">
      <c r="B3908" s="183"/>
    </row>
    <row r="3909" spans="2:2" ht="15.5" x14ac:dyDescent="0.35">
      <c r="B3909" s="183"/>
    </row>
    <row r="3910" spans="2:2" ht="15.5" x14ac:dyDescent="0.35">
      <c r="B3910" s="183"/>
    </row>
    <row r="3911" spans="2:2" ht="15.5" x14ac:dyDescent="0.35">
      <c r="B3911" s="183"/>
    </row>
    <row r="3912" spans="2:2" ht="15.5" x14ac:dyDescent="0.35">
      <c r="B3912" s="183"/>
    </row>
    <row r="3913" spans="2:2" ht="15.5" x14ac:dyDescent="0.35">
      <c r="B3913" s="183"/>
    </row>
    <row r="3914" spans="2:2" ht="15.5" x14ac:dyDescent="0.35">
      <c r="B3914" s="183"/>
    </row>
    <row r="3915" spans="2:2" ht="15.5" x14ac:dyDescent="0.35">
      <c r="B3915" s="183"/>
    </row>
    <row r="3916" spans="2:2" ht="15.5" x14ac:dyDescent="0.35">
      <c r="B3916" s="183"/>
    </row>
    <row r="3917" spans="2:2" ht="15.5" x14ac:dyDescent="0.35">
      <c r="B3917" s="183"/>
    </row>
    <row r="3918" spans="2:2" ht="15.5" x14ac:dyDescent="0.35">
      <c r="B3918" s="183"/>
    </row>
    <row r="3919" spans="2:2" ht="15.5" x14ac:dyDescent="0.35">
      <c r="B3919" s="183"/>
    </row>
    <row r="3920" spans="2:2" ht="15.5" x14ac:dyDescent="0.35">
      <c r="B3920" s="183"/>
    </row>
    <row r="3921" spans="2:2" ht="15.5" x14ac:dyDescent="0.35">
      <c r="B3921" s="183"/>
    </row>
    <row r="3922" spans="2:2" ht="15.5" x14ac:dyDescent="0.35">
      <c r="B3922" s="183"/>
    </row>
    <row r="3923" spans="2:2" ht="15.5" x14ac:dyDescent="0.35">
      <c r="B3923" s="183"/>
    </row>
    <row r="3924" spans="2:2" ht="15.5" x14ac:dyDescent="0.35">
      <c r="B3924" s="183"/>
    </row>
    <row r="3925" spans="2:2" ht="15.5" x14ac:dyDescent="0.35">
      <c r="B3925" s="183"/>
    </row>
    <row r="3926" spans="2:2" ht="15.5" x14ac:dyDescent="0.35">
      <c r="B3926" s="183"/>
    </row>
    <row r="3927" spans="2:2" ht="15.5" x14ac:dyDescent="0.35">
      <c r="B3927" s="183"/>
    </row>
    <row r="3928" spans="2:2" ht="15.5" x14ac:dyDescent="0.35">
      <c r="B3928" s="183"/>
    </row>
    <row r="3929" spans="2:2" ht="15.5" x14ac:dyDescent="0.35">
      <c r="B3929" s="183"/>
    </row>
    <row r="3930" spans="2:2" ht="15.5" x14ac:dyDescent="0.35">
      <c r="B3930" s="183"/>
    </row>
    <row r="3931" spans="2:2" ht="15.5" x14ac:dyDescent="0.35">
      <c r="B3931" s="183"/>
    </row>
    <row r="3932" spans="2:2" ht="15.5" x14ac:dyDescent="0.35">
      <c r="B3932" s="183"/>
    </row>
    <row r="3933" spans="2:2" ht="15.5" x14ac:dyDescent="0.35">
      <c r="B3933" s="183"/>
    </row>
    <row r="3934" spans="2:2" ht="15.5" x14ac:dyDescent="0.35">
      <c r="B3934" s="183"/>
    </row>
    <row r="3935" spans="2:2" ht="15.5" x14ac:dyDescent="0.35">
      <c r="B3935" s="183"/>
    </row>
    <row r="3936" spans="2:2" ht="15.5" x14ac:dyDescent="0.35">
      <c r="B3936" s="183"/>
    </row>
    <row r="3937" spans="2:2" ht="15.5" x14ac:dyDescent="0.35">
      <c r="B3937" s="183"/>
    </row>
    <row r="3938" spans="2:2" ht="15.5" x14ac:dyDescent="0.35">
      <c r="B3938" s="183"/>
    </row>
    <row r="3939" spans="2:2" ht="15.5" x14ac:dyDescent="0.35">
      <c r="B3939" s="183"/>
    </row>
    <row r="3940" spans="2:2" ht="15.5" x14ac:dyDescent="0.35">
      <c r="B3940" s="183"/>
    </row>
    <row r="3941" spans="2:2" ht="15.5" x14ac:dyDescent="0.35">
      <c r="B3941" s="183"/>
    </row>
    <row r="3942" spans="2:2" ht="15.5" x14ac:dyDescent="0.35">
      <c r="B3942" s="183"/>
    </row>
    <row r="3943" spans="2:2" ht="15.5" x14ac:dyDescent="0.35">
      <c r="B3943" s="183"/>
    </row>
    <row r="3944" spans="2:2" ht="15.5" x14ac:dyDescent="0.35">
      <c r="B3944" s="183"/>
    </row>
    <row r="3945" spans="2:2" ht="15.5" x14ac:dyDescent="0.35">
      <c r="B3945" s="183"/>
    </row>
    <row r="3946" spans="2:2" ht="15.5" x14ac:dyDescent="0.35">
      <c r="B3946" s="183"/>
    </row>
    <row r="3947" spans="2:2" ht="15.5" x14ac:dyDescent="0.35">
      <c r="B3947" s="183"/>
    </row>
    <row r="3948" spans="2:2" ht="15.5" x14ac:dyDescent="0.35">
      <c r="B3948" s="183"/>
    </row>
    <row r="3949" spans="2:2" ht="15.5" x14ac:dyDescent="0.35">
      <c r="B3949" s="183"/>
    </row>
    <row r="3950" spans="2:2" ht="15.5" x14ac:dyDescent="0.35">
      <c r="B3950" s="183"/>
    </row>
    <row r="3951" spans="2:2" ht="15.5" x14ac:dyDescent="0.35">
      <c r="B3951" s="183"/>
    </row>
    <row r="3952" spans="2:2" ht="15.5" x14ac:dyDescent="0.35">
      <c r="B3952" s="183"/>
    </row>
    <row r="3953" spans="2:2" ht="15.5" x14ac:dyDescent="0.35">
      <c r="B3953" s="183"/>
    </row>
    <row r="3954" spans="2:2" ht="15.5" x14ac:dyDescent="0.35">
      <c r="B3954" s="183"/>
    </row>
    <row r="3955" spans="2:2" ht="15.5" x14ac:dyDescent="0.35">
      <c r="B3955" s="183"/>
    </row>
    <row r="3956" spans="2:2" ht="15.5" x14ac:dyDescent="0.35">
      <c r="B3956" s="183"/>
    </row>
    <row r="3957" spans="2:2" ht="15.5" x14ac:dyDescent="0.35">
      <c r="B3957" s="183"/>
    </row>
    <row r="3958" spans="2:2" ht="15.5" x14ac:dyDescent="0.35">
      <c r="B3958" s="183"/>
    </row>
    <row r="3959" spans="2:2" ht="15.5" x14ac:dyDescent="0.35">
      <c r="B3959" s="183"/>
    </row>
    <row r="3960" spans="2:2" ht="15.5" x14ac:dyDescent="0.35">
      <c r="B3960" s="183"/>
    </row>
    <row r="3961" spans="2:2" ht="15.5" x14ac:dyDescent="0.35">
      <c r="B3961" s="183"/>
    </row>
    <row r="3962" spans="2:2" ht="15.5" x14ac:dyDescent="0.35">
      <c r="B3962" s="183"/>
    </row>
    <row r="3963" spans="2:2" ht="15.5" x14ac:dyDescent="0.35">
      <c r="B3963" s="183"/>
    </row>
    <row r="3964" spans="2:2" ht="15.5" x14ac:dyDescent="0.35">
      <c r="B3964" s="183"/>
    </row>
    <row r="3965" spans="2:2" ht="15.5" x14ac:dyDescent="0.35">
      <c r="B3965" s="183"/>
    </row>
    <row r="3966" spans="2:2" ht="15.5" x14ac:dyDescent="0.35">
      <c r="B3966" s="183"/>
    </row>
    <row r="3967" spans="2:2" ht="15.5" x14ac:dyDescent="0.35">
      <c r="B3967" s="183"/>
    </row>
    <row r="3968" spans="2:2" ht="15.5" x14ac:dyDescent="0.35">
      <c r="B3968" s="183"/>
    </row>
    <row r="3969" spans="2:2" ht="15.5" x14ac:dyDescent="0.35">
      <c r="B3969" s="183"/>
    </row>
    <row r="3970" spans="2:2" ht="15.5" x14ac:dyDescent="0.35">
      <c r="B3970" s="183"/>
    </row>
    <row r="3971" spans="2:2" ht="15.5" x14ac:dyDescent="0.35">
      <c r="B3971" s="183"/>
    </row>
    <row r="3972" spans="2:2" ht="15.5" x14ac:dyDescent="0.35">
      <c r="B3972" s="183"/>
    </row>
    <row r="3973" spans="2:2" ht="15.5" x14ac:dyDescent="0.35">
      <c r="B3973" s="183"/>
    </row>
    <row r="3974" spans="2:2" ht="15.5" x14ac:dyDescent="0.35">
      <c r="B3974" s="183"/>
    </row>
    <row r="3975" spans="2:2" ht="15.5" x14ac:dyDescent="0.35">
      <c r="B3975" s="183"/>
    </row>
    <row r="3976" spans="2:2" ht="15.5" x14ac:dyDescent="0.35">
      <c r="B3976" s="183"/>
    </row>
    <row r="3977" spans="2:2" ht="15.5" x14ac:dyDescent="0.35">
      <c r="B3977" s="183"/>
    </row>
    <row r="3978" spans="2:2" ht="15.5" x14ac:dyDescent="0.35">
      <c r="B3978" s="183"/>
    </row>
    <row r="3979" spans="2:2" ht="15.5" x14ac:dyDescent="0.35">
      <c r="B3979" s="183"/>
    </row>
    <row r="3980" spans="2:2" ht="15.5" x14ac:dyDescent="0.35">
      <c r="B3980" s="183"/>
    </row>
    <row r="3981" spans="2:2" ht="15.5" x14ac:dyDescent="0.35">
      <c r="B3981" s="183"/>
    </row>
    <row r="3982" spans="2:2" ht="15.5" x14ac:dyDescent="0.35">
      <c r="B3982" s="183"/>
    </row>
    <row r="3983" spans="2:2" ht="15.5" x14ac:dyDescent="0.35">
      <c r="B3983" s="183"/>
    </row>
    <row r="3984" spans="2:2" ht="15.5" x14ac:dyDescent="0.35">
      <c r="B3984" s="183"/>
    </row>
    <row r="3985" spans="2:2" ht="15.5" x14ac:dyDescent="0.35">
      <c r="B3985" s="183"/>
    </row>
    <row r="3986" spans="2:2" ht="15.5" x14ac:dyDescent="0.35">
      <c r="B3986" s="183"/>
    </row>
    <row r="3987" spans="2:2" ht="15.5" x14ac:dyDescent="0.35">
      <c r="B3987" s="183"/>
    </row>
    <row r="3988" spans="2:2" ht="15.5" x14ac:dyDescent="0.35">
      <c r="B3988" s="183"/>
    </row>
    <row r="3989" spans="2:2" ht="15.5" x14ac:dyDescent="0.35">
      <c r="B3989" s="183"/>
    </row>
    <row r="3990" spans="2:2" ht="15.5" x14ac:dyDescent="0.35">
      <c r="B3990" s="183"/>
    </row>
    <row r="3991" spans="2:2" ht="15.5" x14ac:dyDescent="0.35">
      <c r="B3991" s="183"/>
    </row>
    <row r="3992" spans="2:2" ht="15.5" x14ac:dyDescent="0.35">
      <c r="B3992" s="183"/>
    </row>
    <row r="3993" spans="2:2" ht="15.5" x14ac:dyDescent="0.35">
      <c r="B3993" s="183"/>
    </row>
    <row r="3994" spans="2:2" ht="15.5" x14ac:dyDescent="0.35">
      <c r="B3994" s="183"/>
    </row>
    <row r="3995" spans="2:2" ht="15.5" x14ac:dyDescent="0.35">
      <c r="B3995" s="183"/>
    </row>
    <row r="3996" spans="2:2" ht="15.5" x14ac:dyDescent="0.35">
      <c r="B3996" s="183"/>
    </row>
    <row r="3997" spans="2:2" ht="15.5" x14ac:dyDescent="0.35">
      <c r="B3997" s="183"/>
    </row>
    <row r="3998" spans="2:2" ht="15.5" x14ac:dyDescent="0.35">
      <c r="B3998" s="183"/>
    </row>
    <row r="3999" spans="2:2" ht="15.5" x14ac:dyDescent="0.35">
      <c r="B3999" s="183"/>
    </row>
    <row r="4000" spans="2:2" ht="15.5" x14ac:dyDescent="0.35">
      <c r="B4000" s="183"/>
    </row>
    <row r="4001" spans="2:2" ht="15.5" x14ac:dyDescent="0.35">
      <c r="B4001" s="183"/>
    </row>
    <row r="4002" spans="2:2" ht="15.5" x14ac:dyDescent="0.35">
      <c r="B4002" s="183"/>
    </row>
    <row r="4003" spans="2:2" ht="15.5" x14ac:dyDescent="0.35">
      <c r="B4003" s="183"/>
    </row>
    <row r="4004" spans="2:2" ht="15.5" x14ac:dyDescent="0.35">
      <c r="B4004" s="183"/>
    </row>
    <row r="4005" spans="2:2" ht="15.5" x14ac:dyDescent="0.35">
      <c r="B4005" s="183"/>
    </row>
    <row r="4006" spans="2:2" ht="15.5" x14ac:dyDescent="0.35">
      <c r="B4006" s="183"/>
    </row>
    <row r="4007" spans="2:2" ht="15.5" x14ac:dyDescent="0.35">
      <c r="B4007" s="183"/>
    </row>
    <row r="4008" spans="2:2" ht="15.5" x14ac:dyDescent="0.35">
      <c r="B4008" s="183"/>
    </row>
    <row r="4009" spans="2:2" ht="15.5" x14ac:dyDescent="0.35">
      <c r="B4009" s="183"/>
    </row>
    <row r="4010" spans="2:2" ht="15.5" x14ac:dyDescent="0.35">
      <c r="B4010" s="183"/>
    </row>
    <row r="4011" spans="2:2" ht="15.5" x14ac:dyDescent="0.35">
      <c r="B4011" s="183"/>
    </row>
    <row r="4012" spans="2:2" ht="15.5" x14ac:dyDescent="0.35">
      <c r="B4012" s="183"/>
    </row>
    <row r="4013" spans="2:2" ht="15.5" x14ac:dyDescent="0.35">
      <c r="B4013" s="183"/>
    </row>
    <row r="4014" spans="2:2" ht="15.5" x14ac:dyDescent="0.35">
      <c r="B4014" s="183"/>
    </row>
    <row r="4015" spans="2:2" ht="15.5" x14ac:dyDescent="0.35">
      <c r="B4015" s="183"/>
    </row>
    <row r="4016" spans="2:2" ht="15.5" x14ac:dyDescent="0.35">
      <c r="B4016" s="183"/>
    </row>
    <row r="4017" spans="2:2" ht="15.5" x14ac:dyDescent="0.35">
      <c r="B4017" s="183"/>
    </row>
    <row r="4018" spans="2:2" ht="15.5" x14ac:dyDescent="0.35">
      <c r="B4018" s="183"/>
    </row>
    <row r="4019" spans="2:2" ht="15.5" x14ac:dyDescent="0.35">
      <c r="B4019" s="183"/>
    </row>
    <row r="4020" spans="2:2" ht="15.5" x14ac:dyDescent="0.35">
      <c r="B4020" s="183"/>
    </row>
    <row r="4021" spans="2:2" ht="15.5" x14ac:dyDescent="0.35">
      <c r="B4021" s="183"/>
    </row>
    <row r="4022" spans="2:2" ht="15.5" x14ac:dyDescent="0.35">
      <c r="B4022" s="183"/>
    </row>
    <row r="4023" spans="2:2" ht="15.5" x14ac:dyDescent="0.35">
      <c r="B4023" s="183"/>
    </row>
    <row r="4024" spans="2:2" ht="15.5" x14ac:dyDescent="0.35">
      <c r="B4024" s="183"/>
    </row>
    <row r="4025" spans="2:2" ht="15.5" x14ac:dyDescent="0.35">
      <c r="B4025" s="183"/>
    </row>
    <row r="4026" spans="2:2" ht="15.5" x14ac:dyDescent="0.35">
      <c r="B4026" s="183"/>
    </row>
    <row r="4027" spans="2:2" ht="15.5" x14ac:dyDescent="0.35">
      <c r="B4027" s="183"/>
    </row>
    <row r="4028" spans="2:2" ht="15.5" x14ac:dyDescent="0.35">
      <c r="B4028" s="183"/>
    </row>
    <row r="4029" spans="2:2" ht="15.5" x14ac:dyDescent="0.35">
      <c r="B4029" s="183"/>
    </row>
    <row r="4030" spans="2:2" ht="15.5" x14ac:dyDescent="0.35">
      <c r="B4030" s="183"/>
    </row>
    <row r="4031" spans="2:2" ht="15.5" x14ac:dyDescent="0.35">
      <c r="B4031" s="183"/>
    </row>
    <row r="4032" spans="2:2" ht="15.5" x14ac:dyDescent="0.35">
      <c r="B4032" s="183"/>
    </row>
    <row r="4033" spans="2:2" ht="15.5" x14ac:dyDescent="0.35">
      <c r="B4033" s="183"/>
    </row>
    <row r="4034" spans="2:2" ht="15.5" x14ac:dyDescent="0.35">
      <c r="B4034" s="183"/>
    </row>
    <row r="4035" spans="2:2" ht="15.5" x14ac:dyDescent="0.35">
      <c r="B4035" s="183"/>
    </row>
    <row r="4036" spans="2:2" ht="15.5" x14ac:dyDescent="0.35">
      <c r="B4036" s="183"/>
    </row>
    <row r="4037" spans="2:2" ht="15.5" x14ac:dyDescent="0.35">
      <c r="B4037" s="183"/>
    </row>
    <row r="4038" spans="2:2" ht="15.5" x14ac:dyDescent="0.35">
      <c r="B4038" s="183"/>
    </row>
    <row r="4039" spans="2:2" ht="15.5" x14ac:dyDescent="0.35">
      <c r="B4039" s="183"/>
    </row>
    <row r="4040" spans="2:2" ht="15.5" x14ac:dyDescent="0.35">
      <c r="B4040" s="183"/>
    </row>
    <row r="4041" spans="2:2" ht="15.5" x14ac:dyDescent="0.35">
      <c r="B4041" s="183"/>
    </row>
    <row r="4042" spans="2:2" ht="15.5" x14ac:dyDescent="0.35">
      <c r="B4042" s="183"/>
    </row>
    <row r="4043" spans="2:2" ht="15.5" x14ac:dyDescent="0.35">
      <c r="B4043" s="183"/>
    </row>
    <row r="4044" spans="2:2" ht="15.5" x14ac:dyDescent="0.35">
      <c r="B4044" s="183"/>
    </row>
    <row r="4045" spans="2:2" ht="15.5" x14ac:dyDescent="0.35">
      <c r="B4045" s="183"/>
    </row>
    <row r="4046" spans="2:2" ht="15.5" x14ac:dyDescent="0.35">
      <c r="B4046" s="183"/>
    </row>
    <row r="4047" spans="2:2" ht="15.5" x14ac:dyDescent="0.35">
      <c r="B4047" s="183"/>
    </row>
    <row r="4048" spans="2:2" ht="15.5" x14ac:dyDescent="0.35">
      <c r="B4048" s="183"/>
    </row>
    <row r="4049" spans="2:2" ht="15.5" x14ac:dyDescent="0.35">
      <c r="B4049" s="183"/>
    </row>
    <row r="4050" spans="2:2" ht="15.5" x14ac:dyDescent="0.35">
      <c r="B4050" s="183"/>
    </row>
    <row r="4051" spans="2:2" ht="15.5" x14ac:dyDescent="0.35">
      <c r="B4051" s="183"/>
    </row>
    <row r="4052" spans="2:2" ht="15.5" x14ac:dyDescent="0.35">
      <c r="B4052" s="183"/>
    </row>
    <row r="4053" spans="2:2" ht="15.5" x14ac:dyDescent="0.35">
      <c r="B4053" s="183"/>
    </row>
    <row r="4054" spans="2:2" ht="15.5" x14ac:dyDescent="0.35">
      <c r="B4054" s="183"/>
    </row>
    <row r="4055" spans="2:2" ht="15.5" x14ac:dyDescent="0.35">
      <c r="B4055" s="183"/>
    </row>
    <row r="4056" spans="2:2" ht="15.5" x14ac:dyDescent="0.35">
      <c r="B4056" s="183"/>
    </row>
    <row r="4057" spans="2:2" ht="15.5" x14ac:dyDescent="0.35">
      <c r="B4057" s="183"/>
    </row>
    <row r="4058" spans="2:2" ht="15.5" x14ac:dyDescent="0.35">
      <c r="B4058" s="183"/>
    </row>
    <row r="4059" spans="2:2" ht="15.5" x14ac:dyDescent="0.35">
      <c r="B4059" s="183"/>
    </row>
    <row r="4060" spans="2:2" ht="15.5" x14ac:dyDescent="0.35">
      <c r="B4060" s="183"/>
    </row>
    <row r="4061" spans="2:2" ht="15.5" x14ac:dyDescent="0.35">
      <c r="B4061" s="183"/>
    </row>
    <row r="4062" spans="2:2" ht="15.5" x14ac:dyDescent="0.35">
      <c r="B4062" s="183"/>
    </row>
    <row r="4063" spans="2:2" ht="15.5" x14ac:dyDescent="0.35">
      <c r="B4063" s="183"/>
    </row>
    <row r="4064" spans="2:2" ht="15.5" x14ac:dyDescent="0.35">
      <c r="B4064" s="183"/>
    </row>
    <row r="4065" spans="2:2" ht="15.5" x14ac:dyDescent="0.35">
      <c r="B4065" s="183"/>
    </row>
    <row r="4066" spans="2:2" ht="15.5" x14ac:dyDescent="0.35">
      <c r="B4066" s="183"/>
    </row>
    <row r="4067" spans="2:2" ht="15.5" x14ac:dyDescent="0.35">
      <c r="B4067" s="183"/>
    </row>
    <row r="4068" spans="2:2" ht="15.5" x14ac:dyDescent="0.35">
      <c r="B4068" s="183"/>
    </row>
    <row r="4069" spans="2:2" ht="15.5" x14ac:dyDescent="0.35">
      <c r="B4069" s="183"/>
    </row>
    <row r="4070" spans="2:2" ht="15.5" x14ac:dyDescent="0.35">
      <c r="B4070" s="183"/>
    </row>
    <row r="4071" spans="2:2" ht="15.5" x14ac:dyDescent="0.35">
      <c r="B4071" s="183"/>
    </row>
    <row r="4072" spans="2:2" ht="15.5" x14ac:dyDescent="0.35">
      <c r="B4072" s="183"/>
    </row>
    <row r="4073" spans="2:2" ht="15.5" x14ac:dyDescent="0.35">
      <c r="B4073" s="183"/>
    </row>
    <row r="4074" spans="2:2" ht="15.5" x14ac:dyDescent="0.35">
      <c r="B4074" s="183"/>
    </row>
    <row r="4075" spans="2:2" ht="15.5" x14ac:dyDescent="0.35">
      <c r="B4075" s="183"/>
    </row>
    <row r="4076" spans="2:2" ht="15.5" x14ac:dyDescent="0.35">
      <c r="B4076" s="183"/>
    </row>
    <row r="4077" spans="2:2" ht="15.5" x14ac:dyDescent="0.35">
      <c r="B4077" s="183"/>
    </row>
    <row r="4078" spans="2:2" ht="15.5" x14ac:dyDescent="0.35">
      <c r="B4078" s="183"/>
    </row>
    <row r="4079" spans="2:2" ht="15.5" x14ac:dyDescent="0.35">
      <c r="B4079" s="183"/>
    </row>
    <row r="4080" spans="2:2" ht="15.5" x14ac:dyDescent="0.35">
      <c r="B4080" s="183"/>
    </row>
    <row r="4081" spans="2:2" ht="15.5" x14ac:dyDescent="0.35">
      <c r="B4081" s="183"/>
    </row>
    <row r="4082" spans="2:2" ht="15.5" x14ac:dyDescent="0.35">
      <c r="B4082" s="183"/>
    </row>
    <row r="4083" spans="2:2" ht="15.5" x14ac:dyDescent="0.35">
      <c r="B4083" s="183"/>
    </row>
    <row r="4084" spans="2:2" ht="15.5" x14ac:dyDescent="0.35">
      <c r="B4084" s="183"/>
    </row>
    <row r="4085" spans="2:2" ht="15.5" x14ac:dyDescent="0.35">
      <c r="B4085" s="183"/>
    </row>
    <row r="4086" spans="2:2" ht="15.5" x14ac:dyDescent="0.35">
      <c r="B4086" s="183"/>
    </row>
    <row r="4087" spans="2:2" ht="15.5" x14ac:dyDescent="0.35">
      <c r="B4087" s="183"/>
    </row>
    <row r="4088" spans="2:2" ht="15.5" x14ac:dyDescent="0.35">
      <c r="B4088" s="183"/>
    </row>
    <row r="4089" spans="2:2" ht="15.5" x14ac:dyDescent="0.35">
      <c r="B4089" s="183"/>
    </row>
    <row r="4090" spans="2:2" ht="15.5" x14ac:dyDescent="0.35">
      <c r="B4090" s="183"/>
    </row>
    <row r="4091" spans="2:2" ht="15.5" x14ac:dyDescent="0.35">
      <c r="B4091" s="183"/>
    </row>
    <row r="4092" spans="2:2" ht="15.5" x14ac:dyDescent="0.35">
      <c r="B4092" s="183"/>
    </row>
    <row r="4093" spans="2:2" ht="15.5" x14ac:dyDescent="0.35">
      <c r="B4093" s="183"/>
    </row>
    <row r="4094" spans="2:2" ht="15.5" x14ac:dyDescent="0.35">
      <c r="B4094" s="183"/>
    </row>
    <row r="4095" spans="2:2" ht="15.5" x14ac:dyDescent="0.35">
      <c r="B4095" s="183"/>
    </row>
    <row r="4096" spans="2:2" ht="15.5" x14ac:dyDescent="0.35">
      <c r="B4096" s="183"/>
    </row>
    <row r="4097" spans="2:2" ht="15.5" x14ac:dyDescent="0.35">
      <c r="B4097" s="183"/>
    </row>
    <row r="4098" spans="2:2" ht="15.5" x14ac:dyDescent="0.35">
      <c r="B4098" s="183"/>
    </row>
    <row r="4099" spans="2:2" ht="15.5" x14ac:dyDescent="0.35">
      <c r="B4099" s="183"/>
    </row>
    <row r="4100" spans="2:2" ht="15.5" x14ac:dyDescent="0.35">
      <c r="B4100" s="183"/>
    </row>
    <row r="4101" spans="2:2" ht="15.5" x14ac:dyDescent="0.35">
      <c r="B4101" s="183"/>
    </row>
    <row r="4102" spans="2:2" ht="15.5" x14ac:dyDescent="0.35">
      <c r="B4102" s="183"/>
    </row>
    <row r="4103" spans="2:2" ht="15.5" x14ac:dyDescent="0.35">
      <c r="B4103" s="183"/>
    </row>
    <row r="4104" spans="2:2" ht="15.5" x14ac:dyDescent="0.35">
      <c r="B4104" s="183"/>
    </row>
    <row r="4105" spans="2:2" ht="15.5" x14ac:dyDescent="0.35">
      <c r="B4105" s="183"/>
    </row>
    <row r="4106" spans="2:2" ht="15.5" x14ac:dyDescent="0.35">
      <c r="B4106" s="183"/>
    </row>
    <row r="4107" spans="2:2" ht="15.5" x14ac:dyDescent="0.35">
      <c r="B4107" s="183"/>
    </row>
    <row r="4108" spans="2:2" ht="15.5" x14ac:dyDescent="0.35">
      <c r="B4108" s="183"/>
    </row>
    <row r="4109" spans="2:2" ht="15.5" x14ac:dyDescent="0.35">
      <c r="B4109" s="183"/>
    </row>
    <row r="4110" spans="2:2" ht="15.5" x14ac:dyDescent="0.35">
      <c r="B4110" s="183"/>
    </row>
    <row r="4111" spans="2:2" ht="15.5" x14ac:dyDescent="0.35">
      <c r="B4111" s="183"/>
    </row>
    <row r="4112" spans="2:2" ht="15.5" x14ac:dyDescent="0.35">
      <c r="B4112" s="183"/>
    </row>
    <row r="4113" spans="2:2" ht="15.5" x14ac:dyDescent="0.35">
      <c r="B4113" s="183"/>
    </row>
    <row r="4114" spans="2:2" ht="15.5" x14ac:dyDescent="0.35">
      <c r="B4114" s="183"/>
    </row>
    <row r="4115" spans="2:2" ht="15.5" x14ac:dyDescent="0.35">
      <c r="B4115" s="183"/>
    </row>
    <row r="4116" spans="2:2" ht="15.5" x14ac:dyDescent="0.35">
      <c r="B4116" s="183"/>
    </row>
    <row r="4117" spans="2:2" ht="15.5" x14ac:dyDescent="0.35">
      <c r="B4117" s="183"/>
    </row>
    <row r="4118" spans="2:2" ht="15.5" x14ac:dyDescent="0.35">
      <c r="B4118" s="183"/>
    </row>
    <row r="4119" spans="2:2" ht="15.5" x14ac:dyDescent="0.35">
      <c r="B4119" s="183"/>
    </row>
    <row r="4120" spans="2:2" ht="15.5" x14ac:dyDescent="0.35">
      <c r="B4120" s="183"/>
    </row>
    <row r="4121" spans="2:2" ht="15.5" x14ac:dyDescent="0.35">
      <c r="B4121" s="183"/>
    </row>
    <row r="4122" spans="2:2" ht="15.5" x14ac:dyDescent="0.35">
      <c r="B4122" s="183"/>
    </row>
    <row r="4123" spans="2:2" ht="15.5" x14ac:dyDescent="0.35">
      <c r="B4123" s="183"/>
    </row>
    <row r="4124" spans="2:2" ht="15.5" x14ac:dyDescent="0.35">
      <c r="B4124" s="183"/>
    </row>
    <row r="4125" spans="2:2" ht="15.5" x14ac:dyDescent="0.35">
      <c r="B4125" s="183"/>
    </row>
    <row r="4126" spans="2:2" ht="15.5" x14ac:dyDescent="0.35">
      <c r="B4126" s="183"/>
    </row>
    <row r="4127" spans="2:2" ht="15.5" x14ac:dyDescent="0.35">
      <c r="B4127" s="183"/>
    </row>
    <row r="4128" spans="2:2" ht="15.5" x14ac:dyDescent="0.35">
      <c r="B4128" s="183"/>
    </row>
    <row r="4129" spans="2:2" ht="15.5" x14ac:dyDescent="0.35">
      <c r="B4129" s="183"/>
    </row>
    <row r="4130" spans="2:2" ht="15.5" x14ac:dyDescent="0.35">
      <c r="B4130" s="183"/>
    </row>
    <row r="4131" spans="2:2" ht="15.5" x14ac:dyDescent="0.35">
      <c r="B4131" s="183"/>
    </row>
    <row r="4132" spans="2:2" ht="15.5" x14ac:dyDescent="0.35">
      <c r="B4132" s="183"/>
    </row>
    <row r="4133" spans="2:2" ht="15.5" x14ac:dyDescent="0.35">
      <c r="B4133" s="183"/>
    </row>
    <row r="4134" spans="2:2" ht="15.5" x14ac:dyDescent="0.35">
      <c r="B4134" s="183"/>
    </row>
    <row r="4135" spans="2:2" ht="15.5" x14ac:dyDescent="0.35">
      <c r="B4135" s="183"/>
    </row>
    <row r="4136" spans="2:2" ht="15.5" x14ac:dyDescent="0.35">
      <c r="B4136" s="183"/>
    </row>
    <row r="4137" spans="2:2" ht="15.5" x14ac:dyDescent="0.35">
      <c r="B4137" s="183"/>
    </row>
    <row r="4138" spans="2:2" ht="15.5" x14ac:dyDescent="0.35">
      <c r="B4138" s="183"/>
    </row>
    <row r="4139" spans="2:2" ht="15.5" x14ac:dyDescent="0.35">
      <c r="B4139" s="183"/>
    </row>
    <row r="4140" spans="2:2" ht="15.5" x14ac:dyDescent="0.35">
      <c r="B4140" s="183"/>
    </row>
    <row r="4141" spans="2:2" ht="15.5" x14ac:dyDescent="0.35">
      <c r="B4141" s="183"/>
    </row>
    <row r="4142" spans="2:2" ht="15.5" x14ac:dyDescent="0.35">
      <c r="B4142" s="183"/>
    </row>
    <row r="4143" spans="2:2" ht="15.5" x14ac:dyDescent="0.35">
      <c r="B4143" s="183"/>
    </row>
    <row r="4144" spans="2:2" ht="15.5" x14ac:dyDescent="0.35">
      <c r="B4144" s="183"/>
    </row>
    <row r="4145" spans="2:2" ht="15.5" x14ac:dyDescent="0.35">
      <c r="B4145" s="183"/>
    </row>
    <row r="4146" spans="2:2" ht="15.5" x14ac:dyDescent="0.35">
      <c r="B4146" s="183"/>
    </row>
    <row r="4147" spans="2:2" ht="15.5" x14ac:dyDescent="0.35">
      <c r="B4147" s="183"/>
    </row>
    <row r="4148" spans="2:2" ht="15.5" x14ac:dyDescent="0.35">
      <c r="B4148" s="183"/>
    </row>
    <row r="4149" spans="2:2" ht="15.5" x14ac:dyDescent="0.35">
      <c r="B4149" s="183"/>
    </row>
    <row r="4150" spans="2:2" ht="15.5" x14ac:dyDescent="0.35">
      <c r="B4150" s="183"/>
    </row>
    <row r="4151" spans="2:2" ht="15.5" x14ac:dyDescent="0.35">
      <c r="B4151" s="183"/>
    </row>
    <row r="4152" spans="2:2" ht="15.5" x14ac:dyDescent="0.35">
      <c r="B4152" s="183"/>
    </row>
    <row r="4153" spans="2:2" ht="15.5" x14ac:dyDescent="0.35">
      <c r="B4153" s="183"/>
    </row>
    <row r="4154" spans="2:2" ht="15.5" x14ac:dyDescent="0.35">
      <c r="B4154" s="183"/>
    </row>
    <row r="4155" spans="2:2" ht="15.5" x14ac:dyDescent="0.35">
      <c r="B4155" s="183"/>
    </row>
    <row r="4156" spans="2:2" ht="15.5" x14ac:dyDescent="0.35">
      <c r="B4156" s="183"/>
    </row>
    <row r="4157" spans="2:2" ht="15.5" x14ac:dyDescent="0.35">
      <c r="B4157" s="183"/>
    </row>
    <row r="4158" spans="2:2" ht="15.5" x14ac:dyDescent="0.35">
      <c r="B4158" s="183"/>
    </row>
    <row r="4159" spans="2:2" ht="15.5" x14ac:dyDescent="0.35">
      <c r="B4159" s="183"/>
    </row>
    <row r="4160" spans="2:2" ht="15.5" x14ac:dyDescent="0.35">
      <c r="B4160" s="183"/>
    </row>
    <row r="4161" spans="2:2" ht="15.5" x14ac:dyDescent="0.35">
      <c r="B4161" s="183"/>
    </row>
    <row r="4162" spans="2:2" ht="15.5" x14ac:dyDescent="0.35">
      <c r="B4162" s="183"/>
    </row>
    <row r="4163" spans="2:2" ht="15.5" x14ac:dyDescent="0.35">
      <c r="B4163" s="183"/>
    </row>
    <row r="4164" spans="2:2" ht="15.5" x14ac:dyDescent="0.35">
      <c r="B4164" s="183"/>
    </row>
    <row r="4165" spans="2:2" ht="15.5" x14ac:dyDescent="0.35">
      <c r="B4165" s="183"/>
    </row>
    <row r="4166" spans="2:2" ht="15.5" x14ac:dyDescent="0.35">
      <c r="B4166" s="183"/>
    </row>
    <row r="4167" spans="2:2" ht="15.5" x14ac:dyDescent="0.35">
      <c r="B4167" s="183"/>
    </row>
    <row r="4168" spans="2:2" ht="15.5" x14ac:dyDescent="0.35">
      <c r="B4168" s="183"/>
    </row>
    <row r="4169" spans="2:2" ht="15.5" x14ac:dyDescent="0.35">
      <c r="B4169" s="183"/>
    </row>
    <row r="4170" spans="2:2" ht="15.5" x14ac:dyDescent="0.35">
      <c r="B4170" s="183"/>
    </row>
    <row r="4171" spans="2:2" ht="15.5" x14ac:dyDescent="0.35">
      <c r="B4171" s="183"/>
    </row>
    <row r="4172" spans="2:2" ht="15.5" x14ac:dyDescent="0.35">
      <c r="B4172" s="183"/>
    </row>
    <row r="4173" spans="2:2" ht="15.5" x14ac:dyDescent="0.35">
      <c r="B4173" s="183"/>
    </row>
    <row r="4174" spans="2:2" ht="15.5" x14ac:dyDescent="0.35">
      <c r="B4174" s="183"/>
    </row>
    <row r="4175" spans="2:2" ht="15.5" x14ac:dyDescent="0.35">
      <c r="B4175" s="183"/>
    </row>
    <row r="4176" spans="2:2" ht="15.5" x14ac:dyDescent="0.35">
      <c r="B4176" s="183"/>
    </row>
    <row r="4177" spans="2:2" ht="15.5" x14ac:dyDescent="0.35">
      <c r="B4177" s="183"/>
    </row>
    <row r="4178" spans="2:2" ht="15.5" x14ac:dyDescent="0.35">
      <c r="B4178" s="183"/>
    </row>
    <row r="4179" spans="2:2" ht="15.5" x14ac:dyDescent="0.35">
      <c r="B4179" s="183"/>
    </row>
    <row r="4180" spans="2:2" ht="15.5" x14ac:dyDescent="0.35">
      <c r="B4180" s="183"/>
    </row>
    <row r="4181" spans="2:2" ht="15.5" x14ac:dyDescent="0.35">
      <c r="B4181" s="183"/>
    </row>
    <row r="4182" spans="2:2" ht="15.5" x14ac:dyDescent="0.35">
      <c r="B4182" s="183"/>
    </row>
    <row r="4183" spans="2:2" ht="15.5" x14ac:dyDescent="0.35">
      <c r="B4183" s="183"/>
    </row>
    <row r="4184" spans="2:2" ht="15.5" x14ac:dyDescent="0.35">
      <c r="B4184" s="183"/>
    </row>
    <row r="4185" spans="2:2" ht="15.5" x14ac:dyDescent="0.35">
      <c r="B4185" s="183"/>
    </row>
    <row r="4186" spans="2:2" ht="15.5" x14ac:dyDescent="0.35">
      <c r="B4186" s="183"/>
    </row>
    <row r="4187" spans="2:2" ht="15.5" x14ac:dyDescent="0.35">
      <c r="B4187" s="183"/>
    </row>
    <row r="4188" spans="2:2" ht="15.5" x14ac:dyDescent="0.35">
      <c r="B4188" s="183"/>
    </row>
    <row r="4189" spans="2:2" ht="15.5" x14ac:dyDescent="0.35">
      <c r="B4189" s="183"/>
    </row>
    <row r="4190" spans="2:2" ht="15.5" x14ac:dyDescent="0.35">
      <c r="B4190" s="183"/>
    </row>
    <row r="4191" spans="2:2" ht="15.5" x14ac:dyDescent="0.35">
      <c r="B4191" s="183"/>
    </row>
    <row r="4192" spans="2:2" ht="15.5" x14ac:dyDescent="0.35">
      <c r="B4192" s="183"/>
    </row>
    <row r="4193" spans="2:2" ht="15.5" x14ac:dyDescent="0.35">
      <c r="B4193" s="183"/>
    </row>
    <row r="4194" spans="2:2" ht="15.5" x14ac:dyDescent="0.35">
      <c r="B4194" s="183"/>
    </row>
    <row r="4195" spans="2:2" ht="15.5" x14ac:dyDescent="0.35">
      <c r="B4195" s="183"/>
    </row>
    <row r="4196" spans="2:2" ht="15.5" x14ac:dyDescent="0.35">
      <c r="B4196" s="183"/>
    </row>
    <row r="4197" spans="2:2" ht="15.5" x14ac:dyDescent="0.35">
      <c r="B4197" s="183"/>
    </row>
    <row r="4198" spans="2:2" ht="15.5" x14ac:dyDescent="0.35">
      <c r="B4198" s="183"/>
    </row>
    <row r="4199" spans="2:2" ht="15.5" x14ac:dyDescent="0.35">
      <c r="B4199" s="183"/>
    </row>
    <row r="4200" spans="2:2" ht="15.5" x14ac:dyDescent="0.35">
      <c r="B4200" s="183"/>
    </row>
    <row r="4201" spans="2:2" ht="15.5" x14ac:dyDescent="0.35">
      <c r="B4201" s="183"/>
    </row>
    <row r="4202" spans="2:2" ht="15.5" x14ac:dyDescent="0.35">
      <c r="B4202" s="183"/>
    </row>
    <row r="4203" spans="2:2" ht="15.5" x14ac:dyDescent="0.35">
      <c r="B4203" s="183"/>
    </row>
    <row r="4204" spans="2:2" ht="15.5" x14ac:dyDescent="0.35">
      <c r="B4204" s="183"/>
    </row>
    <row r="4205" spans="2:2" ht="15.5" x14ac:dyDescent="0.35">
      <c r="B4205" s="183"/>
    </row>
    <row r="4206" spans="2:2" ht="15.5" x14ac:dyDescent="0.35">
      <c r="B4206" s="183"/>
    </row>
    <row r="4207" spans="2:2" ht="15.5" x14ac:dyDescent="0.35">
      <c r="B4207" s="183"/>
    </row>
    <row r="4208" spans="2:2" ht="15.5" x14ac:dyDescent="0.35">
      <c r="B4208" s="183"/>
    </row>
    <row r="4209" spans="2:2" ht="15.5" x14ac:dyDescent="0.35">
      <c r="B4209" s="183"/>
    </row>
    <row r="4210" spans="2:2" ht="15.5" x14ac:dyDescent="0.35">
      <c r="B4210" s="183"/>
    </row>
    <row r="4211" spans="2:2" ht="15.5" x14ac:dyDescent="0.35">
      <c r="B4211" s="183"/>
    </row>
    <row r="4212" spans="2:2" ht="15.5" x14ac:dyDescent="0.35">
      <c r="B4212" s="183"/>
    </row>
    <row r="4213" spans="2:2" ht="15.5" x14ac:dyDescent="0.35">
      <c r="B4213" s="183"/>
    </row>
    <row r="4214" spans="2:2" ht="15.5" x14ac:dyDescent="0.35">
      <c r="B4214" s="183"/>
    </row>
    <row r="4215" spans="2:2" ht="15.5" x14ac:dyDescent="0.35">
      <c r="B4215" s="183"/>
    </row>
    <row r="4216" spans="2:2" ht="15.5" x14ac:dyDescent="0.35">
      <c r="B4216" s="183"/>
    </row>
    <row r="4217" spans="2:2" ht="15.5" x14ac:dyDescent="0.35">
      <c r="B4217" s="183"/>
    </row>
    <row r="4218" spans="2:2" ht="15.5" x14ac:dyDescent="0.35">
      <c r="B4218" s="183"/>
    </row>
    <row r="4219" spans="2:2" ht="15.5" x14ac:dyDescent="0.35">
      <c r="B4219" s="183"/>
    </row>
    <row r="4220" spans="2:2" ht="15.5" x14ac:dyDescent="0.35">
      <c r="B4220" s="183"/>
    </row>
    <row r="4221" spans="2:2" ht="15.5" x14ac:dyDescent="0.35">
      <c r="B4221" s="183"/>
    </row>
    <row r="4222" spans="2:2" ht="15.5" x14ac:dyDescent="0.35">
      <c r="B4222" s="183"/>
    </row>
    <row r="4223" spans="2:2" ht="15.5" x14ac:dyDescent="0.35">
      <c r="B4223" s="183"/>
    </row>
    <row r="4224" spans="2:2" ht="15.5" x14ac:dyDescent="0.35">
      <c r="B4224" s="183"/>
    </row>
    <row r="4225" spans="2:2" ht="15.5" x14ac:dyDescent="0.35">
      <c r="B4225" s="183"/>
    </row>
    <row r="4226" spans="2:2" ht="15.5" x14ac:dyDescent="0.35">
      <c r="B4226" s="183"/>
    </row>
    <row r="4227" spans="2:2" ht="15.5" x14ac:dyDescent="0.35">
      <c r="B4227" s="183"/>
    </row>
    <row r="4228" spans="2:2" ht="15.5" x14ac:dyDescent="0.35">
      <c r="B4228" s="183"/>
    </row>
    <row r="4229" spans="2:2" ht="15.5" x14ac:dyDescent="0.35">
      <c r="B4229" s="183"/>
    </row>
    <row r="4230" spans="2:2" ht="15.5" x14ac:dyDescent="0.35">
      <c r="B4230" s="183"/>
    </row>
    <row r="4231" spans="2:2" ht="15.5" x14ac:dyDescent="0.35">
      <c r="B4231" s="183"/>
    </row>
    <row r="4232" spans="2:2" ht="15.5" x14ac:dyDescent="0.35">
      <c r="B4232" s="183"/>
    </row>
    <row r="4233" spans="2:2" ht="15.5" x14ac:dyDescent="0.35">
      <c r="B4233" s="183"/>
    </row>
    <row r="4234" spans="2:2" ht="15.5" x14ac:dyDescent="0.35">
      <c r="B4234" s="183"/>
    </row>
    <row r="4235" spans="2:2" ht="15.5" x14ac:dyDescent="0.35">
      <c r="B4235" s="183"/>
    </row>
    <row r="4236" spans="2:2" ht="15.5" x14ac:dyDescent="0.35">
      <c r="B4236" s="183"/>
    </row>
    <row r="4237" spans="2:2" ht="15.5" x14ac:dyDescent="0.35">
      <c r="B4237" s="183"/>
    </row>
    <row r="4238" spans="2:2" ht="15.5" x14ac:dyDescent="0.35">
      <c r="B4238" s="183"/>
    </row>
    <row r="4239" spans="2:2" ht="15.5" x14ac:dyDescent="0.35">
      <c r="B4239" s="183"/>
    </row>
    <row r="4240" spans="2:2" ht="15.5" x14ac:dyDescent="0.35">
      <c r="B4240" s="183"/>
    </row>
    <row r="4241" spans="2:2" ht="15.5" x14ac:dyDescent="0.35">
      <c r="B4241" s="183"/>
    </row>
    <row r="4242" spans="2:2" ht="15.5" x14ac:dyDescent="0.35">
      <c r="B4242" s="183"/>
    </row>
    <row r="4243" spans="2:2" ht="15.5" x14ac:dyDescent="0.35">
      <c r="B4243" s="183"/>
    </row>
    <row r="4244" spans="2:2" ht="15.5" x14ac:dyDescent="0.35">
      <c r="B4244" s="183"/>
    </row>
    <row r="4245" spans="2:2" ht="15.5" x14ac:dyDescent="0.35">
      <c r="B4245" s="183"/>
    </row>
    <row r="4246" spans="2:2" ht="15.5" x14ac:dyDescent="0.35">
      <c r="B4246" s="183"/>
    </row>
    <row r="4247" spans="2:2" ht="15.5" x14ac:dyDescent="0.35">
      <c r="B4247" s="183"/>
    </row>
    <row r="4248" spans="2:2" ht="15.5" x14ac:dyDescent="0.35">
      <c r="B4248" s="183"/>
    </row>
    <row r="4249" spans="2:2" ht="15.5" x14ac:dyDescent="0.35">
      <c r="B4249" s="183"/>
    </row>
    <row r="4250" spans="2:2" ht="15.5" x14ac:dyDescent="0.35">
      <c r="B4250" s="183"/>
    </row>
    <row r="4251" spans="2:2" ht="15.5" x14ac:dyDescent="0.35">
      <c r="B4251" s="183"/>
    </row>
    <row r="4252" spans="2:2" ht="15.5" x14ac:dyDescent="0.35">
      <c r="B4252" s="183"/>
    </row>
    <row r="4253" spans="2:2" ht="15.5" x14ac:dyDescent="0.35">
      <c r="B4253" s="183"/>
    </row>
    <row r="4254" spans="2:2" ht="15.5" x14ac:dyDescent="0.35">
      <c r="B4254" s="183"/>
    </row>
    <row r="4255" spans="2:2" ht="15.5" x14ac:dyDescent="0.35">
      <c r="B4255" s="183"/>
    </row>
    <row r="4256" spans="2:2" ht="15.5" x14ac:dyDescent="0.35">
      <c r="B4256" s="183"/>
    </row>
    <row r="4257" spans="2:2" ht="15.5" x14ac:dyDescent="0.35">
      <c r="B4257" s="183"/>
    </row>
    <row r="4258" spans="2:2" ht="15.5" x14ac:dyDescent="0.35">
      <c r="B4258" s="183"/>
    </row>
    <row r="4259" spans="2:2" ht="15.5" x14ac:dyDescent="0.35">
      <c r="B4259" s="183"/>
    </row>
    <row r="4260" spans="2:2" ht="15.5" x14ac:dyDescent="0.35">
      <c r="B4260" s="183"/>
    </row>
    <row r="4261" spans="2:2" ht="15.5" x14ac:dyDescent="0.35">
      <c r="B4261" s="183"/>
    </row>
    <row r="4262" spans="2:2" ht="15.5" x14ac:dyDescent="0.35">
      <c r="B4262" s="183"/>
    </row>
    <row r="4263" spans="2:2" ht="15.5" x14ac:dyDescent="0.35">
      <c r="B4263" s="183"/>
    </row>
    <row r="4264" spans="2:2" ht="15.5" x14ac:dyDescent="0.35">
      <c r="B4264" s="183"/>
    </row>
    <row r="4265" spans="2:2" ht="15.5" x14ac:dyDescent="0.35">
      <c r="B4265" s="183"/>
    </row>
    <row r="4266" spans="2:2" ht="15.5" x14ac:dyDescent="0.35">
      <c r="B4266" s="183"/>
    </row>
    <row r="4267" spans="2:2" ht="15.5" x14ac:dyDescent="0.35">
      <c r="B4267" s="183"/>
    </row>
    <row r="4268" spans="2:2" ht="15.5" x14ac:dyDescent="0.35">
      <c r="B4268" s="183"/>
    </row>
    <row r="4269" spans="2:2" ht="15.5" x14ac:dyDescent="0.35">
      <c r="B4269" s="183"/>
    </row>
    <row r="4270" spans="2:2" ht="15.5" x14ac:dyDescent="0.35">
      <c r="B4270" s="183"/>
    </row>
    <row r="4271" spans="2:2" ht="15.5" x14ac:dyDescent="0.35">
      <c r="B4271" s="183"/>
    </row>
    <row r="4272" spans="2:2" ht="15.5" x14ac:dyDescent="0.35">
      <c r="B4272" s="183"/>
    </row>
    <row r="4273" spans="2:2" ht="15.5" x14ac:dyDescent="0.35">
      <c r="B4273" s="183"/>
    </row>
    <row r="4274" spans="2:2" ht="15.5" x14ac:dyDescent="0.35">
      <c r="B4274" s="183"/>
    </row>
    <row r="4275" spans="2:2" ht="15.5" x14ac:dyDescent="0.35">
      <c r="B4275" s="183"/>
    </row>
    <row r="4276" spans="2:2" ht="15.5" x14ac:dyDescent="0.35">
      <c r="B4276" s="183"/>
    </row>
    <row r="4277" spans="2:2" ht="15.5" x14ac:dyDescent="0.35">
      <c r="B4277" s="183"/>
    </row>
    <row r="4278" spans="2:2" ht="15.5" x14ac:dyDescent="0.35">
      <c r="B4278" s="183"/>
    </row>
    <row r="4279" spans="2:2" ht="15.5" x14ac:dyDescent="0.35">
      <c r="B4279" s="183"/>
    </row>
    <row r="4280" spans="2:2" ht="15.5" x14ac:dyDescent="0.35">
      <c r="B4280" s="183"/>
    </row>
    <row r="4281" spans="2:2" ht="15.5" x14ac:dyDescent="0.35">
      <c r="B4281" s="183"/>
    </row>
    <row r="4282" spans="2:2" ht="15.5" x14ac:dyDescent="0.35">
      <c r="B4282" s="183"/>
    </row>
    <row r="4283" spans="2:2" ht="15.5" x14ac:dyDescent="0.35">
      <c r="B4283" s="183"/>
    </row>
    <row r="4284" spans="2:2" ht="15.5" x14ac:dyDescent="0.35">
      <c r="B4284" s="183"/>
    </row>
    <row r="4285" spans="2:2" ht="15.5" x14ac:dyDescent="0.35">
      <c r="B4285" s="183"/>
    </row>
    <row r="4286" spans="2:2" ht="15.5" x14ac:dyDescent="0.35">
      <c r="B4286" s="183"/>
    </row>
    <row r="4287" spans="2:2" ht="15.5" x14ac:dyDescent="0.35">
      <c r="B4287" s="183"/>
    </row>
    <row r="4288" spans="2:2" ht="15.5" x14ac:dyDescent="0.35">
      <c r="B4288" s="183"/>
    </row>
    <row r="4289" spans="2:2" ht="15.5" x14ac:dyDescent="0.35">
      <c r="B4289" s="183"/>
    </row>
    <row r="4290" spans="2:2" ht="15.5" x14ac:dyDescent="0.35">
      <c r="B4290" s="183"/>
    </row>
    <row r="4291" spans="2:2" ht="15.5" x14ac:dyDescent="0.35">
      <c r="B4291" s="183"/>
    </row>
    <row r="4292" spans="2:2" ht="15.5" x14ac:dyDescent="0.35">
      <c r="B4292" s="183"/>
    </row>
    <row r="4293" spans="2:2" ht="15.5" x14ac:dyDescent="0.35">
      <c r="B4293" s="183"/>
    </row>
    <row r="4294" spans="2:2" ht="15.5" x14ac:dyDescent="0.35">
      <c r="B4294" s="183"/>
    </row>
    <row r="4295" spans="2:2" ht="15.5" x14ac:dyDescent="0.35">
      <c r="B4295" s="183"/>
    </row>
    <row r="4296" spans="2:2" ht="15.5" x14ac:dyDescent="0.35">
      <c r="B4296" s="183"/>
    </row>
    <row r="4297" spans="2:2" ht="15.5" x14ac:dyDescent="0.35">
      <c r="B4297" s="183"/>
    </row>
    <row r="4298" spans="2:2" ht="15.5" x14ac:dyDescent="0.35">
      <c r="B4298" s="183"/>
    </row>
    <row r="4299" spans="2:2" ht="15.5" x14ac:dyDescent="0.35">
      <c r="B4299" s="183"/>
    </row>
    <row r="4300" spans="2:2" ht="15.5" x14ac:dyDescent="0.35">
      <c r="B4300" s="183"/>
    </row>
    <row r="4301" spans="2:2" ht="15.5" x14ac:dyDescent="0.35">
      <c r="B4301" s="183"/>
    </row>
    <row r="4302" spans="2:2" ht="15.5" x14ac:dyDescent="0.35">
      <c r="B4302" s="183"/>
    </row>
    <row r="4303" spans="2:2" ht="15.5" x14ac:dyDescent="0.35">
      <c r="B4303" s="183"/>
    </row>
    <row r="4304" spans="2:2" ht="15.5" x14ac:dyDescent="0.35">
      <c r="B4304" s="183"/>
    </row>
    <row r="4305" spans="2:2" ht="15.5" x14ac:dyDescent="0.35">
      <c r="B4305" s="183"/>
    </row>
    <row r="4306" spans="2:2" ht="15.5" x14ac:dyDescent="0.35">
      <c r="B4306" s="183"/>
    </row>
    <row r="4307" spans="2:2" ht="15.5" x14ac:dyDescent="0.35">
      <c r="B4307" s="183"/>
    </row>
    <row r="4308" spans="2:2" ht="15.5" x14ac:dyDescent="0.35">
      <c r="B4308" s="183"/>
    </row>
    <row r="4309" spans="2:2" ht="15.5" x14ac:dyDescent="0.35">
      <c r="B4309" s="183"/>
    </row>
    <row r="4310" spans="2:2" ht="15.5" x14ac:dyDescent="0.35">
      <c r="B4310" s="183"/>
    </row>
    <row r="4311" spans="2:2" ht="15.5" x14ac:dyDescent="0.35">
      <c r="B4311" s="183"/>
    </row>
    <row r="4312" spans="2:2" ht="15.5" x14ac:dyDescent="0.35">
      <c r="B4312" s="183"/>
    </row>
    <row r="4313" spans="2:2" ht="15.5" x14ac:dyDescent="0.35">
      <c r="B4313" s="183"/>
    </row>
    <row r="4314" spans="2:2" ht="15.5" x14ac:dyDescent="0.35">
      <c r="B4314" s="183"/>
    </row>
    <row r="4315" spans="2:2" ht="15.5" x14ac:dyDescent="0.35">
      <c r="B4315" s="183"/>
    </row>
    <row r="4316" spans="2:2" ht="15.5" x14ac:dyDescent="0.35">
      <c r="B4316" s="183"/>
    </row>
    <row r="4317" spans="2:2" ht="15.5" x14ac:dyDescent="0.35">
      <c r="B4317" s="183"/>
    </row>
    <row r="4318" spans="2:2" ht="15.5" x14ac:dyDescent="0.35">
      <c r="B4318" s="183"/>
    </row>
    <row r="4319" spans="2:2" ht="15.5" x14ac:dyDescent="0.35">
      <c r="B4319" s="183"/>
    </row>
    <row r="4320" spans="2:2" ht="15.5" x14ac:dyDescent="0.35">
      <c r="B4320" s="183"/>
    </row>
    <row r="4321" spans="2:2" ht="15.5" x14ac:dyDescent="0.35">
      <c r="B4321" s="183"/>
    </row>
    <row r="4322" spans="2:2" ht="15.5" x14ac:dyDescent="0.35">
      <c r="B4322" s="183"/>
    </row>
    <row r="4323" spans="2:2" ht="15.5" x14ac:dyDescent="0.35">
      <c r="B4323" s="183"/>
    </row>
    <row r="4324" spans="2:2" ht="15.5" x14ac:dyDescent="0.35">
      <c r="B4324" s="183"/>
    </row>
    <row r="4325" spans="2:2" ht="15.5" x14ac:dyDescent="0.35">
      <c r="B4325" s="183"/>
    </row>
    <row r="4326" spans="2:2" ht="15.5" x14ac:dyDescent="0.35">
      <c r="B4326" s="183"/>
    </row>
    <row r="4327" spans="2:2" ht="15.5" x14ac:dyDescent="0.35">
      <c r="B4327" s="183"/>
    </row>
    <row r="4328" spans="2:2" ht="15.5" x14ac:dyDescent="0.35">
      <c r="B4328" s="183"/>
    </row>
    <row r="4329" spans="2:2" ht="15.5" x14ac:dyDescent="0.35">
      <c r="B4329" s="183"/>
    </row>
    <row r="4330" spans="2:2" ht="15.5" x14ac:dyDescent="0.35">
      <c r="B4330" s="183"/>
    </row>
    <row r="4331" spans="2:2" ht="15.5" x14ac:dyDescent="0.35">
      <c r="B4331" s="183"/>
    </row>
    <row r="4332" spans="2:2" ht="15.5" x14ac:dyDescent="0.35">
      <c r="B4332" s="183"/>
    </row>
    <row r="4333" spans="2:2" ht="15.5" x14ac:dyDescent="0.35">
      <c r="B4333" s="183"/>
    </row>
    <row r="4334" spans="2:2" ht="15.5" x14ac:dyDescent="0.35">
      <c r="B4334" s="183"/>
    </row>
    <row r="4335" spans="2:2" ht="15.5" x14ac:dyDescent="0.35">
      <c r="B4335" s="183"/>
    </row>
    <row r="4336" spans="2:2" ht="15.5" x14ac:dyDescent="0.35">
      <c r="B4336" s="183"/>
    </row>
    <row r="4337" spans="2:2" ht="15.5" x14ac:dyDescent="0.35">
      <c r="B4337" s="183"/>
    </row>
    <row r="4338" spans="2:2" ht="15.5" x14ac:dyDescent="0.35">
      <c r="B4338" s="183"/>
    </row>
    <row r="4339" spans="2:2" ht="15.5" x14ac:dyDescent="0.35">
      <c r="B4339" s="183"/>
    </row>
    <row r="4340" spans="2:2" ht="15.5" x14ac:dyDescent="0.35">
      <c r="B4340" s="183"/>
    </row>
    <row r="4341" spans="2:2" ht="15.5" x14ac:dyDescent="0.35">
      <c r="B4341" s="183"/>
    </row>
    <row r="4342" spans="2:2" ht="15.5" x14ac:dyDescent="0.35">
      <c r="B4342" s="183"/>
    </row>
    <row r="4343" spans="2:2" ht="15.5" x14ac:dyDescent="0.35">
      <c r="B4343" s="183"/>
    </row>
    <row r="4344" spans="2:2" ht="15.5" x14ac:dyDescent="0.35">
      <c r="B4344" s="183"/>
    </row>
    <row r="4345" spans="2:2" ht="15.5" x14ac:dyDescent="0.35">
      <c r="B4345" s="183"/>
    </row>
    <row r="4346" spans="2:2" ht="15.5" x14ac:dyDescent="0.35">
      <c r="B4346" s="183"/>
    </row>
    <row r="4347" spans="2:2" ht="15.5" x14ac:dyDescent="0.35">
      <c r="B4347" s="183"/>
    </row>
    <row r="4348" spans="2:2" ht="15.5" x14ac:dyDescent="0.35">
      <c r="B4348" s="183"/>
    </row>
    <row r="4349" spans="2:2" ht="15.5" x14ac:dyDescent="0.35">
      <c r="B4349" s="183"/>
    </row>
    <row r="4350" spans="2:2" ht="15.5" x14ac:dyDescent="0.35">
      <c r="B4350" s="183"/>
    </row>
    <row r="4351" spans="2:2" ht="15.5" x14ac:dyDescent="0.35">
      <c r="B4351" s="183"/>
    </row>
    <row r="4352" spans="2:2" ht="15.5" x14ac:dyDescent="0.35">
      <c r="B4352" s="183"/>
    </row>
    <row r="4353" spans="2:2" ht="15.5" x14ac:dyDescent="0.35">
      <c r="B4353" s="183"/>
    </row>
    <row r="4354" spans="2:2" ht="15.5" x14ac:dyDescent="0.35">
      <c r="B4354" s="183"/>
    </row>
    <row r="4355" spans="2:2" ht="15.5" x14ac:dyDescent="0.35">
      <c r="B4355" s="183"/>
    </row>
    <row r="4356" spans="2:2" ht="15.5" x14ac:dyDescent="0.35">
      <c r="B4356" s="183"/>
    </row>
    <row r="4357" spans="2:2" ht="15.5" x14ac:dyDescent="0.35">
      <c r="B4357" s="183"/>
    </row>
    <row r="4358" spans="2:2" ht="15.5" x14ac:dyDescent="0.35">
      <c r="B4358" s="183"/>
    </row>
    <row r="4359" spans="2:2" ht="15.5" x14ac:dyDescent="0.35">
      <c r="B4359" s="183"/>
    </row>
    <row r="4360" spans="2:2" ht="15.5" x14ac:dyDescent="0.35">
      <c r="B4360" s="183"/>
    </row>
    <row r="4361" spans="2:2" ht="15.5" x14ac:dyDescent="0.35">
      <c r="B4361" s="183"/>
    </row>
    <row r="4362" spans="2:2" ht="15.5" x14ac:dyDescent="0.35">
      <c r="B4362" s="183"/>
    </row>
    <row r="4363" spans="2:2" ht="15.5" x14ac:dyDescent="0.35">
      <c r="B4363" s="183"/>
    </row>
    <row r="4364" spans="2:2" ht="15.5" x14ac:dyDescent="0.35">
      <c r="B4364" s="183"/>
    </row>
    <row r="4365" spans="2:2" ht="15.5" x14ac:dyDescent="0.35">
      <c r="B4365" s="183"/>
    </row>
    <row r="4366" spans="2:2" ht="15.5" x14ac:dyDescent="0.35">
      <c r="B4366" s="183"/>
    </row>
    <row r="4367" spans="2:2" ht="15.5" x14ac:dyDescent="0.35">
      <c r="B4367" s="183"/>
    </row>
    <row r="4368" spans="2:2" ht="15.5" x14ac:dyDescent="0.35">
      <c r="B4368" s="183"/>
    </row>
    <row r="4369" spans="2:2" ht="15.5" x14ac:dyDescent="0.35">
      <c r="B4369" s="183"/>
    </row>
    <row r="4370" spans="2:2" ht="15.5" x14ac:dyDescent="0.35">
      <c r="B4370" s="183"/>
    </row>
    <row r="4371" spans="2:2" ht="15.5" x14ac:dyDescent="0.35">
      <c r="B4371" s="183"/>
    </row>
    <row r="4372" spans="2:2" ht="15.5" x14ac:dyDescent="0.35">
      <c r="B4372" s="183"/>
    </row>
    <row r="4373" spans="2:2" ht="15.5" x14ac:dyDescent="0.35">
      <c r="B4373" s="183"/>
    </row>
    <row r="4374" spans="2:2" ht="15.5" x14ac:dyDescent="0.35">
      <c r="B4374" s="183"/>
    </row>
    <row r="4375" spans="2:2" ht="15.5" x14ac:dyDescent="0.35">
      <c r="B4375" s="183"/>
    </row>
    <row r="4376" spans="2:2" ht="15.5" x14ac:dyDescent="0.35">
      <c r="B4376" s="183"/>
    </row>
    <row r="4377" spans="2:2" ht="15.5" x14ac:dyDescent="0.35">
      <c r="B4377" s="183"/>
    </row>
    <row r="4378" spans="2:2" ht="15.5" x14ac:dyDescent="0.35">
      <c r="B4378" s="183"/>
    </row>
    <row r="4379" spans="2:2" ht="15.5" x14ac:dyDescent="0.35">
      <c r="B4379" s="183"/>
    </row>
    <row r="4380" spans="2:2" ht="15.5" x14ac:dyDescent="0.35">
      <c r="B4380" s="183"/>
    </row>
    <row r="4381" spans="2:2" ht="15.5" x14ac:dyDescent="0.35">
      <c r="B4381" s="183"/>
    </row>
    <row r="4382" spans="2:2" ht="15.5" x14ac:dyDescent="0.35">
      <c r="B4382" s="183"/>
    </row>
    <row r="4383" spans="2:2" ht="15.5" x14ac:dyDescent="0.35">
      <c r="B4383" s="183"/>
    </row>
    <row r="4384" spans="2:2" ht="15.5" x14ac:dyDescent="0.35">
      <c r="B4384" s="183"/>
    </row>
    <row r="4385" spans="2:2" ht="15.5" x14ac:dyDescent="0.35">
      <c r="B4385" s="183"/>
    </row>
    <row r="4386" spans="2:2" ht="15.5" x14ac:dyDescent="0.35">
      <c r="B4386" s="183"/>
    </row>
    <row r="4387" spans="2:2" ht="15.5" x14ac:dyDescent="0.35">
      <c r="B4387" s="183"/>
    </row>
    <row r="4388" spans="2:2" ht="15.5" x14ac:dyDescent="0.35">
      <c r="B4388" s="183"/>
    </row>
    <row r="4389" spans="2:2" ht="15.5" x14ac:dyDescent="0.35">
      <c r="B4389" s="183"/>
    </row>
    <row r="4390" spans="2:2" ht="15.5" x14ac:dyDescent="0.35">
      <c r="B4390" s="183"/>
    </row>
    <row r="4391" spans="2:2" ht="15.5" x14ac:dyDescent="0.35">
      <c r="B4391" s="183"/>
    </row>
    <row r="4392" spans="2:2" ht="15.5" x14ac:dyDescent="0.35">
      <c r="B4392" s="183"/>
    </row>
    <row r="4393" spans="2:2" ht="15.5" x14ac:dyDescent="0.35">
      <c r="B4393" s="183"/>
    </row>
    <row r="4394" spans="2:2" ht="15.5" x14ac:dyDescent="0.35">
      <c r="B4394" s="183"/>
    </row>
    <row r="4395" spans="2:2" ht="15.5" x14ac:dyDescent="0.35">
      <c r="B4395" s="183"/>
    </row>
    <row r="4396" spans="2:2" ht="15.5" x14ac:dyDescent="0.35">
      <c r="B4396" s="183"/>
    </row>
    <row r="4397" spans="2:2" ht="15.5" x14ac:dyDescent="0.35">
      <c r="B4397" s="183"/>
    </row>
    <row r="4398" spans="2:2" ht="15.5" x14ac:dyDescent="0.35">
      <c r="B4398" s="183"/>
    </row>
    <row r="4399" spans="2:2" ht="15.5" x14ac:dyDescent="0.35">
      <c r="B4399" s="183"/>
    </row>
    <row r="4400" spans="2:2" ht="15.5" x14ac:dyDescent="0.35">
      <c r="B4400" s="183"/>
    </row>
    <row r="4401" spans="2:2" ht="15.5" x14ac:dyDescent="0.35">
      <c r="B4401" s="183"/>
    </row>
    <row r="4402" spans="2:2" ht="15.5" x14ac:dyDescent="0.35">
      <c r="B4402" s="183"/>
    </row>
    <row r="4403" spans="2:2" ht="15.5" x14ac:dyDescent="0.35">
      <c r="B4403" s="183"/>
    </row>
    <row r="4404" spans="2:2" ht="15.5" x14ac:dyDescent="0.35">
      <c r="B4404" s="183"/>
    </row>
    <row r="4405" spans="2:2" ht="15.5" x14ac:dyDescent="0.35">
      <c r="B4405" s="183"/>
    </row>
    <row r="4406" spans="2:2" ht="15.5" x14ac:dyDescent="0.35">
      <c r="B4406" s="183"/>
    </row>
    <row r="4407" spans="2:2" ht="15.5" x14ac:dyDescent="0.35">
      <c r="B4407" s="183"/>
    </row>
    <row r="4408" spans="2:2" ht="15.5" x14ac:dyDescent="0.35">
      <c r="B4408" s="183"/>
    </row>
    <row r="4409" spans="2:2" ht="15.5" x14ac:dyDescent="0.35">
      <c r="B4409" s="183"/>
    </row>
    <row r="4410" spans="2:2" ht="15.5" x14ac:dyDescent="0.35">
      <c r="B4410" s="183"/>
    </row>
    <row r="4411" spans="2:2" ht="15.5" x14ac:dyDescent="0.35">
      <c r="B4411" s="183"/>
    </row>
    <row r="4412" spans="2:2" ht="15.5" x14ac:dyDescent="0.35">
      <c r="B4412" s="183"/>
    </row>
    <row r="4413" spans="2:2" ht="15.5" x14ac:dyDescent="0.35">
      <c r="B4413" s="183"/>
    </row>
    <row r="4414" spans="2:2" ht="15.5" x14ac:dyDescent="0.35">
      <c r="B4414" s="183"/>
    </row>
    <row r="4415" spans="2:2" ht="15.5" x14ac:dyDescent="0.35">
      <c r="B4415" s="183"/>
    </row>
    <row r="4416" spans="2:2" ht="15.5" x14ac:dyDescent="0.35">
      <c r="B4416" s="183"/>
    </row>
    <row r="4417" spans="2:2" ht="15.5" x14ac:dyDescent="0.35">
      <c r="B4417" s="183"/>
    </row>
    <row r="4418" spans="2:2" ht="15.5" x14ac:dyDescent="0.35">
      <c r="B4418" s="183"/>
    </row>
    <row r="4419" spans="2:2" ht="15.5" x14ac:dyDescent="0.35">
      <c r="B4419" s="183"/>
    </row>
    <row r="4420" spans="2:2" ht="15.5" x14ac:dyDescent="0.35">
      <c r="B4420" s="183"/>
    </row>
    <row r="4421" spans="2:2" ht="15.5" x14ac:dyDescent="0.35">
      <c r="B4421" s="183"/>
    </row>
    <row r="4422" spans="2:2" ht="15.5" x14ac:dyDescent="0.35">
      <c r="B4422" s="183"/>
    </row>
    <row r="4423" spans="2:2" ht="15.5" x14ac:dyDescent="0.35">
      <c r="B4423" s="183"/>
    </row>
    <row r="4424" spans="2:2" ht="15.5" x14ac:dyDescent="0.35">
      <c r="B4424" s="183"/>
    </row>
    <row r="4425" spans="2:2" ht="15.5" x14ac:dyDescent="0.35">
      <c r="B4425" s="183"/>
    </row>
    <row r="4426" spans="2:2" ht="15.5" x14ac:dyDescent="0.35">
      <c r="B4426" s="183"/>
    </row>
    <row r="4427" spans="2:2" ht="15.5" x14ac:dyDescent="0.35">
      <c r="B4427" s="183"/>
    </row>
    <row r="4428" spans="2:2" ht="15.5" x14ac:dyDescent="0.35">
      <c r="B4428" s="183"/>
    </row>
    <row r="4429" spans="2:2" ht="15.5" x14ac:dyDescent="0.35">
      <c r="B4429" s="183"/>
    </row>
    <row r="4430" spans="2:2" ht="15.5" x14ac:dyDescent="0.35">
      <c r="B4430" s="183"/>
    </row>
    <row r="4431" spans="2:2" ht="15.5" x14ac:dyDescent="0.35">
      <c r="B4431" s="183"/>
    </row>
    <row r="4432" spans="2:2" ht="15.5" x14ac:dyDescent="0.35">
      <c r="B4432" s="183"/>
    </row>
    <row r="4433" spans="2:2" ht="15.5" x14ac:dyDescent="0.35">
      <c r="B4433" s="183"/>
    </row>
    <row r="4434" spans="2:2" ht="15.5" x14ac:dyDescent="0.35">
      <c r="B4434" s="183"/>
    </row>
    <row r="4435" spans="2:2" ht="15.5" x14ac:dyDescent="0.35">
      <c r="B4435" s="183"/>
    </row>
    <row r="4436" spans="2:2" ht="15.5" x14ac:dyDescent="0.35">
      <c r="B4436" s="183"/>
    </row>
    <row r="4437" spans="2:2" ht="15.5" x14ac:dyDescent="0.35">
      <c r="B4437" s="183"/>
    </row>
    <row r="4438" spans="2:2" ht="15.5" x14ac:dyDescent="0.35">
      <c r="B4438" s="183"/>
    </row>
    <row r="4439" spans="2:2" ht="15.5" x14ac:dyDescent="0.35">
      <c r="B4439" s="183"/>
    </row>
    <row r="4440" spans="2:2" ht="15.5" x14ac:dyDescent="0.35">
      <c r="B4440" s="183"/>
    </row>
    <row r="4441" spans="2:2" ht="15.5" x14ac:dyDescent="0.35">
      <c r="B4441" s="183"/>
    </row>
    <row r="4442" spans="2:2" ht="15.5" x14ac:dyDescent="0.35">
      <c r="B4442" s="183"/>
    </row>
    <row r="4443" spans="2:2" ht="15.5" x14ac:dyDescent="0.35">
      <c r="B4443" s="183"/>
    </row>
    <row r="4444" spans="2:2" ht="15.5" x14ac:dyDescent="0.35">
      <c r="B4444" s="183"/>
    </row>
    <row r="4445" spans="2:2" ht="15.5" x14ac:dyDescent="0.35">
      <c r="B4445" s="183"/>
    </row>
    <row r="4446" spans="2:2" ht="15.5" x14ac:dyDescent="0.35">
      <c r="B4446" s="183"/>
    </row>
    <row r="4447" spans="2:2" ht="15.5" x14ac:dyDescent="0.35">
      <c r="B4447" s="183"/>
    </row>
    <row r="4448" spans="2:2" ht="15.5" x14ac:dyDescent="0.35">
      <c r="B4448" s="183"/>
    </row>
    <row r="4449" spans="2:2" ht="15.5" x14ac:dyDescent="0.35">
      <c r="B4449" s="183"/>
    </row>
    <row r="4450" spans="2:2" ht="15.5" x14ac:dyDescent="0.35">
      <c r="B4450" s="183"/>
    </row>
    <row r="4451" spans="2:2" ht="15.5" x14ac:dyDescent="0.35">
      <c r="B4451" s="183"/>
    </row>
    <row r="4452" spans="2:2" ht="15.5" x14ac:dyDescent="0.35">
      <c r="B4452" s="183"/>
    </row>
    <row r="4453" spans="2:2" ht="15.5" x14ac:dyDescent="0.35">
      <c r="B4453" s="183"/>
    </row>
    <row r="4454" spans="2:2" ht="15.5" x14ac:dyDescent="0.35">
      <c r="B4454" s="183"/>
    </row>
    <row r="4455" spans="2:2" ht="15.5" x14ac:dyDescent="0.35">
      <c r="B4455" s="183"/>
    </row>
    <row r="4456" spans="2:2" ht="15.5" x14ac:dyDescent="0.35">
      <c r="B4456" s="183"/>
    </row>
    <row r="4457" spans="2:2" ht="15.5" x14ac:dyDescent="0.35">
      <c r="B4457" s="183"/>
    </row>
    <row r="4458" spans="2:2" ht="15.5" x14ac:dyDescent="0.35">
      <c r="B4458" s="183"/>
    </row>
    <row r="4459" spans="2:2" ht="15.5" x14ac:dyDescent="0.35">
      <c r="B4459" s="183"/>
    </row>
    <row r="4460" spans="2:2" ht="15.5" x14ac:dyDescent="0.35">
      <c r="B4460" s="183"/>
    </row>
    <row r="4461" spans="2:2" ht="15.5" x14ac:dyDescent="0.35">
      <c r="B4461" s="183"/>
    </row>
    <row r="4462" spans="2:2" ht="15.5" x14ac:dyDescent="0.35">
      <c r="B4462" s="183"/>
    </row>
    <row r="4463" spans="2:2" ht="15.5" x14ac:dyDescent="0.35">
      <c r="B4463" s="183"/>
    </row>
    <row r="4464" spans="2:2" ht="15.5" x14ac:dyDescent="0.35">
      <c r="B4464" s="183"/>
    </row>
    <row r="4465" spans="2:2" ht="15.5" x14ac:dyDescent="0.35">
      <c r="B4465" s="183"/>
    </row>
    <row r="4466" spans="2:2" ht="15.5" x14ac:dyDescent="0.35">
      <c r="B4466" s="183"/>
    </row>
    <row r="4467" spans="2:2" ht="15.5" x14ac:dyDescent="0.35">
      <c r="B4467" s="183"/>
    </row>
    <row r="4468" spans="2:2" ht="15.5" x14ac:dyDescent="0.35">
      <c r="B4468" s="183"/>
    </row>
    <row r="4469" spans="2:2" ht="15.5" x14ac:dyDescent="0.35">
      <c r="B4469" s="183"/>
    </row>
    <row r="4470" spans="2:2" ht="15.5" x14ac:dyDescent="0.35">
      <c r="B4470" s="183"/>
    </row>
    <row r="4471" spans="2:2" ht="15.5" x14ac:dyDescent="0.35">
      <c r="B4471" s="183"/>
    </row>
    <row r="4472" spans="2:2" ht="15.5" x14ac:dyDescent="0.35">
      <c r="B4472" s="183"/>
    </row>
    <row r="4473" spans="2:2" ht="15.5" x14ac:dyDescent="0.35">
      <c r="B4473" s="183"/>
    </row>
    <row r="4474" spans="2:2" ht="15.5" x14ac:dyDescent="0.35">
      <c r="B4474" s="183"/>
    </row>
    <row r="4475" spans="2:2" ht="15.5" x14ac:dyDescent="0.35">
      <c r="B4475" s="183"/>
    </row>
    <row r="4476" spans="2:2" ht="15.5" x14ac:dyDescent="0.35">
      <c r="B4476" s="183"/>
    </row>
    <row r="4477" spans="2:2" ht="15.5" x14ac:dyDescent="0.35">
      <c r="B4477" s="183"/>
    </row>
    <row r="4478" spans="2:2" ht="15.5" x14ac:dyDescent="0.35">
      <c r="B4478" s="183"/>
    </row>
    <row r="4479" spans="2:2" ht="15.5" x14ac:dyDescent="0.35">
      <c r="B4479" s="183"/>
    </row>
    <row r="4480" spans="2:2" ht="15.5" x14ac:dyDescent="0.35">
      <c r="B4480" s="183"/>
    </row>
    <row r="4481" spans="2:2" ht="15.5" x14ac:dyDescent="0.35">
      <c r="B4481" s="183"/>
    </row>
    <row r="4482" spans="2:2" ht="15.5" x14ac:dyDescent="0.35">
      <c r="B4482" s="183"/>
    </row>
    <row r="4483" spans="2:2" ht="15.5" x14ac:dyDescent="0.35">
      <c r="B4483" s="183"/>
    </row>
    <row r="4484" spans="2:2" ht="15.5" x14ac:dyDescent="0.35">
      <c r="B4484" s="183"/>
    </row>
    <row r="4485" spans="2:2" ht="15.5" x14ac:dyDescent="0.35">
      <c r="B4485" s="183"/>
    </row>
    <row r="4486" spans="2:2" ht="15.5" x14ac:dyDescent="0.35">
      <c r="B4486" s="183"/>
    </row>
    <row r="4487" spans="2:2" ht="15.5" x14ac:dyDescent="0.35">
      <c r="B4487" s="183"/>
    </row>
    <row r="4488" spans="2:2" ht="15.5" x14ac:dyDescent="0.35">
      <c r="B4488" s="183"/>
    </row>
    <row r="4489" spans="2:2" ht="15.5" x14ac:dyDescent="0.35">
      <c r="B4489" s="183"/>
    </row>
    <row r="4490" spans="2:2" ht="15.5" x14ac:dyDescent="0.35">
      <c r="B4490" s="183"/>
    </row>
    <row r="4491" spans="2:2" ht="15.5" x14ac:dyDescent="0.35">
      <c r="B4491" s="183"/>
    </row>
    <row r="4492" spans="2:2" ht="15.5" x14ac:dyDescent="0.35">
      <c r="B4492" s="183"/>
    </row>
    <row r="4493" spans="2:2" ht="15.5" x14ac:dyDescent="0.35">
      <c r="B4493" s="183"/>
    </row>
    <row r="4494" spans="2:2" ht="15.5" x14ac:dyDescent="0.35">
      <c r="B4494" s="183"/>
    </row>
    <row r="4495" spans="2:2" ht="15.5" x14ac:dyDescent="0.35">
      <c r="B4495" s="183"/>
    </row>
    <row r="4496" spans="2:2" ht="15.5" x14ac:dyDescent="0.35">
      <c r="B4496" s="183"/>
    </row>
    <row r="4497" spans="2:2" ht="15.5" x14ac:dyDescent="0.35">
      <c r="B4497" s="183"/>
    </row>
    <row r="4498" spans="2:2" ht="15.5" x14ac:dyDescent="0.35">
      <c r="B4498" s="183"/>
    </row>
    <row r="4499" spans="2:2" ht="15.5" x14ac:dyDescent="0.35">
      <c r="B4499" s="183"/>
    </row>
    <row r="4500" spans="2:2" ht="15.5" x14ac:dyDescent="0.35">
      <c r="B4500" s="183"/>
    </row>
    <row r="4501" spans="2:2" ht="15.5" x14ac:dyDescent="0.35">
      <c r="B4501" s="183"/>
    </row>
    <row r="4502" spans="2:2" ht="15.5" x14ac:dyDescent="0.35">
      <c r="B4502" s="183"/>
    </row>
    <row r="4503" spans="2:2" ht="15.5" x14ac:dyDescent="0.35">
      <c r="B4503" s="183"/>
    </row>
    <row r="4504" spans="2:2" ht="15.5" x14ac:dyDescent="0.35">
      <c r="B4504" s="183"/>
    </row>
    <row r="4505" spans="2:2" ht="15.5" x14ac:dyDescent="0.35">
      <c r="B4505" s="183"/>
    </row>
    <row r="4506" spans="2:2" ht="15.5" x14ac:dyDescent="0.35">
      <c r="B4506" s="183"/>
    </row>
    <row r="4507" spans="2:2" ht="15.5" x14ac:dyDescent="0.35">
      <c r="B4507" s="183"/>
    </row>
    <row r="4508" spans="2:2" ht="15.5" x14ac:dyDescent="0.35">
      <c r="B4508" s="183"/>
    </row>
    <row r="4509" spans="2:2" ht="15.5" x14ac:dyDescent="0.35">
      <c r="B4509" s="183"/>
    </row>
    <row r="4510" spans="2:2" ht="15.5" x14ac:dyDescent="0.35">
      <c r="B4510" s="183"/>
    </row>
    <row r="4511" spans="2:2" ht="15.5" x14ac:dyDescent="0.35">
      <c r="B4511" s="183"/>
    </row>
    <row r="4512" spans="2:2" ht="15.5" x14ac:dyDescent="0.35">
      <c r="B4512" s="183"/>
    </row>
    <row r="4513" spans="2:2" ht="15.5" x14ac:dyDescent="0.35">
      <c r="B4513" s="183"/>
    </row>
    <row r="4514" spans="2:2" ht="15.5" x14ac:dyDescent="0.35">
      <c r="B4514" s="183"/>
    </row>
    <row r="4515" spans="2:2" ht="15.5" x14ac:dyDescent="0.35">
      <c r="B4515" s="183"/>
    </row>
    <row r="4516" spans="2:2" ht="15.5" x14ac:dyDescent="0.35">
      <c r="B4516" s="183"/>
    </row>
    <row r="4517" spans="2:2" ht="15.5" x14ac:dyDescent="0.35">
      <c r="B4517" s="183"/>
    </row>
    <row r="4518" spans="2:2" ht="15.5" x14ac:dyDescent="0.35">
      <c r="B4518" s="183"/>
    </row>
    <row r="4519" spans="2:2" ht="15.5" x14ac:dyDescent="0.35">
      <c r="B4519" s="183"/>
    </row>
    <row r="4520" spans="2:2" ht="15.5" x14ac:dyDescent="0.35">
      <c r="B4520" s="183"/>
    </row>
    <row r="4521" spans="2:2" ht="15.5" x14ac:dyDescent="0.35">
      <c r="B4521" s="183"/>
    </row>
    <row r="4522" spans="2:2" ht="15.5" x14ac:dyDescent="0.35">
      <c r="B4522" s="183"/>
    </row>
    <row r="4523" spans="2:2" ht="15.5" x14ac:dyDescent="0.35">
      <c r="B4523" s="183"/>
    </row>
    <row r="4524" spans="2:2" ht="15.5" x14ac:dyDescent="0.35">
      <c r="B4524" s="183"/>
    </row>
    <row r="4525" spans="2:2" ht="15.5" x14ac:dyDescent="0.35">
      <c r="B4525" s="183"/>
    </row>
    <row r="4526" spans="2:2" ht="15.5" x14ac:dyDescent="0.35">
      <c r="B4526" s="183"/>
    </row>
    <row r="4527" spans="2:2" ht="15.5" x14ac:dyDescent="0.35">
      <c r="B4527" s="183"/>
    </row>
    <row r="4528" spans="2:2" ht="15.5" x14ac:dyDescent="0.35">
      <c r="B4528" s="183"/>
    </row>
    <row r="4529" spans="2:2" ht="15.5" x14ac:dyDescent="0.35">
      <c r="B4529" s="183"/>
    </row>
    <row r="4530" spans="2:2" ht="15.5" x14ac:dyDescent="0.35">
      <c r="B4530" s="183"/>
    </row>
    <row r="4531" spans="2:2" ht="15.5" x14ac:dyDescent="0.35">
      <c r="B4531" s="183"/>
    </row>
    <row r="4532" spans="2:2" ht="15.5" x14ac:dyDescent="0.35">
      <c r="B4532" s="183"/>
    </row>
    <row r="4533" spans="2:2" ht="15.5" x14ac:dyDescent="0.35">
      <c r="B4533" s="183"/>
    </row>
    <row r="4534" spans="2:2" ht="15.5" x14ac:dyDescent="0.35">
      <c r="B4534" s="183"/>
    </row>
    <row r="4535" spans="2:2" ht="15.5" x14ac:dyDescent="0.35">
      <c r="B4535" s="183"/>
    </row>
    <row r="4536" spans="2:2" ht="15.5" x14ac:dyDescent="0.35">
      <c r="B4536" s="183"/>
    </row>
    <row r="4537" spans="2:2" ht="15.5" x14ac:dyDescent="0.35">
      <c r="B4537" s="183"/>
    </row>
    <row r="4538" spans="2:2" ht="15.5" x14ac:dyDescent="0.35">
      <c r="B4538" s="183"/>
    </row>
    <row r="4539" spans="2:2" ht="15.5" x14ac:dyDescent="0.35">
      <c r="B4539" s="183"/>
    </row>
    <row r="4540" spans="2:2" ht="15.5" x14ac:dyDescent="0.35">
      <c r="B4540" s="183"/>
    </row>
    <row r="4541" spans="2:2" ht="15.5" x14ac:dyDescent="0.35">
      <c r="B4541" s="183"/>
    </row>
    <row r="4542" spans="2:2" ht="15.5" x14ac:dyDescent="0.35">
      <c r="B4542" s="183"/>
    </row>
    <row r="4543" spans="2:2" ht="15.5" x14ac:dyDescent="0.35">
      <c r="B4543" s="183"/>
    </row>
    <row r="4544" spans="2:2" ht="15.5" x14ac:dyDescent="0.35">
      <c r="B4544" s="183"/>
    </row>
    <row r="4545" spans="2:2" ht="15.5" x14ac:dyDescent="0.35">
      <c r="B4545" s="183"/>
    </row>
    <row r="4546" spans="2:2" ht="15.5" x14ac:dyDescent="0.35">
      <c r="B4546" s="183"/>
    </row>
    <row r="4547" spans="2:2" ht="15.5" x14ac:dyDescent="0.35">
      <c r="B4547" s="183"/>
    </row>
    <row r="4548" spans="2:2" ht="15.5" x14ac:dyDescent="0.35">
      <c r="B4548" s="183"/>
    </row>
    <row r="4549" spans="2:2" ht="15.5" x14ac:dyDescent="0.35">
      <c r="B4549" s="183"/>
    </row>
    <row r="4550" spans="2:2" ht="15.5" x14ac:dyDescent="0.35">
      <c r="B4550" s="183"/>
    </row>
    <row r="4551" spans="2:2" ht="15.5" x14ac:dyDescent="0.35">
      <c r="B4551" s="183"/>
    </row>
    <row r="4552" spans="2:2" ht="15.5" x14ac:dyDescent="0.35">
      <c r="B4552" s="183"/>
    </row>
    <row r="4553" spans="2:2" ht="15.5" x14ac:dyDescent="0.35">
      <c r="B4553" s="183"/>
    </row>
    <row r="4554" spans="2:2" ht="15.5" x14ac:dyDescent="0.35">
      <c r="B4554" s="183"/>
    </row>
    <row r="4555" spans="2:2" ht="15.5" x14ac:dyDescent="0.35">
      <c r="B4555" s="183"/>
    </row>
    <row r="4556" spans="2:2" ht="15.5" x14ac:dyDescent="0.35">
      <c r="B4556" s="183"/>
    </row>
    <row r="4557" spans="2:2" ht="15.5" x14ac:dyDescent="0.35">
      <c r="B4557" s="183"/>
    </row>
    <row r="4558" spans="2:2" ht="15.5" x14ac:dyDescent="0.35">
      <c r="B4558" s="183"/>
    </row>
    <row r="4559" spans="2:2" ht="15.5" x14ac:dyDescent="0.35">
      <c r="B4559" s="183"/>
    </row>
    <row r="4560" spans="2:2" ht="15.5" x14ac:dyDescent="0.35">
      <c r="B4560" s="183"/>
    </row>
    <row r="4561" spans="2:2" ht="15.5" x14ac:dyDescent="0.35">
      <c r="B4561" s="183"/>
    </row>
    <row r="4562" spans="2:2" ht="15.5" x14ac:dyDescent="0.35">
      <c r="B4562" s="183"/>
    </row>
    <row r="4563" spans="2:2" ht="15.5" x14ac:dyDescent="0.35">
      <c r="B4563" s="183"/>
    </row>
    <row r="4564" spans="2:2" ht="15.5" x14ac:dyDescent="0.35">
      <c r="B4564" s="183"/>
    </row>
    <row r="4565" spans="2:2" ht="15.5" x14ac:dyDescent="0.35">
      <c r="B4565" s="183"/>
    </row>
    <row r="4566" spans="2:2" ht="15.5" x14ac:dyDescent="0.35">
      <c r="B4566" s="183"/>
    </row>
    <row r="4567" spans="2:2" ht="15.5" x14ac:dyDescent="0.35">
      <c r="B4567" s="183"/>
    </row>
    <row r="4568" spans="2:2" ht="15.5" x14ac:dyDescent="0.35">
      <c r="B4568" s="183"/>
    </row>
    <row r="4569" spans="2:2" ht="15.5" x14ac:dyDescent="0.35">
      <c r="B4569" s="183"/>
    </row>
    <row r="4570" spans="2:2" ht="15.5" x14ac:dyDescent="0.35">
      <c r="B4570" s="183"/>
    </row>
    <row r="4571" spans="2:2" ht="15.5" x14ac:dyDescent="0.35">
      <c r="B4571" s="183"/>
    </row>
    <row r="4572" spans="2:2" ht="15.5" x14ac:dyDescent="0.35">
      <c r="B4572" s="183"/>
    </row>
    <row r="4573" spans="2:2" ht="15.5" x14ac:dyDescent="0.35">
      <c r="B4573" s="183"/>
    </row>
    <row r="4574" spans="2:2" ht="15.5" x14ac:dyDescent="0.35">
      <c r="B4574" s="183"/>
    </row>
    <row r="4575" spans="2:2" ht="15.5" x14ac:dyDescent="0.35">
      <c r="B4575" s="183"/>
    </row>
    <row r="4576" spans="2:2" ht="15.5" x14ac:dyDescent="0.35">
      <c r="B4576" s="183"/>
    </row>
    <row r="4577" spans="2:2" ht="15.5" x14ac:dyDescent="0.35">
      <c r="B4577" s="183"/>
    </row>
    <row r="4578" spans="2:2" ht="15.5" x14ac:dyDescent="0.35">
      <c r="B4578" s="183"/>
    </row>
    <row r="4579" spans="2:2" ht="15.5" x14ac:dyDescent="0.35">
      <c r="B4579" s="183"/>
    </row>
    <row r="4580" spans="2:2" ht="15.5" x14ac:dyDescent="0.35">
      <c r="B4580" s="183"/>
    </row>
    <row r="4581" spans="2:2" ht="15.5" x14ac:dyDescent="0.35">
      <c r="B4581" s="183"/>
    </row>
    <row r="4582" spans="2:2" ht="15.5" x14ac:dyDescent="0.35">
      <c r="B4582" s="183"/>
    </row>
    <row r="4583" spans="2:2" ht="15.5" x14ac:dyDescent="0.35">
      <c r="B4583" s="183"/>
    </row>
    <row r="4584" spans="2:2" ht="15.5" x14ac:dyDescent="0.35">
      <c r="B4584" s="183"/>
    </row>
    <row r="4585" spans="2:2" ht="15.5" x14ac:dyDescent="0.35">
      <c r="B4585" s="183"/>
    </row>
    <row r="4586" spans="2:2" ht="15.5" x14ac:dyDescent="0.35">
      <c r="B4586" s="183"/>
    </row>
    <row r="4587" spans="2:2" ht="15.5" x14ac:dyDescent="0.35">
      <c r="B4587" s="183"/>
    </row>
    <row r="4588" spans="2:2" ht="15.5" x14ac:dyDescent="0.35">
      <c r="B4588" s="183"/>
    </row>
    <row r="4589" spans="2:2" ht="15.5" x14ac:dyDescent="0.35">
      <c r="B4589" s="183"/>
    </row>
    <row r="4590" spans="2:2" ht="15.5" x14ac:dyDescent="0.35">
      <c r="B4590" s="183"/>
    </row>
    <row r="4591" spans="2:2" ht="15.5" x14ac:dyDescent="0.35">
      <c r="B4591" s="183"/>
    </row>
    <row r="4592" spans="2:2" ht="15.5" x14ac:dyDescent="0.35">
      <c r="B4592" s="183"/>
    </row>
    <row r="4593" spans="2:2" ht="15.5" x14ac:dyDescent="0.35">
      <c r="B4593" s="183"/>
    </row>
    <row r="4594" spans="2:2" ht="15.5" x14ac:dyDescent="0.35">
      <c r="B4594" s="183"/>
    </row>
    <row r="4595" spans="2:2" ht="15.5" x14ac:dyDescent="0.35">
      <c r="B4595" s="183"/>
    </row>
    <row r="4596" spans="2:2" ht="15.5" x14ac:dyDescent="0.35">
      <c r="B4596" s="183"/>
    </row>
    <row r="4597" spans="2:2" ht="15.5" x14ac:dyDescent="0.35">
      <c r="B4597" s="183"/>
    </row>
    <row r="4598" spans="2:2" ht="15.5" x14ac:dyDescent="0.35">
      <c r="B4598" s="183"/>
    </row>
    <row r="4599" spans="2:2" ht="15.5" x14ac:dyDescent="0.35">
      <c r="B4599" s="183"/>
    </row>
    <row r="4600" spans="2:2" ht="15.5" x14ac:dyDescent="0.35">
      <c r="B4600" s="183"/>
    </row>
    <row r="4601" spans="2:2" ht="15.5" x14ac:dyDescent="0.35">
      <c r="B4601" s="183"/>
    </row>
    <row r="4602" spans="2:2" ht="15.5" x14ac:dyDescent="0.35">
      <c r="B4602" s="183"/>
    </row>
    <row r="4603" spans="2:2" ht="15.5" x14ac:dyDescent="0.35">
      <c r="B4603" s="183"/>
    </row>
    <row r="4604" spans="2:2" ht="15.5" x14ac:dyDescent="0.35">
      <c r="B4604" s="183"/>
    </row>
    <row r="4605" spans="2:2" ht="15.5" x14ac:dyDescent="0.35">
      <c r="B4605" s="183"/>
    </row>
    <row r="4606" spans="2:2" ht="15.5" x14ac:dyDescent="0.35">
      <c r="B4606" s="183"/>
    </row>
    <row r="4607" spans="2:2" ht="15.5" x14ac:dyDescent="0.35">
      <c r="B4607" s="183"/>
    </row>
    <row r="4608" spans="2:2" ht="15.5" x14ac:dyDescent="0.35">
      <c r="B4608" s="183"/>
    </row>
    <row r="4609" spans="2:2" ht="15.5" x14ac:dyDescent="0.35">
      <c r="B4609" s="183"/>
    </row>
    <row r="4610" spans="2:2" ht="15.5" x14ac:dyDescent="0.35">
      <c r="B4610" s="183"/>
    </row>
    <row r="4611" spans="2:2" ht="15.5" x14ac:dyDescent="0.35">
      <c r="B4611" s="183"/>
    </row>
    <row r="4612" spans="2:2" ht="15.5" x14ac:dyDescent="0.35">
      <c r="B4612" s="183"/>
    </row>
    <row r="4613" spans="2:2" ht="15.5" x14ac:dyDescent="0.35">
      <c r="B4613" s="183"/>
    </row>
    <row r="4614" spans="2:2" ht="15.5" x14ac:dyDescent="0.35">
      <c r="B4614" s="183"/>
    </row>
    <row r="4615" spans="2:2" ht="15.5" x14ac:dyDescent="0.35">
      <c r="B4615" s="183"/>
    </row>
    <row r="4616" spans="2:2" ht="15.5" x14ac:dyDescent="0.35">
      <c r="B4616" s="183"/>
    </row>
    <row r="4617" spans="2:2" ht="15.5" x14ac:dyDescent="0.35">
      <c r="B4617" s="183"/>
    </row>
    <row r="4618" spans="2:2" ht="15.5" x14ac:dyDescent="0.35">
      <c r="B4618" s="183"/>
    </row>
    <row r="4619" spans="2:2" ht="15.5" x14ac:dyDescent="0.35">
      <c r="B4619" s="183"/>
    </row>
    <row r="4620" spans="2:2" ht="15.5" x14ac:dyDescent="0.35">
      <c r="B4620" s="183"/>
    </row>
    <row r="4621" spans="2:2" ht="15.5" x14ac:dyDescent="0.35">
      <c r="B4621" s="183"/>
    </row>
    <row r="4622" spans="2:2" ht="15.5" x14ac:dyDescent="0.35">
      <c r="B4622" s="183"/>
    </row>
    <row r="4623" spans="2:2" ht="15.5" x14ac:dyDescent="0.35">
      <c r="B4623" s="183"/>
    </row>
    <row r="4624" spans="2:2" ht="15.5" x14ac:dyDescent="0.35">
      <c r="B4624" s="183"/>
    </row>
    <row r="4625" spans="2:2" ht="15.5" x14ac:dyDescent="0.35">
      <c r="B4625" s="183"/>
    </row>
    <row r="4626" spans="2:2" ht="15.5" x14ac:dyDescent="0.35">
      <c r="B4626" s="183"/>
    </row>
    <row r="4627" spans="2:2" ht="15.5" x14ac:dyDescent="0.35">
      <c r="B4627" s="183"/>
    </row>
    <row r="4628" spans="2:2" ht="15.5" x14ac:dyDescent="0.35">
      <c r="B4628" s="183"/>
    </row>
    <row r="4629" spans="2:2" ht="15.5" x14ac:dyDescent="0.35">
      <c r="B4629" s="183"/>
    </row>
    <row r="4630" spans="2:2" ht="15.5" x14ac:dyDescent="0.35">
      <c r="B4630" s="183"/>
    </row>
    <row r="4631" spans="2:2" ht="15.5" x14ac:dyDescent="0.35">
      <c r="B4631" s="183"/>
    </row>
    <row r="4632" spans="2:2" ht="15.5" x14ac:dyDescent="0.35">
      <c r="B4632" s="183"/>
    </row>
    <row r="4633" spans="2:2" ht="15.5" x14ac:dyDescent="0.35">
      <c r="B4633" s="183"/>
    </row>
    <row r="4634" spans="2:2" ht="15.5" x14ac:dyDescent="0.35">
      <c r="B4634" s="183"/>
    </row>
    <row r="4635" spans="2:2" ht="15.5" x14ac:dyDescent="0.35">
      <c r="B4635" s="183"/>
    </row>
    <row r="4636" spans="2:2" ht="15.5" x14ac:dyDescent="0.35">
      <c r="B4636" s="183"/>
    </row>
    <row r="4637" spans="2:2" ht="15.5" x14ac:dyDescent="0.35">
      <c r="B4637" s="183"/>
    </row>
    <row r="4638" spans="2:2" ht="15.5" x14ac:dyDescent="0.35">
      <c r="B4638" s="183"/>
    </row>
    <row r="4639" spans="2:2" ht="15.5" x14ac:dyDescent="0.35">
      <c r="B4639" s="183"/>
    </row>
    <row r="4640" spans="2:2" ht="15.5" x14ac:dyDescent="0.35">
      <c r="B4640" s="183"/>
    </row>
    <row r="4641" spans="2:2" ht="15.5" x14ac:dyDescent="0.35">
      <c r="B4641" s="183"/>
    </row>
    <row r="4642" spans="2:2" ht="15.5" x14ac:dyDescent="0.35">
      <c r="B4642" s="183"/>
    </row>
    <row r="4643" spans="2:2" ht="15.5" x14ac:dyDescent="0.35">
      <c r="B4643" s="183"/>
    </row>
    <row r="4644" spans="2:2" ht="15.5" x14ac:dyDescent="0.35">
      <c r="B4644" s="183"/>
    </row>
    <row r="4645" spans="2:2" ht="15.5" x14ac:dyDescent="0.35">
      <c r="B4645" s="183"/>
    </row>
    <row r="4646" spans="2:2" ht="15.5" x14ac:dyDescent="0.35">
      <c r="B4646" s="183"/>
    </row>
    <row r="4647" spans="2:2" ht="15.5" x14ac:dyDescent="0.35">
      <c r="B4647" s="183"/>
    </row>
    <row r="4648" spans="2:2" ht="15.5" x14ac:dyDescent="0.35">
      <c r="B4648" s="183"/>
    </row>
    <row r="4649" spans="2:2" ht="15.5" x14ac:dyDescent="0.35">
      <c r="B4649" s="183"/>
    </row>
    <row r="4650" spans="2:2" ht="15.5" x14ac:dyDescent="0.35">
      <c r="B4650" s="183"/>
    </row>
    <row r="4651" spans="2:2" ht="15.5" x14ac:dyDescent="0.35">
      <c r="B4651" s="183"/>
    </row>
    <row r="4652" spans="2:2" ht="15.5" x14ac:dyDescent="0.35">
      <c r="B4652" s="183"/>
    </row>
    <row r="4653" spans="2:2" ht="15.5" x14ac:dyDescent="0.35">
      <c r="B4653" s="183"/>
    </row>
    <row r="4654" spans="2:2" ht="15.5" x14ac:dyDescent="0.35">
      <c r="B4654" s="183"/>
    </row>
    <row r="4655" spans="2:2" ht="15.5" x14ac:dyDescent="0.35">
      <c r="B4655" s="183"/>
    </row>
    <row r="4656" spans="2:2" ht="15.5" x14ac:dyDescent="0.35">
      <c r="B4656" s="183"/>
    </row>
    <row r="4657" spans="2:2" ht="15.5" x14ac:dyDescent="0.35">
      <c r="B4657" s="183"/>
    </row>
    <row r="4658" spans="2:2" ht="15.5" x14ac:dyDescent="0.35">
      <c r="B4658" s="183"/>
    </row>
    <row r="4659" spans="2:2" ht="15.5" x14ac:dyDescent="0.35">
      <c r="B4659" s="183"/>
    </row>
    <row r="4660" spans="2:2" ht="15.5" x14ac:dyDescent="0.35">
      <c r="B4660" s="183"/>
    </row>
    <row r="4661" spans="2:2" ht="15.5" x14ac:dyDescent="0.35">
      <c r="B4661" s="183"/>
    </row>
    <row r="4662" spans="2:2" ht="15.5" x14ac:dyDescent="0.35">
      <c r="B4662" s="183"/>
    </row>
    <row r="4663" spans="2:2" ht="15.5" x14ac:dyDescent="0.35">
      <c r="B4663" s="183"/>
    </row>
    <row r="4664" spans="2:2" ht="15.5" x14ac:dyDescent="0.35">
      <c r="B4664" s="183"/>
    </row>
    <row r="4665" spans="2:2" ht="15.5" x14ac:dyDescent="0.35">
      <c r="B4665" s="183"/>
    </row>
    <row r="4666" spans="2:2" ht="15.5" x14ac:dyDescent="0.35">
      <c r="B4666" s="183"/>
    </row>
    <row r="4667" spans="2:2" ht="15.5" x14ac:dyDescent="0.35">
      <c r="B4667" s="183"/>
    </row>
    <row r="4668" spans="2:2" ht="15.5" x14ac:dyDescent="0.35">
      <c r="B4668" s="183"/>
    </row>
    <row r="4669" spans="2:2" ht="15.5" x14ac:dyDescent="0.35">
      <c r="B4669" s="183"/>
    </row>
    <row r="4670" spans="2:2" ht="15.5" x14ac:dyDescent="0.35">
      <c r="B4670" s="183"/>
    </row>
    <row r="4671" spans="2:2" ht="15.5" x14ac:dyDescent="0.35">
      <c r="B4671" s="183"/>
    </row>
    <row r="4672" spans="2:2" ht="15.5" x14ac:dyDescent="0.35">
      <c r="B4672" s="183"/>
    </row>
    <row r="4673" spans="2:2" ht="15.5" x14ac:dyDescent="0.35">
      <c r="B4673" s="183"/>
    </row>
    <row r="4674" spans="2:2" ht="15.5" x14ac:dyDescent="0.35">
      <c r="B4674" s="183"/>
    </row>
    <row r="4675" spans="2:2" ht="15.5" x14ac:dyDescent="0.35">
      <c r="B4675" s="183"/>
    </row>
    <row r="4676" spans="2:2" ht="15.5" x14ac:dyDescent="0.35">
      <c r="B4676" s="183"/>
    </row>
    <row r="4677" spans="2:2" ht="15.5" x14ac:dyDescent="0.35">
      <c r="B4677" s="183"/>
    </row>
    <row r="4678" spans="2:2" ht="15.5" x14ac:dyDescent="0.35">
      <c r="B4678" s="183"/>
    </row>
    <row r="4679" spans="2:2" ht="15.5" x14ac:dyDescent="0.35">
      <c r="B4679" s="183"/>
    </row>
    <row r="4680" spans="2:2" ht="15.5" x14ac:dyDescent="0.35">
      <c r="B4680" s="183"/>
    </row>
    <row r="4681" spans="2:2" ht="15.5" x14ac:dyDescent="0.35">
      <c r="B4681" s="183"/>
    </row>
    <row r="4682" spans="2:2" ht="15.5" x14ac:dyDescent="0.35">
      <c r="B4682" s="183"/>
    </row>
    <row r="4683" spans="2:2" ht="15.5" x14ac:dyDescent="0.35">
      <c r="B4683" s="183"/>
    </row>
    <row r="4684" spans="2:2" ht="15.5" x14ac:dyDescent="0.35">
      <c r="B4684" s="183"/>
    </row>
    <row r="4685" spans="2:2" ht="15.5" x14ac:dyDescent="0.35">
      <c r="B4685" s="183"/>
    </row>
    <row r="4686" spans="2:2" ht="15.5" x14ac:dyDescent="0.35">
      <c r="B4686" s="183"/>
    </row>
    <row r="4687" spans="2:2" ht="15.5" x14ac:dyDescent="0.35">
      <c r="B4687" s="183"/>
    </row>
    <row r="4688" spans="2:2" ht="15.5" x14ac:dyDescent="0.35">
      <c r="B4688" s="183"/>
    </row>
    <row r="4689" spans="2:2" ht="15.5" x14ac:dyDescent="0.35">
      <c r="B4689" s="183"/>
    </row>
    <row r="4690" spans="2:2" ht="15.5" x14ac:dyDescent="0.35">
      <c r="B4690" s="183"/>
    </row>
    <row r="4691" spans="2:2" ht="15.5" x14ac:dyDescent="0.35">
      <c r="B4691" s="183"/>
    </row>
    <row r="4692" spans="2:2" ht="15.5" x14ac:dyDescent="0.35">
      <c r="B4692" s="183"/>
    </row>
    <row r="4693" spans="2:2" ht="15.5" x14ac:dyDescent="0.35">
      <c r="B4693" s="183"/>
    </row>
    <row r="4694" spans="2:2" ht="15.5" x14ac:dyDescent="0.35">
      <c r="B4694" s="183"/>
    </row>
    <row r="4695" spans="2:2" ht="15.5" x14ac:dyDescent="0.35">
      <c r="B4695" s="183"/>
    </row>
    <row r="4696" spans="2:2" ht="15.5" x14ac:dyDescent="0.35">
      <c r="B4696" s="183"/>
    </row>
    <row r="4697" spans="2:2" ht="15.5" x14ac:dyDescent="0.35">
      <c r="B4697" s="183"/>
    </row>
    <row r="4698" spans="2:2" ht="15.5" x14ac:dyDescent="0.35">
      <c r="B4698" s="183"/>
    </row>
    <row r="4699" spans="2:2" ht="15.5" x14ac:dyDescent="0.35">
      <c r="B4699" s="183"/>
    </row>
    <row r="4700" spans="2:2" ht="15.5" x14ac:dyDescent="0.35">
      <c r="B4700" s="183"/>
    </row>
    <row r="4701" spans="2:2" ht="15.5" x14ac:dyDescent="0.35">
      <c r="B4701" s="183"/>
    </row>
    <row r="4702" spans="2:2" ht="15.5" x14ac:dyDescent="0.35">
      <c r="B4702" s="183"/>
    </row>
    <row r="4703" spans="2:2" ht="15.5" x14ac:dyDescent="0.35">
      <c r="B4703" s="183"/>
    </row>
    <row r="4704" spans="2:2" ht="15.5" x14ac:dyDescent="0.35">
      <c r="B4704" s="183"/>
    </row>
    <row r="4705" spans="2:2" ht="15.5" x14ac:dyDescent="0.35">
      <c r="B4705" s="183"/>
    </row>
    <row r="4706" spans="2:2" ht="15.5" x14ac:dyDescent="0.35">
      <c r="B4706" s="183"/>
    </row>
    <row r="4707" spans="2:2" ht="15.5" x14ac:dyDescent="0.35">
      <c r="B4707" s="183"/>
    </row>
    <row r="4708" spans="2:2" ht="15.5" x14ac:dyDescent="0.35">
      <c r="B4708" s="183"/>
    </row>
    <row r="4709" spans="2:2" ht="15.5" x14ac:dyDescent="0.35">
      <c r="B4709" s="183"/>
    </row>
    <row r="4710" spans="2:2" ht="15.5" x14ac:dyDescent="0.35">
      <c r="B4710" s="183"/>
    </row>
    <row r="4711" spans="2:2" ht="15.5" x14ac:dyDescent="0.35">
      <c r="B4711" s="183"/>
    </row>
    <row r="4712" spans="2:2" ht="15.5" x14ac:dyDescent="0.35">
      <c r="B4712" s="183"/>
    </row>
    <row r="4713" spans="2:2" ht="15.5" x14ac:dyDescent="0.35">
      <c r="B4713" s="183"/>
    </row>
    <row r="4714" spans="2:2" ht="15.5" x14ac:dyDescent="0.35">
      <c r="B4714" s="183"/>
    </row>
    <row r="4715" spans="2:2" ht="15.5" x14ac:dyDescent="0.35">
      <c r="B4715" s="183"/>
    </row>
    <row r="4716" spans="2:2" ht="15.5" x14ac:dyDescent="0.35">
      <c r="B4716" s="183"/>
    </row>
    <row r="4717" spans="2:2" ht="15.5" x14ac:dyDescent="0.35">
      <c r="B4717" s="183"/>
    </row>
    <row r="4718" spans="2:2" ht="15.5" x14ac:dyDescent="0.35">
      <c r="B4718" s="183"/>
    </row>
    <row r="4719" spans="2:2" ht="15.5" x14ac:dyDescent="0.35">
      <c r="B4719" s="183"/>
    </row>
    <row r="4720" spans="2:2" ht="15.5" x14ac:dyDescent="0.35">
      <c r="B4720" s="183"/>
    </row>
    <row r="4721" spans="2:2" ht="15.5" x14ac:dyDescent="0.35">
      <c r="B4721" s="183"/>
    </row>
    <row r="4722" spans="2:2" ht="15.5" x14ac:dyDescent="0.35">
      <c r="B4722" s="183"/>
    </row>
    <row r="4723" spans="2:2" ht="15.5" x14ac:dyDescent="0.35">
      <c r="B4723" s="183"/>
    </row>
    <row r="4724" spans="2:2" ht="15.5" x14ac:dyDescent="0.35">
      <c r="B4724" s="183"/>
    </row>
    <row r="4725" spans="2:2" ht="15.5" x14ac:dyDescent="0.35">
      <c r="B4725" s="183"/>
    </row>
    <row r="4726" spans="2:2" ht="15.5" x14ac:dyDescent="0.35">
      <c r="B4726" s="183"/>
    </row>
    <row r="4727" spans="2:2" ht="15.5" x14ac:dyDescent="0.35">
      <c r="B4727" s="183"/>
    </row>
    <row r="4728" spans="2:2" ht="15.5" x14ac:dyDescent="0.35">
      <c r="B4728" s="183"/>
    </row>
    <row r="4729" spans="2:2" ht="15.5" x14ac:dyDescent="0.35">
      <c r="B4729" s="183"/>
    </row>
    <row r="4730" spans="2:2" ht="15.5" x14ac:dyDescent="0.35">
      <c r="B4730" s="183"/>
    </row>
    <row r="4731" spans="2:2" ht="15.5" x14ac:dyDescent="0.35">
      <c r="B4731" s="183"/>
    </row>
    <row r="4732" spans="2:2" ht="15.5" x14ac:dyDescent="0.35">
      <c r="B4732" s="183"/>
    </row>
    <row r="4733" spans="2:2" ht="15.5" x14ac:dyDescent="0.35">
      <c r="B4733" s="183"/>
    </row>
    <row r="4734" spans="2:2" ht="15.5" x14ac:dyDescent="0.35">
      <c r="B4734" s="183"/>
    </row>
    <row r="4735" spans="2:2" ht="15.5" x14ac:dyDescent="0.35">
      <c r="B4735" s="183"/>
    </row>
    <row r="4736" spans="2:2" ht="15.5" x14ac:dyDescent="0.35">
      <c r="B4736" s="183"/>
    </row>
    <row r="4737" spans="2:2" ht="15.5" x14ac:dyDescent="0.35">
      <c r="B4737" s="183"/>
    </row>
    <row r="4738" spans="2:2" ht="15.5" x14ac:dyDescent="0.35">
      <c r="B4738" s="183"/>
    </row>
    <row r="4739" spans="2:2" ht="15.5" x14ac:dyDescent="0.35">
      <c r="B4739" s="183"/>
    </row>
    <row r="4740" spans="2:2" ht="15.5" x14ac:dyDescent="0.35">
      <c r="B4740" s="183"/>
    </row>
    <row r="4741" spans="2:2" ht="15.5" x14ac:dyDescent="0.35">
      <c r="B4741" s="183"/>
    </row>
    <row r="4742" spans="2:2" ht="15.5" x14ac:dyDescent="0.35">
      <c r="B4742" s="183"/>
    </row>
    <row r="4743" spans="2:2" ht="15.5" x14ac:dyDescent="0.35">
      <c r="B4743" s="183"/>
    </row>
    <row r="4744" spans="2:2" ht="15.5" x14ac:dyDescent="0.35">
      <c r="B4744" s="183"/>
    </row>
    <row r="4745" spans="2:2" ht="15.5" x14ac:dyDescent="0.35">
      <c r="B4745" s="183"/>
    </row>
    <row r="4746" spans="2:2" ht="15.5" x14ac:dyDescent="0.35">
      <c r="B4746" s="183"/>
    </row>
    <row r="4747" spans="2:2" ht="15.5" x14ac:dyDescent="0.35">
      <c r="B4747" s="183"/>
    </row>
    <row r="4748" spans="2:2" ht="15.5" x14ac:dyDescent="0.35">
      <c r="B4748" s="183"/>
    </row>
    <row r="4749" spans="2:2" ht="15.5" x14ac:dyDescent="0.35">
      <c r="B4749" s="183"/>
    </row>
    <row r="4750" spans="2:2" ht="15.5" x14ac:dyDescent="0.35">
      <c r="B4750" s="183"/>
    </row>
    <row r="4751" spans="2:2" ht="15.5" x14ac:dyDescent="0.35">
      <c r="B4751" s="183"/>
    </row>
    <row r="4752" spans="2:2" ht="15.5" x14ac:dyDescent="0.35">
      <c r="B4752" s="183"/>
    </row>
    <row r="4753" spans="2:2" ht="15.5" x14ac:dyDescent="0.35">
      <c r="B4753" s="183"/>
    </row>
    <row r="4754" spans="2:2" ht="15.5" x14ac:dyDescent="0.35">
      <c r="B4754" s="183"/>
    </row>
    <row r="4755" spans="2:2" ht="15.5" x14ac:dyDescent="0.35">
      <c r="B4755" s="183"/>
    </row>
    <row r="4756" spans="2:2" ht="15.5" x14ac:dyDescent="0.35">
      <c r="B4756" s="183"/>
    </row>
    <row r="4757" spans="2:2" ht="15.5" x14ac:dyDescent="0.35">
      <c r="B4757" s="183"/>
    </row>
    <row r="4758" spans="2:2" ht="15.5" x14ac:dyDescent="0.35">
      <c r="B4758" s="183"/>
    </row>
    <row r="4759" spans="2:2" ht="15.5" x14ac:dyDescent="0.35">
      <c r="B4759" s="183"/>
    </row>
    <row r="4760" spans="2:2" ht="15.5" x14ac:dyDescent="0.35">
      <c r="B4760" s="183"/>
    </row>
    <row r="4761" spans="2:2" ht="15.5" x14ac:dyDescent="0.35">
      <c r="B4761" s="183"/>
    </row>
    <row r="4762" spans="2:2" ht="15.5" x14ac:dyDescent="0.35">
      <c r="B4762" s="183"/>
    </row>
    <row r="4763" spans="2:2" ht="15.5" x14ac:dyDescent="0.35">
      <c r="B4763" s="183"/>
    </row>
    <row r="4764" spans="2:2" ht="15.5" x14ac:dyDescent="0.35">
      <c r="B4764" s="183"/>
    </row>
    <row r="4765" spans="2:2" ht="15.5" x14ac:dyDescent="0.35">
      <c r="B4765" s="183"/>
    </row>
    <row r="4766" spans="2:2" ht="15.5" x14ac:dyDescent="0.35">
      <c r="B4766" s="183"/>
    </row>
    <row r="4767" spans="2:2" ht="15.5" x14ac:dyDescent="0.35">
      <c r="B4767" s="183"/>
    </row>
    <row r="4768" spans="2:2" ht="15.5" x14ac:dyDescent="0.35">
      <c r="B4768" s="183"/>
    </row>
    <row r="4769" spans="2:2" ht="15.5" x14ac:dyDescent="0.35">
      <c r="B4769" s="183"/>
    </row>
    <row r="4770" spans="2:2" ht="15.5" x14ac:dyDescent="0.35">
      <c r="B4770" s="183"/>
    </row>
    <row r="4771" spans="2:2" ht="15.5" x14ac:dyDescent="0.35">
      <c r="B4771" s="183"/>
    </row>
    <row r="4772" spans="2:2" ht="15.5" x14ac:dyDescent="0.35">
      <c r="B4772" s="183"/>
    </row>
    <row r="4773" spans="2:2" ht="15.5" x14ac:dyDescent="0.35">
      <c r="B4773" s="183"/>
    </row>
    <row r="4774" spans="2:2" ht="15.5" x14ac:dyDescent="0.35">
      <c r="B4774" s="183"/>
    </row>
    <row r="4775" spans="2:2" ht="15.5" x14ac:dyDescent="0.35">
      <c r="B4775" s="183"/>
    </row>
    <row r="4776" spans="2:2" ht="15.5" x14ac:dyDescent="0.35">
      <c r="B4776" s="183"/>
    </row>
    <row r="4777" spans="2:2" ht="15.5" x14ac:dyDescent="0.35">
      <c r="B4777" s="183"/>
    </row>
    <row r="4778" spans="2:2" ht="15.5" x14ac:dyDescent="0.35">
      <c r="B4778" s="183"/>
    </row>
    <row r="4779" spans="2:2" ht="15.5" x14ac:dyDescent="0.35">
      <c r="B4779" s="183"/>
    </row>
    <row r="4780" spans="2:2" ht="15.5" x14ac:dyDescent="0.35">
      <c r="B4780" s="183"/>
    </row>
    <row r="4781" spans="2:2" ht="15.5" x14ac:dyDescent="0.35">
      <c r="B4781" s="183"/>
    </row>
    <row r="4782" spans="2:2" ht="15.5" x14ac:dyDescent="0.35">
      <c r="B4782" s="183"/>
    </row>
    <row r="4783" spans="2:2" ht="15.5" x14ac:dyDescent="0.35">
      <c r="B4783" s="183"/>
    </row>
    <row r="4784" spans="2:2" ht="15.5" x14ac:dyDescent="0.35">
      <c r="B4784" s="183"/>
    </row>
    <row r="4785" spans="2:2" ht="15.5" x14ac:dyDescent="0.35">
      <c r="B4785" s="183"/>
    </row>
    <row r="4786" spans="2:2" ht="15.5" x14ac:dyDescent="0.35">
      <c r="B4786" s="183"/>
    </row>
    <row r="4787" spans="2:2" ht="15.5" x14ac:dyDescent="0.35">
      <c r="B4787" s="183"/>
    </row>
    <row r="4788" spans="2:2" ht="15.5" x14ac:dyDescent="0.35">
      <c r="B4788" s="183"/>
    </row>
    <row r="4789" spans="2:2" ht="15.5" x14ac:dyDescent="0.35">
      <c r="B4789" s="183"/>
    </row>
    <row r="4790" spans="2:2" ht="15.5" x14ac:dyDescent="0.35">
      <c r="B4790" s="183"/>
    </row>
    <row r="4791" spans="2:2" ht="15.5" x14ac:dyDescent="0.35">
      <c r="B4791" s="183"/>
    </row>
    <row r="4792" spans="2:2" ht="15.5" x14ac:dyDescent="0.35">
      <c r="B4792" s="183"/>
    </row>
    <row r="4793" spans="2:2" ht="15.5" x14ac:dyDescent="0.35">
      <c r="B4793" s="183"/>
    </row>
    <row r="4794" spans="2:2" ht="15.5" x14ac:dyDescent="0.35">
      <c r="B4794" s="183"/>
    </row>
    <row r="4795" spans="2:2" ht="15.5" x14ac:dyDescent="0.35">
      <c r="B4795" s="183"/>
    </row>
    <row r="4796" spans="2:2" ht="15.5" x14ac:dyDescent="0.35">
      <c r="B4796" s="183"/>
    </row>
    <row r="4797" spans="2:2" ht="15.5" x14ac:dyDescent="0.35">
      <c r="B4797" s="183"/>
    </row>
    <row r="4798" spans="2:2" ht="15.5" x14ac:dyDescent="0.35">
      <c r="B4798" s="183"/>
    </row>
    <row r="4799" spans="2:2" ht="15.5" x14ac:dyDescent="0.35">
      <c r="B4799" s="183"/>
    </row>
    <row r="4800" spans="2:2" ht="15.5" x14ac:dyDescent="0.35">
      <c r="B4800" s="183"/>
    </row>
    <row r="4801" spans="2:2" ht="15.5" x14ac:dyDescent="0.35">
      <c r="B4801" s="183"/>
    </row>
    <row r="4802" spans="2:2" ht="15.5" x14ac:dyDescent="0.35">
      <c r="B4802" s="183"/>
    </row>
    <row r="4803" spans="2:2" ht="15.5" x14ac:dyDescent="0.35">
      <c r="B4803" s="183"/>
    </row>
    <row r="4804" spans="2:2" ht="15.5" x14ac:dyDescent="0.35">
      <c r="B4804" s="183"/>
    </row>
    <row r="4805" spans="2:2" ht="15.5" x14ac:dyDescent="0.35">
      <c r="B4805" s="183"/>
    </row>
    <row r="4806" spans="2:2" ht="15.5" x14ac:dyDescent="0.35">
      <c r="B4806" s="183"/>
    </row>
    <row r="4807" spans="2:2" ht="15.5" x14ac:dyDescent="0.35">
      <c r="B4807" s="183"/>
    </row>
    <row r="4808" spans="2:2" ht="15.5" x14ac:dyDescent="0.35">
      <c r="B4808" s="183"/>
    </row>
    <row r="4809" spans="2:2" ht="15.5" x14ac:dyDescent="0.35">
      <c r="B4809" s="183"/>
    </row>
    <row r="4810" spans="2:2" ht="15.5" x14ac:dyDescent="0.35">
      <c r="B4810" s="183"/>
    </row>
    <row r="4811" spans="2:2" ht="15.5" x14ac:dyDescent="0.35">
      <c r="B4811" s="183"/>
    </row>
    <row r="4812" spans="2:2" ht="15.5" x14ac:dyDescent="0.35">
      <c r="B4812" s="183"/>
    </row>
    <row r="4813" spans="2:2" ht="15.5" x14ac:dyDescent="0.35">
      <c r="B4813" s="183"/>
    </row>
    <row r="4814" spans="2:2" ht="15.5" x14ac:dyDescent="0.35">
      <c r="B4814" s="183"/>
    </row>
    <row r="4815" spans="2:2" ht="15.5" x14ac:dyDescent="0.35">
      <c r="B4815" s="183"/>
    </row>
    <row r="4816" spans="2:2" ht="15.5" x14ac:dyDescent="0.35">
      <c r="B4816" s="183"/>
    </row>
    <row r="4817" spans="2:2" ht="15.5" x14ac:dyDescent="0.35">
      <c r="B4817" s="183"/>
    </row>
    <row r="4818" spans="2:2" ht="15.5" x14ac:dyDescent="0.35">
      <c r="B4818" s="183"/>
    </row>
    <row r="4819" spans="2:2" ht="15.5" x14ac:dyDescent="0.35">
      <c r="B4819" s="183"/>
    </row>
    <row r="4820" spans="2:2" ht="15.5" x14ac:dyDescent="0.35">
      <c r="B4820" s="183"/>
    </row>
    <row r="4821" spans="2:2" ht="15.5" x14ac:dyDescent="0.35">
      <c r="B4821" s="183"/>
    </row>
    <row r="4822" spans="2:2" ht="15.5" x14ac:dyDescent="0.35">
      <c r="B4822" s="183"/>
    </row>
    <row r="4823" spans="2:2" ht="15.5" x14ac:dyDescent="0.35">
      <c r="B4823" s="183"/>
    </row>
    <row r="4824" spans="2:2" ht="15.5" x14ac:dyDescent="0.35">
      <c r="B4824" s="183"/>
    </row>
    <row r="4825" spans="2:2" ht="15.5" x14ac:dyDescent="0.35">
      <c r="B4825" s="183"/>
    </row>
    <row r="4826" spans="2:2" ht="15.5" x14ac:dyDescent="0.35">
      <c r="B4826" s="183"/>
    </row>
    <row r="4827" spans="2:2" ht="15.5" x14ac:dyDescent="0.35">
      <c r="B4827" s="183"/>
    </row>
    <row r="4828" spans="2:2" ht="15.5" x14ac:dyDescent="0.35">
      <c r="B4828" s="183"/>
    </row>
    <row r="4829" spans="2:2" ht="15.5" x14ac:dyDescent="0.35">
      <c r="B4829" s="183"/>
    </row>
    <row r="4830" spans="2:2" ht="15.5" x14ac:dyDescent="0.35">
      <c r="B4830" s="183"/>
    </row>
    <row r="4831" spans="2:2" ht="15.5" x14ac:dyDescent="0.35">
      <c r="B4831" s="183"/>
    </row>
    <row r="4832" spans="2:2" ht="15.5" x14ac:dyDescent="0.35">
      <c r="B4832" s="183"/>
    </row>
    <row r="4833" spans="2:2" ht="15.5" x14ac:dyDescent="0.35">
      <c r="B4833" s="183"/>
    </row>
    <row r="4834" spans="2:2" ht="15.5" x14ac:dyDescent="0.35">
      <c r="B4834" s="183"/>
    </row>
    <row r="4835" spans="2:2" ht="15.5" x14ac:dyDescent="0.35">
      <c r="B4835" s="183"/>
    </row>
    <row r="4836" spans="2:2" ht="15.5" x14ac:dyDescent="0.35">
      <c r="B4836" s="183"/>
    </row>
    <row r="4837" spans="2:2" ht="15.5" x14ac:dyDescent="0.35">
      <c r="B4837" s="183"/>
    </row>
    <row r="4838" spans="2:2" ht="15.5" x14ac:dyDescent="0.35">
      <c r="B4838" s="183"/>
    </row>
    <row r="4839" spans="2:2" ht="15.5" x14ac:dyDescent="0.35">
      <c r="B4839" s="183"/>
    </row>
    <row r="4840" spans="2:2" ht="15.5" x14ac:dyDescent="0.35">
      <c r="B4840" s="183"/>
    </row>
    <row r="4841" spans="2:2" ht="15.5" x14ac:dyDescent="0.35">
      <c r="B4841" s="183"/>
    </row>
    <row r="4842" spans="2:2" ht="15.5" x14ac:dyDescent="0.35">
      <c r="B4842" s="183"/>
    </row>
    <row r="4843" spans="2:2" ht="15.5" x14ac:dyDescent="0.35">
      <c r="B4843" s="183"/>
    </row>
    <row r="4844" spans="2:2" ht="15.5" x14ac:dyDescent="0.35">
      <c r="B4844" s="183"/>
    </row>
    <row r="4845" spans="2:2" ht="15.5" x14ac:dyDescent="0.35">
      <c r="B4845" s="183"/>
    </row>
    <row r="4846" spans="2:2" ht="15.5" x14ac:dyDescent="0.35">
      <c r="B4846" s="183"/>
    </row>
    <row r="4847" spans="2:2" ht="15.5" x14ac:dyDescent="0.35">
      <c r="B4847" s="183"/>
    </row>
    <row r="4848" spans="2:2" ht="15.5" x14ac:dyDescent="0.35">
      <c r="B4848" s="183"/>
    </row>
    <row r="4849" spans="2:2" ht="15.5" x14ac:dyDescent="0.35">
      <c r="B4849" s="183"/>
    </row>
    <row r="4850" spans="2:2" ht="15.5" x14ac:dyDescent="0.35">
      <c r="B4850" s="183"/>
    </row>
    <row r="4851" spans="2:2" ht="15.5" x14ac:dyDescent="0.35">
      <c r="B4851" s="183"/>
    </row>
    <row r="4852" spans="2:2" ht="15.5" x14ac:dyDescent="0.35">
      <c r="B4852" s="183"/>
    </row>
    <row r="4853" spans="2:2" ht="15.5" x14ac:dyDescent="0.35">
      <c r="B4853" s="183"/>
    </row>
    <row r="4854" spans="2:2" ht="15.5" x14ac:dyDescent="0.35">
      <c r="B4854" s="183"/>
    </row>
    <row r="4855" spans="2:2" ht="15.5" x14ac:dyDescent="0.35">
      <c r="B4855" s="183"/>
    </row>
    <row r="4856" spans="2:2" ht="15.5" x14ac:dyDescent="0.35">
      <c r="B4856" s="183"/>
    </row>
    <row r="4857" spans="2:2" ht="15.5" x14ac:dyDescent="0.35">
      <c r="B4857" s="183"/>
    </row>
    <row r="4858" spans="2:2" ht="15.5" x14ac:dyDescent="0.35">
      <c r="B4858" s="183"/>
    </row>
    <row r="4859" spans="2:2" ht="15.5" x14ac:dyDescent="0.35">
      <c r="B4859" s="183"/>
    </row>
    <row r="4860" spans="2:2" ht="15.5" x14ac:dyDescent="0.35">
      <c r="B4860" s="183"/>
    </row>
    <row r="4861" spans="2:2" ht="15.5" x14ac:dyDescent="0.35">
      <c r="B4861" s="183"/>
    </row>
    <row r="4862" spans="2:2" ht="15.5" x14ac:dyDescent="0.35">
      <c r="B4862" s="183"/>
    </row>
    <row r="4863" spans="2:2" ht="15.5" x14ac:dyDescent="0.35">
      <c r="B4863" s="183"/>
    </row>
    <row r="4864" spans="2:2" ht="15.5" x14ac:dyDescent="0.35">
      <c r="B4864" s="183"/>
    </row>
    <row r="4865" spans="2:2" ht="15.5" x14ac:dyDescent="0.35">
      <c r="B4865" s="183"/>
    </row>
    <row r="4866" spans="2:2" ht="15.5" x14ac:dyDescent="0.35">
      <c r="B4866" s="183"/>
    </row>
    <row r="4867" spans="2:2" ht="15.5" x14ac:dyDescent="0.35">
      <c r="B4867" s="183"/>
    </row>
    <row r="4868" spans="2:2" ht="15.5" x14ac:dyDescent="0.35">
      <c r="B4868" s="183"/>
    </row>
    <row r="4869" spans="2:2" ht="15.5" x14ac:dyDescent="0.35">
      <c r="B4869" s="183"/>
    </row>
    <row r="4870" spans="2:2" ht="15.5" x14ac:dyDescent="0.35">
      <c r="B4870" s="183"/>
    </row>
    <row r="4871" spans="2:2" ht="15.5" x14ac:dyDescent="0.35">
      <c r="B4871" s="183"/>
    </row>
    <row r="4872" spans="2:2" ht="15.5" x14ac:dyDescent="0.35">
      <c r="B4872" s="183"/>
    </row>
    <row r="4873" spans="2:2" ht="15.5" x14ac:dyDescent="0.35">
      <c r="B4873" s="183"/>
    </row>
    <row r="4874" spans="2:2" ht="15.5" x14ac:dyDescent="0.35">
      <c r="B4874" s="183"/>
    </row>
    <row r="4875" spans="2:2" ht="15.5" x14ac:dyDescent="0.35">
      <c r="B4875" s="183"/>
    </row>
    <row r="4876" spans="2:2" ht="15.5" x14ac:dyDescent="0.35">
      <c r="B4876" s="183"/>
    </row>
    <row r="4877" spans="2:2" ht="15.5" x14ac:dyDescent="0.35">
      <c r="B4877" s="183"/>
    </row>
    <row r="4878" spans="2:2" ht="15.5" x14ac:dyDescent="0.35">
      <c r="B4878" s="183"/>
    </row>
    <row r="4879" spans="2:2" ht="15.5" x14ac:dyDescent="0.35">
      <c r="B4879" s="183"/>
    </row>
    <row r="4880" spans="2:2" ht="15.5" x14ac:dyDescent="0.35">
      <c r="B4880" s="183"/>
    </row>
    <row r="4881" spans="2:2" ht="15.5" x14ac:dyDescent="0.35">
      <c r="B4881" s="183"/>
    </row>
    <row r="4882" spans="2:2" ht="15.5" x14ac:dyDescent="0.35">
      <c r="B4882" s="183"/>
    </row>
    <row r="4883" spans="2:2" ht="15.5" x14ac:dyDescent="0.35">
      <c r="B4883" s="183"/>
    </row>
    <row r="4884" spans="2:2" ht="15.5" x14ac:dyDescent="0.35">
      <c r="B4884" s="183"/>
    </row>
    <row r="4885" spans="2:2" ht="15.5" x14ac:dyDescent="0.35">
      <c r="B4885" s="183"/>
    </row>
    <row r="4886" spans="2:2" ht="15.5" x14ac:dyDescent="0.35">
      <c r="B4886" s="183"/>
    </row>
    <row r="4887" spans="2:2" ht="15.5" x14ac:dyDescent="0.35">
      <c r="B4887" s="183"/>
    </row>
    <row r="4888" spans="2:2" ht="15.5" x14ac:dyDescent="0.35">
      <c r="B4888" s="183"/>
    </row>
    <row r="4889" spans="2:2" ht="15.5" x14ac:dyDescent="0.35">
      <c r="B4889" s="183"/>
    </row>
    <row r="4890" spans="2:2" ht="15.5" x14ac:dyDescent="0.35">
      <c r="B4890" s="183"/>
    </row>
    <row r="4891" spans="2:2" ht="15.5" x14ac:dyDescent="0.35">
      <c r="B4891" s="183"/>
    </row>
    <row r="4892" spans="2:2" ht="15.5" x14ac:dyDescent="0.35">
      <c r="B4892" s="183"/>
    </row>
    <row r="4893" spans="2:2" ht="15.5" x14ac:dyDescent="0.35">
      <c r="B4893" s="183"/>
    </row>
    <row r="4894" spans="2:2" ht="15.5" x14ac:dyDescent="0.35">
      <c r="B4894" s="183"/>
    </row>
    <row r="4895" spans="2:2" ht="15.5" x14ac:dyDescent="0.35">
      <c r="B4895" s="183"/>
    </row>
    <row r="4896" spans="2:2" ht="15.5" x14ac:dyDescent="0.35">
      <c r="B4896" s="183"/>
    </row>
    <row r="4897" spans="2:2" ht="15.5" x14ac:dyDescent="0.35">
      <c r="B4897" s="183"/>
    </row>
    <row r="4898" spans="2:2" ht="15.5" x14ac:dyDescent="0.35">
      <c r="B4898" s="183"/>
    </row>
    <row r="4899" spans="2:2" ht="15.5" x14ac:dyDescent="0.35">
      <c r="B4899" s="183"/>
    </row>
    <row r="4900" spans="2:2" ht="15.5" x14ac:dyDescent="0.35">
      <c r="B4900" s="183"/>
    </row>
    <row r="4901" spans="2:2" ht="15.5" x14ac:dyDescent="0.35">
      <c r="B4901" s="183"/>
    </row>
    <row r="4902" spans="2:2" ht="15.5" x14ac:dyDescent="0.35">
      <c r="B4902" s="183"/>
    </row>
    <row r="4903" spans="2:2" ht="15.5" x14ac:dyDescent="0.35">
      <c r="B4903" s="183"/>
    </row>
    <row r="4904" spans="2:2" ht="15.5" x14ac:dyDescent="0.35">
      <c r="B4904" s="183"/>
    </row>
    <row r="4905" spans="2:2" ht="15.5" x14ac:dyDescent="0.35">
      <c r="B4905" s="183"/>
    </row>
    <row r="4906" spans="2:2" ht="15.5" x14ac:dyDescent="0.35">
      <c r="B4906" s="183"/>
    </row>
    <row r="4907" spans="2:2" ht="15.5" x14ac:dyDescent="0.35">
      <c r="B4907" s="183"/>
    </row>
    <row r="4908" spans="2:2" ht="15.5" x14ac:dyDescent="0.35">
      <c r="B4908" s="183"/>
    </row>
    <row r="4909" spans="2:2" ht="15.5" x14ac:dyDescent="0.35">
      <c r="B4909" s="183"/>
    </row>
    <row r="4910" spans="2:2" ht="15.5" x14ac:dyDescent="0.35">
      <c r="B4910" s="183"/>
    </row>
    <row r="4911" spans="2:2" ht="15.5" x14ac:dyDescent="0.35">
      <c r="B4911" s="183"/>
    </row>
    <row r="4912" spans="2:2" ht="15.5" x14ac:dyDescent="0.35">
      <c r="B4912" s="183"/>
    </row>
    <row r="4913" spans="2:2" ht="15.5" x14ac:dyDescent="0.35">
      <c r="B4913" s="183"/>
    </row>
    <row r="4914" spans="2:2" ht="15.5" x14ac:dyDescent="0.35">
      <c r="B4914" s="183"/>
    </row>
    <row r="4915" spans="2:2" ht="15.5" x14ac:dyDescent="0.35">
      <c r="B4915" s="183"/>
    </row>
    <row r="4916" spans="2:2" ht="15.5" x14ac:dyDescent="0.35">
      <c r="B4916" s="183"/>
    </row>
    <row r="4917" spans="2:2" ht="15.5" x14ac:dyDescent="0.35">
      <c r="B4917" s="183"/>
    </row>
    <row r="4918" spans="2:2" ht="15.5" x14ac:dyDescent="0.35">
      <c r="B4918" s="183"/>
    </row>
    <row r="4919" spans="2:2" ht="15.5" x14ac:dyDescent="0.35">
      <c r="B4919" s="183"/>
    </row>
    <row r="4920" spans="2:2" ht="15.5" x14ac:dyDescent="0.35">
      <c r="B4920" s="183"/>
    </row>
    <row r="4921" spans="2:2" ht="15.5" x14ac:dyDescent="0.35">
      <c r="B4921" s="183"/>
    </row>
    <row r="4922" spans="2:2" ht="15.5" x14ac:dyDescent="0.35">
      <c r="B4922" s="183"/>
    </row>
    <row r="4923" spans="2:2" ht="15.5" x14ac:dyDescent="0.35">
      <c r="B4923" s="183"/>
    </row>
    <row r="4924" spans="2:2" ht="15.5" x14ac:dyDescent="0.35">
      <c r="B4924" s="183"/>
    </row>
    <row r="4925" spans="2:2" ht="15.5" x14ac:dyDescent="0.35">
      <c r="B4925" s="183"/>
    </row>
    <row r="4926" spans="2:2" ht="15.5" x14ac:dyDescent="0.35">
      <c r="B4926" s="183"/>
    </row>
    <row r="4927" spans="2:2" ht="15.5" x14ac:dyDescent="0.35">
      <c r="B4927" s="183"/>
    </row>
    <row r="4928" spans="2:2" ht="15.5" x14ac:dyDescent="0.35">
      <c r="B4928" s="183"/>
    </row>
    <row r="4929" spans="2:2" ht="15.5" x14ac:dyDescent="0.35">
      <c r="B4929" s="183"/>
    </row>
    <row r="4930" spans="2:2" ht="15.5" x14ac:dyDescent="0.35">
      <c r="B4930" s="183"/>
    </row>
    <row r="4931" spans="2:2" ht="15.5" x14ac:dyDescent="0.35">
      <c r="B4931" s="183"/>
    </row>
    <row r="4932" spans="2:2" ht="15.5" x14ac:dyDescent="0.35">
      <c r="B4932" s="183"/>
    </row>
    <row r="4933" spans="2:2" ht="15.5" x14ac:dyDescent="0.35">
      <c r="B4933" s="183"/>
    </row>
    <row r="4934" spans="2:2" ht="15.5" x14ac:dyDescent="0.35">
      <c r="B4934" s="183"/>
    </row>
    <row r="4935" spans="2:2" ht="15.5" x14ac:dyDescent="0.35">
      <c r="B4935" s="183"/>
    </row>
    <row r="4936" spans="2:2" ht="15.5" x14ac:dyDescent="0.35">
      <c r="B4936" s="183"/>
    </row>
    <row r="4937" spans="2:2" ht="15.5" x14ac:dyDescent="0.35">
      <c r="B4937" s="183"/>
    </row>
    <row r="4938" spans="2:2" ht="15.5" x14ac:dyDescent="0.35">
      <c r="B4938" s="183"/>
    </row>
    <row r="4939" spans="2:2" ht="15.5" x14ac:dyDescent="0.35">
      <c r="B4939" s="183"/>
    </row>
    <row r="4940" spans="2:2" ht="15.5" x14ac:dyDescent="0.35">
      <c r="B4940" s="183"/>
    </row>
    <row r="4941" spans="2:2" ht="15.5" x14ac:dyDescent="0.35">
      <c r="B4941" s="183"/>
    </row>
    <row r="4942" spans="2:2" ht="15.5" x14ac:dyDescent="0.35">
      <c r="B4942" s="183"/>
    </row>
    <row r="4943" spans="2:2" ht="15.5" x14ac:dyDescent="0.35">
      <c r="B4943" s="183"/>
    </row>
    <row r="4944" spans="2:2" ht="15.5" x14ac:dyDescent="0.35">
      <c r="B4944" s="183"/>
    </row>
    <row r="4945" spans="2:2" ht="15.5" x14ac:dyDescent="0.35">
      <c r="B4945" s="183"/>
    </row>
    <row r="4946" spans="2:2" ht="15.5" x14ac:dyDescent="0.35">
      <c r="B4946" s="183"/>
    </row>
    <row r="4947" spans="2:2" ht="15.5" x14ac:dyDescent="0.35">
      <c r="B4947" s="183"/>
    </row>
    <row r="4948" spans="2:2" ht="15.5" x14ac:dyDescent="0.35">
      <c r="B4948" s="183"/>
    </row>
    <row r="4949" spans="2:2" ht="15.5" x14ac:dyDescent="0.35">
      <c r="B4949" s="183"/>
    </row>
    <row r="4950" spans="2:2" ht="15.5" x14ac:dyDescent="0.35">
      <c r="B4950" s="183"/>
    </row>
    <row r="4951" spans="2:2" ht="15.5" x14ac:dyDescent="0.35">
      <c r="B4951" s="183"/>
    </row>
    <row r="4952" spans="2:2" ht="15.5" x14ac:dyDescent="0.35">
      <c r="B4952" s="183"/>
    </row>
    <row r="4953" spans="2:2" ht="15.5" x14ac:dyDescent="0.35">
      <c r="B4953" s="183"/>
    </row>
    <row r="4954" spans="2:2" ht="15.5" x14ac:dyDescent="0.35">
      <c r="B4954" s="183"/>
    </row>
    <row r="4955" spans="2:2" ht="15.5" x14ac:dyDescent="0.35">
      <c r="B4955" s="183"/>
    </row>
    <row r="4956" spans="2:2" ht="15.5" x14ac:dyDescent="0.35">
      <c r="B4956" s="183"/>
    </row>
    <row r="4957" spans="2:2" ht="15.5" x14ac:dyDescent="0.35">
      <c r="B4957" s="183"/>
    </row>
    <row r="4958" spans="2:2" ht="15.5" x14ac:dyDescent="0.35">
      <c r="B4958" s="183"/>
    </row>
    <row r="4959" spans="2:2" ht="15.5" x14ac:dyDescent="0.35">
      <c r="B4959" s="183"/>
    </row>
    <row r="4960" spans="2:2" ht="15.5" x14ac:dyDescent="0.35">
      <c r="B4960" s="183"/>
    </row>
    <row r="4961" spans="2:2" ht="15.5" x14ac:dyDescent="0.35">
      <c r="B4961" s="183"/>
    </row>
    <row r="4962" spans="2:2" ht="15.5" x14ac:dyDescent="0.35">
      <c r="B4962" s="183"/>
    </row>
    <row r="4963" spans="2:2" ht="15.5" x14ac:dyDescent="0.35">
      <c r="B4963" s="183"/>
    </row>
    <row r="4964" spans="2:2" ht="15.5" x14ac:dyDescent="0.35">
      <c r="B4964" s="183"/>
    </row>
    <row r="4965" spans="2:2" ht="15.5" x14ac:dyDescent="0.35">
      <c r="B4965" s="183"/>
    </row>
    <row r="4966" spans="2:2" ht="15.5" x14ac:dyDescent="0.35">
      <c r="B4966" s="183"/>
    </row>
    <row r="4967" spans="2:2" ht="15.5" x14ac:dyDescent="0.35">
      <c r="B4967" s="183"/>
    </row>
    <row r="4968" spans="2:2" ht="15.5" x14ac:dyDescent="0.35">
      <c r="B4968" s="183"/>
    </row>
    <row r="4969" spans="2:2" ht="15.5" x14ac:dyDescent="0.35">
      <c r="B4969" s="183"/>
    </row>
    <row r="4970" spans="2:2" ht="15.5" x14ac:dyDescent="0.35">
      <c r="B4970" s="183"/>
    </row>
    <row r="4971" spans="2:2" ht="15.5" x14ac:dyDescent="0.35">
      <c r="B4971" s="183"/>
    </row>
    <row r="4972" spans="2:2" ht="15.5" x14ac:dyDescent="0.35">
      <c r="B4972" s="183"/>
    </row>
    <row r="4973" spans="2:2" ht="15.5" x14ac:dyDescent="0.35">
      <c r="B4973" s="183"/>
    </row>
    <row r="4974" spans="2:2" ht="15.5" x14ac:dyDescent="0.35">
      <c r="B4974" s="183"/>
    </row>
    <row r="4975" spans="2:2" ht="15.5" x14ac:dyDescent="0.35">
      <c r="B4975" s="183"/>
    </row>
    <row r="4976" spans="2:2" ht="15.5" x14ac:dyDescent="0.35">
      <c r="B4976" s="183"/>
    </row>
    <row r="4977" spans="2:2" ht="15.5" x14ac:dyDescent="0.35">
      <c r="B4977" s="183"/>
    </row>
    <row r="4978" spans="2:2" ht="15.5" x14ac:dyDescent="0.35">
      <c r="B4978" s="183"/>
    </row>
    <row r="4979" spans="2:2" ht="15.5" x14ac:dyDescent="0.35">
      <c r="B4979" s="183"/>
    </row>
    <row r="4980" spans="2:2" ht="15.5" x14ac:dyDescent="0.35">
      <c r="B4980" s="183"/>
    </row>
    <row r="4981" spans="2:2" ht="15.5" x14ac:dyDescent="0.35">
      <c r="B4981" s="183"/>
    </row>
    <row r="4982" spans="2:2" ht="15.5" x14ac:dyDescent="0.35">
      <c r="B4982" s="183"/>
    </row>
    <row r="4983" spans="2:2" ht="15.5" x14ac:dyDescent="0.35">
      <c r="B4983" s="183"/>
    </row>
    <row r="4984" spans="2:2" ht="15.5" x14ac:dyDescent="0.35">
      <c r="B4984" s="183"/>
    </row>
    <row r="4985" spans="2:2" ht="15.5" x14ac:dyDescent="0.35">
      <c r="B4985" s="183"/>
    </row>
    <row r="4986" spans="2:2" ht="15.5" x14ac:dyDescent="0.35">
      <c r="B4986" s="183"/>
    </row>
    <row r="4987" spans="2:2" ht="15.5" x14ac:dyDescent="0.35">
      <c r="B4987" s="183"/>
    </row>
    <row r="4988" spans="2:2" ht="15.5" x14ac:dyDescent="0.35">
      <c r="B4988" s="183"/>
    </row>
    <row r="4989" spans="2:2" ht="15.5" x14ac:dyDescent="0.35">
      <c r="B4989" s="183"/>
    </row>
    <row r="4990" spans="2:2" ht="15.5" x14ac:dyDescent="0.35">
      <c r="B4990" s="183"/>
    </row>
    <row r="4991" spans="2:2" ht="15.5" x14ac:dyDescent="0.35">
      <c r="B4991" s="183"/>
    </row>
    <row r="4992" spans="2:2" ht="15.5" x14ac:dyDescent="0.35">
      <c r="B4992" s="183"/>
    </row>
    <row r="4993" spans="2:2" ht="15.5" x14ac:dyDescent="0.35">
      <c r="B4993" s="183"/>
    </row>
    <row r="4994" spans="2:2" ht="15.5" x14ac:dyDescent="0.35">
      <c r="B4994" s="183"/>
    </row>
    <row r="4995" spans="2:2" ht="15.5" x14ac:dyDescent="0.35">
      <c r="B4995" s="183"/>
    </row>
    <row r="4996" spans="2:2" ht="15.5" x14ac:dyDescent="0.35">
      <c r="B4996" s="183"/>
    </row>
    <row r="4997" spans="2:2" ht="15.5" x14ac:dyDescent="0.35">
      <c r="B4997" s="183"/>
    </row>
    <row r="4998" spans="2:2" ht="15.5" x14ac:dyDescent="0.35">
      <c r="B4998" s="183"/>
    </row>
    <row r="4999" spans="2:2" ht="15.5" x14ac:dyDescent="0.35">
      <c r="B4999" s="183"/>
    </row>
    <row r="5000" spans="2:2" ht="15.5" x14ac:dyDescent="0.35">
      <c r="B5000" s="183"/>
    </row>
    <row r="5001" spans="2:2" ht="15.5" x14ac:dyDescent="0.35">
      <c r="B5001" s="183"/>
    </row>
    <row r="5002" spans="2:2" ht="15.5" x14ac:dyDescent="0.35">
      <c r="B5002" s="183"/>
    </row>
    <row r="5003" spans="2:2" ht="15.5" x14ac:dyDescent="0.35">
      <c r="B5003" s="183"/>
    </row>
    <row r="5004" spans="2:2" ht="15.5" x14ac:dyDescent="0.35">
      <c r="B5004" s="183"/>
    </row>
    <row r="5005" spans="2:2" ht="15.5" x14ac:dyDescent="0.35">
      <c r="B5005" s="183"/>
    </row>
    <row r="5006" spans="2:2" ht="15.5" x14ac:dyDescent="0.35">
      <c r="B5006" s="183"/>
    </row>
    <row r="5007" spans="2:2" ht="15.5" x14ac:dyDescent="0.35">
      <c r="B5007" s="183"/>
    </row>
    <row r="5008" spans="2:2" ht="15.5" x14ac:dyDescent="0.35">
      <c r="B5008" s="183"/>
    </row>
    <row r="5009" spans="2:2" ht="15.5" x14ac:dyDescent="0.35">
      <c r="B5009" s="183"/>
    </row>
    <row r="5010" spans="2:2" ht="15.5" x14ac:dyDescent="0.35">
      <c r="B5010" s="183"/>
    </row>
    <row r="5011" spans="2:2" ht="15.5" x14ac:dyDescent="0.35">
      <c r="B5011" s="183"/>
    </row>
    <row r="5012" spans="2:2" ht="15.5" x14ac:dyDescent="0.35">
      <c r="B5012" s="183"/>
    </row>
    <row r="5013" spans="2:2" ht="15.5" x14ac:dyDescent="0.35">
      <c r="B5013" s="183"/>
    </row>
    <row r="5014" spans="2:2" ht="15.5" x14ac:dyDescent="0.35">
      <c r="B5014" s="183"/>
    </row>
    <row r="5015" spans="2:2" ht="15.5" x14ac:dyDescent="0.35">
      <c r="B5015" s="183"/>
    </row>
    <row r="5016" spans="2:2" ht="15.5" x14ac:dyDescent="0.35">
      <c r="B5016" s="183"/>
    </row>
    <row r="5017" spans="2:2" ht="15.5" x14ac:dyDescent="0.35">
      <c r="B5017" s="183"/>
    </row>
    <row r="5018" spans="2:2" ht="15.5" x14ac:dyDescent="0.35">
      <c r="B5018" s="183"/>
    </row>
    <row r="5019" spans="2:2" ht="15.5" x14ac:dyDescent="0.35">
      <c r="B5019" s="183"/>
    </row>
    <row r="5020" spans="2:2" ht="15.5" x14ac:dyDescent="0.35">
      <c r="B5020" s="183"/>
    </row>
    <row r="5021" spans="2:2" ht="15.5" x14ac:dyDescent="0.35">
      <c r="B5021" s="183"/>
    </row>
    <row r="5022" spans="2:2" ht="15.5" x14ac:dyDescent="0.35">
      <c r="B5022" s="183"/>
    </row>
    <row r="5023" spans="2:2" ht="15.5" x14ac:dyDescent="0.35">
      <c r="B5023" s="183"/>
    </row>
    <row r="5024" spans="2:2" ht="15.5" x14ac:dyDescent="0.35">
      <c r="B5024" s="183"/>
    </row>
    <row r="5025" spans="2:2" ht="15.5" x14ac:dyDescent="0.35">
      <c r="B5025" s="183"/>
    </row>
    <row r="5026" spans="2:2" ht="15.5" x14ac:dyDescent="0.35">
      <c r="B5026" s="183"/>
    </row>
    <row r="5027" spans="2:2" ht="15.5" x14ac:dyDescent="0.35">
      <c r="B5027" s="183"/>
    </row>
    <row r="5028" spans="2:2" ht="15.5" x14ac:dyDescent="0.35">
      <c r="B5028" s="183"/>
    </row>
    <row r="5029" spans="2:2" ht="15.5" x14ac:dyDescent="0.35">
      <c r="B5029" s="183"/>
    </row>
    <row r="5030" spans="2:2" ht="15.5" x14ac:dyDescent="0.35">
      <c r="B5030" s="183"/>
    </row>
    <row r="5031" spans="2:2" ht="15.5" x14ac:dyDescent="0.35">
      <c r="B5031" s="183"/>
    </row>
    <row r="5032" spans="2:2" ht="15.5" x14ac:dyDescent="0.35">
      <c r="B5032" s="183"/>
    </row>
    <row r="5033" spans="2:2" ht="15.5" x14ac:dyDescent="0.35">
      <c r="B5033" s="183"/>
    </row>
    <row r="5034" spans="2:2" ht="15.5" x14ac:dyDescent="0.35">
      <c r="B5034" s="183"/>
    </row>
    <row r="5035" spans="2:2" ht="15.5" x14ac:dyDescent="0.35">
      <c r="B5035" s="183"/>
    </row>
    <row r="5036" spans="2:2" ht="15.5" x14ac:dyDescent="0.35">
      <c r="B5036" s="183"/>
    </row>
    <row r="5037" spans="2:2" ht="15.5" x14ac:dyDescent="0.35">
      <c r="B5037" s="183"/>
    </row>
    <row r="5038" spans="2:2" ht="15.5" x14ac:dyDescent="0.35">
      <c r="B5038" s="183"/>
    </row>
    <row r="5039" spans="2:2" ht="15.5" x14ac:dyDescent="0.35">
      <c r="B5039" s="183"/>
    </row>
    <row r="5040" spans="2:2" ht="15.5" x14ac:dyDescent="0.35">
      <c r="B5040" s="183"/>
    </row>
    <row r="5041" spans="2:2" ht="15.5" x14ac:dyDescent="0.35">
      <c r="B5041" s="183"/>
    </row>
    <row r="5042" spans="2:2" ht="15.5" x14ac:dyDescent="0.35">
      <c r="B5042" s="183"/>
    </row>
    <row r="5043" spans="2:2" ht="15.5" x14ac:dyDescent="0.35">
      <c r="B5043" s="183"/>
    </row>
    <row r="5044" spans="2:2" ht="15.5" x14ac:dyDescent="0.35">
      <c r="B5044" s="183"/>
    </row>
    <row r="5045" spans="2:2" ht="15.5" x14ac:dyDescent="0.35">
      <c r="B5045" s="183"/>
    </row>
    <row r="5046" spans="2:2" ht="15.5" x14ac:dyDescent="0.35">
      <c r="B5046" s="183"/>
    </row>
    <row r="5047" spans="2:2" ht="15.5" x14ac:dyDescent="0.35">
      <c r="B5047" s="183"/>
    </row>
    <row r="5048" spans="2:2" ht="15.5" x14ac:dyDescent="0.35">
      <c r="B5048" s="183"/>
    </row>
    <row r="5049" spans="2:2" ht="15.5" x14ac:dyDescent="0.35">
      <c r="B5049" s="183"/>
    </row>
    <row r="5050" spans="2:2" ht="15.5" x14ac:dyDescent="0.35">
      <c r="B5050" s="183"/>
    </row>
    <row r="5051" spans="2:2" ht="15.5" x14ac:dyDescent="0.35">
      <c r="B5051" s="183"/>
    </row>
    <row r="5052" spans="2:2" ht="15.5" x14ac:dyDescent="0.35">
      <c r="B5052" s="183"/>
    </row>
    <row r="5053" spans="2:2" ht="15.5" x14ac:dyDescent="0.35">
      <c r="B5053" s="183"/>
    </row>
    <row r="5054" spans="2:2" ht="15.5" x14ac:dyDescent="0.35">
      <c r="B5054" s="183"/>
    </row>
    <row r="5055" spans="2:2" ht="15.5" x14ac:dyDescent="0.35">
      <c r="B5055" s="183"/>
    </row>
    <row r="5056" spans="2:2" ht="15.5" x14ac:dyDescent="0.35">
      <c r="B5056" s="183"/>
    </row>
    <row r="5057" spans="2:2" ht="15.5" x14ac:dyDescent="0.35">
      <c r="B5057" s="183"/>
    </row>
    <row r="5058" spans="2:2" ht="15.5" x14ac:dyDescent="0.35">
      <c r="B5058" s="183"/>
    </row>
    <row r="5059" spans="2:2" ht="15.5" x14ac:dyDescent="0.35">
      <c r="B5059" s="183"/>
    </row>
    <row r="5060" spans="2:2" ht="15.5" x14ac:dyDescent="0.35">
      <c r="B5060" s="183"/>
    </row>
    <row r="5061" spans="2:2" ht="15.5" x14ac:dyDescent="0.35">
      <c r="B5061" s="183"/>
    </row>
    <row r="5062" spans="2:2" ht="15.5" x14ac:dyDescent="0.35">
      <c r="B5062" s="183"/>
    </row>
    <row r="5063" spans="2:2" ht="15.5" x14ac:dyDescent="0.35">
      <c r="B5063" s="183"/>
    </row>
    <row r="5064" spans="2:2" ht="15.5" x14ac:dyDescent="0.35">
      <c r="B5064" s="183"/>
    </row>
    <row r="5065" spans="2:2" ht="15.5" x14ac:dyDescent="0.35">
      <c r="B5065" s="183"/>
    </row>
    <row r="5066" spans="2:2" ht="15.5" x14ac:dyDescent="0.35">
      <c r="B5066" s="183"/>
    </row>
    <row r="5067" spans="2:2" ht="15.5" x14ac:dyDescent="0.35">
      <c r="B5067" s="183"/>
    </row>
    <row r="5068" spans="2:2" ht="15.5" x14ac:dyDescent="0.35">
      <c r="B5068" s="183"/>
    </row>
    <row r="5069" spans="2:2" ht="15.5" x14ac:dyDescent="0.35">
      <c r="B5069" s="183"/>
    </row>
    <row r="5070" spans="2:2" ht="15.5" x14ac:dyDescent="0.35">
      <c r="B5070" s="183"/>
    </row>
    <row r="5071" spans="2:2" ht="15.5" x14ac:dyDescent="0.35">
      <c r="B5071" s="183"/>
    </row>
    <row r="5072" spans="2:2" ht="15.5" x14ac:dyDescent="0.35">
      <c r="B5072" s="183"/>
    </row>
    <row r="5073" spans="2:2" ht="15.5" x14ac:dyDescent="0.35">
      <c r="B5073" s="183"/>
    </row>
    <row r="5074" spans="2:2" ht="15.5" x14ac:dyDescent="0.35">
      <c r="B5074" s="183"/>
    </row>
    <row r="5075" spans="2:2" ht="15.5" x14ac:dyDescent="0.35">
      <c r="B5075" s="183"/>
    </row>
    <row r="5076" spans="2:2" ht="15.5" x14ac:dyDescent="0.35">
      <c r="B5076" s="183"/>
    </row>
    <row r="5077" spans="2:2" ht="15.5" x14ac:dyDescent="0.35">
      <c r="B5077" s="183"/>
    </row>
    <row r="5078" spans="2:2" ht="15.5" x14ac:dyDescent="0.35">
      <c r="B5078" s="183"/>
    </row>
    <row r="5079" spans="2:2" ht="15.5" x14ac:dyDescent="0.35">
      <c r="B5079" s="183"/>
    </row>
    <row r="5080" spans="2:2" ht="15.5" x14ac:dyDescent="0.35">
      <c r="B5080" s="183"/>
    </row>
    <row r="5081" spans="2:2" ht="15.5" x14ac:dyDescent="0.35">
      <c r="B5081" s="183"/>
    </row>
    <row r="5082" spans="2:2" ht="15.5" x14ac:dyDescent="0.35">
      <c r="B5082" s="183"/>
    </row>
    <row r="5083" spans="2:2" ht="15.5" x14ac:dyDescent="0.35">
      <c r="B5083" s="183"/>
    </row>
    <row r="5084" spans="2:2" ht="15.5" x14ac:dyDescent="0.35">
      <c r="B5084" s="183"/>
    </row>
    <row r="5085" spans="2:2" ht="15.5" x14ac:dyDescent="0.35">
      <c r="B5085" s="183"/>
    </row>
    <row r="5086" spans="2:2" ht="15.5" x14ac:dyDescent="0.35">
      <c r="B5086" s="183"/>
    </row>
    <row r="5087" spans="2:2" ht="15.5" x14ac:dyDescent="0.35">
      <c r="B5087" s="183"/>
    </row>
    <row r="5088" spans="2:2" ht="15.5" x14ac:dyDescent="0.35">
      <c r="B5088" s="183"/>
    </row>
    <row r="5089" spans="2:2" ht="15.5" x14ac:dyDescent="0.35">
      <c r="B5089" s="183"/>
    </row>
    <row r="5090" spans="2:2" ht="15.5" x14ac:dyDescent="0.35">
      <c r="B5090" s="183"/>
    </row>
    <row r="5091" spans="2:2" ht="15.5" x14ac:dyDescent="0.35">
      <c r="B5091" s="183"/>
    </row>
    <row r="5092" spans="2:2" ht="15.5" x14ac:dyDescent="0.35">
      <c r="B5092" s="183"/>
    </row>
    <row r="5093" spans="2:2" ht="15.5" x14ac:dyDescent="0.35">
      <c r="B5093" s="183"/>
    </row>
    <row r="5094" spans="2:2" ht="15.5" x14ac:dyDescent="0.35">
      <c r="B5094" s="183"/>
    </row>
    <row r="5095" spans="2:2" ht="15.5" x14ac:dyDescent="0.35">
      <c r="B5095" s="183"/>
    </row>
    <row r="5096" spans="2:2" ht="15.5" x14ac:dyDescent="0.35">
      <c r="B5096" s="183"/>
    </row>
    <row r="5097" spans="2:2" ht="15.5" x14ac:dyDescent="0.35">
      <c r="B5097" s="183"/>
    </row>
    <row r="5098" spans="2:2" ht="15.5" x14ac:dyDescent="0.35">
      <c r="B5098" s="183"/>
    </row>
    <row r="5099" spans="2:2" ht="15.5" x14ac:dyDescent="0.35">
      <c r="B5099" s="183"/>
    </row>
    <row r="5100" spans="2:2" ht="15.5" x14ac:dyDescent="0.35">
      <c r="B5100" s="183"/>
    </row>
    <row r="5101" spans="2:2" ht="15.5" x14ac:dyDescent="0.35">
      <c r="B5101" s="183"/>
    </row>
    <row r="5102" spans="2:2" ht="15.5" x14ac:dyDescent="0.35">
      <c r="B5102" s="183"/>
    </row>
    <row r="5103" spans="2:2" ht="15.5" x14ac:dyDescent="0.35">
      <c r="B5103" s="183"/>
    </row>
    <row r="5104" spans="2:2" ht="15.5" x14ac:dyDescent="0.35">
      <c r="B5104" s="183"/>
    </row>
    <row r="5105" spans="2:2" ht="15.5" x14ac:dyDescent="0.35">
      <c r="B5105" s="183"/>
    </row>
    <row r="5106" spans="2:2" ht="15.5" x14ac:dyDescent="0.35">
      <c r="B5106" s="183"/>
    </row>
    <row r="5107" spans="2:2" ht="15.5" x14ac:dyDescent="0.35">
      <c r="B5107" s="183"/>
    </row>
    <row r="5108" spans="2:2" ht="15.5" x14ac:dyDescent="0.35">
      <c r="B5108" s="183"/>
    </row>
    <row r="5109" spans="2:2" ht="15.5" x14ac:dyDescent="0.35">
      <c r="B5109" s="183"/>
    </row>
    <row r="5110" spans="2:2" ht="15.5" x14ac:dyDescent="0.35">
      <c r="B5110" s="183"/>
    </row>
    <row r="5111" spans="2:2" ht="15.5" x14ac:dyDescent="0.35">
      <c r="B5111" s="183"/>
    </row>
    <row r="5112" spans="2:2" ht="15.5" x14ac:dyDescent="0.35">
      <c r="B5112" s="183"/>
    </row>
    <row r="5113" spans="2:2" ht="15.5" x14ac:dyDescent="0.35">
      <c r="B5113" s="183"/>
    </row>
    <row r="5114" spans="2:2" ht="15.5" x14ac:dyDescent="0.35">
      <c r="B5114" s="183"/>
    </row>
    <row r="5115" spans="2:2" ht="15.5" x14ac:dyDescent="0.35">
      <c r="B5115" s="183"/>
    </row>
    <row r="5116" spans="2:2" ht="15.5" x14ac:dyDescent="0.35">
      <c r="B5116" s="183"/>
    </row>
    <row r="5117" spans="2:2" ht="15.5" x14ac:dyDescent="0.35">
      <c r="B5117" s="183"/>
    </row>
    <row r="5118" spans="2:2" ht="15.5" x14ac:dyDescent="0.35">
      <c r="B5118" s="183"/>
    </row>
    <row r="5119" spans="2:2" ht="15.5" x14ac:dyDescent="0.35">
      <c r="B5119" s="183"/>
    </row>
    <row r="5120" spans="2:2" ht="15.5" x14ac:dyDescent="0.35">
      <c r="B5120" s="183"/>
    </row>
    <row r="5121" spans="2:2" ht="15.5" x14ac:dyDescent="0.35">
      <c r="B5121" s="183"/>
    </row>
    <row r="5122" spans="2:2" ht="15.5" x14ac:dyDescent="0.35">
      <c r="B5122" s="183"/>
    </row>
    <row r="5123" spans="2:2" ht="15.5" x14ac:dyDescent="0.35">
      <c r="B5123" s="183"/>
    </row>
    <row r="5124" spans="2:2" ht="15.5" x14ac:dyDescent="0.35">
      <c r="B5124" s="183"/>
    </row>
    <row r="5125" spans="2:2" ht="15.5" x14ac:dyDescent="0.35">
      <c r="B5125" s="183"/>
    </row>
    <row r="5126" spans="2:2" ht="15.5" x14ac:dyDescent="0.35">
      <c r="B5126" s="183"/>
    </row>
    <row r="5127" spans="2:2" ht="15.5" x14ac:dyDescent="0.35">
      <c r="B5127" s="183"/>
    </row>
    <row r="5128" spans="2:2" ht="15.5" x14ac:dyDescent="0.35">
      <c r="B5128" s="183"/>
    </row>
    <row r="5129" spans="2:2" ht="15.5" x14ac:dyDescent="0.35">
      <c r="B5129" s="183"/>
    </row>
    <row r="5130" spans="2:2" ht="15.5" x14ac:dyDescent="0.35">
      <c r="B5130" s="183"/>
    </row>
    <row r="5131" spans="2:2" ht="15.5" x14ac:dyDescent="0.35">
      <c r="B5131" s="183"/>
    </row>
    <row r="5132" spans="2:2" ht="15.5" x14ac:dyDescent="0.35">
      <c r="B5132" s="183"/>
    </row>
    <row r="5133" spans="2:2" ht="15.5" x14ac:dyDescent="0.35">
      <c r="B5133" s="183"/>
    </row>
    <row r="5134" spans="2:2" ht="15.5" x14ac:dyDescent="0.35">
      <c r="B5134" s="183"/>
    </row>
    <row r="5135" spans="2:2" ht="15.5" x14ac:dyDescent="0.35">
      <c r="B5135" s="183"/>
    </row>
    <row r="5136" spans="2:2" ht="15.5" x14ac:dyDescent="0.35">
      <c r="B5136" s="183"/>
    </row>
    <row r="5137" spans="2:2" ht="15.5" x14ac:dyDescent="0.35">
      <c r="B5137" s="183"/>
    </row>
    <row r="5138" spans="2:2" ht="15.5" x14ac:dyDescent="0.35">
      <c r="B5138" s="183"/>
    </row>
    <row r="5139" spans="2:2" ht="15.5" x14ac:dyDescent="0.35">
      <c r="B5139" s="183"/>
    </row>
    <row r="5140" spans="2:2" ht="15.5" x14ac:dyDescent="0.35">
      <c r="B5140" s="183"/>
    </row>
    <row r="5141" spans="2:2" ht="15.5" x14ac:dyDescent="0.35">
      <c r="B5141" s="183"/>
    </row>
    <row r="5142" spans="2:2" ht="15.5" x14ac:dyDescent="0.35">
      <c r="B5142" s="183"/>
    </row>
    <row r="5143" spans="2:2" ht="15.5" x14ac:dyDescent="0.35">
      <c r="B5143" s="183"/>
    </row>
    <row r="5144" spans="2:2" ht="15.5" x14ac:dyDescent="0.35">
      <c r="B5144" s="183"/>
    </row>
    <row r="5145" spans="2:2" ht="15.5" x14ac:dyDescent="0.35">
      <c r="B5145" s="183"/>
    </row>
    <row r="5146" spans="2:2" ht="15.5" x14ac:dyDescent="0.35">
      <c r="B5146" s="183"/>
    </row>
    <row r="5147" spans="2:2" ht="15.5" x14ac:dyDescent="0.35">
      <c r="B5147" s="183"/>
    </row>
    <row r="5148" spans="2:2" ht="15.5" x14ac:dyDescent="0.35">
      <c r="B5148" s="183"/>
    </row>
    <row r="5149" spans="2:2" ht="15.5" x14ac:dyDescent="0.35">
      <c r="B5149" s="183"/>
    </row>
    <row r="5150" spans="2:2" ht="15.5" x14ac:dyDescent="0.35">
      <c r="B5150" s="183"/>
    </row>
    <row r="5151" spans="2:2" ht="15.5" x14ac:dyDescent="0.35">
      <c r="B5151" s="183"/>
    </row>
    <row r="5152" spans="2:2" ht="15.5" x14ac:dyDescent="0.35">
      <c r="B5152" s="183"/>
    </row>
    <row r="5153" spans="2:2" ht="15.5" x14ac:dyDescent="0.35">
      <c r="B5153" s="183"/>
    </row>
    <row r="5154" spans="2:2" ht="15.5" x14ac:dyDescent="0.35">
      <c r="B5154" s="183"/>
    </row>
    <row r="5155" spans="2:2" ht="15.5" x14ac:dyDescent="0.35">
      <c r="B5155" s="183"/>
    </row>
    <row r="5156" spans="2:2" ht="15.5" x14ac:dyDescent="0.35">
      <c r="B5156" s="183"/>
    </row>
    <row r="5157" spans="2:2" ht="15.5" x14ac:dyDescent="0.35">
      <c r="B5157" s="183"/>
    </row>
    <row r="5158" spans="2:2" ht="15.5" x14ac:dyDescent="0.35">
      <c r="B5158" s="183"/>
    </row>
    <row r="5159" spans="2:2" ht="15.5" x14ac:dyDescent="0.35">
      <c r="B5159" s="183"/>
    </row>
    <row r="5160" spans="2:2" ht="15.5" x14ac:dyDescent="0.35">
      <c r="B5160" s="183"/>
    </row>
    <row r="5161" spans="2:2" ht="15.5" x14ac:dyDescent="0.35">
      <c r="B5161" s="183"/>
    </row>
    <row r="5162" spans="2:2" ht="15.5" x14ac:dyDescent="0.35">
      <c r="B5162" s="183"/>
    </row>
    <row r="5163" spans="2:2" ht="15.5" x14ac:dyDescent="0.35">
      <c r="B5163" s="183"/>
    </row>
    <row r="5164" spans="2:2" ht="15.5" x14ac:dyDescent="0.35">
      <c r="B5164" s="183"/>
    </row>
    <row r="5165" spans="2:2" ht="15.5" x14ac:dyDescent="0.35">
      <c r="B5165" s="183"/>
    </row>
    <row r="5166" spans="2:2" ht="15.5" x14ac:dyDescent="0.35">
      <c r="B5166" s="183"/>
    </row>
    <row r="5167" spans="2:2" ht="15.5" x14ac:dyDescent="0.35">
      <c r="B5167" s="183"/>
    </row>
    <row r="5168" spans="2:2" ht="15.5" x14ac:dyDescent="0.35">
      <c r="B5168" s="183"/>
    </row>
    <row r="5169" spans="2:2" ht="15.5" x14ac:dyDescent="0.35">
      <c r="B5169" s="183"/>
    </row>
    <row r="5170" spans="2:2" ht="15.5" x14ac:dyDescent="0.35">
      <c r="B5170" s="183"/>
    </row>
    <row r="5171" spans="2:2" ht="15.5" x14ac:dyDescent="0.35">
      <c r="B5171" s="183"/>
    </row>
    <row r="5172" spans="2:2" ht="15.5" x14ac:dyDescent="0.35">
      <c r="B5172" s="183"/>
    </row>
    <row r="5173" spans="2:2" ht="15.5" x14ac:dyDescent="0.35">
      <c r="B5173" s="183"/>
    </row>
    <row r="5174" spans="2:2" ht="15.5" x14ac:dyDescent="0.35">
      <c r="B5174" s="183"/>
    </row>
    <row r="5175" spans="2:2" ht="15.5" x14ac:dyDescent="0.35">
      <c r="B5175" s="183"/>
    </row>
    <row r="5176" spans="2:2" ht="15.5" x14ac:dyDescent="0.35">
      <c r="B5176" s="183"/>
    </row>
    <row r="5177" spans="2:2" ht="15.5" x14ac:dyDescent="0.35">
      <c r="B5177" s="183"/>
    </row>
    <row r="5178" spans="2:2" ht="15.5" x14ac:dyDescent="0.35">
      <c r="B5178" s="183"/>
    </row>
    <row r="5179" spans="2:2" ht="15.5" x14ac:dyDescent="0.35">
      <c r="B5179" s="183"/>
    </row>
    <row r="5180" spans="2:2" ht="15.5" x14ac:dyDescent="0.35">
      <c r="B5180" s="183"/>
    </row>
    <row r="5181" spans="2:2" ht="15.5" x14ac:dyDescent="0.35">
      <c r="B5181" s="183"/>
    </row>
    <row r="5182" spans="2:2" ht="15.5" x14ac:dyDescent="0.35">
      <c r="B5182" s="183"/>
    </row>
    <row r="5183" spans="2:2" ht="15.5" x14ac:dyDescent="0.35">
      <c r="B5183" s="183"/>
    </row>
    <row r="5184" spans="2:2" ht="15.5" x14ac:dyDescent="0.35">
      <c r="B5184" s="183"/>
    </row>
    <row r="5185" spans="2:2" ht="15.5" x14ac:dyDescent="0.35">
      <c r="B5185" s="183"/>
    </row>
    <row r="5186" spans="2:2" ht="15.5" x14ac:dyDescent="0.35">
      <c r="B5186" s="183"/>
    </row>
    <row r="5187" spans="2:2" ht="15.5" x14ac:dyDescent="0.35">
      <c r="B5187" s="183"/>
    </row>
    <row r="5188" spans="2:2" ht="15.5" x14ac:dyDescent="0.35">
      <c r="B5188" s="183"/>
    </row>
    <row r="5189" spans="2:2" ht="15.5" x14ac:dyDescent="0.35">
      <c r="B5189" s="183"/>
    </row>
    <row r="5190" spans="2:2" ht="15.5" x14ac:dyDescent="0.35">
      <c r="B5190" s="183"/>
    </row>
    <row r="5191" spans="2:2" ht="15.5" x14ac:dyDescent="0.35">
      <c r="B5191" s="183"/>
    </row>
    <row r="5192" spans="2:2" ht="15.5" x14ac:dyDescent="0.35">
      <c r="B5192" s="183"/>
    </row>
    <row r="5193" spans="2:2" ht="15.5" x14ac:dyDescent="0.35">
      <c r="B5193" s="183"/>
    </row>
    <row r="5194" spans="2:2" ht="15.5" x14ac:dyDescent="0.35">
      <c r="B5194" s="183"/>
    </row>
    <row r="5195" spans="2:2" ht="15.5" x14ac:dyDescent="0.35">
      <c r="B5195" s="183"/>
    </row>
    <row r="5196" spans="2:2" ht="15.5" x14ac:dyDescent="0.35">
      <c r="B5196" s="183"/>
    </row>
    <row r="5197" spans="2:2" ht="15.5" x14ac:dyDescent="0.35">
      <c r="B5197" s="183"/>
    </row>
    <row r="5198" spans="2:2" ht="15.5" x14ac:dyDescent="0.35">
      <c r="B5198" s="183"/>
    </row>
    <row r="5199" spans="2:2" ht="15.5" x14ac:dyDescent="0.35">
      <c r="B5199" s="183"/>
    </row>
    <row r="5200" spans="2:2" ht="15.5" x14ac:dyDescent="0.35">
      <c r="B5200" s="183"/>
    </row>
    <row r="5201" spans="2:2" ht="15.5" x14ac:dyDescent="0.35">
      <c r="B5201" s="183"/>
    </row>
    <row r="5202" spans="2:2" ht="15.5" x14ac:dyDescent="0.35">
      <c r="B5202" s="183"/>
    </row>
    <row r="5203" spans="2:2" ht="15.5" x14ac:dyDescent="0.35">
      <c r="B5203" s="183"/>
    </row>
    <row r="5204" spans="2:2" ht="15.5" x14ac:dyDescent="0.35">
      <c r="B5204" s="183"/>
    </row>
    <row r="5205" spans="2:2" ht="15.5" x14ac:dyDescent="0.35">
      <c r="B5205" s="183"/>
    </row>
    <row r="5206" spans="2:2" ht="15.5" x14ac:dyDescent="0.35">
      <c r="B5206" s="183"/>
    </row>
    <row r="5207" spans="2:2" ht="15.5" x14ac:dyDescent="0.35">
      <c r="B5207" s="183"/>
    </row>
    <row r="5208" spans="2:2" ht="15.5" x14ac:dyDescent="0.35">
      <c r="B5208" s="183"/>
    </row>
    <row r="5209" spans="2:2" ht="15.5" x14ac:dyDescent="0.35">
      <c r="B5209" s="183"/>
    </row>
    <row r="5210" spans="2:2" ht="15.5" x14ac:dyDescent="0.35">
      <c r="B5210" s="183"/>
    </row>
    <row r="5211" spans="2:2" ht="15.5" x14ac:dyDescent="0.35">
      <c r="B5211" s="183"/>
    </row>
    <row r="5212" spans="2:2" ht="15.5" x14ac:dyDescent="0.35">
      <c r="B5212" s="183"/>
    </row>
    <row r="5213" spans="2:2" ht="15.5" x14ac:dyDescent="0.35">
      <c r="B5213" s="183"/>
    </row>
    <row r="5214" spans="2:2" ht="15.5" x14ac:dyDescent="0.35">
      <c r="B5214" s="183"/>
    </row>
    <row r="5215" spans="2:2" ht="15.5" x14ac:dyDescent="0.35">
      <c r="B5215" s="183"/>
    </row>
    <row r="5216" spans="2:2" ht="15.5" x14ac:dyDescent="0.35">
      <c r="B5216" s="183"/>
    </row>
    <row r="5217" spans="2:2" ht="15.5" x14ac:dyDescent="0.35">
      <c r="B5217" s="183"/>
    </row>
    <row r="5218" spans="2:2" ht="15.5" x14ac:dyDescent="0.35">
      <c r="B5218" s="183"/>
    </row>
    <row r="5219" spans="2:2" ht="15.5" x14ac:dyDescent="0.35">
      <c r="B5219" s="183"/>
    </row>
    <row r="5220" spans="2:2" ht="15.5" x14ac:dyDescent="0.35">
      <c r="B5220" s="183"/>
    </row>
    <row r="5221" spans="2:2" ht="15.5" x14ac:dyDescent="0.35">
      <c r="B5221" s="183"/>
    </row>
    <row r="5222" spans="2:2" ht="15.5" x14ac:dyDescent="0.35">
      <c r="B5222" s="183"/>
    </row>
    <row r="5223" spans="2:2" ht="15.5" x14ac:dyDescent="0.35">
      <c r="B5223" s="183"/>
    </row>
    <row r="5224" spans="2:2" ht="15.5" x14ac:dyDescent="0.35">
      <c r="B5224" s="183"/>
    </row>
    <row r="5225" spans="2:2" ht="15.5" x14ac:dyDescent="0.35">
      <c r="B5225" s="183"/>
    </row>
    <row r="5226" spans="2:2" ht="15.5" x14ac:dyDescent="0.35">
      <c r="B5226" s="183"/>
    </row>
    <row r="5227" spans="2:2" ht="15.5" x14ac:dyDescent="0.35">
      <c r="B5227" s="183"/>
    </row>
    <row r="5228" spans="2:2" ht="15.5" x14ac:dyDescent="0.35">
      <c r="B5228" s="183"/>
    </row>
    <row r="5229" spans="2:2" ht="15.5" x14ac:dyDescent="0.35">
      <c r="B5229" s="183"/>
    </row>
    <row r="5230" spans="2:2" ht="15.5" x14ac:dyDescent="0.35">
      <c r="B5230" s="183"/>
    </row>
    <row r="5231" spans="2:2" ht="15.5" x14ac:dyDescent="0.35">
      <c r="B5231" s="183"/>
    </row>
    <row r="5232" spans="2:2" ht="15.5" x14ac:dyDescent="0.35">
      <c r="B5232" s="183"/>
    </row>
    <row r="5233" spans="2:2" ht="15.5" x14ac:dyDescent="0.35">
      <c r="B5233" s="183"/>
    </row>
    <row r="5234" spans="2:2" ht="15.5" x14ac:dyDescent="0.35">
      <c r="B5234" s="183"/>
    </row>
    <row r="5235" spans="2:2" ht="15.5" x14ac:dyDescent="0.35">
      <c r="B5235" s="183"/>
    </row>
    <row r="5236" spans="2:2" ht="15.5" x14ac:dyDescent="0.35">
      <c r="B5236" s="183"/>
    </row>
    <row r="5237" spans="2:2" ht="15.5" x14ac:dyDescent="0.35">
      <c r="B5237" s="183"/>
    </row>
    <row r="5238" spans="2:2" ht="15.5" x14ac:dyDescent="0.35">
      <c r="B5238" s="183"/>
    </row>
    <row r="5239" spans="2:2" ht="15.5" x14ac:dyDescent="0.35">
      <c r="B5239" s="183"/>
    </row>
    <row r="5240" spans="2:2" ht="15.5" x14ac:dyDescent="0.35">
      <c r="B5240" s="183"/>
    </row>
    <row r="5241" spans="2:2" ht="15.5" x14ac:dyDescent="0.35">
      <c r="B5241" s="183"/>
    </row>
    <row r="5242" spans="2:2" ht="15.5" x14ac:dyDescent="0.35">
      <c r="B5242" s="183"/>
    </row>
    <row r="5243" spans="2:2" ht="15.5" x14ac:dyDescent="0.35">
      <c r="B5243" s="183"/>
    </row>
    <row r="5244" spans="2:2" ht="15.5" x14ac:dyDescent="0.35">
      <c r="B5244" s="183"/>
    </row>
    <row r="5245" spans="2:2" ht="15.5" x14ac:dyDescent="0.35">
      <c r="B5245" s="183"/>
    </row>
    <row r="5246" spans="2:2" ht="15.5" x14ac:dyDescent="0.35">
      <c r="B5246" s="183"/>
    </row>
    <row r="5247" spans="2:2" ht="15.5" x14ac:dyDescent="0.35">
      <c r="B5247" s="183"/>
    </row>
    <row r="5248" spans="2:2" ht="15.5" x14ac:dyDescent="0.35">
      <c r="B5248" s="183"/>
    </row>
    <row r="5249" spans="2:2" ht="15.5" x14ac:dyDescent="0.35">
      <c r="B5249" s="183"/>
    </row>
    <row r="5250" spans="2:2" ht="15.5" x14ac:dyDescent="0.35">
      <c r="B5250" s="183"/>
    </row>
    <row r="5251" spans="2:2" ht="15.5" x14ac:dyDescent="0.35">
      <c r="B5251" s="183"/>
    </row>
    <row r="5252" spans="2:2" ht="15.5" x14ac:dyDescent="0.35">
      <c r="B5252" s="183"/>
    </row>
    <row r="5253" spans="2:2" ht="15.5" x14ac:dyDescent="0.35">
      <c r="B5253" s="183"/>
    </row>
    <row r="5254" spans="2:2" ht="15.5" x14ac:dyDescent="0.35">
      <c r="B5254" s="183"/>
    </row>
    <row r="5255" spans="2:2" ht="15.5" x14ac:dyDescent="0.35">
      <c r="B5255" s="183"/>
    </row>
    <row r="5256" spans="2:2" ht="15.5" x14ac:dyDescent="0.35">
      <c r="B5256" s="183"/>
    </row>
    <row r="5257" spans="2:2" ht="15.5" x14ac:dyDescent="0.35">
      <c r="B5257" s="183"/>
    </row>
    <row r="5258" spans="2:2" ht="15.5" x14ac:dyDescent="0.35">
      <c r="B5258" s="183"/>
    </row>
    <row r="5259" spans="2:2" ht="15.5" x14ac:dyDescent="0.35">
      <c r="B5259" s="183"/>
    </row>
    <row r="5260" spans="2:2" ht="15.5" x14ac:dyDescent="0.35">
      <c r="B5260" s="183"/>
    </row>
    <row r="5261" spans="2:2" ht="15.5" x14ac:dyDescent="0.35">
      <c r="B5261" s="183"/>
    </row>
    <row r="5262" spans="2:2" ht="15.5" x14ac:dyDescent="0.35">
      <c r="B5262" s="183"/>
    </row>
    <row r="5263" spans="2:2" ht="15.5" x14ac:dyDescent="0.35">
      <c r="B5263" s="183"/>
    </row>
    <row r="5264" spans="2:2" ht="15.5" x14ac:dyDescent="0.35">
      <c r="B5264" s="183"/>
    </row>
    <row r="5265" spans="2:2" ht="15.5" x14ac:dyDescent="0.35">
      <c r="B5265" s="183"/>
    </row>
    <row r="5266" spans="2:2" ht="15.5" x14ac:dyDescent="0.35">
      <c r="B5266" s="183"/>
    </row>
    <row r="5267" spans="2:2" ht="15.5" x14ac:dyDescent="0.35">
      <c r="B5267" s="183"/>
    </row>
    <row r="5268" spans="2:2" ht="15.5" x14ac:dyDescent="0.35">
      <c r="B5268" s="183"/>
    </row>
    <row r="5269" spans="2:2" ht="15.5" x14ac:dyDescent="0.35">
      <c r="B5269" s="183"/>
    </row>
    <row r="5270" spans="2:2" ht="15.5" x14ac:dyDescent="0.35">
      <c r="B5270" s="183"/>
    </row>
    <row r="5271" spans="2:2" ht="15.5" x14ac:dyDescent="0.35">
      <c r="B5271" s="183"/>
    </row>
    <row r="5272" spans="2:2" ht="15.5" x14ac:dyDescent="0.35">
      <c r="B5272" s="183"/>
    </row>
    <row r="5273" spans="2:2" ht="15.5" x14ac:dyDescent="0.35">
      <c r="B5273" s="183"/>
    </row>
    <row r="5274" spans="2:2" ht="15.5" x14ac:dyDescent="0.35">
      <c r="B5274" s="183"/>
    </row>
    <row r="5275" spans="2:2" ht="15.5" x14ac:dyDescent="0.35">
      <c r="B5275" s="183"/>
    </row>
    <row r="5276" spans="2:2" ht="15.5" x14ac:dyDescent="0.35">
      <c r="B5276" s="183"/>
    </row>
    <row r="5277" spans="2:2" ht="15.5" x14ac:dyDescent="0.35">
      <c r="B5277" s="183"/>
    </row>
    <row r="5278" spans="2:2" ht="15.5" x14ac:dyDescent="0.35">
      <c r="B5278" s="183"/>
    </row>
    <row r="5279" spans="2:2" ht="15.5" x14ac:dyDescent="0.35">
      <c r="B5279" s="183"/>
    </row>
    <row r="5280" spans="2:2" ht="15.5" x14ac:dyDescent="0.35">
      <c r="B5280" s="183"/>
    </row>
    <row r="5281" spans="2:2" ht="15.5" x14ac:dyDescent="0.35">
      <c r="B5281" s="183"/>
    </row>
    <row r="5282" spans="2:2" ht="15.5" x14ac:dyDescent="0.35">
      <c r="B5282" s="183"/>
    </row>
    <row r="5283" spans="2:2" ht="15.5" x14ac:dyDescent="0.35">
      <c r="B5283" s="183"/>
    </row>
    <row r="5284" spans="2:2" ht="15.5" x14ac:dyDescent="0.35">
      <c r="B5284" s="183"/>
    </row>
    <row r="5285" spans="2:2" ht="15.5" x14ac:dyDescent="0.35">
      <c r="B5285" s="183"/>
    </row>
    <row r="5286" spans="2:2" ht="15.5" x14ac:dyDescent="0.35">
      <c r="B5286" s="183"/>
    </row>
    <row r="5287" spans="2:2" ht="15.5" x14ac:dyDescent="0.35">
      <c r="B5287" s="183"/>
    </row>
    <row r="5288" spans="2:2" ht="15.5" x14ac:dyDescent="0.35">
      <c r="B5288" s="183"/>
    </row>
    <row r="5289" spans="2:2" ht="15.5" x14ac:dyDescent="0.35">
      <c r="B5289" s="183"/>
    </row>
    <row r="5290" spans="2:2" ht="15.5" x14ac:dyDescent="0.35">
      <c r="B5290" s="183"/>
    </row>
    <row r="5291" spans="2:2" ht="15.5" x14ac:dyDescent="0.35">
      <c r="B5291" s="183"/>
    </row>
    <row r="5292" spans="2:2" ht="15.5" x14ac:dyDescent="0.35">
      <c r="B5292" s="183"/>
    </row>
    <row r="5293" spans="2:2" ht="15.5" x14ac:dyDescent="0.35">
      <c r="B5293" s="183"/>
    </row>
    <row r="5294" spans="2:2" ht="15.5" x14ac:dyDescent="0.35">
      <c r="B5294" s="183"/>
    </row>
    <row r="5295" spans="2:2" ht="15.5" x14ac:dyDescent="0.35">
      <c r="B5295" s="183"/>
    </row>
    <row r="5296" spans="2:2" ht="15.5" x14ac:dyDescent="0.35">
      <c r="B5296" s="183"/>
    </row>
    <row r="5297" spans="2:2" ht="15.5" x14ac:dyDescent="0.35">
      <c r="B5297" s="183"/>
    </row>
    <row r="5298" spans="2:2" ht="15.5" x14ac:dyDescent="0.35">
      <c r="B5298" s="183"/>
    </row>
    <row r="5299" spans="2:2" ht="15.5" x14ac:dyDescent="0.35">
      <c r="B5299" s="183"/>
    </row>
    <row r="5300" spans="2:2" ht="15.5" x14ac:dyDescent="0.35">
      <c r="B5300" s="183"/>
    </row>
    <row r="5301" spans="2:2" ht="15.5" x14ac:dyDescent="0.35">
      <c r="B5301" s="183"/>
    </row>
    <row r="5302" spans="2:2" ht="15.5" x14ac:dyDescent="0.35">
      <c r="B5302" s="183"/>
    </row>
    <row r="5303" spans="2:2" ht="15.5" x14ac:dyDescent="0.35">
      <c r="B5303" s="183"/>
    </row>
    <row r="5304" spans="2:2" ht="15.5" x14ac:dyDescent="0.35">
      <c r="B5304" s="183"/>
    </row>
    <row r="5305" spans="2:2" ht="15.5" x14ac:dyDescent="0.35">
      <c r="B5305" s="183"/>
    </row>
    <row r="5306" spans="2:2" ht="15.5" x14ac:dyDescent="0.35">
      <c r="B5306" s="183"/>
    </row>
    <row r="5307" spans="2:2" ht="15.5" x14ac:dyDescent="0.35">
      <c r="B5307" s="183"/>
    </row>
    <row r="5308" spans="2:2" ht="15.5" x14ac:dyDescent="0.35">
      <c r="B5308" s="183"/>
    </row>
    <row r="5309" spans="2:2" ht="15.5" x14ac:dyDescent="0.35">
      <c r="B5309" s="183"/>
    </row>
    <row r="5310" spans="2:2" ht="15.5" x14ac:dyDescent="0.35">
      <c r="B5310" s="183"/>
    </row>
    <row r="5311" spans="2:2" ht="15.5" x14ac:dyDescent="0.35">
      <c r="B5311" s="183"/>
    </row>
    <row r="5312" spans="2:2" ht="15.5" x14ac:dyDescent="0.35">
      <c r="B5312" s="183"/>
    </row>
    <row r="5313" spans="2:2" ht="15.5" x14ac:dyDescent="0.35">
      <c r="B5313" s="183"/>
    </row>
    <row r="5314" spans="2:2" ht="15.5" x14ac:dyDescent="0.35">
      <c r="B5314" s="183"/>
    </row>
    <row r="5315" spans="2:2" ht="15.5" x14ac:dyDescent="0.35">
      <c r="B5315" s="183"/>
    </row>
    <row r="5316" spans="2:2" ht="15.5" x14ac:dyDescent="0.35">
      <c r="B5316" s="183"/>
    </row>
    <row r="5317" spans="2:2" ht="15.5" x14ac:dyDescent="0.35">
      <c r="B5317" s="183"/>
    </row>
    <row r="5318" spans="2:2" ht="15.5" x14ac:dyDescent="0.35">
      <c r="B5318" s="183"/>
    </row>
    <row r="5319" spans="2:2" ht="15.5" x14ac:dyDescent="0.35">
      <c r="B5319" s="183"/>
    </row>
    <row r="5320" spans="2:2" ht="15.5" x14ac:dyDescent="0.35">
      <c r="B5320" s="183"/>
    </row>
    <row r="5321" spans="2:2" ht="15.5" x14ac:dyDescent="0.35">
      <c r="B5321" s="183"/>
    </row>
    <row r="5322" spans="2:2" ht="15.5" x14ac:dyDescent="0.35">
      <c r="B5322" s="183"/>
    </row>
    <row r="5323" spans="2:2" ht="15.5" x14ac:dyDescent="0.35">
      <c r="B5323" s="183"/>
    </row>
    <row r="5324" spans="2:2" ht="15.5" x14ac:dyDescent="0.35">
      <c r="B5324" s="183"/>
    </row>
    <row r="5325" spans="2:2" ht="15.5" x14ac:dyDescent="0.35">
      <c r="B5325" s="183"/>
    </row>
    <row r="5326" spans="2:2" ht="15.5" x14ac:dyDescent="0.35">
      <c r="B5326" s="183"/>
    </row>
    <row r="5327" spans="2:2" ht="15.5" x14ac:dyDescent="0.35">
      <c r="B5327" s="183"/>
    </row>
    <row r="5328" spans="2:2" ht="15.5" x14ac:dyDescent="0.35">
      <c r="B5328" s="183"/>
    </row>
    <row r="5329" spans="2:2" ht="15.5" x14ac:dyDescent="0.35">
      <c r="B5329" s="183"/>
    </row>
    <row r="5330" spans="2:2" ht="15.5" x14ac:dyDescent="0.35">
      <c r="B5330" s="183"/>
    </row>
    <row r="5331" spans="2:2" ht="15.5" x14ac:dyDescent="0.35">
      <c r="B5331" s="183"/>
    </row>
    <row r="5332" spans="2:2" ht="15.5" x14ac:dyDescent="0.35">
      <c r="B5332" s="183"/>
    </row>
    <row r="5333" spans="2:2" ht="15.5" x14ac:dyDescent="0.35">
      <c r="B5333" s="183"/>
    </row>
    <row r="5334" spans="2:2" ht="15.5" x14ac:dyDescent="0.35">
      <c r="B5334" s="183"/>
    </row>
    <row r="5335" spans="2:2" ht="15.5" x14ac:dyDescent="0.35">
      <c r="B5335" s="183"/>
    </row>
    <row r="5336" spans="2:2" ht="15.5" x14ac:dyDescent="0.35">
      <c r="B5336" s="183"/>
    </row>
    <row r="5337" spans="2:2" ht="15.5" x14ac:dyDescent="0.35">
      <c r="B5337" s="183"/>
    </row>
    <row r="5338" spans="2:2" ht="15.5" x14ac:dyDescent="0.35">
      <c r="B5338" s="183"/>
    </row>
    <row r="5339" spans="2:2" ht="15.5" x14ac:dyDescent="0.35">
      <c r="B5339" s="183"/>
    </row>
    <row r="5340" spans="2:2" ht="15.5" x14ac:dyDescent="0.35">
      <c r="B5340" s="183"/>
    </row>
    <row r="5341" spans="2:2" ht="15.5" x14ac:dyDescent="0.35">
      <c r="B5341" s="183"/>
    </row>
    <row r="5342" spans="2:2" ht="15.5" x14ac:dyDescent="0.35">
      <c r="B5342" s="183"/>
    </row>
    <row r="5343" spans="2:2" ht="15.5" x14ac:dyDescent="0.35">
      <c r="B5343" s="183"/>
    </row>
    <row r="5344" spans="2:2" ht="15.5" x14ac:dyDescent="0.35">
      <c r="B5344" s="183"/>
    </row>
    <row r="5345" spans="2:2" ht="15.5" x14ac:dyDescent="0.35">
      <c r="B5345" s="183"/>
    </row>
    <row r="5346" spans="2:2" ht="15.5" x14ac:dyDescent="0.35">
      <c r="B5346" s="183"/>
    </row>
    <row r="5347" spans="2:2" ht="15.5" x14ac:dyDescent="0.35">
      <c r="B5347" s="183"/>
    </row>
    <row r="5348" spans="2:2" ht="15.5" x14ac:dyDescent="0.35">
      <c r="B5348" s="183"/>
    </row>
    <row r="5349" spans="2:2" ht="15.5" x14ac:dyDescent="0.35">
      <c r="B5349" s="183"/>
    </row>
    <row r="5350" spans="2:2" ht="15.5" x14ac:dyDescent="0.35">
      <c r="B5350" s="183"/>
    </row>
    <row r="5351" spans="2:2" ht="15.5" x14ac:dyDescent="0.35">
      <c r="B5351" s="183"/>
    </row>
    <row r="5352" spans="2:2" ht="15.5" x14ac:dyDescent="0.35">
      <c r="B5352" s="183"/>
    </row>
    <row r="5353" spans="2:2" ht="15.5" x14ac:dyDescent="0.35">
      <c r="B5353" s="183"/>
    </row>
    <row r="5354" spans="2:2" ht="15.5" x14ac:dyDescent="0.35">
      <c r="B5354" s="183"/>
    </row>
    <row r="5355" spans="2:2" ht="15.5" x14ac:dyDescent="0.35">
      <c r="B5355" s="183"/>
    </row>
    <row r="5356" spans="2:2" ht="15.5" x14ac:dyDescent="0.35">
      <c r="B5356" s="183"/>
    </row>
    <row r="5357" spans="2:2" ht="15.5" x14ac:dyDescent="0.35">
      <c r="B5357" s="183"/>
    </row>
    <row r="5358" spans="2:2" ht="15.5" x14ac:dyDescent="0.35">
      <c r="B5358" s="183"/>
    </row>
    <row r="5359" spans="2:2" ht="15.5" x14ac:dyDescent="0.35">
      <c r="B5359" s="183"/>
    </row>
    <row r="5360" spans="2:2" ht="15.5" x14ac:dyDescent="0.35">
      <c r="B5360" s="183"/>
    </row>
    <row r="5361" spans="2:2" ht="15.5" x14ac:dyDescent="0.35">
      <c r="B5361" s="183"/>
    </row>
    <row r="5362" spans="2:2" ht="15.5" x14ac:dyDescent="0.35">
      <c r="B5362" s="183"/>
    </row>
    <row r="5363" spans="2:2" ht="15.5" x14ac:dyDescent="0.35">
      <c r="B5363" s="183"/>
    </row>
    <row r="5364" spans="2:2" ht="15.5" x14ac:dyDescent="0.35">
      <c r="B5364" s="183"/>
    </row>
    <row r="5365" spans="2:2" ht="15.5" x14ac:dyDescent="0.35">
      <c r="B5365" s="183"/>
    </row>
    <row r="5366" spans="2:2" ht="15.5" x14ac:dyDescent="0.35">
      <c r="B5366" s="183"/>
    </row>
    <row r="5367" spans="2:2" ht="15.5" x14ac:dyDescent="0.35">
      <c r="B5367" s="183"/>
    </row>
    <row r="5368" spans="2:2" ht="15.5" x14ac:dyDescent="0.35">
      <c r="B5368" s="183"/>
    </row>
    <row r="5369" spans="2:2" ht="15.5" x14ac:dyDescent="0.35">
      <c r="B5369" s="183"/>
    </row>
    <row r="5370" spans="2:2" ht="15.5" x14ac:dyDescent="0.35">
      <c r="B5370" s="183"/>
    </row>
    <row r="5371" spans="2:2" ht="15.5" x14ac:dyDescent="0.35">
      <c r="B5371" s="183"/>
    </row>
    <row r="5372" spans="2:2" ht="15.5" x14ac:dyDescent="0.35">
      <c r="B5372" s="183"/>
    </row>
    <row r="5373" spans="2:2" ht="15.5" x14ac:dyDescent="0.35">
      <c r="B5373" s="183"/>
    </row>
    <row r="5374" spans="2:2" ht="15.5" x14ac:dyDescent="0.35">
      <c r="B5374" s="183"/>
    </row>
    <row r="5375" spans="2:2" ht="15.5" x14ac:dyDescent="0.35">
      <c r="B5375" s="183"/>
    </row>
    <row r="5376" spans="2:2" ht="15.5" x14ac:dyDescent="0.35">
      <c r="B5376" s="183"/>
    </row>
    <row r="5377" spans="2:2" ht="15.5" x14ac:dyDescent="0.35">
      <c r="B5377" s="183"/>
    </row>
    <row r="5378" spans="2:2" ht="15.5" x14ac:dyDescent="0.35">
      <c r="B5378" s="183"/>
    </row>
    <row r="5379" spans="2:2" ht="15.5" x14ac:dyDescent="0.35">
      <c r="B5379" s="183"/>
    </row>
    <row r="5380" spans="2:2" ht="15.5" x14ac:dyDescent="0.35">
      <c r="B5380" s="183"/>
    </row>
    <row r="5381" spans="2:2" ht="15.5" x14ac:dyDescent="0.35">
      <c r="B5381" s="183"/>
    </row>
    <row r="5382" spans="2:2" ht="15.5" x14ac:dyDescent="0.35">
      <c r="B5382" s="183"/>
    </row>
    <row r="5383" spans="2:2" ht="15.5" x14ac:dyDescent="0.35">
      <c r="B5383" s="183"/>
    </row>
    <row r="5384" spans="2:2" ht="15.5" x14ac:dyDescent="0.35">
      <c r="B5384" s="183"/>
    </row>
    <row r="5385" spans="2:2" ht="15.5" x14ac:dyDescent="0.35">
      <c r="B5385" s="183"/>
    </row>
    <row r="5386" spans="2:2" ht="15.5" x14ac:dyDescent="0.35">
      <c r="B5386" s="183"/>
    </row>
    <row r="5387" spans="2:2" ht="15.5" x14ac:dyDescent="0.35">
      <c r="B5387" s="183"/>
    </row>
    <row r="5388" spans="2:2" ht="15.5" x14ac:dyDescent="0.35">
      <c r="B5388" s="183"/>
    </row>
    <row r="5389" spans="2:2" ht="15.5" x14ac:dyDescent="0.35">
      <c r="B5389" s="183"/>
    </row>
    <row r="5390" spans="2:2" ht="15.5" x14ac:dyDescent="0.35">
      <c r="B5390" s="183"/>
    </row>
    <row r="5391" spans="2:2" ht="15.5" x14ac:dyDescent="0.35">
      <c r="B5391" s="183"/>
    </row>
    <row r="5392" spans="2:2" ht="15.5" x14ac:dyDescent="0.35">
      <c r="B5392" s="183"/>
    </row>
    <row r="5393" spans="2:2" ht="15.5" x14ac:dyDescent="0.35">
      <c r="B5393" s="183"/>
    </row>
    <row r="5394" spans="2:2" ht="15.5" x14ac:dyDescent="0.35">
      <c r="B5394" s="183"/>
    </row>
    <row r="5395" spans="2:2" ht="15.5" x14ac:dyDescent="0.35">
      <c r="B5395" s="183"/>
    </row>
    <row r="5396" spans="2:2" ht="15.5" x14ac:dyDescent="0.35">
      <c r="B5396" s="183"/>
    </row>
    <row r="5397" spans="2:2" ht="15.5" x14ac:dyDescent="0.35">
      <c r="B5397" s="183"/>
    </row>
    <row r="5398" spans="2:2" ht="15.5" x14ac:dyDescent="0.35">
      <c r="B5398" s="183"/>
    </row>
    <row r="5399" spans="2:2" ht="15.5" x14ac:dyDescent="0.35">
      <c r="B5399" s="183"/>
    </row>
    <row r="5400" spans="2:2" ht="15.5" x14ac:dyDescent="0.35">
      <c r="B5400" s="183"/>
    </row>
    <row r="5401" spans="2:2" ht="15.5" x14ac:dyDescent="0.35">
      <c r="B5401" s="183"/>
    </row>
    <row r="5402" spans="2:2" ht="15.5" x14ac:dyDescent="0.35">
      <c r="B5402" s="183"/>
    </row>
    <row r="5403" spans="2:2" ht="15.5" x14ac:dyDescent="0.35">
      <c r="B5403" s="183"/>
    </row>
    <row r="5404" spans="2:2" ht="15.5" x14ac:dyDescent="0.35">
      <c r="B5404" s="183"/>
    </row>
    <row r="5405" spans="2:2" ht="15.5" x14ac:dyDescent="0.35">
      <c r="B5405" s="183"/>
    </row>
    <row r="5406" spans="2:2" ht="15.5" x14ac:dyDescent="0.35">
      <c r="B5406" s="183"/>
    </row>
    <row r="5407" spans="2:2" ht="15.5" x14ac:dyDescent="0.35">
      <c r="B5407" s="183"/>
    </row>
    <row r="5408" spans="2:2" ht="15.5" x14ac:dyDescent="0.35">
      <c r="B5408" s="183"/>
    </row>
    <row r="5409" spans="2:2" ht="15.5" x14ac:dyDescent="0.35">
      <c r="B5409" s="183"/>
    </row>
    <row r="5410" spans="2:2" ht="15.5" x14ac:dyDescent="0.35">
      <c r="B5410" s="183"/>
    </row>
    <row r="5411" spans="2:2" ht="15.5" x14ac:dyDescent="0.35">
      <c r="B5411" s="183"/>
    </row>
    <row r="5412" spans="2:2" ht="15.5" x14ac:dyDescent="0.35">
      <c r="B5412" s="183"/>
    </row>
    <row r="5413" spans="2:2" ht="15.5" x14ac:dyDescent="0.35">
      <c r="B5413" s="183"/>
    </row>
    <row r="5414" spans="2:2" ht="15.5" x14ac:dyDescent="0.35">
      <c r="B5414" s="183"/>
    </row>
    <row r="5415" spans="2:2" ht="15.5" x14ac:dyDescent="0.35">
      <c r="B5415" s="183"/>
    </row>
    <row r="5416" spans="2:2" ht="15.5" x14ac:dyDescent="0.35">
      <c r="B5416" s="183"/>
    </row>
    <row r="5417" spans="2:2" ht="15.5" x14ac:dyDescent="0.35">
      <c r="B5417" s="183"/>
    </row>
    <row r="5418" spans="2:2" ht="15.5" x14ac:dyDescent="0.35">
      <c r="B5418" s="183"/>
    </row>
    <row r="5419" spans="2:2" ht="15.5" x14ac:dyDescent="0.35">
      <c r="B5419" s="183"/>
    </row>
    <row r="5420" spans="2:2" ht="15.5" x14ac:dyDescent="0.35">
      <c r="B5420" s="183"/>
    </row>
    <row r="5421" spans="2:2" ht="15.5" x14ac:dyDescent="0.35">
      <c r="B5421" s="183"/>
    </row>
    <row r="5422" spans="2:2" ht="15.5" x14ac:dyDescent="0.35">
      <c r="B5422" s="183"/>
    </row>
    <row r="5423" spans="2:2" ht="15.5" x14ac:dyDescent="0.35">
      <c r="B5423" s="183"/>
    </row>
    <row r="5424" spans="2:2" ht="15.5" x14ac:dyDescent="0.35">
      <c r="B5424" s="183"/>
    </row>
    <row r="5425" spans="2:2" ht="15.5" x14ac:dyDescent="0.35">
      <c r="B5425" s="183"/>
    </row>
    <row r="5426" spans="2:2" ht="15.5" x14ac:dyDescent="0.35">
      <c r="B5426" s="183"/>
    </row>
    <row r="5427" spans="2:2" ht="15.5" x14ac:dyDescent="0.35">
      <c r="B5427" s="183"/>
    </row>
    <row r="5428" spans="2:2" ht="15.5" x14ac:dyDescent="0.35">
      <c r="B5428" s="183"/>
    </row>
    <row r="5429" spans="2:2" ht="15.5" x14ac:dyDescent="0.35">
      <c r="B5429" s="183"/>
    </row>
    <row r="5430" spans="2:2" ht="15.5" x14ac:dyDescent="0.35">
      <c r="B5430" s="183"/>
    </row>
    <row r="5431" spans="2:2" ht="15.5" x14ac:dyDescent="0.35">
      <c r="B5431" s="183"/>
    </row>
    <row r="5432" spans="2:2" ht="15.5" x14ac:dyDescent="0.35">
      <c r="B5432" s="183"/>
    </row>
    <row r="5433" spans="2:2" ht="15.5" x14ac:dyDescent="0.35">
      <c r="B5433" s="183"/>
    </row>
    <row r="5434" spans="2:2" ht="15.5" x14ac:dyDescent="0.35">
      <c r="B5434" s="183"/>
    </row>
    <row r="5435" spans="2:2" ht="15.5" x14ac:dyDescent="0.35">
      <c r="B5435" s="183"/>
    </row>
    <row r="5436" spans="2:2" ht="15.5" x14ac:dyDescent="0.35">
      <c r="B5436" s="183"/>
    </row>
    <row r="5437" spans="2:2" ht="15.5" x14ac:dyDescent="0.35">
      <c r="B5437" s="183"/>
    </row>
    <row r="5438" spans="2:2" ht="15.5" x14ac:dyDescent="0.35">
      <c r="B5438" s="183"/>
    </row>
    <row r="5439" spans="2:2" ht="15.5" x14ac:dyDescent="0.35">
      <c r="B5439" s="183"/>
    </row>
    <row r="5440" spans="2:2" ht="15.5" x14ac:dyDescent="0.35">
      <c r="B5440" s="183"/>
    </row>
    <row r="5441" spans="2:2" ht="15.5" x14ac:dyDescent="0.35">
      <c r="B5441" s="183"/>
    </row>
    <row r="5442" spans="2:2" ht="15.5" x14ac:dyDescent="0.35">
      <c r="B5442" s="183"/>
    </row>
    <row r="5443" spans="2:2" ht="15.5" x14ac:dyDescent="0.35">
      <c r="B5443" s="183"/>
    </row>
    <row r="5444" spans="2:2" ht="15.5" x14ac:dyDescent="0.35">
      <c r="B5444" s="183"/>
    </row>
    <row r="5445" spans="2:2" ht="15.5" x14ac:dyDescent="0.35">
      <c r="B5445" s="183"/>
    </row>
    <row r="5446" spans="2:2" ht="15.5" x14ac:dyDescent="0.35">
      <c r="B5446" s="183"/>
    </row>
    <row r="5447" spans="2:2" ht="15.5" x14ac:dyDescent="0.35">
      <c r="B5447" s="183"/>
    </row>
    <row r="5448" spans="2:2" ht="15.5" x14ac:dyDescent="0.35">
      <c r="B5448" s="183"/>
    </row>
    <row r="5449" spans="2:2" ht="15.5" x14ac:dyDescent="0.35">
      <c r="B5449" s="183"/>
    </row>
    <row r="5450" spans="2:2" ht="15.5" x14ac:dyDescent="0.35">
      <c r="B5450" s="183"/>
    </row>
    <row r="5451" spans="2:2" ht="15.5" x14ac:dyDescent="0.35">
      <c r="B5451" s="183"/>
    </row>
    <row r="5452" spans="2:2" ht="15.5" x14ac:dyDescent="0.35">
      <c r="B5452" s="183"/>
    </row>
    <row r="5453" spans="2:2" ht="15.5" x14ac:dyDescent="0.35">
      <c r="B5453" s="183"/>
    </row>
    <row r="5454" spans="2:2" ht="15.5" x14ac:dyDescent="0.35">
      <c r="B5454" s="183"/>
    </row>
    <row r="5455" spans="2:2" ht="15.5" x14ac:dyDescent="0.35">
      <c r="B5455" s="183"/>
    </row>
    <row r="5456" spans="2:2" ht="15.5" x14ac:dyDescent="0.35">
      <c r="B5456" s="183"/>
    </row>
    <row r="5457" spans="2:2" ht="15.5" x14ac:dyDescent="0.35">
      <c r="B5457" s="183"/>
    </row>
    <row r="5458" spans="2:2" ht="15.5" x14ac:dyDescent="0.35">
      <c r="B5458" s="183"/>
    </row>
    <row r="5459" spans="2:2" ht="15.5" x14ac:dyDescent="0.35">
      <c r="B5459" s="183"/>
    </row>
    <row r="5460" spans="2:2" ht="15.5" x14ac:dyDescent="0.35">
      <c r="B5460" s="183"/>
    </row>
    <row r="5461" spans="2:2" ht="15.5" x14ac:dyDescent="0.35">
      <c r="B5461" s="183"/>
    </row>
    <row r="5462" spans="2:2" ht="15.5" x14ac:dyDescent="0.35">
      <c r="B5462" s="183"/>
    </row>
    <row r="5463" spans="2:2" ht="15.5" x14ac:dyDescent="0.35">
      <c r="B5463" s="183"/>
    </row>
    <row r="5464" spans="2:2" ht="15.5" x14ac:dyDescent="0.35">
      <c r="B5464" s="183"/>
    </row>
    <row r="5465" spans="2:2" ht="15.5" x14ac:dyDescent="0.35">
      <c r="B5465" s="183"/>
    </row>
    <row r="5466" spans="2:2" ht="15.5" x14ac:dyDescent="0.35">
      <c r="B5466" s="183"/>
    </row>
    <row r="5467" spans="2:2" ht="15.5" x14ac:dyDescent="0.35">
      <c r="B5467" s="183"/>
    </row>
    <row r="5468" spans="2:2" ht="15.5" x14ac:dyDescent="0.35">
      <c r="B5468" s="183"/>
    </row>
    <row r="5469" spans="2:2" ht="15.5" x14ac:dyDescent="0.35">
      <c r="B5469" s="183"/>
    </row>
    <row r="5470" spans="2:2" ht="15.5" x14ac:dyDescent="0.35">
      <c r="B5470" s="183"/>
    </row>
    <row r="5471" spans="2:2" ht="15.5" x14ac:dyDescent="0.35">
      <c r="B5471" s="183"/>
    </row>
    <row r="5472" spans="2:2" ht="15.5" x14ac:dyDescent="0.35">
      <c r="B5472" s="183"/>
    </row>
    <row r="5473" spans="2:2" ht="15.5" x14ac:dyDescent="0.35">
      <c r="B5473" s="183"/>
    </row>
    <row r="5474" spans="2:2" ht="15.5" x14ac:dyDescent="0.35">
      <c r="B5474" s="183"/>
    </row>
    <row r="5475" spans="2:2" ht="15.5" x14ac:dyDescent="0.35">
      <c r="B5475" s="183"/>
    </row>
    <row r="5476" spans="2:2" ht="15.5" x14ac:dyDescent="0.35">
      <c r="B5476" s="183"/>
    </row>
    <row r="5477" spans="2:2" ht="15.5" x14ac:dyDescent="0.35">
      <c r="B5477" s="183"/>
    </row>
    <row r="5478" spans="2:2" ht="15.5" x14ac:dyDescent="0.35">
      <c r="B5478" s="183"/>
    </row>
    <row r="5479" spans="2:2" ht="15.5" x14ac:dyDescent="0.35">
      <c r="B5479" s="183"/>
    </row>
    <row r="5480" spans="2:2" ht="15.5" x14ac:dyDescent="0.35">
      <c r="B5480" s="183"/>
    </row>
    <row r="5481" spans="2:2" ht="15.5" x14ac:dyDescent="0.35">
      <c r="B5481" s="183"/>
    </row>
    <row r="5482" spans="2:2" ht="15.5" x14ac:dyDescent="0.35">
      <c r="B5482" s="183"/>
    </row>
    <row r="5483" spans="2:2" ht="15.5" x14ac:dyDescent="0.35">
      <c r="B5483" s="183"/>
    </row>
    <row r="5484" spans="2:2" ht="15.5" x14ac:dyDescent="0.35">
      <c r="B5484" s="183"/>
    </row>
    <row r="5485" spans="2:2" ht="15.5" x14ac:dyDescent="0.35">
      <c r="B5485" s="183"/>
    </row>
    <row r="5486" spans="2:2" ht="15.5" x14ac:dyDescent="0.35">
      <c r="B5486" s="183"/>
    </row>
    <row r="5487" spans="2:2" ht="15.5" x14ac:dyDescent="0.35">
      <c r="B5487" s="183"/>
    </row>
    <row r="5488" spans="2:2" ht="15.5" x14ac:dyDescent="0.35">
      <c r="B5488" s="183"/>
    </row>
    <row r="5489" spans="2:2" ht="15.5" x14ac:dyDescent="0.35">
      <c r="B5489" s="183"/>
    </row>
    <row r="5490" spans="2:2" ht="15.5" x14ac:dyDescent="0.35">
      <c r="B5490" s="183"/>
    </row>
    <row r="5491" spans="2:2" ht="15.5" x14ac:dyDescent="0.35">
      <c r="B5491" s="183"/>
    </row>
    <row r="5492" spans="2:2" ht="15.5" x14ac:dyDescent="0.35">
      <c r="B5492" s="183"/>
    </row>
    <row r="5493" spans="2:2" ht="15.5" x14ac:dyDescent="0.35">
      <c r="B5493" s="183"/>
    </row>
    <row r="5494" spans="2:2" ht="15.5" x14ac:dyDescent="0.35">
      <c r="B5494" s="183"/>
    </row>
    <row r="5495" spans="2:2" ht="15.5" x14ac:dyDescent="0.35">
      <c r="B5495" s="183"/>
    </row>
    <row r="5496" spans="2:2" ht="15.5" x14ac:dyDescent="0.35">
      <c r="B5496" s="183"/>
    </row>
    <row r="5497" spans="2:2" ht="15.5" x14ac:dyDescent="0.35">
      <c r="B5497" s="183"/>
    </row>
    <row r="5498" spans="2:2" ht="15.5" x14ac:dyDescent="0.35">
      <c r="B5498" s="183"/>
    </row>
    <row r="5499" spans="2:2" ht="15.5" x14ac:dyDescent="0.35">
      <c r="B5499" s="183"/>
    </row>
    <row r="5500" spans="2:2" ht="15.5" x14ac:dyDescent="0.35">
      <c r="B5500" s="183"/>
    </row>
    <row r="5501" spans="2:2" ht="15.5" x14ac:dyDescent="0.35">
      <c r="B5501" s="183"/>
    </row>
    <row r="5502" spans="2:2" ht="15.5" x14ac:dyDescent="0.35">
      <c r="B5502" s="183"/>
    </row>
    <row r="5503" spans="2:2" ht="15.5" x14ac:dyDescent="0.35">
      <c r="B5503" s="183"/>
    </row>
    <row r="5504" spans="2:2" ht="15.5" x14ac:dyDescent="0.35">
      <c r="B5504" s="183"/>
    </row>
    <row r="5505" spans="2:2" ht="15.5" x14ac:dyDescent="0.35">
      <c r="B5505" s="183"/>
    </row>
    <row r="5506" spans="2:2" ht="15.5" x14ac:dyDescent="0.35">
      <c r="B5506" s="183"/>
    </row>
    <row r="5507" spans="2:2" ht="15.5" x14ac:dyDescent="0.35">
      <c r="B5507" s="183"/>
    </row>
    <row r="5508" spans="2:2" ht="15.5" x14ac:dyDescent="0.35">
      <c r="B5508" s="183"/>
    </row>
    <row r="5509" spans="2:2" ht="15.5" x14ac:dyDescent="0.35">
      <c r="B5509" s="183"/>
    </row>
    <row r="5510" spans="2:2" ht="15.5" x14ac:dyDescent="0.35">
      <c r="B5510" s="183"/>
    </row>
    <row r="5511" spans="2:2" ht="15.5" x14ac:dyDescent="0.35">
      <c r="B5511" s="183"/>
    </row>
    <row r="5512" spans="2:2" ht="15.5" x14ac:dyDescent="0.35">
      <c r="B5512" s="183"/>
    </row>
    <row r="5513" spans="2:2" ht="15.5" x14ac:dyDescent="0.35">
      <c r="B5513" s="183"/>
    </row>
    <row r="5514" spans="2:2" ht="15.5" x14ac:dyDescent="0.35">
      <c r="B5514" s="183"/>
    </row>
    <row r="5515" spans="2:2" ht="15.5" x14ac:dyDescent="0.35">
      <c r="B5515" s="183"/>
    </row>
    <row r="5516" spans="2:2" ht="15.5" x14ac:dyDescent="0.35">
      <c r="B5516" s="183"/>
    </row>
    <row r="5517" spans="2:2" ht="15.5" x14ac:dyDescent="0.35">
      <c r="B5517" s="183"/>
    </row>
    <row r="5518" spans="2:2" ht="15.5" x14ac:dyDescent="0.35">
      <c r="B5518" s="183"/>
    </row>
    <row r="5519" spans="2:2" ht="15.5" x14ac:dyDescent="0.35">
      <c r="B5519" s="183"/>
    </row>
    <row r="5520" spans="2:2" ht="15.5" x14ac:dyDescent="0.35">
      <c r="B5520" s="183"/>
    </row>
    <row r="5521" spans="2:2" ht="15.5" x14ac:dyDescent="0.35">
      <c r="B5521" s="183"/>
    </row>
    <row r="5522" spans="2:2" ht="15.5" x14ac:dyDescent="0.35">
      <c r="B5522" s="183"/>
    </row>
    <row r="5523" spans="2:2" ht="15.5" x14ac:dyDescent="0.35">
      <c r="B5523" s="183"/>
    </row>
    <row r="5524" spans="2:2" ht="15.5" x14ac:dyDescent="0.35">
      <c r="B5524" s="183"/>
    </row>
    <row r="5525" spans="2:2" ht="15.5" x14ac:dyDescent="0.35">
      <c r="B5525" s="183"/>
    </row>
    <row r="5526" spans="2:2" ht="15.5" x14ac:dyDescent="0.35">
      <c r="B5526" s="183"/>
    </row>
    <row r="5527" spans="2:2" ht="15.5" x14ac:dyDescent="0.35">
      <c r="B5527" s="183"/>
    </row>
    <row r="5528" spans="2:2" ht="15.5" x14ac:dyDescent="0.35">
      <c r="B5528" s="183"/>
    </row>
    <row r="5529" spans="2:2" ht="15.5" x14ac:dyDescent="0.35">
      <c r="B5529" s="183"/>
    </row>
    <row r="5530" spans="2:2" ht="15.5" x14ac:dyDescent="0.35">
      <c r="B5530" s="183"/>
    </row>
    <row r="5531" spans="2:2" ht="15.5" x14ac:dyDescent="0.35">
      <c r="B5531" s="183"/>
    </row>
    <row r="5532" spans="2:2" ht="15.5" x14ac:dyDescent="0.35">
      <c r="B5532" s="183"/>
    </row>
    <row r="5533" spans="2:2" ht="15.5" x14ac:dyDescent="0.35">
      <c r="B5533" s="183"/>
    </row>
    <row r="5534" spans="2:2" ht="15.5" x14ac:dyDescent="0.35">
      <c r="B5534" s="183"/>
    </row>
    <row r="5535" spans="2:2" ht="15.5" x14ac:dyDescent="0.35">
      <c r="B5535" s="183"/>
    </row>
    <row r="5536" spans="2:2" ht="15.5" x14ac:dyDescent="0.35">
      <c r="B5536" s="183"/>
    </row>
    <row r="5537" spans="2:2" ht="15.5" x14ac:dyDescent="0.35">
      <c r="B5537" s="183"/>
    </row>
    <row r="5538" spans="2:2" ht="15.5" x14ac:dyDescent="0.35">
      <c r="B5538" s="183"/>
    </row>
    <row r="5539" spans="2:2" ht="15.5" x14ac:dyDescent="0.35">
      <c r="B5539" s="183"/>
    </row>
    <row r="5540" spans="2:2" ht="15.5" x14ac:dyDescent="0.35">
      <c r="B5540" s="183"/>
    </row>
    <row r="5541" spans="2:2" ht="15.5" x14ac:dyDescent="0.35">
      <c r="B5541" s="183"/>
    </row>
    <row r="5542" spans="2:2" ht="15.5" x14ac:dyDescent="0.35">
      <c r="B5542" s="183"/>
    </row>
    <row r="5543" spans="2:2" ht="15.5" x14ac:dyDescent="0.35">
      <c r="B5543" s="183"/>
    </row>
    <row r="5544" spans="2:2" ht="15.5" x14ac:dyDescent="0.35">
      <c r="B5544" s="183"/>
    </row>
    <row r="5545" spans="2:2" ht="15.5" x14ac:dyDescent="0.35">
      <c r="B5545" s="183"/>
    </row>
    <row r="5546" spans="2:2" ht="15.5" x14ac:dyDescent="0.35">
      <c r="B5546" s="183"/>
    </row>
    <row r="5547" spans="2:2" ht="15.5" x14ac:dyDescent="0.35">
      <c r="B5547" s="183"/>
    </row>
    <row r="5548" spans="2:2" ht="15.5" x14ac:dyDescent="0.35">
      <c r="B5548" s="183"/>
    </row>
    <row r="5549" spans="2:2" ht="15.5" x14ac:dyDescent="0.35">
      <c r="B5549" s="183"/>
    </row>
    <row r="5550" spans="2:2" ht="15.5" x14ac:dyDescent="0.35">
      <c r="B5550" s="183"/>
    </row>
    <row r="5551" spans="2:2" ht="15.5" x14ac:dyDescent="0.35">
      <c r="B5551" s="183"/>
    </row>
    <row r="5552" spans="2:2" ht="15.5" x14ac:dyDescent="0.35">
      <c r="B5552" s="183"/>
    </row>
    <row r="5553" spans="2:2" ht="15.5" x14ac:dyDescent="0.35">
      <c r="B5553" s="183"/>
    </row>
    <row r="5554" spans="2:2" ht="15.5" x14ac:dyDescent="0.35">
      <c r="B5554" s="183"/>
    </row>
    <row r="5555" spans="2:2" ht="15.5" x14ac:dyDescent="0.35">
      <c r="B5555" s="183"/>
    </row>
    <row r="5556" spans="2:2" ht="15.5" x14ac:dyDescent="0.35">
      <c r="B5556" s="183"/>
    </row>
    <row r="5557" spans="2:2" ht="15.5" x14ac:dyDescent="0.35">
      <c r="B5557" s="183"/>
    </row>
    <row r="5558" spans="2:2" ht="15.5" x14ac:dyDescent="0.35">
      <c r="B5558" s="183"/>
    </row>
    <row r="5559" spans="2:2" ht="15.5" x14ac:dyDescent="0.35">
      <c r="B5559" s="183"/>
    </row>
    <row r="5560" spans="2:2" ht="15.5" x14ac:dyDescent="0.35">
      <c r="B5560" s="183"/>
    </row>
    <row r="5561" spans="2:2" ht="15.5" x14ac:dyDescent="0.35">
      <c r="B5561" s="183"/>
    </row>
    <row r="5562" spans="2:2" ht="15.5" x14ac:dyDescent="0.35">
      <c r="B5562" s="183"/>
    </row>
    <row r="5563" spans="2:2" ht="15.5" x14ac:dyDescent="0.35">
      <c r="B5563" s="183"/>
    </row>
    <row r="5564" spans="2:2" ht="15.5" x14ac:dyDescent="0.35">
      <c r="B5564" s="183"/>
    </row>
    <row r="5565" spans="2:2" ht="15.5" x14ac:dyDescent="0.35">
      <c r="B5565" s="183"/>
    </row>
    <row r="5566" spans="2:2" ht="15.5" x14ac:dyDescent="0.35">
      <c r="B5566" s="183"/>
    </row>
    <row r="5567" spans="2:2" ht="15.5" x14ac:dyDescent="0.35">
      <c r="B5567" s="183"/>
    </row>
    <row r="5568" spans="2:2" ht="15.5" x14ac:dyDescent="0.35">
      <c r="B5568" s="183"/>
    </row>
    <row r="5569" spans="2:2" ht="15.5" x14ac:dyDescent="0.35">
      <c r="B5569" s="183"/>
    </row>
    <row r="5570" spans="2:2" ht="15.5" x14ac:dyDescent="0.35">
      <c r="B5570" s="183"/>
    </row>
    <row r="5571" spans="2:2" ht="15.5" x14ac:dyDescent="0.35">
      <c r="B5571" s="183"/>
    </row>
    <row r="5572" spans="2:2" ht="15.5" x14ac:dyDescent="0.35">
      <c r="B5572" s="183"/>
    </row>
    <row r="5573" spans="2:2" ht="15.5" x14ac:dyDescent="0.35">
      <c r="B5573" s="183"/>
    </row>
    <row r="5574" spans="2:2" ht="15.5" x14ac:dyDescent="0.35">
      <c r="B5574" s="183"/>
    </row>
    <row r="5575" spans="2:2" ht="15.5" x14ac:dyDescent="0.35">
      <c r="B5575" s="183"/>
    </row>
    <row r="5576" spans="2:2" ht="15.5" x14ac:dyDescent="0.35">
      <c r="B5576" s="183"/>
    </row>
    <row r="5577" spans="2:2" ht="15.5" x14ac:dyDescent="0.35">
      <c r="B5577" s="183"/>
    </row>
    <row r="5578" spans="2:2" ht="15.5" x14ac:dyDescent="0.35">
      <c r="B5578" s="183"/>
    </row>
    <row r="5579" spans="2:2" ht="15.5" x14ac:dyDescent="0.35">
      <c r="B5579" s="183"/>
    </row>
    <row r="5580" spans="2:2" ht="15.5" x14ac:dyDescent="0.35">
      <c r="B5580" s="183"/>
    </row>
    <row r="5581" spans="2:2" ht="15.5" x14ac:dyDescent="0.35">
      <c r="B5581" s="183"/>
    </row>
    <row r="5582" spans="2:2" ht="15.5" x14ac:dyDescent="0.35">
      <c r="B5582" s="183"/>
    </row>
    <row r="5583" spans="2:2" ht="15.5" x14ac:dyDescent="0.35">
      <c r="B5583" s="183"/>
    </row>
    <row r="5584" spans="2:2" ht="15.5" x14ac:dyDescent="0.35">
      <c r="B5584" s="183"/>
    </row>
    <row r="5585" spans="2:2" ht="15.5" x14ac:dyDescent="0.35">
      <c r="B5585" s="183"/>
    </row>
    <row r="5586" spans="2:2" ht="15.5" x14ac:dyDescent="0.35">
      <c r="B5586" s="183"/>
    </row>
    <row r="5587" spans="2:2" ht="15.5" x14ac:dyDescent="0.35">
      <c r="B5587" s="183"/>
    </row>
    <row r="5588" spans="2:2" ht="15.5" x14ac:dyDescent="0.35">
      <c r="B5588" s="183"/>
    </row>
    <row r="5589" spans="2:2" ht="15.5" x14ac:dyDescent="0.35">
      <c r="B5589" s="183"/>
    </row>
    <row r="5590" spans="2:2" ht="15.5" x14ac:dyDescent="0.35">
      <c r="B5590" s="183"/>
    </row>
    <row r="5591" spans="2:2" ht="15.5" x14ac:dyDescent="0.35">
      <c r="B5591" s="183"/>
    </row>
    <row r="5592" spans="2:2" ht="15.5" x14ac:dyDescent="0.35">
      <c r="B5592" s="183"/>
    </row>
    <row r="5593" spans="2:2" ht="15.5" x14ac:dyDescent="0.35">
      <c r="B5593" s="183"/>
    </row>
    <row r="5594" spans="2:2" ht="15.5" x14ac:dyDescent="0.35">
      <c r="B5594" s="183"/>
    </row>
    <row r="5595" spans="2:2" ht="15.5" x14ac:dyDescent="0.35">
      <c r="B5595" s="183"/>
    </row>
    <row r="5596" spans="2:2" ht="15.5" x14ac:dyDescent="0.35">
      <c r="B5596" s="183"/>
    </row>
    <row r="5597" spans="2:2" ht="15.5" x14ac:dyDescent="0.35">
      <c r="B5597" s="183"/>
    </row>
    <row r="5598" spans="2:2" ht="15.5" x14ac:dyDescent="0.35">
      <c r="B5598" s="183"/>
    </row>
    <row r="5599" spans="2:2" ht="15.5" x14ac:dyDescent="0.35">
      <c r="B5599" s="183"/>
    </row>
    <row r="5600" spans="2:2" ht="15.5" x14ac:dyDescent="0.35">
      <c r="B5600" s="183"/>
    </row>
    <row r="5601" spans="2:2" ht="15.5" x14ac:dyDescent="0.35">
      <c r="B5601" s="183"/>
    </row>
    <row r="5602" spans="2:2" ht="15.5" x14ac:dyDescent="0.35">
      <c r="B5602" s="183"/>
    </row>
    <row r="5603" spans="2:2" ht="15.5" x14ac:dyDescent="0.35">
      <c r="B5603" s="183"/>
    </row>
    <row r="5604" spans="2:2" ht="15.5" x14ac:dyDescent="0.35">
      <c r="B5604" s="183"/>
    </row>
    <row r="5605" spans="2:2" ht="15.5" x14ac:dyDescent="0.35">
      <c r="B5605" s="183"/>
    </row>
    <row r="5606" spans="2:2" ht="15.5" x14ac:dyDescent="0.35">
      <c r="B5606" s="183"/>
    </row>
    <row r="5607" spans="2:2" ht="15.5" x14ac:dyDescent="0.35">
      <c r="B5607" s="183"/>
    </row>
    <row r="5608" spans="2:2" ht="15.5" x14ac:dyDescent="0.35">
      <c r="B5608" s="183"/>
    </row>
    <row r="5609" spans="2:2" ht="15.5" x14ac:dyDescent="0.35">
      <c r="B5609" s="183"/>
    </row>
    <row r="5610" spans="2:2" ht="15.5" x14ac:dyDescent="0.35">
      <c r="B5610" s="183"/>
    </row>
    <row r="5611" spans="2:2" ht="15.5" x14ac:dyDescent="0.35">
      <c r="B5611" s="183"/>
    </row>
    <row r="5612" spans="2:2" ht="15.5" x14ac:dyDescent="0.35">
      <c r="B5612" s="183"/>
    </row>
    <row r="5613" spans="2:2" ht="15.5" x14ac:dyDescent="0.35">
      <c r="B5613" s="183"/>
    </row>
    <row r="5614" spans="2:2" ht="15.5" x14ac:dyDescent="0.35">
      <c r="B5614" s="183"/>
    </row>
    <row r="5615" spans="2:2" ht="15.5" x14ac:dyDescent="0.35">
      <c r="B5615" s="183"/>
    </row>
    <row r="5616" spans="2:2" ht="15.5" x14ac:dyDescent="0.35">
      <c r="B5616" s="183"/>
    </row>
    <row r="5617" spans="2:2" ht="15.5" x14ac:dyDescent="0.35">
      <c r="B5617" s="183"/>
    </row>
    <row r="5618" spans="2:2" ht="15.5" x14ac:dyDescent="0.35">
      <c r="B5618" s="183"/>
    </row>
    <row r="5619" spans="2:2" ht="15.5" x14ac:dyDescent="0.35">
      <c r="B5619" s="183"/>
    </row>
    <row r="5620" spans="2:2" ht="15.5" x14ac:dyDescent="0.35">
      <c r="B5620" s="183"/>
    </row>
    <row r="5621" spans="2:2" ht="15.5" x14ac:dyDescent="0.35">
      <c r="B5621" s="183"/>
    </row>
    <row r="5622" spans="2:2" ht="15.5" x14ac:dyDescent="0.35">
      <c r="B5622" s="183"/>
    </row>
    <row r="5623" spans="2:2" ht="15.5" x14ac:dyDescent="0.35">
      <c r="B5623" s="183"/>
    </row>
    <row r="5624" spans="2:2" ht="15.5" x14ac:dyDescent="0.35">
      <c r="B5624" s="183"/>
    </row>
    <row r="5625" spans="2:2" ht="15.5" x14ac:dyDescent="0.35">
      <c r="B5625" s="183"/>
    </row>
    <row r="5626" spans="2:2" ht="15.5" x14ac:dyDescent="0.35">
      <c r="B5626" s="183"/>
    </row>
    <row r="5627" spans="2:2" ht="15.5" x14ac:dyDescent="0.35">
      <c r="B5627" s="183"/>
    </row>
    <row r="5628" spans="2:2" ht="15.5" x14ac:dyDescent="0.35">
      <c r="B5628" s="183"/>
    </row>
    <row r="5629" spans="2:2" ht="15.5" x14ac:dyDescent="0.35">
      <c r="B5629" s="183"/>
    </row>
    <row r="5630" spans="2:2" ht="15.5" x14ac:dyDescent="0.35">
      <c r="B5630" s="183"/>
    </row>
    <row r="5631" spans="2:2" ht="15.5" x14ac:dyDescent="0.35">
      <c r="B5631" s="183"/>
    </row>
    <row r="5632" spans="2:2" ht="15.5" x14ac:dyDescent="0.35">
      <c r="B5632" s="183"/>
    </row>
    <row r="5633" spans="2:2" ht="15.5" x14ac:dyDescent="0.35">
      <c r="B5633" s="183"/>
    </row>
    <row r="5634" spans="2:2" ht="15.5" x14ac:dyDescent="0.35">
      <c r="B5634" s="183"/>
    </row>
    <row r="5635" spans="2:2" ht="15.5" x14ac:dyDescent="0.35">
      <c r="B5635" s="183"/>
    </row>
    <row r="5636" spans="2:2" ht="15.5" x14ac:dyDescent="0.35">
      <c r="B5636" s="183"/>
    </row>
    <row r="5637" spans="2:2" ht="15.5" x14ac:dyDescent="0.35">
      <c r="B5637" s="183"/>
    </row>
    <row r="5638" spans="2:2" ht="15.5" x14ac:dyDescent="0.35">
      <c r="B5638" s="183"/>
    </row>
    <row r="5639" spans="2:2" ht="15.5" x14ac:dyDescent="0.35">
      <c r="B5639" s="183"/>
    </row>
    <row r="5640" spans="2:2" ht="15.5" x14ac:dyDescent="0.35">
      <c r="B5640" s="183"/>
    </row>
    <row r="5641" spans="2:2" ht="15.5" x14ac:dyDescent="0.35">
      <c r="B5641" s="183"/>
    </row>
    <row r="5642" spans="2:2" ht="15.5" x14ac:dyDescent="0.35">
      <c r="B5642" s="183"/>
    </row>
    <row r="5643" spans="2:2" ht="15.5" x14ac:dyDescent="0.35">
      <c r="B5643" s="183"/>
    </row>
    <row r="5644" spans="2:2" ht="15.5" x14ac:dyDescent="0.35">
      <c r="B5644" s="183"/>
    </row>
    <row r="5645" spans="2:2" ht="15.5" x14ac:dyDescent="0.35">
      <c r="B5645" s="183"/>
    </row>
    <row r="5646" spans="2:2" ht="15.5" x14ac:dyDescent="0.35">
      <c r="B5646" s="183"/>
    </row>
    <row r="5647" spans="2:2" ht="15.5" x14ac:dyDescent="0.35">
      <c r="B5647" s="183"/>
    </row>
    <row r="5648" spans="2:2" ht="15.5" x14ac:dyDescent="0.35">
      <c r="B5648" s="183"/>
    </row>
    <row r="5649" spans="2:2" ht="15.5" x14ac:dyDescent="0.35">
      <c r="B5649" s="183"/>
    </row>
    <row r="5650" spans="2:2" ht="15.5" x14ac:dyDescent="0.35">
      <c r="B5650" s="183"/>
    </row>
    <row r="5651" spans="2:2" ht="15.5" x14ac:dyDescent="0.35">
      <c r="B5651" s="183"/>
    </row>
    <row r="5652" spans="2:2" ht="15.5" x14ac:dyDescent="0.35">
      <c r="B5652" s="183"/>
    </row>
    <row r="5653" spans="2:2" ht="15.5" x14ac:dyDescent="0.35">
      <c r="B5653" s="183"/>
    </row>
    <row r="5654" spans="2:2" ht="15.5" x14ac:dyDescent="0.35">
      <c r="B5654" s="183"/>
    </row>
    <row r="5655" spans="2:2" ht="15.5" x14ac:dyDescent="0.35">
      <c r="B5655" s="183"/>
    </row>
    <row r="5656" spans="2:2" ht="15.5" x14ac:dyDescent="0.35">
      <c r="B5656" s="183"/>
    </row>
    <row r="5657" spans="2:2" ht="15.5" x14ac:dyDescent="0.35">
      <c r="B5657" s="183"/>
    </row>
    <row r="5658" spans="2:2" ht="15.5" x14ac:dyDescent="0.35">
      <c r="B5658" s="183"/>
    </row>
    <row r="5659" spans="2:2" ht="15.5" x14ac:dyDescent="0.35">
      <c r="B5659" s="183"/>
    </row>
    <row r="5660" spans="2:2" ht="15.5" x14ac:dyDescent="0.35">
      <c r="B5660" s="183"/>
    </row>
    <row r="5661" spans="2:2" ht="15.5" x14ac:dyDescent="0.35">
      <c r="B5661" s="183"/>
    </row>
    <row r="5662" spans="2:2" ht="15.5" x14ac:dyDescent="0.35">
      <c r="B5662" s="183"/>
    </row>
    <row r="5663" spans="2:2" ht="15.5" x14ac:dyDescent="0.35">
      <c r="B5663" s="183"/>
    </row>
    <row r="5664" spans="2:2" ht="15.5" x14ac:dyDescent="0.35">
      <c r="B5664" s="183"/>
    </row>
    <row r="5665" spans="2:2" ht="15.5" x14ac:dyDescent="0.35">
      <c r="B5665" s="183"/>
    </row>
    <row r="5666" spans="2:2" ht="15.5" x14ac:dyDescent="0.35">
      <c r="B5666" s="183"/>
    </row>
    <row r="5667" spans="2:2" ht="15.5" x14ac:dyDescent="0.35">
      <c r="B5667" s="183"/>
    </row>
    <row r="5668" spans="2:2" ht="15.5" x14ac:dyDescent="0.35">
      <c r="B5668" s="183"/>
    </row>
    <row r="5669" spans="2:2" ht="15.5" x14ac:dyDescent="0.35">
      <c r="B5669" s="183"/>
    </row>
    <row r="5670" spans="2:2" ht="15.5" x14ac:dyDescent="0.35">
      <c r="B5670" s="183"/>
    </row>
    <row r="5671" spans="2:2" ht="15.5" x14ac:dyDescent="0.35">
      <c r="B5671" s="183"/>
    </row>
    <row r="5672" spans="2:2" ht="15.5" x14ac:dyDescent="0.35">
      <c r="B5672" s="183"/>
    </row>
    <row r="5673" spans="2:2" ht="15.5" x14ac:dyDescent="0.35">
      <c r="B5673" s="183"/>
    </row>
    <row r="5674" spans="2:2" ht="15.5" x14ac:dyDescent="0.35">
      <c r="B5674" s="183"/>
    </row>
    <row r="5675" spans="2:2" ht="15.5" x14ac:dyDescent="0.35">
      <c r="B5675" s="183"/>
    </row>
    <row r="5676" spans="2:2" ht="15.5" x14ac:dyDescent="0.35">
      <c r="B5676" s="183"/>
    </row>
    <row r="5677" spans="2:2" ht="15.5" x14ac:dyDescent="0.35">
      <c r="B5677" s="183"/>
    </row>
    <row r="5678" spans="2:2" ht="15.5" x14ac:dyDescent="0.35">
      <c r="B5678" s="183"/>
    </row>
    <row r="5679" spans="2:2" ht="15.5" x14ac:dyDescent="0.35">
      <c r="B5679" s="183"/>
    </row>
    <row r="5680" spans="2:2" ht="15.5" x14ac:dyDescent="0.35">
      <c r="B5680" s="183"/>
    </row>
    <row r="5681" spans="2:2" ht="15.5" x14ac:dyDescent="0.35">
      <c r="B5681" s="183"/>
    </row>
    <row r="5682" spans="2:2" ht="15.5" x14ac:dyDescent="0.35">
      <c r="B5682" s="183"/>
    </row>
    <row r="5683" spans="2:2" ht="15.5" x14ac:dyDescent="0.35">
      <c r="B5683" s="183"/>
    </row>
    <row r="5684" spans="2:2" ht="15.5" x14ac:dyDescent="0.35">
      <c r="B5684" s="183"/>
    </row>
    <row r="5685" spans="2:2" ht="15.5" x14ac:dyDescent="0.35">
      <c r="B5685" s="183"/>
    </row>
    <row r="5686" spans="2:2" ht="15.5" x14ac:dyDescent="0.35">
      <c r="B5686" s="183"/>
    </row>
    <row r="5687" spans="2:2" ht="15.5" x14ac:dyDescent="0.35">
      <c r="B5687" s="183"/>
    </row>
    <row r="5688" spans="2:2" ht="15.5" x14ac:dyDescent="0.35">
      <c r="B5688" s="183"/>
    </row>
    <row r="5689" spans="2:2" ht="15.5" x14ac:dyDescent="0.35">
      <c r="B5689" s="183"/>
    </row>
    <row r="5690" spans="2:2" ht="15.5" x14ac:dyDescent="0.35">
      <c r="B5690" s="183"/>
    </row>
    <row r="5691" spans="2:2" ht="15.5" x14ac:dyDescent="0.35">
      <c r="B5691" s="183"/>
    </row>
    <row r="5692" spans="2:2" ht="15.5" x14ac:dyDescent="0.35">
      <c r="B5692" s="183"/>
    </row>
    <row r="5693" spans="2:2" ht="15.5" x14ac:dyDescent="0.35">
      <c r="B5693" s="183"/>
    </row>
    <row r="5694" spans="2:2" ht="15.5" x14ac:dyDescent="0.35">
      <c r="B5694" s="183"/>
    </row>
    <row r="5695" spans="2:2" ht="15.5" x14ac:dyDescent="0.35">
      <c r="B5695" s="183"/>
    </row>
    <row r="5696" spans="2:2" ht="15.5" x14ac:dyDescent="0.35">
      <c r="B5696" s="183"/>
    </row>
    <row r="5697" spans="2:2" ht="15.5" x14ac:dyDescent="0.35">
      <c r="B5697" s="183"/>
    </row>
    <row r="5698" spans="2:2" ht="15.5" x14ac:dyDescent="0.35">
      <c r="B5698" s="183"/>
    </row>
    <row r="5699" spans="2:2" ht="15.5" x14ac:dyDescent="0.35">
      <c r="B5699" s="183"/>
    </row>
    <row r="5700" spans="2:2" ht="15.5" x14ac:dyDescent="0.35">
      <c r="B5700" s="183"/>
    </row>
    <row r="5701" spans="2:2" ht="15.5" x14ac:dyDescent="0.35">
      <c r="B5701" s="183"/>
    </row>
    <row r="5702" spans="2:2" ht="15.5" x14ac:dyDescent="0.35">
      <c r="B5702" s="183"/>
    </row>
    <row r="5703" spans="2:2" ht="15.5" x14ac:dyDescent="0.35">
      <c r="B5703" s="183"/>
    </row>
    <row r="5704" spans="2:2" ht="15.5" x14ac:dyDescent="0.35">
      <c r="B5704" s="183"/>
    </row>
    <row r="5705" spans="2:2" ht="15.5" x14ac:dyDescent="0.35">
      <c r="B5705" s="183"/>
    </row>
    <row r="5706" spans="2:2" ht="15.5" x14ac:dyDescent="0.35">
      <c r="B5706" s="183"/>
    </row>
    <row r="5707" spans="2:2" ht="15.5" x14ac:dyDescent="0.35">
      <c r="B5707" s="183"/>
    </row>
    <row r="5708" spans="2:2" ht="15.5" x14ac:dyDescent="0.35">
      <c r="B5708" s="183"/>
    </row>
    <row r="5709" spans="2:2" ht="15.5" x14ac:dyDescent="0.35">
      <c r="B5709" s="183"/>
    </row>
    <row r="5710" spans="2:2" ht="15.5" x14ac:dyDescent="0.35">
      <c r="B5710" s="183"/>
    </row>
    <row r="5711" spans="2:2" ht="15.5" x14ac:dyDescent="0.35">
      <c r="B5711" s="183"/>
    </row>
    <row r="5712" spans="2:2" ht="15.5" x14ac:dyDescent="0.35">
      <c r="B5712" s="183"/>
    </row>
    <row r="5713" spans="2:2" ht="15.5" x14ac:dyDescent="0.35">
      <c r="B5713" s="183"/>
    </row>
    <row r="5714" spans="2:2" ht="15.5" x14ac:dyDescent="0.35">
      <c r="B5714" s="183"/>
    </row>
    <row r="5715" spans="2:2" ht="15.5" x14ac:dyDescent="0.35">
      <c r="B5715" s="183"/>
    </row>
    <row r="5716" spans="2:2" ht="15.5" x14ac:dyDescent="0.35">
      <c r="B5716" s="183"/>
    </row>
    <row r="5717" spans="2:2" ht="15.5" x14ac:dyDescent="0.35">
      <c r="B5717" s="183"/>
    </row>
    <row r="5718" spans="2:2" ht="15.5" x14ac:dyDescent="0.35">
      <c r="B5718" s="183"/>
    </row>
    <row r="5719" spans="2:2" ht="15.5" x14ac:dyDescent="0.35">
      <c r="B5719" s="183"/>
    </row>
    <row r="5720" spans="2:2" ht="15.5" x14ac:dyDescent="0.35">
      <c r="B5720" s="183"/>
    </row>
    <row r="5721" spans="2:2" ht="15.5" x14ac:dyDescent="0.35">
      <c r="B5721" s="183"/>
    </row>
    <row r="5722" spans="2:2" ht="15.5" x14ac:dyDescent="0.35">
      <c r="B5722" s="183"/>
    </row>
    <row r="5723" spans="2:2" ht="15.5" x14ac:dyDescent="0.35">
      <c r="B5723" s="183"/>
    </row>
    <row r="5724" spans="2:2" ht="15.5" x14ac:dyDescent="0.35">
      <c r="B5724" s="183"/>
    </row>
    <row r="5725" spans="2:2" ht="15.5" x14ac:dyDescent="0.35">
      <c r="B5725" s="183"/>
    </row>
    <row r="5726" spans="2:2" ht="15.5" x14ac:dyDescent="0.35">
      <c r="B5726" s="183"/>
    </row>
    <row r="5727" spans="2:2" ht="15.5" x14ac:dyDescent="0.35">
      <c r="B5727" s="183"/>
    </row>
    <row r="5728" spans="2:2" ht="15.5" x14ac:dyDescent="0.35">
      <c r="B5728" s="183"/>
    </row>
    <row r="5729" spans="2:2" ht="15.5" x14ac:dyDescent="0.35">
      <c r="B5729" s="183"/>
    </row>
    <row r="5730" spans="2:2" ht="15.5" x14ac:dyDescent="0.35">
      <c r="B5730" s="183"/>
    </row>
    <row r="5731" spans="2:2" ht="15.5" x14ac:dyDescent="0.35">
      <c r="B5731" s="183"/>
    </row>
    <row r="5732" spans="2:2" ht="15.5" x14ac:dyDescent="0.35">
      <c r="B5732" s="183"/>
    </row>
    <row r="5733" spans="2:2" ht="15.5" x14ac:dyDescent="0.35">
      <c r="B5733" s="183"/>
    </row>
    <row r="5734" spans="2:2" ht="15.5" x14ac:dyDescent="0.35">
      <c r="B5734" s="183"/>
    </row>
    <row r="5735" spans="2:2" ht="15.5" x14ac:dyDescent="0.35">
      <c r="B5735" s="183"/>
    </row>
    <row r="5736" spans="2:2" ht="15.5" x14ac:dyDescent="0.35">
      <c r="B5736" s="183"/>
    </row>
    <row r="5737" spans="2:2" ht="15.5" x14ac:dyDescent="0.35">
      <c r="B5737" s="183"/>
    </row>
    <row r="5738" spans="2:2" ht="15.5" x14ac:dyDescent="0.35">
      <c r="B5738" s="183"/>
    </row>
    <row r="5739" spans="2:2" ht="15.5" x14ac:dyDescent="0.35">
      <c r="B5739" s="183"/>
    </row>
    <row r="5740" spans="2:2" ht="15.5" x14ac:dyDescent="0.35">
      <c r="B5740" s="183"/>
    </row>
    <row r="5741" spans="2:2" ht="15.5" x14ac:dyDescent="0.35">
      <c r="B5741" s="183"/>
    </row>
    <row r="5742" spans="2:2" ht="15.5" x14ac:dyDescent="0.35">
      <c r="B5742" s="183"/>
    </row>
    <row r="5743" spans="2:2" ht="15.5" x14ac:dyDescent="0.35">
      <c r="B5743" s="183"/>
    </row>
    <row r="5744" spans="2:2" ht="15.5" x14ac:dyDescent="0.35">
      <c r="B5744" s="183"/>
    </row>
    <row r="5745" spans="2:2" ht="15.5" x14ac:dyDescent="0.35">
      <c r="B5745" s="183"/>
    </row>
    <row r="5746" spans="2:2" ht="15.5" x14ac:dyDescent="0.35">
      <c r="B5746" s="183"/>
    </row>
    <row r="5747" spans="2:2" ht="15.5" x14ac:dyDescent="0.35">
      <c r="B5747" s="183"/>
    </row>
    <row r="5748" spans="2:2" ht="15.5" x14ac:dyDescent="0.35">
      <c r="B5748" s="183"/>
    </row>
    <row r="5749" spans="2:2" ht="15.5" x14ac:dyDescent="0.35">
      <c r="B5749" s="183"/>
    </row>
    <row r="5750" spans="2:2" ht="15.5" x14ac:dyDescent="0.35">
      <c r="B5750" s="183"/>
    </row>
    <row r="5751" spans="2:2" ht="15.5" x14ac:dyDescent="0.35">
      <c r="B5751" s="183"/>
    </row>
    <row r="5752" spans="2:2" ht="15.5" x14ac:dyDescent="0.35">
      <c r="B5752" s="183"/>
    </row>
    <row r="5753" spans="2:2" ht="15.5" x14ac:dyDescent="0.35">
      <c r="B5753" s="183"/>
    </row>
    <row r="5754" spans="2:2" ht="15.5" x14ac:dyDescent="0.35">
      <c r="B5754" s="183"/>
    </row>
    <row r="5755" spans="2:2" ht="15.5" x14ac:dyDescent="0.35">
      <c r="B5755" s="183"/>
    </row>
    <row r="5756" spans="2:2" ht="15.5" x14ac:dyDescent="0.35">
      <c r="B5756" s="183"/>
    </row>
    <row r="5757" spans="2:2" ht="15.5" x14ac:dyDescent="0.35">
      <c r="B5757" s="183"/>
    </row>
    <row r="5758" spans="2:2" ht="15.5" x14ac:dyDescent="0.35">
      <c r="B5758" s="183"/>
    </row>
    <row r="5759" spans="2:2" ht="15.5" x14ac:dyDescent="0.35">
      <c r="B5759" s="183"/>
    </row>
    <row r="5760" spans="2:2" ht="15.5" x14ac:dyDescent="0.35">
      <c r="B5760" s="183"/>
    </row>
    <row r="5761" spans="2:2" ht="15.5" x14ac:dyDescent="0.35">
      <c r="B5761" s="183"/>
    </row>
    <row r="5762" spans="2:2" ht="15.5" x14ac:dyDescent="0.35">
      <c r="B5762" s="183"/>
    </row>
    <row r="5763" spans="2:2" ht="15.5" x14ac:dyDescent="0.35">
      <c r="B5763" s="183"/>
    </row>
    <row r="5764" spans="2:2" ht="15.5" x14ac:dyDescent="0.35">
      <c r="B5764" s="183"/>
    </row>
    <row r="5765" spans="2:2" ht="15.5" x14ac:dyDescent="0.35">
      <c r="B5765" s="183"/>
    </row>
    <row r="5766" spans="2:2" ht="15.5" x14ac:dyDescent="0.35">
      <c r="B5766" s="183"/>
    </row>
    <row r="5767" spans="2:2" ht="15.5" x14ac:dyDescent="0.35">
      <c r="B5767" s="183"/>
    </row>
    <row r="5768" spans="2:2" ht="15.5" x14ac:dyDescent="0.35">
      <c r="B5768" s="183"/>
    </row>
    <row r="5769" spans="2:2" ht="15.5" x14ac:dyDescent="0.35">
      <c r="B5769" s="183"/>
    </row>
    <row r="5770" spans="2:2" ht="15.5" x14ac:dyDescent="0.35">
      <c r="B5770" s="183"/>
    </row>
    <row r="5771" spans="2:2" ht="15.5" x14ac:dyDescent="0.35">
      <c r="B5771" s="183"/>
    </row>
    <row r="5772" spans="2:2" ht="15.5" x14ac:dyDescent="0.35">
      <c r="B5772" s="183"/>
    </row>
    <row r="5773" spans="2:2" ht="15.5" x14ac:dyDescent="0.35">
      <c r="B5773" s="183"/>
    </row>
    <row r="5774" spans="2:2" ht="15.5" x14ac:dyDescent="0.35">
      <c r="B5774" s="183"/>
    </row>
    <row r="5775" spans="2:2" ht="15.5" x14ac:dyDescent="0.35">
      <c r="B5775" s="183"/>
    </row>
    <row r="5776" spans="2:2" ht="15.5" x14ac:dyDescent="0.35">
      <c r="B5776" s="183"/>
    </row>
    <row r="5777" spans="2:2" ht="15.5" x14ac:dyDescent="0.35">
      <c r="B5777" s="183"/>
    </row>
    <row r="5778" spans="2:2" ht="15.5" x14ac:dyDescent="0.35">
      <c r="B5778" s="183"/>
    </row>
    <row r="5779" spans="2:2" ht="15.5" x14ac:dyDescent="0.35">
      <c r="B5779" s="183"/>
    </row>
    <row r="5780" spans="2:2" ht="15.5" x14ac:dyDescent="0.35">
      <c r="B5780" s="183"/>
    </row>
    <row r="5781" spans="2:2" ht="15.5" x14ac:dyDescent="0.35">
      <c r="B5781" s="183"/>
    </row>
    <row r="5782" spans="2:2" ht="15.5" x14ac:dyDescent="0.35">
      <c r="B5782" s="183"/>
    </row>
    <row r="5783" spans="2:2" ht="15.5" x14ac:dyDescent="0.35">
      <c r="B5783" s="183"/>
    </row>
    <row r="5784" spans="2:2" ht="15.5" x14ac:dyDescent="0.35">
      <c r="B5784" s="183"/>
    </row>
    <row r="5785" spans="2:2" ht="15.5" x14ac:dyDescent="0.35">
      <c r="B5785" s="183"/>
    </row>
    <row r="5786" spans="2:2" ht="15.5" x14ac:dyDescent="0.35">
      <c r="B5786" s="183"/>
    </row>
    <row r="5787" spans="2:2" ht="15.5" x14ac:dyDescent="0.35">
      <c r="B5787" s="183"/>
    </row>
    <row r="5788" spans="2:2" ht="15.5" x14ac:dyDescent="0.35">
      <c r="B5788" s="183"/>
    </row>
    <row r="5789" spans="2:2" ht="15.5" x14ac:dyDescent="0.35">
      <c r="B5789" s="183"/>
    </row>
    <row r="5790" spans="2:2" ht="15.5" x14ac:dyDescent="0.35">
      <c r="B5790" s="183"/>
    </row>
    <row r="5791" spans="2:2" ht="15.5" x14ac:dyDescent="0.35">
      <c r="B5791" s="183"/>
    </row>
    <row r="5792" spans="2:2" ht="15.5" x14ac:dyDescent="0.35">
      <c r="B5792" s="183"/>
    </row>
    <row r="5793" spans="2:2" ht="15.5" x14ac:dyDescent="0.35">
      <c r="B5793" s="183"/>
    </row>
    <row r="5794" spans="2:2" ht="15.5" x14ac:dyDescent="0.35">
      <c r="B5794" s="183"/>
    </row>
    <row r="5795" spans="2:2" ht="15.5" x14ac:dyDescent="0.35">
      <c r="B5795" s="183"/>
    </row>
    <row r="5796" spans="2:2" ht="15.5" x14ac:dyDescent="0.35">
      <c r="B5796" s="183"/>
    </row>
    <row r="5797" spans="2:2" ht="15.5" x14ac:dyDescent="0.35">
      <c r="B5797" s="183"/>
    </row>
    <row r="5798" spans="2:2" ht="15.5" x14ac:dyDescent="0.35">
      <c r="B5798" s="183"/>
    </row>
    <row r="5799" spans="2:2" ht="15.5" x14ac:dyDescent="0.35">
      <c r="B5799" s="183"/>
    </row>
    <row r="5800" spans="2:2" ht="15.5" x14ac:dyDescent="0.35">
      <c r="B5800" s="183"/>
    </row>
    <row r="5801" spans="2:2" ht="15.5" x14ac:dyDescent="0.35">
      <c r="B5801" s="183"/>
    </row>
    <row r="5802" spans="2:2" ht="15.5" x14ac:dyDescent="0.35">
      <c r="B5802" s="183"/>
    </row>
    <row r="5803" spans="2:2" ht="15.5" x14ac:dyDescent="0.35">
      <c r="B5803" s="183"/>
    </row>
    <row r="5804" spans="2:2" ht="15.5" x14ac:dyDescent="0.35">
      <c r="B5804" s="183"/>
    </row>
    <row r="5805" spans="2:2" ht="15.5" x14ac:dyDescent="0.35">
      <c r="B5805" s="183"/>
    </row>
    <row r="5806" spans="2:2" ht="15.5" x14ac:dyDescent="0.35">
      <c r="B5806" s="183"/>
    </row>
    <row r="5807" spans="2:2" ht="15.5" x14ac:dyDescent="0.35">
      <c r="B5807" s="183"/>
    </row>
    <row r="5808" spans="2:2" ht="15.5" x14ac:dyDescent="0.35">
      <c r="B5808" s="183"/>
    </row>
    <row r="5809" spans="2:2" ht="15.5" x14ac:dyDescent="0.35">
      <c r="B5809" s="183"/>
    </row>
    <row r="5810" spans="2:2" ht="15.5" x14ac:dyDescent="0.35">
      <c r="B5810" s="183"/>
    </row>
    <row r="5811" spans="2:2" ht="15.5" x14ac:dyDescent="0.35">
      <c r="B5811" s="183"/>
    </row>
    <row r="5812" spans="2:2" ht="15.5" x14ac:dyDescent="0.35">
      <c r="B5812" s="183"/>
    </row>
    <row r="5813" spans="2:2" ht="15.5" x14ac:dyDescent="0.35">
      <c r="B5813" s="183"/>
    </row>
    <row r="5814" spans="2:2" ht="15.5" x14ac:dyDescent="0.35">
      <c r="B5814" s="183"/>
    </row>
    <row r="5815" spans="2:2" ht="15.5" x14ac:dyDescent="0.35">
      <c r="B5815" s="183"/>
    </row>
    <row r="5816" spans="2:2" ht="15.5" x14ac:dyDescent="0.35">
      <c r="B5816" s="183"/>
    </row>
    <row r="5817" spans="2:2" ht="15.5" x14ac:dyDescent="0.35">
      <c r="B5817" s="183"/>
    </row>
    <row r="5818" spans="2:2" ht="15.5" x14ac:dyDescent="0.35">
      <c r="B5818" s="183"/>
    </row>
    <row r="5819" spans="2:2" ht="15.5" x14ac:dyDescent="0.35">
      <c r="B5819" s="183"/>
    </row>
    <row r="5820" spans="2:2" ht="15.5" x14ac:dyDescent="0.35">
      <c r="B5820" s="183"/>
    </row>
    <row r="5821" spans="2:2" ht="15.5" x14ac:dyDescent="0.35">
      <c r="B5821" s="183"/>
    </row>
    <row r="5822" spans="2:2" ht="15.5" x14ac:dyDescent="0.35">
      <c r="B5822" s="183"/>
    </row>
    <row r="5823" spans="2:2" ht="15.5" x14ac:dyDescent="0.35">
      <c r="B5823" s="183"/>
    </row>
    <row r="5824" spans="2:2" ht="15.5" x14ac:dyDescent="0.35">
      <c r="B5824" s="183"/>
    </row>
    <row r="5825" spans="2:2" ht="15.5" x14ac:dyDescent="0.35">
      <c r="B5825" s="183"/>
    </row>
    <row r="5826" spans="2:2" ht="15.5" x14ac:dyDescent="0.35">
      <c r="B5826" s="183"/>
    </row>
    <row r="5827" spans="2:2" ht="15.5" x14ac:dyDescent="0.35">
      <c r="B5827" s="183"/>
    </row>
    <row r="5828" spans="2:2" ht="15.5" x14ac:dyDescent="0.35">
      <c r="B5828" s="183"/>
    </row>
    <row r="5829" spans="2:2" ht="15.5" x14ac:dyDescent="0.35">
      <c r="B5829" s="183"/>
    </row>
    <row r="5830" spans="2:2" ht="15.5" x14ac:dyDescent="0.35">
      <c r="B5830" s="183"/>
    </row>
    <row r="5831" spans="2:2" ht="15.5" x14ac:dyDescent="0.35">
      <c r="B5831" s="183"/>
    </row>
    <row r="5832" spans="2:2" ht="15.5" x14ac:dyDescent="0.35">
      <c r="B5832" s="183"/>
    </row>
    <row r="5833" spans="2:2" ht="15.5" x14ac:dyDescent="0.35">
      <c r="B5833" s="183"/>
    </row>
    <row r="5834" spans="2:2" ht="15.5" x14ac:dyDescent="0.35">
      <c r="B5834" s="183"/>
    </row>
    <row r="5835" spans="2:2" ht="15.5" x14ac:dyDescent="0.35">
      <c r="B5835" s="183"/>
    </row>
    <row r="5836" spans="2:2" ht="15.5" x14ac:dyDescent="0.35">
      <c r="B5836" s="183"/>
    </row>
    <row r="5837" spans="2:2" ht="15.5" x14ac:dyDescent="0.35">
      <c r="B5837" s="183"/>
    </row>
    <row r="5838" spans="2:2" ht="15.5" x14ac:dyDescent="0.35">
      <c r="B5838" s="183"/>
    </row>
    <row r="5839" spans="2:2" ht="15.5" x14ac:dyDescent="0.35">
      <c r="B5839" s="183"/>
    </row>
    <row r="5840" spans="2:2" ht="15.5" x14ac:dyDescent="0.35">
      <c r="B5840" s="183"/>
    </row>
    <row r="5841" spans="2:2" ht="15.5" x14ac:dyDescent="0.35">
      <c r="B5841" s="183"/>
    </row>
    <row r="5842" spans="2:2" ht="15.5" x14ac:dyDescent="0.35">
      <c r="B5842" s="183"/>
    </row>
    <row r="5843" spans="2:2" ht="15.5" x14ac:dyDescent="0.35">
      <c r="B5843" s="183"/>
    </row>
    <row r="5844" spans="2:2" ht="15.5" x14ac:dyDescent="0.35">
      <c r="B5844" s="183"/>
    </row>
    <row r="5845" spans="2:2" ht="15.5" x14ac:dyDescent="0.35">
      <c r="B5845" s="183"/>
    </row>
    <row r="5846" spans="2:2" ht="15.5" x14ac:dyDescent="0.35">
      <c r="B5846" s="183"/>
    </row>
    <row r="5847" spans="2:2" ht="15.5" x14ac:dyDescent="0.35">
      <c r="B5847" s="183"/>
    </row>
    <row r="5848" spans="2:2" ht="15.5" x14ac:dyDescent="0.35">
      <c r="B5848" s="183"/>
    </row>
    <row r="5849" spans="2:2" ht="15.5" x14ac:dyDescent="0.35">
      <c r="B5849" s="183"/>
    </row>
    <row r="5850" spans="2:2" ht="15.5" x14ac:dyDescent="0.35">
      <c r="B5850" s="183"/>
    </row>
    <row r="5851" spans="2:2" ht="15.5" x14ac:dyDescent="0.35">
      <c r="B5851" s="183"/>
    </row>
    <row r="5852" spans="2:2" ht="15.5" x14ac:dyDescent="0.35">
      <c r="B5852" s="183"/>
    </row>
    <row r="5853" spans="2:2" ht="15.5" x14ac:dyDescent="0.35">
      <c r="B5853" s="183"/>
    </row>
    <row r="5854" spans="2:2" ht="15.5" x14ac:dyDescent="0.35">
      <c r="B5854" s="183"/>
    </row>
    <row r="5855" spans="2:2" ht="15.5" x14ac:dyDescent="0.35">
      <c r="B5855" s="183"/>
    </row>
    <row r="5856" spans="2:2" ht="15.5" x14ac:dyDescent="0.35">
      <c r="B5856" s="183"/>
    </row>
    <row r="5857" spans="2:2" ht="15.5" x14ac:dyDescent="0.35">
      <c r="B5857" s="183"/>
    </row>
    <row r="5858" spans="2:2" ht="15.5" x14ac:dyDescent="0.35">
      <c r="B5858" s="183"/>
    </row>
    <row r="5859" spans="2:2" ht="15.5" x14ac:dyDescent="0.35">
      <c r="B5859" s="183"/>
    </row>
    <row r="5860" spans="2:2" ht="15.5" x14ac:dyDescent="0.35">
      <c r="B5860" s="183"/>
    </row>
    <row r="5861" spans="2:2" ht="15.5" x14ac:dyDescent="0.35">
      <c r="B5861" s="183"/>
    </row>
    <row r="5862" spans="2:2" ht="15.5" x14ac:dyDescent="0.35">
      <c r="B5862" s="183"/>
    </row>
    <row r="5863" spans="2:2" ht="15.5" x14ac:dyDescent="0.35">
      <c r="B5863" s="183"/>
    </row>
    <row r="5864" spans="2:2" ht="15.5" x14ac:dyDescent="0.35">
      <c r="B5864" s="183"/>
    </row>
    <row r="5865" spans="2:2" ht="15.5" x14ac:dyDescent="0.35">
      <c r="B5865" s="183"/>
    </row>
    <row r="5866" spans="2:2" ht="15.5" x14ac:dyDescent="0.35">
      <c r="B5866" s="183"/>
    </row>
    <row r="5867" spans="2:2" ht="15.5" x14ac:dyDescent="0.35">
      <c r="B5867" s="183"/>
    </row>
    <row r="5868" spans="2:2" ht="15.5" x14ac:dyDescent="0.35">
      <c r="B5868" s="183"/>
    </row>
    <row r="5869" spans="2:2" ht="15.5" x14ac:dyDescent="0.35">
      <c r="B5869" s="183"/>
    </row>
    <row r="5870" spans="2:2" ht="15.5" x14ac:dyDescent="0.35">
      <c r="B5870" s="183"/>
    </row>
    <row r="5871" spans="2:2" ht="15.5" x14ac:dyDescent="0.35">
      <c r="B5871" s="183"/>
    </row>
    <row r="5872" spans="2:2" ht="15.5" x14ac:dyDescent="0.35">
      <c r="B5872" s="183"/>
    </row>
    <row r="5873" spans="2:2" ht="15.5" x14ac:dyDescent="0.35">
      <c r="B5873" s="183"/>
    </row>
    <row r="5874" spans="2:2" ht="15.5" x14ac:dyDescent="0.35">
      <c r="B5874" s="183"/>
    </row>
    <row r="5875" spans="2:2" ht="15.5" x14ac:dyDescent="0.35">
      <c r="B5875" s="183"/>
    </row>
    <row r="5876" spans="2:2" ht="15.5" x14ac:dyDescent="0.35">
      <c r="B5876" s="183"/>
    </row>
    <row r="5877" spans="2:2" ht="15.5" x14ac:dyDescent="0.35">
      <c r="B5877" s="183"/>
    </row>
    <row r="5878" spans="2:2" ht="15.5" x14ac:dyDescent="0.35">
      <c r="B5878" s="183"/>
    </row>
    <row r="5879" spans="2:2" ht="15.5" x14ac:dyDescent="0.35">
      <c r="B5879" s="183"/>
    </row>
    <row r="5880" spans="2:2" ht="15.5" x14ac:dyDescent="0.35">
      <c r="B5880" s="183"/>
    </row>
    <row r="5881" spans="2:2" ht="15.5" x14ac:dyDescent="0.35">
      <c r="B5881" s="183"/>
    </row>
    <row r="5882" spans="2:2" ht="15.5" x14ac:dyDescent="0.35">
      <c r="B5882" s="183"/>
    </row>
    <row r="5883" spans="2:2" ht="15.5" x14ac:dyDescent="0.35">
      <c r="B5883" s="183"/>
    </row>
    <row r="5884" spans="2:2" ht="15.5" x14ac:dyDescent="0.35">
      <c r="B5884" s="183"/>
    </row>
    <row r="5885" spans="2:2" ht="15.5" x14ac:dyDescent="0.35">
      <c r="B5885" s="183"/>
    </row>
    <row r="5886" spans="2:2" ht="15.5" x14ac:dyDescent="0.35">
      <c r="B5886" s="183"/>
    </row>
    <row r="5887" spans="2:2" ht="15.5" x14ac:dyDescent="0.35">
      <c r="B5887" s="183"/>
    </row>
    <row r="5888" spans="2:2" ht="15.5" x14ac:dyDescent="0.35">
      <c r="B5888" s="183"/>
    </row>
    <row r="5889" spans="2:2" ht="15.5" x14ac:dyDescent="0.35">
      <c r="B5889" s="183"/>
    </row>
    <row r="5890" spans="2:2" ht="15.5" x14ac:dyDescent="0.35">
      <c r="B5890" s="183"/>
    </row>
    <row r="5891" spans="2:2" ht="15.5" x14ac:dyDescent="0.35">
      <c r="B5891" s="183"/>
    </row>
    <row r="5892" spans="2:2" ht="15.5" x14ac:dyDescent="0.35">
      <c r="B5892" s="183"/>
    </row>
    <row r="5893" spans="2:2" ht="15.5" x14ac:dyDescent="0.35">
      <c r="B5893" s="183"/>
    </row>
    <row r="5894" spans="2:2" ht="15.5" x14ac:dyDescent="0.35">
      <c r="B5894" s="183"/>
    </row>
    <row r="5895" spans="2:2" ht="15.5" x14ac:dyDescent="0.35">
      <c r="B5895" s="183"/>
    </row>
    <row r="5896" spans="2:2" ht="15.5" x14ac:dyDescent="0.35">
      <c r="B5896" s="183"/>
    </row>
    <row r="5897" spans="2:2" ht="15.5" x14ac:dyDescent="0.35">
      <c r="B5897" s="183"/>
    </row>
    <row r="5898" spans="2:2" ht="15.5" x14ac:dyDescent="0.35">
      <c r="B5898" s="183"/>
    </row>
    <row r="5899" spans="2:2" ht="15.5" x14ac:dyDescent="0.35">
      <c r="B5899" s="183"/>
    </row>
    <row r="5900" spans="2:2" ht="15.5" x14ac:dyDescent="0.35">
      <c r="B5900" s="183"/>
    </row>
    <row r="5901" spans="2:2" ht="15.5" x14ac:dyDescent="0.35">
      <c r="B5901" s="183"/>
    </row>
    <row r="5902" spans="2:2" ht="15.5" x14ac:dyDescent="0.35">
      <c r="B5902" s="183"/>
    </row>
    <row r="5903" spans="2:2" ht="15.5" x14ac:dyDescent="0.35">
      <c r="B5903" s="183"/>
    </row>
    <row r="5904" spans="2:2" ht="15.5" x14ac:dyDescent="0.35">
      <c r="B5904" s="183"/>
    </row>
    <row r="5905" spans="2:2" ht="15.5" x14ac:dyDescent="0.35">
      <c r="B5905" s="183"/>
    </row>
    <row r="5906" spans="2:2" ht="15.5" x14ac:dyDescent="0.35">
      <c r="B5906" s="183"/>
    </row>
    <row r="5907" spans="2:2" ht="15.5" x14ac:dyDescent="0.35">
      <c r="B5907" s="183"/>
    </row>
    <row r="5908" spans="2:2" ht="15.5" x14ac:dyDescent="0.35">
      <c r="B5908" s="183"/>
    </row>
    <row r="5909" spans="2:2" ht="15.5" x14ac:dyDescent="0.35">
      <c r="B5909" s="183"/>
    </row>
    <row r="5910" spans="2:2" ht="15.5" x14ac:dyDescent="0.35">
      <c r="B5910" s="183"/>
    </row>
    <row r="5911" spans="2:2" ht="15.5" x14ac:dyDescent="0.35">
      <c r="B5911" s="183"/>
    </row>
    <row r="5912" spans="2:2" ht="15.5" x14ac:dyDescent="0.35">
      <c r="B5912" s="183"/>
    </row>
    <row r="5913" spans="2:2" ht="15.5" x14ac:dyDescent="0.35">
      <c r="B5913" s="183"/>
    </row>
    <row r="5914" spans="2:2" ht="15.5" x14ac:dyDescent="0.35">
      <c r="B5914" s="183"/>
    </row>
    <row r="5915" spans="2:2" ht="15.5" x14ac:dyDescent="0.35">
      <c r="B5915" s="183"/>
    </row>
    <row r="5916" spans="2:2" ht="15.5" x14ac:dyDescent="0.35">
      <c r="B5916" s="183"/>
    </row>
    <row r="5917" spans="2:2" ht="15.5" x14ac:dyDescent="0.35">
      <c r="B5917" s="183"/>
    </row>
    <row r="5918" spans="2:2" ht="15.5" x14ac:dyDescent="0.35">
      <c r="B5918" s="183"/>
    </row>
    <row r="5919" spans="2:2" ht="15.5" x14ac:dyDescent="0.35">
      <c r="B5919" s="183"/>
    </row>
    <row r="5920" spans="2:2" ht="15.5" x14ac:dyDescent="0.35">
      <c r="B5920" s="183"/>
    </row>
    <row r="5921" spans="2:2" ht="15.5" x14ac:dyDescent="0.35">
      <c r="B5921" s="183"/>
    </row>
    <row r="5922" spans="2:2" ht="15.5" x14ac:dyDescent="0.35">
      <c r="B5922" s="183"/>
    </row>
    <row r="5923" spans="2:2" ht="15.5" x14ac:dyDescent="0.35">
      <c r="B5923" s="183"/>
    </row>
    <row r="5924" spans="2:2" ht="15.5" x14ac:dyDescent="0.35">
      <c r="B5924" s="183"/>
    </row>
    <row r="5925" spans="2:2" ht="15.5" x14ac:dyDescent="0.35">
      <c r="B5925" s="183"/>
    </row>
    <row r="5926" spans="2:2" ht="15.5" x14ac:dyDescent="0.35">
      <c r="B5926" s="183"/>
    </row>
    <row r="5927" spans="2:2" ht="15.5" x14ac:dyDescent="0.35">
      <c r="B5927" s="183"/>
    </row>
    <row r="5928" spans="2:2" ht="15.5" x14ac:dyDescent="0.35">
      <c r="B5928" s="183"/>
    </row>
    <row r="5929" spans="2:2" ht="15.5" x14ac:dyDescent="0.35">
      <c r="B5929" s="183"/>
    </row>
    <row r="5930" spans="2:2" ht="15.5" x14ac:dyDescent="0.35">
      <c r="B5930" s="183"/>
    </row>
    <row r="5931" spans="2:2" ht="15.5" x14ac:dyDescent="0.35">
      <c r="B5931" s="183"/>
    </row>
    <row r="5932" spans="2:2" ht="15.5" x14ac:dyDescent="0.35">
      <c r="B5932" s="183"/>
    </row>
    <row r="5933" spans="2:2" ht="15.5" x14ac:dyDescent="0.35">
      <c r="B5933" s="183"/>
    </row>
    <row r="5934" spans="2:2" ht="15.5" x14ac:dyDescent="0.35">
      <c r="B5934" s="183"/>
    </row>
    <row r="5935" spans="2:2" ht="15.5" x14ac:dyDescent="0.35">
      <c r="B5935" s="183"/>
    </row>
    <row r="5936" spans="2:2" ht="15.5" x14ac:dyDescent="0.35">
      <c r="B5936" s="183"/>
    </row>
    <row r="5937" spans="2:2" ht="15.5" x14ac:dyDescent="0.35">
      <c r="B5937" s="183"/>
    </row>
    <row r="5938" spans="2:2" ht="15.5" x14ac:dyDescent="0.35">
      <c r="B5938" s="183"/>
    </row>
    <row r="5939" spans="2:2" ht="15.5" x14ac:dyDescent="0.35">
      <c r="B5939" s="183"/>
    </row>
    <row r="5940" spans="2:2" ht="15.5" x14ac:dyDescent="0.35">
      <c r="B5940" s="183"/>
    </row>
    <row r="5941" spans="2:2" ht="15.5" x14ac:dyDescent="0.35">
      <c r="B5941" s="183"/>
    </row>
    <row r="5942" spans="2:2" ht="15.5" x14ac:dyDescent="0.35">
      <c r="B5942" s="183"/>
    </row>
    <row r="5943" spans="2:2" ht="15.5" x14ac:dyDescent="0.35">
      <c r="B5943" s="183"/>
    </row>
    <row r="5944" spans="2:2" ht="15.5" x14ac:dyDescent="0.35">
      <c r="B5944" s="183"/>
    </row>
    <row r="5945" spans="2:2" ht="15.5" x14ac:dyDescent="0.35">
      <c r="B5945" s="183"/>
    </row>
    <row r="5946" spans="2:2" ht="15.5" x14ac:dyDescent="0.35">
      <c r="B5946" s="183"/>
    </row>
    <row r="5947" spans="2:2" ht="15.5" x14ac:dyDescent="0.35">
      <c r="B5947" s="183"/>
    </row>
    <row r="5948" spans="2:2" ht="15.5" x14ac:dyDescent="0.35">
      <c r="B5948" s="183"/>
    </row>
    <row r="5949" spans="2:2" ht="15.5" x14ac:dyDescent="0.35">
      <c r="B5949" s="183"/>
    </row>
    <row r="5950" spans="2:2" ht="15.5" x14ac:dyDescent="0.35">
      <c r="B5950" s="183"/>
    </row>
    <row r="5951" spans="2:2" ht="15.5" x14ac:dyDescent="0.35">
      <c r="B5951" s="183"/>
    </row>
    <row r="5952" spans="2:2" ht="15.5" x14ac:dyDescent="0.35">
      <c r="B5952" s="183"/>
    </row>
    <row r="5953" spans="2:2" ht="15.5" x14ac:dyDescent="0.35">
      <c r="B5953" s="183"/>
    </row>
    <row r="5954" spans="2:2" ht="15.5" x14ac:dyDescent="0.35">
      <c r="B5954" s="183"/>
    </row>
    <row r="5955" spans="2:2" ht="15.5" x14ac:dyDescent="0.35">
      <c r="B5955" s="183"/>
    </row>
    <row r="5956" spans="2:2" ht="15.5" x14ac:dyDescent="0.35">
      <c r="B5956" s="183"/>
    </row>
    <row r="5957" spans="2:2" ht="15.5" x14ac:dyDescent="0.35">
      <c r="B5957" s="183"/>
    </row>
    <row r="5958" spans="2:2" ht="15.5" x14ac:dyDescent="0.35">
      <c r="B5958" s="183"/>
    </row>
    <row r="5959" spans="2:2" ht="15.5" x14ac:dyDescent="0.35">
      <c r="B5959" s="183"/>
    </row>
    <row r="5960" spans="2:2" ht="15.5" x14ac:dyDescent="0.35">
      <c r="B5960" s="183"/>
    </row>
    <row r="5961" spans="2:2" ht="15.5" x14ac:dyDescent="0.35">
      <c r="B5961" s="183"/>
    </row>
    <row r="5962" spans="2:2" ht="15.5" x14ac:dyDescent="0.35">
      <c r="B5962" s="183"/>
    </row>
    <row r="5963" spans="2:2" ht="15.5" x14ac:dyDescent="0.35">
      <c r="B5963" s="183"/>
    </row>
    <row r="5964" spans="2:2" ht="15.5" x14ac:dyDescent="0.35">
      <c r="B5964" s="183"/>
    </row>
    <row r="5965" spans="2:2" ht="15.5" x14ac:dyDescent="0.35">
      <c r="B5965" s="183"/>
    </row>
    <row r="5966" spans="2:2" ht="15.5" x14ac:dyDescent="0.35">
      <c r="B5966" s="183"/>
    </row>
    <row r="5967" spans="2:2" ht="15.5" x14ac:dyDescent="0.35">
      <c r="B5967" s="183"/>
    </row>
    <row r="5968" spans="2:2" ht="15.5" x14ac:dyDescent="0.35">
      <c r="B5968" s="183"/>
    </row>
    <row r="5969" spans="2:2" ht="15.5" x14ac:dyDescent="0.35">
      <c r="B5969" s="183"/>
    </row>
    <row r="5970" spans="2:2" ht="15.5" x14ac:dyDescent="0.35">
      <c r="B5970" s="183"/>
    </row>
    <row r="5971" spans="2:2" ht="15.5" x14ac:dyDescent="0.35">
      <c r="B5971" s="183"/>
    </row>
    <row r="5972" spans="2:2" ht="15.5" x14ac:dyDescent="0.35">
      <c r="B5972" s="183"/>
    </row>
    <row r="5973" spans="2:2" ht="15.5" x14ac:dyDescent="0.35">
      <c r="B5973" s="183"/>
    </row>
    <row r="5974" spans="2:2" ht="15.5" x14ac:dyDescent="0.35">
      <c r="B5974" s="183"/>
    </row>
    <row r="5975" spans="2:2" ht="15.5" x14ac:dyDescent="0.35">
      <c r="B5975" s="183"/>
    </row>
    <row r="5976" spans="2:2" ht="15.5" x14ac:dyDescent="0.35">
      <c r="B5976" s="183"/>
    </row>
    <row r="5977" spans="2:2" ht="15.5" x14ac:dyDescent="0.35">
      <c r="B5977" s="183"/>
    </row>
    <row r="5978" spans="2:2" ht="15.5" x14ac:dyDescent="0.35">
      <c r="B5978" s="183"/>
    </row>
    <row r="5979" spans="2:2" ht="15.5" x14ac:dyDescent="0.35">
      <c r="B5979" s="183"/>
    </row>
    <row r="5980" spans="2:2" ht="15.5" x14ac:dyDescent="0.35">
      <c r="B5980" s="183"/>
    </row>
    <row r="5981" spans="2:2" ht="15.5" x14ac:dyDescent="0.35">
      <c r="B5981" s="183"/>
    </row>
    <row r="5982" spans="2:2" ht="15.5" x14ac:dyDescent="0.35">
      <c r="B5982" s="183"/>
    </row>
    <row r="5983" spans="2:2" ht="15.5" x14ac:dyDescent="0.35">
      <c r="B5983" s="183"/>
    </row>
    <row r="5984" spans="2:2" ht="15.5" x14ac:dyDescent="0.35">
      <c r="B5984" s="183"/>
    </row>
    <row r="5985" spans="2:2" ht="15.5" x14ac:dyDescent="0.35">
      <c r="B5985" s="183"/>
    </row>
    <row r="5986" spans="2:2" ht="15.5" x14ac:dyDescent="0.35">
      <c r="B5986" s="183"/>
    </row>
    <row r="5987" spans="2:2" ht="15.5" x14ac:dyDescent="0.35">
      <c r="B5987" s="183"/>
    </row>
    <row r="5988" spans="2:2" ht="15.5" x14ac:dyDescent="0.35">
      <c r="B5988" s="183"/>
    </row>
    <row r="5989" spans="2:2" ht="15.5" x14ac:dyDescent="0.35">
      <c r="B5989" s="183"/>
    </row>
    <row r="5990" spans="2:2" ht="15.5" x14ac:dyDescent="0.35">
      <c r="B5990" s="183"/>
    </row>
    <row r="5991" spans="2:2" ht="15.5" x14ac:dyDescent="0.35">
      <c r="B5991" s="183"/>
    </row>
    <row r="5992" spans="2:2" ht="15.5" x14ac:dyDescent="0.35">
      <c r="B5992" s="183"/>
    </row>
    <row r="5993" spans="2:2" ht="15.5" x14ac:dyDescent="0.35">
      <c r="B5993" s="183"/>
    </row>
    <row r="5994" spans="2:2" ht="15.5" x14ac:dyDescent="0.35">
      <c r="B5994" s="183"/>
    </row>
    <row r="5995" spans="2:2" ht="15.5" x14ac:dyDescent="0.35">
      <c r="B5995" s="183"/>
    </row>
    <row r="5996" spans="2:2" ht="15.5" x14ac:dyDescent="0.35">
      <c r="B5996" s="183"/>
    </row>
    <row r="5997" spans="2:2" ht="15.5" x14ac:dyDescent="0.35">
      <c r="B5997" s="183"/>
    </row>
    <row r="5998" spans="2:2" ht="15.5" x14ac:dyDescent="0.35">
      <c r="B5998" s="183"/>
    </row>
    <row r="5999" spans="2:2" ht="15.5" x14ac:dyDescent="0.35">
      <c r="B5999" s="183"/>
    </row>
    <row r="6000" spans="2:2" ht="15.5" x14ac:dyDescent="0.35">
      <c r="B6000" s="183"/>
    </row>
    <row r="6001" spans="2:2" ht="15.5" x14ac:dyDescent="0.35">
      <c r="B6001" s="183"/>
    </row>
    <row r="6002" spans="2:2" ht="15.5" x14ac:dyDescent="0.35">
      <c r="B6002" s="183"/>
    </row>
    <row r="6003" spans="2:2" ht="15.5" x14ac:dyDescent="0.35">
      <c r="B6003" s="183"/>
    </row>
    <row r="6004" spans="2:2" ht="15.5" x14ac:dyDescent="0.35">
      <c r="B6004" s="183"/>
    </row>
    <row r="6005" spans="2:2" ht="15.5" x14ac:dyDescent="0.35">
      <c r="B6005" s="183"/>
    </row>
    <row r="6006" spans="2:2" ht="15.5" x14ac:dyDescent="0.35">
      <c r="B6006" s="183"/>
    </row>
    <row r="6007" spans="2:2" ht="15.5" x14ac:dyDescent="0.35">
      <c r="B6007" s="183"/>
    </row>
    <row r="6008" spans="2:2" ht="15.5" x14ac:dyDescent="0.35">
      <c r="B6008" s="183"/>
    </row>
    <row r="6009" spans="2:2" ht="15.5" x14ac:dyDescent="0.35">
      <c r="B6009" s="183"/>
    </row>
    <row r="6010" spans="2:2" ht="15.5" x14ac:dyDescent="0.35">
      <c r="B6010" s="183"/>
    </row>
    <row r="6011" spans="2:2" ht="15.5" x14ac:dyDescent="0.35">
      <c r="B6011" s="183"/>
    </row>
    <row r="6012" spans="2:2" ht="15.5" x14ac:dyDescent="0.35">
      <c r="B6012" s="183"/>
    </row>
    <row r="6013" spans="2:2" ht="15.5" x14ac:dyDescent="0.35">
      <c r="B6013" s="183"/>
    </row>
    <row r="6014" spans="2:2" ht="15.5" x14ac:dyDescent="0.35">
      <c r="B6014" s="183"/>
    </row>
    <row r="6015" spans="2:2" ht="15.5" x14ac:dyDescent="0.35">
      <c r="B6015" s="183"/>
    </row>
    <row r="6016" spans="2:2" ht="15.5" x14ac:dyDescent="0.35">
      <c r="B6016" s="183"/>
    </row>
    <row r="6017" spans="2:2" ht="15.5" x14ac:dyDescent="0.35">
      <c r="B6017" s="183"/>
    </row>
    <row r="6018" spans="2:2" ht="15.5" x14ac:dyDescent="0.35">
      <c r="B6018" s="183"/>
    </row>
    <row r="6019" spans="2:2" ht="15.5" x14ac:dyDescent="0.35">
      <c r="B6019" s="183"/>
    </row>
    <row r="6020" spans="2:2" ht="15.5" x14ac:dyDescent="0.35">
      <c r="B6020" s="183"/>
    </row>
    <row r="6021" spans="2:2" ht="15.5" x14ac:dyDescent="0.35">
      <c r="B6021" s="183"/>
    </row>
    <row r="6022" spans="2:2" ht="15.5" x14ac:dyDescent="0.35">
      <c r="B6022" s="183"/>
    </row>
    <row r="6023" spans="2:2" ht="15.5" x14ac:dyDescent="0.35">
      <c r="B6023" s="183"/>
    </row>
    <row r="6024" spans="2:2" ht="15.5" x14ac:dyDescent="0.35">
      <c r="B6024" s="183"/>
    </row>
    <row r="6025" spans="2:2" ht="15.5" x14ac:dyDescent="0.35">
      <c r="B6025" s="183"/>
    </row>
    <row r="6026" spans="2:2" ht="15.5" x14ac:dyDescent="0.35">
      <c r="B6026" s="183"/>
    </row>
    <row r="6027" spans="2:2" ht="15.5" x14ac:dyDescent="0.35">
      <c r="B6027" s="183"/>
    </row>
    <row r="6028" spans="2:2" ht="15.5" x14ac:dyDescent="0.35">
      <c r="B6028" s="183"/>
    </row>
    <row r="6029" spans="2:2" ht="15.5" x14ac:dyDescent="0.35">
      <c r="B6029" s="183"/>
    </row>
    <row r="6030" spans="2:2" ht="15.5" x14ac:dyDescent="0.35">
      <c r="B6030" s="183"/>
    </row>
    <row r="6031" spans="2:2" ht="15.5" x14ac:dyDescent="0.35">
      <c r="B6031" s="183"/>
    </row>
    <row r="6032" spans="2:2" ht="15.5" x14ac:dyDescent="0.35">
      <c r="B6032" s="183"/>
    </row>
    <row r="6033" spans="2:2" ht="15.5" x14ac:dyDescent="0.35">
      <c r="B6033" s="183"/>
    </row>
    <row r="6034" spans="2:2" ht="15.5" x14ac:dyDescent="0.35">
      <c r="B6034" s="183"/>
    </row>
    <row r="6035" spans="2:2" ht="15.5" x14ac:dyDescent="0.35">
      <c r="B6035" s="183"/>
    </row>
    <row r="6036" spans="2:2" ht="15.5" x14ac:dyDescent="0.35">
      <c r="B6036" s="183"/>
    </row>
    <row r="6037" spans="2:2" ht="15.5" x14ac:dyDescent="0.35">
      <c r="B6037" s="183"/>
    </row>
    <row r="6038" spans="2:2" ht="15.5" x14ac:dyDescent="0.35">
      <c r="B6038" s="183"/>
    </row>
    <row r="6039" spans="2:2" ht="15.5" x14ac:dyDescent="0.35">
      <c r="B6039" s="183"/>
    </row>
    <row r="6040" spans="2:2" ht="15.5" x14ac:dyDescent="0.35">
      <c r="B6040" s="183"/>
    </row>
    <row r="6041" spans="2:2" ht="15.5" x14ac:dyDescent="0.35">
      <c r="B6041" s="183"/>
    </row>
    <row r="6042" spans="2:2" ht="15.5" x14ac:dyDescent="0.35">
      <c r="B6042" s="183"/>
    </row>
    <row r="6043" spans="2:2" ht="15.5" x14ac:dyDescent="0.35">
      <c r="B6043" s="183"/>
    </row>
    <row r="6044" spans="2:2" ht="15.5" x14ac:dyDescent="0.35">
      <c r="B6044" s="183"/>
    </row>
    <row r="6045" spans="2:2" ht="15.5" x14ac:dyDescent="0.35">
      <c r="B6045" s="183"/>
    </row>
    <row r="6046" spans="2:2" ht="15.5" x14ac:dyDescent="0.35">
      <c r="B6046" s="183"/>
    </row>
    <row r="6047" spans="2:2" ht="15.5" x14ac:dyDescent="0.35">
      <c r="B6047" s="183"/>
    </row>
    <row r="6048" spans="2:2" ht="15.5" x14ac:dyDescent="0.35">
      <c r="B6048" s="183"/>
    </row>
    <row r="6049" spans="2:2" ht="15.5" x14ac:dyDescent="0.35">
      <c r="B6049" s="183"/>
    </row>
    <row r="6050" spans="2:2" ht="15.5" x14ac:dyDescent="0.35">
      <c r="B6050" s="183"/>
    </row>
    <row r="6051" spans="2:2" ht="15.5" x14ac:dyDescent="0.35">
      <c r="B6051" s="183"/>
    </row>
    <row r="6052" spans="2:2" ht="15.5" x14ac:dyDescent="0.35">
      <c r="B6052" s="183"/>
    </row>
    <row r="6053" spans="2:2" ht="15.5" x14ac:dyDescent="0.35">
      <c r="B6053" s="183"/>
    </row>
    <row r="6054" spans="2:2" ht="15.5" x14ac:dyDescent="0.35">
      <c r="B6054" s="183"/>
    </row>
    <row r="6055" spans="2:2" ht="15.5" x14ac:dyDescent="0.35">
      <c r="B6055" s="183"/>
    </row>
    <row r="6056" spans="2:2" ht="15.5" x14ac:dyDescent="0.35">
      <c r="B6056" s="183"/>
    </row>
    <row r="6057" spans="2:2" ht="15.5" x14ac:dyDescent="0.35">
      <c r="B6057" s="183"/>
    </row>
    <row r="6058" spans="2:2" ht="15.5" x14ac:dyDescent="0.35">
      <c r="B6058" s="183"/>
    </row>
    <row r="6059" spans="2:2" ht="15.5" x14ac:dyDescent="0.35">
      <c r="B6059" s="183"/>
    </row>
    <row r="6060" spans="2:2" ht="15.5" x14ac:dyDescent="0.35">
      <c r="B6060" s="183"/>
    </row>
    <row r="6061" spans="2:2" ht="15.5" x14ac:dyDescent="0.35">
      <c r="B6061" s="183"/>
    </row>
    <row r="6062" spans="2:2" ht="15.5" x14ac:dyDescent="0.35">
      <c r="B6062" s="183"/>
    </row>
    <row r="6063" spans="2:2" ht="15.5" x14ac:dyDescent="0.35">
      <c r="B6063" s="183"/>
    </row>
    <row r="6064" spans="2:2" ht="15.5" x14ac:dyDescent="0.35">
      <c r="B6064" s="183"/>
    </row>
    <row r="6065" spans="2:2" ht="15.5" x14ac:dyDescent="0.35">
      <c r="B6065" s="183"/>
    </row>
    <row r="6066" spans="2:2" ht="15.5" x14ac:dyDescent="0.35">
      <c r="B6066" s="183"/>
    </row>
    <row r="6067" spans="2:2" ht="15.5" x14ac:dyDescent="0.35">
      <c r="B6067" s="183"/>
    </row>
    <row r="6068" spans="2:2" ht="15.5" x14ac:dyDescent="0.35">
      <c r="B6068" s="183"/>
    </row>
    <row r="6069" spans="2:2" ht="15.5" x14ac:dyDescent="0.35">
      <c r="B6069" s="183"/>
    </row>
    <row r="6070" spans="2:2" ht="15.5" x14ac:dyDescent="0.35">
      <c r="B6070" s="183"/>
    </row>
    <row r="6071" spans="2:2" ht="15.5" x14ac:dyDescent="0.35">
      <c r="B6071" s="183"/>
    </row>
    <row r="6072" spans="2:2" ht="15.5" x14ac:dyDescent="0.35">
      <c r="B6072" s="183"/>
    </row>
    <row r="6073" spans="2:2" ht="15.5" x14ac:dyDescent="0.35">
      <c r="B6073" s="183"/>
    </row>
    <row r="6074" spans="2:2" ht="15.5" x14ac:dyDescent="0.35">
      <c r="B6074" s="183"/>
    </row>
    <row r="6075" spans="2:2" ht="15.5" x14ac:dyDescent="0.35">
      <c r="B6075" s="183"/>
    </row>
    <row r="6076" spans="2:2" ht="15.5" x14ac:dyDescent="0.35">
      <c r="B6076" s="183"/>
    </row>
    <row r="6077" spans="2:2" ht="15.5" x14ac:dyDescent="0.35">
      <c r="B6077" s="183"/>
    </row>
    <row r="6078" spans="2:2" ht="15.5" x14ac:dyDescent="0.35">
      <c r="B6078" s="183"/>
    </row>
    <row r="6079" spans="2:2" ht="15.5" x14ac:dyDescent="0.35">
      <c r="B6079" s="183"/>
    </row>
    <row r="6080" spans="2:2" ht="15.5" x14ac:dyDescent="0.35">
      <c r="B6080" s="183"/>
    </row>
    <row r="6081" spans="2:2" ht="15.5" x14ac:dyDescent="0.35">
      <c r="B6081" s="183"/>
    </row>
    <row r="6082" spans="2:2" ht="15.5" x14ac:dyDescent="0.35">
      <c r="B6082" s="183"/>
    </row>
    <row r="6083" spans="2:2" ht="15.5" x14ac:dyDescent="0.35">
      <c r="B6083" s="183"/>
    </row>
    <row r="6084" spans="2:2" ht="15.5" x14ac:dyDescent="0.35">
      <c r="B6084" s="183"/>
    </row>
    <row r="6085" spans="2:2" ht="15.5" x14ac:dyDescent="0.35">
      <c r="B6085" s="183"/>
    </row>
    <row r="6086" spans="2:2" ht="15.5" x14ac:dyDescent="0.35">
      <c r="B6086" s="183"/>
    </row>
    <row r="6087" spans="2:2" ht="15.5" x14ac:dyDescent="0.35">
      <c r="B6087" s="183"/>
    </row>
    <row r="6088" spans="2:2" ht="15.5" x14ac:dyDescent="0.35">
      <c r="B6088" s="183"/>
    </row>
    <row r="6089" spans="2:2" ht="15.5" x14ac:dyDescent="0.35">
      <c r="B6089" s="183"/>
    </row>
    <row r="6090" spans="2:2" ht="15.5" x14ac:dyDescent="0.35">
      <c r="B6090" s="183"/>
    </row>
    <row r="6091" spans="2:2" ht="15.5" x14ac:dyDescent="0.35">
      <c r="B6091" s="183"/>
    </row>
    <row r="6092" spans="2:2" ht="15.5" x14ac:dyDescent="0.35">
      <c r="B6092" s="183"/>
    </row>
    <row r="6093" spans="2:2" ht="15.5" x14ac:dyDescent="0.35">
      <c r="B6093" s="183"/>
    </row>
    <row r="6094" spans="2:2" ht="15.5" x14ac:dyDescent="0.35">
      <c r="B6094" s="183"/>
    </row>
    <row r="6095" spans="2:2" ht="15.5" x14ac:dyDescent="0.35">
      <c r="B6095" s="183"/>
    </row>
    <row r="6096" spans="2:2" ht="15.5" x14ac:dyDescent="0.35">
      <c r="B6096" s="183"/>
    </row>
    <row r="6097" spans="2:2" ht="15.5" x14ac:dyDescent="0.35">
      <c r="B6097" s="183"/>
    </row>
    <row r="6098" spans="2:2" ht="15.5" x14ac:dyDescent="0.35">
      <c r="B6098" s="183"/>
    </row>
    <row r="6099" spans="2:2" ht="15.5" x14ac:dyDescent="0.35">
      <c r="B6099" s="183"/>
    </row>
    <row r="6100" spans="2:2" ht="15.5" x14ac:dyDescent="0.35">
      <c r="B6100" s="183"/>
    </row>
    <row r="6101" spans="2:2" ht="15.5" x14ac:dyDescent="0.35">
      <c r="B6101" s="183"/>
    </row>
    <row r="6102" spans="2:2" ht="15.5" x14ac:dyDescent="0.35">
      <c r="B6102" s="183"/>
    </row>
    <row r="6103" spans="2:2" ht="15.5" x14ac:dyDescent="0.35">
      <c r="B6103" s="183"/>
    </row>
    <row r="6104" spans="2:2" ht="15.5" x14ac:dyDescent="0.35">
      <c r="B6104" s="183"/>
    </row>
    <row r="6105" spans="2:2" ht="15.5" x14ac:dyDescent="0.35">
      <c r="B6105" s="183"/>
    </row>
    <row r="6106" spans="2:2" ht="15.5" x14ac:dyDescent="0.35">
      <c r="B6106" s="183"/>
    </row>
    <row r="6107" spans="2:2" ht="15.5" x14ac:dyDescent="0.35">
      <c r="B6107" s="183"/>
    </row>
    <row r="6108" spans="2:2" ht="15.5" x14ac:dyDescent="0.35">
      <c r="B6108" s="183"/>
    </row>
    <row r="6109" spans="2:2" ht="15.5" x14ac:dyDescent="0.35">
      <c r="B6109" s="183"/>
    </row>
    <row r="6110" spans="2:2" ht="15.5" x14ac:dyDescent="0.35">
      <c r="B6110" s="183"/>
    </row>
    <row r="6111" spans="2:2" ht="15.5" x14ac:dyDescent="0.35">
      <c r="B6111" s="183"/>
    </row>
    <row r="6112" spans="2:2" ht="15.5" x14ac:dyDescent="0.35">
      <c r="B6112" s="183"/>
    </row>
    <row r="6113" spans="2:2" ht="15.5" x14ac:dyDescent="0.35">
      <c r="B6113" s="183"/>
    </row>
    <row r="6114" spans="2:2" ht="15.5" x14ac:dyDescent="0.35">
      <c r="B6114" s="183"/>
    </row>
    <row r="6115" spans="2:2" ht="15.5" x14ac:dyDescent="0.35">
      <c r="B6115" s="183"/>
    </row>
    <row r="6116" spans="2:2" ht="15.5" x14ac:dyDescent="0.35">
      <c r="B6116" s="183"/>
    </row>
    <row r="6117" spans="2:2" ht="15.5" x14ac:dyDescent="0.35">
      <c r="B6117" s="183"/>
    </row>
    <row r="6118" spans="2:2" ht="15.5" x14ac:dyDescent="0.35">
      <c r="B6118" s="183"/>
    </row>
    <row r="6119" spans="2:2" ht="15.5" x14ac:dyDescent="0.35">
      <c r="B6119" s="183"/>
    </row>
    <row r="6120" spans="2:2" ht="15.5" x14ac:dyDescent="0.35">
      <c r="B6120" s="183"/>
    </row>
    <row r="6121" spans="2:2" ht="15.5" x14ac:dyDescent="0.35">
      <c r="B6121" s="183"/>
    </row>
    <row r="6122" spans="2:2" ht="15.5" x14ac:dyDescent="0.35">
      <c r="B6122" s="183"/>
    </row>
    <row r="6123" spans="2:2" ht="15.5" x14ac:dyDescent="0.35">
      <c r="B6123" s="183"/>
    </row>
    <row r="6124" spans="2:2" ht="15.5" x14ac:dyDescent="0.35">
      <c r="B6124" s="183"/>
    </row>
    <row r="6125" spans="2:2" ht="15.5" x14ac:dyDescent="0.35">
      <c r="B6125" s="183"/>
    </row>
    <row r="6126" spans="2:2" ht="15.5" x14ac:dyDescent="0.35">
      <c r="B6126" s="183"/>
    </row>
    <row r="6127" spans="2:2" ht="15.5" x14ac:dyDescent="0.35">
      <c r="B6127" s="183"/>
    </row>
    <row r="6128" spans="2:2" ht="15.5" x14ac:dyDescent="0.35">
      <c r="B6128" s="183"/>
    </row>
    <row r="6129" spans="2:2" ht="15.5" x14ac:dyDescent="0.35">
      <c r="B6129" s="183"/>
    </row>
    <row r="6130" spans="2:2" ht="15.5" x14ac:dyDescent="0.35">
      <c r="B6130" s="183"/>
    </row>
    <row r="6131" spans="2:2" ht="15.5" x14ac:dyDescent="0.35">
      <c r="B6131" s="183"/>
    </row>
    <row r="6132" spans="2:2" ht="15.5" x14ac:dyDescent="0.35">
      <c r="B6132" s="183"/>
    </row>
    <row r="6133" spans="2:2" ht="15.5" x14ac:dyDescent="0.35">
      <c r="B6133" s="183"/>
    </row>
    <row r="6134" spans="2:2" ht="15.5" x14ac:dyDescent="0.35">
      <c r="B6134" s="183"/>
    </row>
    <row r="6135" spans="2:2" ht="15.5" x14ac:dyDescent="0.35">
      <c r="B6135" s="183"/>
    </row>
    <row r="6136" spans="2:2" ht="15.5" x14ac:dyDescent="0.35">
      <c r="B6136" s="183"/>
    </row>
    <row r="6137" spans="2:2" ht="15.5" x14ac:dyDescent="0.35">
      <c r="B6137" s="183"/>
    </row>
    <row r="6138" spans="2:2" ht="15.5" x14ac:dyDescent="0.35">
      <c r="B6138" s="183"/>
    </row>
    <row r="6139" spans="2:2" ht="15.5" x14ac:dyDescent="0.35">
      <c r="B6139" s="183"/>
    </row>
    <row r="6140" spans="2:2" ht="15.5" x14ac:dyDescent="0.35">
      <c r="B6140" s="183"/>
    </row>
    <row r="6141" spans="2:2" ht="15.5" x14ac:dyDescent="0.35">
      <c r="B6141" s="183"/>
    </row>
    <row r="6142" spans="2:2" ht="15.5" x14ac:dyDescent="0.35">
      <c r="B6142" s="183"/>
    </row>
    <row r="6143" spans="2:2" ht="15.5" x14ac:dyDescent="0.35">
      <c r="B6143" s="183"/>
    </row>
    <row r="6144" spans="2:2" ht="15.5" x14ac:dyDescent="0.35">
      <c r="B6144" s="183"/>
    </row>
    <row r="6145" spans="2:2" ht="15.5" x14ac:dyDescent="0.35">
      <c r="B6145" s="183"/>
    </row>
    <row r="6146" spans="2:2" ht="15.5" x14ac:dyDescent="0.35">
      <c r="B6146" s="183"/>
    </row>
    <row r="6147" spans="2:2" ht="15.5" x14ac:dyDescent="0.35">
      <c r="B6147" s="183"/>
    </row>
    <row r="6148" spans="2:2" ht="15.5" x14ac:dyDescent="0.35">
      <c r="B6148" s="183"/>
    </row>
    <row r="6149" spans="2:2" ht="15.5" x14ac:dyDescent="0.35">
      <c r="B6149" s="183"/>
    </row>
    <row r="6150" spans="2:2" ht="15.5" x14ac:dyDescent="0.35">
      <c r="B6150" s="183"/>
    </row>
    <row r="6151" spans="2:2" ht="15.5" x14ac:dyDescent="0.35">
      <c r="B6151" s="183"/>
    </row>
    <row r="6152" spans="2:2" ht="15.5" x14ac:dyDescent="0.35">
      <c r="B6152" s="183"/>
    </row>
    <row r="6153" spans="2:2" ht="15.5" x14ac:dyDescent="0.35">
      <c r="B6153" s="183"/>
    </row>
    <row r="6154" spans="2:2" ht="15.5" x14ac:dyDescent="0.35">
      <c r="B6154" s="183"/>
    </row>
    <row r="6155" spans="2:2" ht="15.5" x14ac:dyDescent="0.35">
      <c r="B6155" s="183"/>
    </row>
    <row r="6156" spans="2:2" ht="15.5" x14ac:dyDescent="0.35">
      <c r="B6156" s="183"/>
    </row>
    <row r="6157" spans="2:2" ht="15.5" x14ac:dyDescent="0.35">
      <c r="B6157" s="183"/>
    </row>
    <row r="6158" spans="2:2" ht="15.5" x14ac:dyDescent="0.35">
      <c r="B6158" s="183"/>
    </row>
    <row r="6159" spans="2:2" ht="15.5" x14ac:dyDescent="0.35">
      <c r="B6159" s="183"/>
    </row>
    <row r="6160" spans="2:2" ht="15.5" x14ac:dyDescent="0.35">
      <c r="B6160" s="183"/>
    </row>
    <row r="6161" spans="2:2" ht="15.5" x14ac:dyDescent="0.35">
      <c r="B6161" s="183"/>
    </row>
    <row r="6162" spans="2:2" ht="15.5" x14ac:dyDescent="0.35">
      <c r="B6162" s="183"/>
    </row>
    <row r="6163" spans="2:2" ht="15.5" x14ac:dyDescent="0.35">
      <c r="B6163" s="183"/>
    </row>
    <row r="6164" spans="2:2" ht="15.5" x14ac:dyDescent="0.35">
      <c r="B6164" s="183"/>
    </row>
    <row r="6165" spans="2:2" ht="15.5" x14ac:dyDescent="0.35">
      <c r="B6165" s="183"/>
    </row>
    <row r="6166" spans="2:2" ht="15.5" x14ac:dyDescent="0.35">
      <c r="B6166" s="183"/>
    </row>
    <row r="6167" spans="2:2" ht="15.5" x14ac:dyDescent="0.35">
      <c r="B6167" s="183"/>
    </row>
    <row r="6168" spans="2:2" ht="15.5" x14ac:dyDescent="0.35">
      <c r="B6168" s="183"/>
    </row>
    <row r="6169" spans="2:2" ht="15.5" x14ac:dyDescent="0.35">
      <c r="B6169" s="183"/>
    </row>
    <row r="6170" spans="2:2" ht="15.5" x14ac:dyDescent="0.35">
      <c r="B6170" s="183"/>
    </row>
    <row r="6171" spans="2:2" ht="15.5" x14ac:dyDescent="0.35">
      <c r="B6171" s="183"/>
    </row>
    <row r="6172" spans="2:2" ht="15.5" x14ac:dyDescent="0.35">
      <c r="B6172" s="183"/>
    </row>
    <row r="6173" spans="2:2" ht="15.5" x14ac:dyDescent="0.35">
      <c r="B6173" s="183"/>
    </row>
    <row r="6174" spans="2:2" ht="15.5" x14ac:dyDescent="0.35">
      <c r="B6174" s="183"/>
    </row>
    <row r="6175" spans="2:2" ht="15.5" x14ac:dyDescent="0.35">
      <c r="B6175" s="183"/>
    </row>
    <row r="6176" spans="2:2" ht="15.5" x14ac:dyDescent="0.35">
      <c r="B6176" s="183"/>
    </row>
    <row r="6177" spans="2:2" ht="15.5" x14ac:dyDescent="0.35">
      <c r="B6177" s="183"/>
    </row>
    <row r="6178" spans="2:2" ht="15.5" x14ac:dyDescent="0.35">
      <c r="B6178" s="183"/>
    </row>
    <row r="6179" spans="2:2" ht="15.5" x14ac:dyDescent="0.35">
      <c r="B6179" s="183"/>
    </row>
    <row r="6180" spans="2:2" ht="15.5" x14ac:dyDescent="0.35">
      <c r="B6180" s="183"/>
    </row>
    <row r="6181" spans="2:2" ht="15.5" x14ac:dyDescent="0.35">
      <c r="B6181" s="183"/>
    </row>
    <row r="6182" spans="2:2" ht="15.5" x14ac:dyDescent="0.35">
      <c r="B6182" s="183"/>
    </row>
    <row r="6183" spans="2:2" ht="15.5" x14ac:dyDescent="0.35">
      <c r="B6183" s="183"/>
    </row>
    <row r="6184" spans="2:2" ht="15.5" x14ac:dyDescent="0.35">
      <c r="B6184" s="183"/>
    </row>
    <row r="6185" spans="2:2" ht="15.5" x14ac:dyDescent="0.35">
      <c r="B6185" s="183"/>
    </row>
    <row r="6186" spans="2:2" ht="15.5" x14ac:dyDescent="0.35">
      <c r="B6186" s="183"/>
    </row>
    <row r="6187" spans="2:2" ht="15.5" x14ac:dyDescent="0.35">
      <c r="B6187" s="183"/>
    </row>
    <row r="6188" spans="2:2" ht="15.5" x14ac:dyDescent="0.35">
      <c r="B6188" s="183"/>
    </row>
    <row r="6189" spans="2:2" ht="15.5" x14ac:dyDescent="0.35">
      <c r="B6189" s="183"/>
    </row>
    <row r="6190" spans="2:2" ht="15.5" x14ac:dyDescent="0.35">
      <c r="B6190" s="183"/>
    </row>
    <row r="6191" spans="2:2" ht="15.5" x14ac:dyDescent="0.35">
      <c r="B6191" s="183"/>
    </row>
    <row r="6192" spans="2:2" ht="15.5" x14ac:dyDescent="0.35">
      <c r="B6192" s="183"/>
    </row>
    <row r="6193" spans="2:2" ht="15.5" x14ac:dyDescent="0.35">
      <c r="B6193" s="183"/>
    </row>
    <row r="6194" spans="2:2" ht="15.5" x14ac:dyDescent="0.35">
      <c r="B6194" s="183"/>
    </row>
    <row r="6195" spans="2:2" ht="15.5" x14ac:dyDescent="0.35">
      <c r="B6195" s="183"/>
    </row>
    <row r="6196" spans="2:2" ht="15.5" x14ac:dyDescent="0.35">
      <c r="B6196" s="183"/>
    </row>
    <row r="6197" spans="2:2" ht="15.5" x14ac:dyDescent="0.35">
      <c r="B6197" s="183"/>
    </row>
    <row r="6198" spans="2:2" ht="15.5" x14ac:dyDescent="0.35">
      <c r="B6198" s="183"/>
    </row>
    <row r="6199" spans="2:2" ht="15.5" x14ac:dyDescent="0.35">
      <c r="B6199" s="183"/>
    </row>
    <row r="6200" spans="2:2" ht="15.5" x14ac:dyDescent="0.35">
      <c r="B6200" s="183"/>
    </row>
    <row r="6201" spans="2:2" ht="15.5" x14ac:dyDescent="0.35">
      <c r="B6201" s="183"/>
    </row>
    <row r="6202" spans="2:2" ht="15.5" x14ac:dyDescent="0.35">
      <c r="B6202" s="183"/>
    </row>
    <row r="6203" spans="2:2" ht="15.5" x14ac:dyDescent="0.35">
      <c r="B6203" s="183"/>
    </row>
    <row r="6204" spans="2:2" ht="15.5" x14ac:dyDescent="0.35">
      <c r="B6204" s="183"/>
    </row>
    <row r="6205" spans="2:2" ht="15.5" x14ac:dyDescent="0.35">
      <c r="B6205" s="183"/>
    </row>
    <row r="6206" spans="2:2" ht="15.5" x14ac:dyDescent="0.35">
      <c r="B6206" s="183"/>
    </row>
    <row r="6207" spans="2:2" ht="15.5" x14ac:dyDescent="0.35">
      <c r="B6207" s="183"/>
    </row>
    <row r="6208" spans="2:2" ht="15.5" x14ac:dyDescent="0.35">
      <c r="B6208" s="183"/>
    </row>
    <row r="6209" spans="2:2" ht="15.5" x14ac:dyDescent="0.35">
      <c r="B6209" s="183"/>
    </row>
    <row r="6210" spans="2:2" ht="15.5" x14ac:dyDescent="0.35">
      <c r="B6210" s="183"/>
    </row>
    <row r="6211" spans="2:2" ht="15.5" x14ac:dyDescent="0.35">
      <c r="B6211" s="183"/>
    </row>
    <row r="6212" spans="2:2" ht="15.5" x14ac:dyDescent="0.35">
      <c r="B6212" s="183"/>
    </row>
    <row r="6213" spans="2:2" ht="15.5" x14ac:dyDescent="0.35">
      <c r="B6213" s="183"/>
    </row>
    <row r="6214" spans="2:2" ht="15.5" x14ac:dyDescent="0.35">
      <c r="B6214" s="183"/>
    </row>
    <row r="6215" spans="2:2" ht="15.5" x14ac:dyDescent="0.35">
      <c r="B6215" s="183"/>
    </row>
    <row r="6216" spans="2:2" ht="15.5" x14ac:dyDescent="0.35">
      <c r="B6216" s="183"/>
    </row>
    <row r="6217" spans="2:2" ht="15.5" x14ac:dyDescent="0.35">
      <c r="B6217" s="183"/>
    </row>
    <row r="6218" spans="2:2" ht="15.5" x14ac:dyDescent="0.35">
      <c r="B6218" s="183"/>
    </row>
    <row r="6219" spans="2:2" ht="15.5" x14ac:dyDescent="0.35">
      <c r="B6219" s="183"/>
    </row>
    <row r="6220" spans="2:2" ht="15.5" x14ac:dyDescent="0.35">
      <c r="B6220" s="183"/>
    </row>
    <row r="6221" spans="2:2" ht="15.5" x14ac:dyDescent="0.35">
      <c r="B6221" s="183"/>
    </row>
    <row r="6222" spans="2:2" ht="15.5" x14ac:dyDescent="0.35">
      <c r="B6222" s="183"/>
    </row>
    <row r="6223" spans="2:2" ht="15.5" x14ac:dyDescent="0.35">
      <c r="B6223" s="183"/>
    </row>
    <row r="6224" spans="2:2" ht="15.5" x14ac:dyDescent="0.35">
      <c r="B6224" s="183"/>
    </row>
    <row r="6225" spans="2:2" ht="15.5" x14ac:dyDescent="0.35">
      <c r="B6225" s="183"/>
    </row>
    <row r="6226" spans="2:2" ht="15.5" x14ac:dyDescent="0.35">
      <c r="B6226" s="183"/>
    </row>
    <row r="6227" spans="2:2" ht="15.5" x14ac:dyDescent="0.35">
      <c r="B6227" s="183"/>
    </row>
    <row r="6228" spans="2:2" ht="15.5" x14ac:dyDescent="0.35">
      <c r="B6228" s="183"/>
    </row>
    <row r="6229" spans="2:2" ht="15.5" x14ac:dyDescent="0.35">
      <c r="B6229" s="183"/>
    </row>
    <row r="6230" spans="2:2" ht="15.5" x14ac:dyDescent="0.35">
      <c r="B6230" s="183"/>
    </row>
    <row r="6231" spans="2:2" ht="15.5" x14ac:dyDescent="0.35">
      <c r="B6231" s="183"/>
    </row>
    <row r="6232" spans="2:2" ht="15.5" x14ac:dyDescent="0.35">
      <c r="B6232" s="183"/>
    </row>
    <row r="6233" spans="2:2" ht="15.5" x14ac:dyDescent="0.35">
      <c r="B6233" s="183"/>
    </row>
    <row r="6234" spans="2:2" ht="15.5" x14ac:dyDescent="0.35">
      <c r="B6234" s="183"/>
    </row>
    <row r="6235" spans="2:2" ht="15.5" x14ac:dyDescent="0.35">
      <c r="B6235" s="183"/>
    </row>
    <row r="6236" spans="2:2" ht="15.5" x14ac:dyDescent="0.35">
      <c r="B6236" s="183"/>
    </row>
    <row r="6237" spans="2:2" ht="15.5" x14ac:dyDescent="0.35">
      <c r="B6237" s="183"/>
    </row>
    <row r="6238" spans="2:2" ht="15.5" x14ac:dyDescent="0.35">
      <c r="B6238" s="183"/>
    </row>
    <row r="6239" spans="2:2" ht="15.5" x14ac:dyDescent="0.35">
      <c r="B6239" s="183"/>
    </row>
    <row r="6240" spans="2:2" ht="15.5" x14ac:dyDescent="0.35">
      <c r="B6240" s="183"/>
    </row>
    <row r="6241" spans="2:2" ht="15.5" x14ac:dyDescent="0.35">
      <c r="B6241" s="183"/>
    </row>
    <row r="6242" spans="2:2" ht="15.5" x14ac:dyDescent="0.35">
      <c r="B6242" s="183"/>
    </row>
    <row r="6243" spans="2:2" ht="15.5" x14ac:dyDescent="0.35">
      <c r="B6243" s="183"/>
    </row>
    <row r="6244" spans="2:2" ht="15.5" x14ac:dyDescent="0.35">
      <c r="B6244" s="183"/>
    </row>
    <row r="6245" spans="2:2" ht="15.5" x14ac:dyDescent="0.35">
      <c r="B6245" s="183"/>
    </row>
    <row r="6246" spans="2:2" ht="15.5" x14ac:dyDescent="0.35">
      <c r="B6246" s="183"/>
    </row>
    <row r="6247" spans="2:2" ht="15.5" x14ac:dyDescent="0.35">
      <c r="B6247" s="183"/>
    </row>
    <row r="6248" spans="2:2" ht="15.5" x14ac:dyDescent="0.35">
      <c r="B6248" s="183"/>
    </row>
    <row r="6249" spans="2:2" ht="15.5" x14ac:dyDescent="0.35">
      <c r="B6249" s="183"/>
    </row>
    <row r="6250" spans="2:2" ht="15.5" x14ac:dyDescent="0.35">
      <c r="B6250" s="183"/>
    </row>
    <row r="6251" spans="2:2" ht="15.5" x14ac:dyDescent="0.35">
      <c r="B6251" s="183"/>
    </row>
    <row r="6252" spans="2:2" ht="15.5" x14ac:dyDescent="0.35">
      <c r="B6252" s="183"/>
    </row>
    <row r="6253" spans="2:2" ht="15.5" x14ac:dyDescent="0.35">
      <c r="B6253" s="183"/>
    </row>
    <row r="6254" spans="2:2" ht="15.5" x14ac:dyDescent="0.35">
      <c r="B6254" s="183"/>
    </row>
    <row r="6255" spans="2:2" ht="15.5" x14ac:dyDescent="0.35">
      <c r="B6255" s="183"/>
    </row>
    <row r="6256" spans="2:2" ht="15.5" x14ac:dyDescent="0.35">
      <c r="B6256" s="183"/>
    </row>
    <row r="6257" spans="2:2" ht="15.5" x14ac:dyDescent="0.35">
      <c r="B6257" s="183"/>
    </row>
    <row r="6258" spans="2:2" ht="15.5" x14ac:dyDescent="0.35">
      <c r="B6258" s="183"/>
    </row>
    <row r="6259" spans="2:2" ht="15.5" x14ac:dyDescent="0.35">
      <c r="B6259" s="183"/>
    </row>
    <row r="6260" spans="2:2" ht="15.5" x14ac:dyDescent="0.35">
      <c r="B6260" s="183"/>
    </row>
    <row r="6261" spans="2:2" ht="15.5" x14ac:dyDescent="0.35">
      <c r="B6261" s="183"/>
    </row>
    <row r="6262" spans="2:2" ht="15.5" x14ac:dyDescent="0.35">
      <c r="B6262" s="183"/>
    </row>
    <row r="6263" spans="2:2" ht="15.5" x14ac:dyDescent="0.35">
      <c r="B6263" s="183"/>
    </row>
    <row r="6264" spans="2:2" ht="15.5" x14ac:dyDescent="0.35">
      <c r="B6264" s="183"/>
    </row>
    <row r="6265" spans="2:2" ht="15.5" x14ac:dyDescent="0.35">
      <c r="B6265" s="183"/>
    </row>
    <row r="6266" spans="2:2" ht="15.5" x14ac:dyDescent="0.35">
      <c r="B6266" s="183"/>
    </row>
    <row r="6267" spans="2:2" ht="15.5" x14ac:dyDescent="0.35">
      <c r="B6267" s="183"/>
    </row>
    <row r="6268" spans="2:2" ht="15.5" x14ac:dyDescent="0.35">
      <c r="B6268" s="183"/>
    </row>
    <row r="6269" spans="2:2" ht="15.5" x14ac:dyDescent="0.35">
      <c r="B6269" s="183"/>
    </row>
    <row r="6270" spans="2:2" ht="15.5" x14ac:dyDescent="0.35">
      <c r="B6270" s="183"/>
    </row>
    <row r="6271" spans="2:2" ht="15.5" x14ac:dyDescent="0.35">
      <c r="B6271" s="183"/>
    </row>
    <row r="6272" spans="2:2" ht="15.5" x14ac:dyDescent="0.35">
      <c r="B6272" s="183"/>
    </row>
    <row r="6273" spans="2:2" ht="15.5" x14ac:dyDescent="0.35">
      <c r="B6273" s="183"/>
    </row>
    <row r="6274" spans="2:2" ht="15.5" x14ac:dyDescent="0.35">
      <c r="B6274" s="183"/>
    </row>
    <row r="6275" spans="2:2" ht="15.5" x14ac:dyDescent="0.35">
      <c r="B6275" s="183"/>
    </row>
    <row r="6276" spans="2:2" ht="15.5" x14ac:dyDescent="0.35">
      <c r="B6276" s="183"/>
    </row>
    <row r="6277" spans="2:2" ht="15.5" x14ac:dyDescent="0.35">
      <c r="B6277" s="183"/>
    </row>
    <row r="6278" spans="2:2" ht="15.5" x14ac:dyDescent="0.35">
      <c r="B6278" s="183"/>
    </row>
    <row r="6279" spans="2:2" ht="15.5" x14ac:dyDescent="0.35">
      <c r="B6279" s="183"/>
    </row>
    <row r="6280" spans="2:2" ht="15.5" x14ac:dyDescent="0.35">
      <c r="B6280" s="183"/>
    </row>
    <row r="6281" spans="2:2" ht="15.5" x14ac:dyDescent="0.35">
      <c r="B6281" s="183"/>
    </row>
    <row r="6282" spans="2:2" ht="15.5" x14ac:dyDescent="0.35">
      <c r="B6282" s="183"/>
    </row>
    <row r="6283" spans="2:2" ht="15.5" x14ac:dyDescent="0.35">
      <c r="B6283" s="183"/>
    </row>
    <row r="6284" spans="2:2" ht="15.5" x14ac:dyDescent="0.35">
      <c r="B6284" s="183"/>
    </row>
    <row r="6285" spans="2:2" ht="15.5" x14ac:dyDescent="0.35">
      <c r="B6285" s="183"/>
    </row>
    <row r="6286" spans="2:2" ht="15.5" x14ac:dyDescent="0.35">
      <c r="B6286" s="183"/>
    </row>
    <row r="6287" spans="2:2" ht="15.5" x14ac:dyDescent="0.35">
      <c r="B6287" s="183"/>
    </row>
    <row r="6288" spans="2:2" ht="15.5" x14ac:dyDescent="0.35">
      <c r="B6288" s="183"/>
    </row>
    <row r="6289" spans="2:2" ht="15.5" x14ac:dyDescent="0.35">
      <c r="B6289" s="183"/>
    </row>
    <row r="6290" spans="2:2" ht="15.5" x14ac:dyDescent="0.35">
      <c r="B6290" s="183"/>
    </row>
    <row r="6291" spans="2:2" ht="15.5" x14ac:dyDescent="0.35">
      <c r="B6291" s="183"/>
    </row>
    <row r="6292" spans="2:2" ht="15.5" x14ac:dyDescent="0.35">
      <c r="B6292" s="183"/>
    </row>
    <row r="6293" spans="2:2" ht="15.5" x14ac:dyDescent="0.35">
      <c r="B6293" s="183"/>
    </row>
    <row r="6294" spans="2:2" ht="15.5" x14ac:dyDescent="0.35">
      <c r="B6294" s="183"/>
    </row>
    <row r="6295" spans="2:2" ht="15.5" x14ac:dyDescent="0.35">
      <c r="B6295" s="183"/>
    </row>
    <row r="6296" spans="2:2" ht="15.5" x14ac:dyDescent="0.35">
      <c r="B6296" s="183"/>
    </row>
    <row r="6297" spans="2:2" ht="15.5" x14ac:dyDescent="0.35">
      <c r="B6297" s="183"/>
    </row>
    <row r="6298" spans="2:2" ht="15.5" x14ac:dyDescent="0.35">
      <c r="B6298" s="183"/>
    </row>
    <row r="6299" spans="2:2" ht="15.5" x14ac:dyDescent="0.35">
      <c r="B6299" s="183"/>
    </row>
    <row r="6300" spans="2:2" ht="15.5" x14ac:dyDescent="0.35">
      <c r="B6300" s="183"/>
    </row>
    <row r="6301" spans="2:2" ht="15.5" x14ac:dyDescent="0.35">
      <c r="B6301" s="183"/>
    </row>
    <row r="6302" spans="2:2" ht="15.5" x14ac:dyDescent="0.35">
      <c r="B6302" s="183"/>
    </row>
    <row r="6303" spans="2:2" ht="15.5" x14ac:dyDescent="0.35">
      <c r="B6303" s="183"/>
    </row>
    <row r="6304" spans="2:2" ht="15.5" x14ac:dyDescent="0.35">
      <c r="B6304" s="183"/>
    </row>
    <row r="6305" spans="2:2" ht="15.5" x14ac:dyDescent="0.35">
      <c r="B6305" s="183"/>
    </row>
    <row r="6306" spans="2:2" ht="15.5" x14ac:dyDescent="0.35">
      <c r="B6306" s="183"/>
    </row>
    <row r="6307" spans="2:2" ht="15.5" x14ac:dyDescent="0.35">
      <c r="B6307" s="183"/>
    </row>
    <row r="6308" spans="2:2" ht="15.5" x14ac:dyDescent="0.35">
      <c r="B6308" s="183"/>
    </row>
    <row r="6309" spans="2:2" ht="15.5" x14ac:dyDescent="0.35">
      <c r="B6309" s="183"/>
    </row>
    <row r="6310" spans="2:2" ht="15.5" x14ac:dyDescent="0.35">
      <c r="B6310" s="183"/>
    </row>
    <row r="6311" spans="2:2" ht="15.5" x14ac:dyDescent="0.35">
      <c r="B6311" s="183"/>
    </row>
    <row r="6312" spans="2:2" ht="15.5" x14ac:dyDescent="0.35">
      <c r="B6312" s="183"/>
    </row>
    <row r="6313" spans="2:2" ht="15.5" x14ac:dyDescent="0.35">
      <c r="B6313" s="183"/>
    </row>
    <row r="6314" spans="2:2" ht="15.5" x14ac:dyDescent="0.35">
      <c r="B6314" s="183"/>
    </row>
    <row r="6315" spans="2:2" ht="15.5" x14ac:dyDescent="0.35">
      <c r="B6315" s="183"/>
    </row>
    <row r="6316" spans="2:2" ht="15.5" x14ac:dyDescent="0.35">
      <c r="B6316" s="183"/>
    </row>
    <row r="6317" spans="2:2" ht="15.5" x14ac:dyDescent="0.35">
      <c r="B6317" s="183"/>
    </row>
    <row r="6318" spans="2:2" ht="15.5" x14ac:dyDescent="0.35">
      <c r="B6318" s="183"/>
    </row>
    <row r="6319" spans="2:2" ht="15.5" x14ac:dyDescent="0.35">
      <c r="B6319" s="183"/>
    </row>
    <row r="6320" spans="2:2" ht="15.5" x14ac:dyDescent="0.35">
      <c r="B6320" s="183"/>
    </row>
    <row r="6321" spans="2:2" ht="15.5" x14ac:dyDescent="0.35">
      <c r="B6321" s="183"/>
    </row>
    <row r="6322" spans="2:2" ht="15.5" x14ac:dyDescent="0.35">
      <c r="B6322" s="183"/>
    </row>
    <row r="6323" spans="2:2" ht="15.5" x14ac:dyDescent="0.35">
      <c r="B6323" s="183"/>
    </row>
    <row r="6324" spans="2:2" ht="15.5" x14ac:dyDescent="0.35">
      <c r="B6324" s="183"/>
    </row>
    <row r="6325" spans="2:2" ht="15.5" x14ac:dyDescent="0.35">
      <c r="B6325" s="183"/>
    </row>
    <row r="6326" spans="2:2" ht="15.5" x14ac:dyDescent="0.35">
      <c r="B6326" s="183"/>
    </row>
    <row r="6327" spans="2:2" ht="15.5" x14ac:dyDescent="0.35">
      <c r="B6327" s="183"/>
    </row>
    <row r="6328" spans="2:2" ht="15.5" x14ac:dyDescent="0.35">
      <c r="B6328" s="183"/>
    </row>
    <row r="6329" spans="2:2" ht="15.5" x14ac:dyDescent="0.35">
      <c r="B6329" s="183"/>
    </row>
    <row r="6330" spans="2:2" ht="15.5" x14ac:dyDescent="0.35">
      <c r="B6330" s="183"/>
    </row>
    <row r="6331" spans="2:2" ht="15.5" x14ac:dyDescent="0.35">
      <c r="B6331" s="183"/>
    </row>
    <row r="6332" spans="2:2" ht="15.5" x14ac:dyDescent="0.35">
      <c r="B6332" s="183"/>
    </row>
    <row r="6333" spans="2:2" ht="15.5" x14ac:dyDescent="0.35">
      <c r="B6333" s="183"/>
    </row>
    <row r="6334" spans="2:2" ht="15.5" x14ac:dyDescent="0.35">
      <c r="B6334" s="183"/>
    </row>
    <row r="6335" spans="2:2" ht="15.5" x14ac:dyDescent="0.35">
      <c r="B6335" s="183"/>
    </row>
    <row r="6336" spans="2:2" ht="15.5" x14ac:dyDescent="0.35">
      <c r="B6336" s="183"/>
    </row>
    <row r="6337" spans="2:2" ht="15.5" x14ac:dyDescent="0.35">
      <c r="B6337" s="183"/>
    </row>
    <row r="6338" spans="2:2" ht="15.5" x14ac:dyDescent="0.35">
      <c r="B6338" s="183"/>
    </row>
    <row r="6339" spans="2:2" ht="15.5" x14ac:dyDescent="0.35">
      <c r="B6339" s="183"/>
    </row>
    <row r="6340" spans="2:2" ht="15.5" x14ac:dyDescent="0.35">
      <c r="B6340" s="183"/>
    </row>
    <row r="6341" spans="2:2" ht="15.5" x14ac:dyDescent="0.35">
      <c r="B6341" s="183"/>
    </row>
    <row r="6342" spans="2:2" ht="15.5" x14ac:dyDescent="0.35">
      <c r="B6342" s="183"/>
    </row>
    <row r="6343" spans="2:2" ht="15.5" x14ac:dyDescent="0.35">
      <c r="B6343" s="183"/>
    </row>
    <row r="6344" spans="2:2" ht="15.5" x14ac:dyDescent="0.35">
      <c r="B6344" s="183"/>
    </row>
    <row r="6345" spans="2:2" ht="15.5" x14ac:dyDescent="0.35">
      <c r="B6345" s="183"/>
    </row>
    <row r="6346" spans="2:2" ht="15.5" x14ac:dyDescent="0.35">
      <c r="B6346" s="183"/>
    </row>
    <row r="6347" spans="2:2" ht="15.5" x14ac:dyDescent="0.35">
      <c r="B6347" s="183"/>
    </row>
    <row r="6348" spans="2:2" ht="15.5" x14ac:dyDescent="0.35">
      <c r="B6348" s="183"/>
    </row>
    <row r="6349" spans="2:2" ht="15.5" x14ac:dyDescent="0.35">
      <c r="B6349" s="183"/>
    </row>
    <row r="6350" spans="2:2" ht="15.5" x14ac:dyDescent="0.35">
      <c r="B6350" s="183"/>
    </row>
    <row r="6351" spans="2:2" ht="15.5" x14ac:dyDescent="0.35">
      <c r="B6351" s="183"/>
    </row>
    <row r="6352" spans="2:2" ht="15.5" x14ac:dyDescent="0.35">
      <c r="B6352" s="183"/>
    </row>
    <row r="6353" spans="2:2" ht="15.5" x14ac:dyDescent="0.35">
      <c r="B6353" s="183"/>
    </row>
    <row r="6354" spans="2:2" ht="15.5" x14ac:dyDescent="0.35">
      <c r="B6354" s="183"/>
    </row>
    <row r="6355" spans="2:2" ht="15.5" x14ac:dyDescent="0.35">
      <c r="B6355" s="183"/>
    </row>
    <row r="6356" spans="2:2" ht="15.5" x14ac:dyDescent="0.35">
      <c r="B6356" s="183"/>
    </row>
    <row r="6357" spans="2:2" ht="15.5" x14ac:dyDescent="0.35">
      <c r="B6357" s="183"/>
    </row>
    <row r="6358" spans="2:2" ht="15.5" x14ac:dyDescent="0.35">
      <c r="B6358" s="183"/>
    </row>
    <row r="6359" spans="2:2" ht="15.5" x14ac:dyDescent="0.35">
      <c r="B6359" s="183"/>
    </row>
    <row r="6360" spans="2:2" ht="15.5" x14ac:dyDescent="0.35">
      <c r="B6360" s="183"/>
    </row>
    <row r="6361" spans="2:2" ht="15.5" x14ac:dyDescent="0.35">
      <c r="B6361" s="183"/>
    </row>
    <row r="6362" spans="2:2" ht="15.5" x14ac:dyDescent="0.35">
      <c r="B6362" s="183"/>
    </row>
    <row r="6363" spans="2:2" ht="15.5" x14ac:dyDescent="0.35">
      <c r="B6363" s="183"/>
    </row>
    <row r="6364" spans="2:2" ht="15.5" x14ac:dyDescent="0.35">
      <c r="B6364" s="183"/>
    </row>
    <row r="6365" spans="2:2" ht="15.5" x14ac:dyDescent="0.35">
      <c r="B6365" s="183"/>
    </row>
    <row r="6366" spans="2:2" ht="15.5" x14ac:dyDescent="0.35">
      <c r="B6366" s="183"/>
    </row>
    <row r="6367" spans="2:2" ht="15.5" x14ac:dyDescent="0.35">
      <c r="B6367" s="183"/>
    </row>
    <row r="6368" spans="2:2" ht="15.5" x14ac:dyDescent="0.35">
      <c r="B6368" s="183"/>
    </row>
    <row r="6369" spans="2:2" ht="15.5" x14ac:dyDescent="0.35">
      <c r="B6369" s="183"/>
    </row>
    <row r="6370" spans="2:2" ht="15.5" x14ac:dyDescent="0.35">
      <c r="B6370" s="183"/>
    </row>
    <row r="6371" spans="2:2" ht="15.5" x14ac:dyDescent="0.35">
      <c r="B6371" s="183"/>
    </row>
    <row r="6372" spans="2:2" ht="15.5" x14ac:dyDescent="0.35">
      <c r="B6372" s="183"/>
    </row>
    <row r="6373" spans="2:2" ht="15.5" x14ac:dyDescent="0.35">
      <c r="B6373" s="183"/>
    </row>
    <row r="6374" spans="2:2" ht="15.5" x14ac:dyDescent="0.35">
      <c r="B6374" s="183"/>
    </row>
    <row r="6375" spans="2:2" ht="15.5" x14ac:dyDescent="0.35">
      <c r="B6375" s="183"/>
    </row>
    <row r="6376" spans="2:2" ht="15.5" x14ac:dyDescent="0.35">
      <c r="B6376" s="183"/>
    </row>
    <row r="6377" spans="2:2" ht="15.5" x14ac:dyDescent="0.35">
      <c r="B6377" s="183"/>
    </row>
    <row r="6378" spans="2:2" ht="15.5" x14ac:dyDescent="0.35">
      <c r="B6378" s="183"/>
    </row>
    <row r="6379" spans="2:2" ht="15.5" x14ac:dyDescent="0.35">
      <c r="B6379" s="183"/>
    </row>
    <row r="6380" spans="2:2" ht="15.5" x14ac:dyDescent="0.35">
      <c r="B6380" s="183"/>
    </row>
    <row r="6381" spans="2:2" ht="15.5" x14ac:dyDescent="0.35">
      <c r="B6381" s="183"/>
    </row>
    <row r="6382" spans="2:2" ht="15.5" x14ac:dyDescent="0.35">
      <c r="B6382" s="183"/>
    </row>
    <row r="6383" spans="2:2" ht="15.5" x14ac:dyDescent="0.35">
      <c r="B6383" s="183"/>
    </row>
    <row r="6384" spans="2:2" ht="15.5" x14ac:dyDescent="0.35">
      <c r="B6384" s="183"/>
    </row>
    <row r="6385" spans="2:2" ht="15.5" x14ac:dyDescent="0.35">
      <c r="B6385" s="183"/>
    </row>
    <row r="6386" spans="2:2" ht="15.5" x14ac:dyDescent="0.35">
      <c r="B6386" s="183"/>
    </row>
    <row r="6387" spans="2:2" ht="15.5" x14ac:dyDescent="0.35">
      <c r="B6387" s="183"/>
    </row>
    <row r="6388" spans="2:2" ht="15.5" x14ac:dyDescent="0.35">
      <c r="B6388" s="183"/>
    </row>
    <row r="6389" spans="2:2" ht="15.5" x14ac:dyDescent="0.35">
      <c r="B6389" s="183"/>
    </row>
    <row r="6390" spans="2:2" ht="15.5" x14ac:dyDescent="0.35">
      <c r="B6390" s="183"/>
    </row>
    <row r="6391" spans="2:2" ht="15.5" x14ac:dyDescent="0.35">
      <c r="B6391" s="183"/>
    </row>
    <row r="6392" spans="2:2" ht="15.5" x14ac:dyDescent="0.35">
      <c r="B6392" s="183"/>
    </row>
    <row r="6393" spans="2:2" ht="15.5" x14ac:dyDescent="0.35">
      <c r="B6393" s="183"/>
    </row>
    <row r="6394" spans="2:2" ht="15.5" x14ac:dyDescent="0.35">
      <c r="B6394" s="183"/>
    </row>
    <row r="6395" spans="2:2" ht="15.5" x14ac:dyDescent="0.35">
      <c r="B6395" s="183"/>
    </row>
    <row r="6396" spans="2:2" ht="15.5" x14ac:dyDescent="0.35">
      <c r="B6396" s="183"/>
    </row>
    <row r="6397" spans="2:2" ht="15.5" x14ac:dyDescent="0.35">
      <c r="B6397" s="183"/>
    </row>
    <row r="6398" spans="2:2" ht="15.5" x14ac:dyDescent="0.35">
      <c r="B6398" s="183"/>
    </row>
    <row r="6399" spans="2:2" ht="15.5" x14ac:dyDescent="0.35">
      <c r="B6399" s="183"/>
    </row>
    <row r="6400" spans="2:2" ht="15.5" x14ac:dyDescent="0.35">
      <c r="B6400" s="183"/>
    </row>
    <row r="6401" spans="2:2" ht="15.5" x14ac:dyDescent="0.35">
      <c r="B6401" s="183"/>
    </row>
    <row r="6402" spans="2:2" ht="15.5" x14ac:dyDescent="0.35">
      <c r="B6402" s="183"/>
    </row>
    <row r="6403" spans="2:2" ht="15.5" x14ac:dyDescent="0.35">
      <c r="B6403" s="183"/>
    </row>
    <row r="6404" spans="2:2" ht="15.5" x14ac:dyDescent="0.35">
      <c r="B6404" s="183"/>
    </row>
    <row r="6405" spans="2:2" ht="15.5" x14ac:dyDescent="0.35">
      <c r="B6405" s="183"/>
    </row>
    <row r="6406" spans="2:2" ht="15.5" x14ac:dyDescent="0.35">
      <c r="B6406" s="183"/>
    </row>
    <row r="6407" spans="2:2" ht="15.5" x14ac:dyDescent="0.35">
      <c r="B6407" s="183"/>
    </row>
    <row r="6408" spans="2:2" ht="15.5" x14ac:dyDescent="0.35">
      <c r="B6408" s="183"/>
    </row>
    <row r="6409" spans="2:2" ht="15.5" x14ac:dyDescent="0.35">
      <c r="B6409" s="183"/>
    </row>
    <row r="6410" spans="2:2" ht="15.5" x14ac:dyDescent="0.35">
      <c r="B6410" s="183"/>
    </row>
    <row r="6411" spans="2:2" ht="15.5" x14ac:dyDescent="0.35">
      <c r="B6411" s="183"/>
    </row>
    <row r="6412" spans="2:2" ht="15.5" x14ac:dyDescent="0.35">
      <c r="B6412" s="183"/>
    </row>
    <row r="6413" spans="2:2" ht="15.5" x14ac:dyDescent="0.35">
      <c r="B6413" s="183"/>
    </row>
    <row r="6414" spans="2:2" ht="15.5" x14ac:dyDescent="0.35">
      <c r="B6414" s="183"/>
    </row>
    <row r="6415" spans="2:2" ht="15.5" x14ac:dyDescent="0.35">
      <c r="B6415" s="183"/>
    </row>
    <row r="6416" spans="2:2" ht="15.5" x14ac:dyDescent="0.35">
      <c r="B6416" s="183"/>
    </row>
    <row r="6417" spans="2:2" ht="15.5" x14ac:dyDescent="0.35">
      <c r="B6417" s="183"/>
    </row>
    <row r="6418" spans="2:2" ht="15.5" x14ac:dyDescent="0.35">
      <c r="B6418" s="183"/>
    </row>
    <row r="6419" spans="2:2" ht="15.5" x14ac:dyDescent="0.35">
      <c r="B6419" s="183"/>
    </row>
    <row r="6420" spans="2:2" ht="15.5" x14ac:dyDescent="0.35">
      <c r="B6420" s="183"/>
    </row>
    <row r="6421" spans="2:2" ht="15.5" x14ac:dyDescent="0.35">
      <c r="B6421" s="183"/>
    </row>
    <row r="6422" spans="2:2" ht="15.5" x14ac:dyDescent="0.35">
      <c r="B6422" s="183"/>
    </row>
    <row r="6423" spans="2:2" ht="15.5" x14ac:dyDescent="0.35">
      <c r="B6423" s="183"/>
    </row>
    <row r="6424" spans="2:2" ht="15.5" x14ac:dyDescent="0.35">
      <c r="B6424" s="183"/>
    </row>
    <row r="6425" spans="2:2" ht="15.5" x14ac:dyDescent="0.35">
      <c r="B6425" s="183"/>
    </row>
    <row r="6426" spans="2:2" ht="15.5" x14ac:dyDescent="0.35">
      <c r="B6426" s="183"/>
    </row>
    <row r="6427" spans="2:2" ht="15.5" x14ac:dyDescent="0.35">
      <c r="B6427" s="183"/>
    </row>
    <row r="6428" spans="2:2" ht="15.5" x14ac:dyDescent="0.35">
      <c r="B6428" s="183"/>
    </row>
    <row r="6429" spans="2:2" ht="15.5" x14ac:dyDescent="0.35">
      <c r="B6429" s="183"/>
    </row>
    <row r="6430" spans="2:2" ht="15.5" x14ac:dyDescent="0.35">
      <c r="B6430" s="183"/>
    </row>
    <row r="6431" spans="2:2" ht="15.5" x14ac:dyDescent="0.35">
      <c r="B6431" s="183"/>
    </row>
    <row r="6432" spans="2:2" ht="15.5" x14ac:dyDescent="0.35">
      <c r="B6432" s="183"/>
    </row>
    <row r="6433" spans="2:2" ht="15.5" x14ac:dyDescent="0.35">
      <c r="B6433" s="183"/>
    </row>
    <row r="6434" spans="2:2" ht="15.5" x14ac:dyDescent="0.35">
      <c r="B6434" s="183"/>
    </row>
    <row r="6435" spans="2:2" ht="15.5" x14ac:dyDescent="0.35">
      <c r="B6435" s="183"/>
    </row>
    <row r="6436" spans="2:2" ht="15.5" x14ac:dyDescent="0.35">
      <c r="B6436" s="183"/>
    </row>
    <row r="6437" spans="2:2" ht="15.5" x14ac:dyDescent="0.35">
      <c r="B6437" s="183"/>
    </row>
    <row r="6438" spans="2:2" ht="15.5" x14ac:dyDescent="0.35">
      <c r="B6438" s="183"/>
    </row>
    <row r="6439" spans="2:2" ht="15.5" x14ac:dyDescent="0.35">
      <c r="B6439" s="183"/>
    </row>
    <row r="6440" spans="2:2" ht="15.5" x14ac:dyDescent="0.35">
      <c r="B6440" s="183"/>
    </row>
    <row r="6441" spans="2:2" ht="15.5" x14ac:dyDescent="0.35">
      <c r="B6441" s="183"/>
    </row>
    <row r="6442" spans="2:2" ht="15.5" x14ac:dyDescent="0.35">
      <c r="B6442" s="183"/>
    </row>
    <row r="6443" spans="2:2" ht="15.5" x14ac:dyDescent="0.35">
      <c r="B6443" s="183"/>
    </row>
    <row r="6444" spans="2:2" ht="15.5" x14ac:dyDescent="0.35">
      <c r="B6444" s="183"/>
    </row>
    <row r="6445" spans="2:2" ht="15.5" x14ac:dyDescent="0.35">
      <c r="B6445" s="183"/>
    </row>
    <row r="6446" spans="2:2" ht="15.5" x14ac:dyDescent="0.35">
      <c r="B6446" s="183"/>
    </row>
    <row r="6447" spans="2:2" ht="15.5" x14ac:dyDescent="0.35">
      <c r="B6447" s="183"/>
    </row>
    <row r="6448" spans="2:2" ht="15.5" x14ac:dyDescent="0.35">
      <c r="B6448" s="183"/>
    </row>
    <row r="6449" spans="2:2" ht="15.5" x14ac:dyDescent="0.35">
      <c r="B6449" s="183"/>
    </row>
    <row r="6450" spans="2:2" ht="15.5" x14ac:dyDescent="0.35">
      <c r="B6450" s="183"/>
    </row>
    <row r="6451" spans="2:2" ht="15.5" x14ac:dyDescent="0.35">
      <c r="B6451" s="183"/>
    </row>
    <row r="6452" spans="2:2" ht="15.5" x14ac:dyDescent="0.35">
      <c r="B6452" s="183"/>
    </row>
    <row r="6453" spans="2:2" ht="15.5" x14ac:dyDescent="0.35">
      <c r="B6453" s="183"/>
    </row>
    <row r="6454" spans="2:2" ht="15.5" x14ac:dyDescent="0.35">
      <c r="B6454" s="183"/>
    </row>
    <row r="6455" spans="2:2" ht="15.5" x14ac:dyDescent="0.35">
      <c r="B6455" s="183"/>
    </row>
    <row r="6456" spans="2:2" ht="15.5" x14ac:dyDescent="0.35">
      <c r="B6456" s="183"/>
    </row>
    <row r="6457" spans="2:2" ht="15.5" x14ac:dyDescent="0.35">
      <c r="B6457" s="183"/>
    </row>
    <row r="6458" spans="2:2" ht="15.5" x14ac:dyDescent="0.35">
      <c r="B6458" s="183"/>
    </row>
    <row r="6459" spans="2:2" ht="15.5" x14ac:dyDescent="0.35">
      <c r="B6459" s="183"/>
    </row>
    <row r="6460" spans="2:2" ht="15.5" x14ac:dyDescent="0.35">
      <c r="B6460" s="183"/>
    </row>
    <row r="6461" spans="2:2" ht="15.5" x14ac:dyDescent="0.35">
      <c r="B6461" s="183"/>
    </row>
    <row r="6462" spans="2:2" ht="15.5" x14ac:dyDescent="0.35">
      <c r="B6462" s="183"/>
    </row>
    <row r="6463" spans="2:2" ht="15.5" x14ac:dyDescent="0.35">
      <c r="B6463" s="183"/>
    </row>
    <row r="6464" spans="2:2" ht="15.5" x14ac:dyDescent="0.35">
      <c r="B6464" s="183"/>
    </row>
    <row r="6465" spans="2:2" ht="15.5" x14ac:dyDescent="0.35">
      <c r="B6465" s="183"/>
    </row>
    <row r="6466" spans="2:2" ht="15.5" x14ac:dyDescent="0.35">
      <c r="B6466" s="183"/>
    </row>
    <row r="6467" spans="2:2" ht="15.5" x14ac:dyDescent="0.35">
      <c r="B6467" s="183"/>
    </row>
    <row r="6468" spans="2:2" ht="15.5" x14ac:dyDescent="0.35">
      <c r="B6468" s="183"/>
    </row>
    <row r="6469" spans="2:2" ht="15.5" x14ac:dyDescent="0.35">
      <c r="B6469" s="183"/>
    </row>
    <row r="6470" spans="2:2" ht="15.5" x14ac:dyDescent="0.35">
      <c r="B6470" s="183"/>
    </row>
    <row r="6471" spans="2:2" ht="15.5" x14ac:dyDescent="0.35">
      <c r="B6471" s="183"/>
    </row>
    <row r="6472" spans="2:2" ht="15.5" x14ac:dyDescent="0.35">
      <c r="B6472" s="183"/>
    </row>
    <row r="6473" spans="2:2" ht="15.5" x14ac:dyDescent="0.35">
      <c r="B6473" s="183"/>
    </row>
    <row r="6474" spans="2:2" ht="15.5" x14ac:dyDescent="0.35">
      <c r="B6474" s="183"/>
    </row>
    <row r="6475" spans="2:2" ht="15.5" x14ac:dyDescent="0.35">
      <c r="B6475" s="183"/>
    </row>
    <row r="6476" spans="2:2" ht="15.5" x14ac:dyDescent="0.35">
      <c r="B6476" s="183"/>
    </row>
    <row r="6477" spans="2:2" ht="15.5" x14ac:dyDescent="0.35">
      <c r="B6477" s="183"/>
    </row>
    <row r="6478" spans="2:2" ht="15.5" x14ac:dyDescent="0.35">
      <c r="B6478" s="183"/>
    </row>
    <row r="6479" spans="2:2" ht="15.5" x14ac:dyDescent="0.35">
      <c r="B6479" s="183"/>
    </row>
    <row r="6480" spans="2:2" ht="15.5" x14ac:dyDescent="0.35">
      <c r="B6480" s="183"/>
    </row>
    <row r="6481" spans="2:2" ht="15.5" x14ac:dyDescent="0.35">
      <c r="B6481" s="183"/>
    </row>
    <row r="6482" spans="2:2" ht="15.5" x14ac:dyDescent="0.35">
      <c r="B6482" s="183"/>
    </row>
    <row r="6483" spans="2:2" ht="15.5" x14ac:dyDescent="0.35">
      <c r="B6483" s="183"/>
    </row>
    <row r="6484" spans="2:2" ht="15.5" x14ac:dyDescent="0.35">
      <c r="B6484" s="183"/>
    </row>
    <row r="6485" spans="2:2" ht="15.5" x14ac:dyDescent="0.35">
      <c r="B6485" s="183"/>
    </row>
    <row r="6486" spans="2:2" ht="15.5" x14ac:dyDescent="0.35">
      <c r="B6486" s="183"/>
    </row>
    <row r="6487" spans="2:2" ht="15.5" x14ac:dyDescent="0.35">
      <c r="B6487" s="183"/>
    </row>
    <row r="6488" spans="2:2" ht="15.5" x14ac:dyDescent="0.35">
      <c r="B6488" s="183"/>
    </row>
    <row r="6489" spans="2:2" ht="15.5" x14ac:dyDescent="0.35">
      <c r="B6489" s="183"/>
    </row>
    <row r="6490" spans="2:2" ht="15.5" x14ac:dyDescent="0.35">
      <c r="B6490" s="183"/>
    </row>
    <row r="6491" spans="2:2" ht="15.5" x14ac:dyDescent="0.35">
      <c r="B6491" s="183"/>
    </row>
    <row r="6492" spans="2:2" ht="15.5" x14ac:dyDescent="0.35">
      <c r="B6492" s="183"/>
    </row>
    <row r="6493" spans="2:2" ht="15.5" x14ac:dyDescent="0.35">
      <c r="B6493" s="183"/>
    </row>
    <row r="6494" spans="2:2" ht="15.5" x14ac:dyDescent="0.35">
      <c r="B6494" s="183"/>
    </row>
    <row r="6495" spans="2:2" ht="15.5" x14ac:dyDescent="0.35">
      <c r="B6495" s="183"/>
    </row>
    <row r="6496" spans="2:2" ht="15.5" x14ac:dyDescent="0.35">
      <c r="B6496" s="183"/>
    </row>
    <row r="6497" spans="2:2" ht="15.5" x14ac:dyDescent="0.35">
      <c r="B6497" s="183"/>
    </row>
    <row r="6498" spans="2:2" ht="15.5" x14ac:dyDescent="0.35">
      <c r="B6498" s="183"/>
    </row>
    <row r="6499" spans="2:2" ht="15.5" x14ac:dyDescent="0.35">
      <c r="B6499" s="183"/>
    </row>
    <row r="6500" spans="2:2" ht="15.5" x14ac:dyDescent="0.35">
      <c r="B6500" s="183"/>
    </row>
    <row r="6501" spans="2:2" ht="15.5" x14ac:dyDescent="0.35">
      <c r="B6501" s="183"/>
    </row>
    <row r="6502" spans="2:2" ht="15.5" x14ac:dyDescent="0.35">
      <c r="B6502" s="183"/>
    </row>
    <row r="6503" spans="2:2" ht="15.5" x14ac:dyDescent="0.35">
      <c r="B6503" s="183"/>
    </row>
    <row r="6504" spans="2:2" ht="15.5" x14ac:dyDescent="0.35">
      <c r="B6504" s="183"/>
    </row>
    <row r="6505" spans="2:2" ht="15.5" x14ac:dyDescent="0.35">
      <c r="B6505" s="183"/>
    </row>
    <row r="6506" spans="2:2" ht="15.5" x14ac:dyDescent="0.35">
      <c r="B6506" s="183"/>
    </row>
    <row r="6507" spans="2:2" ht="15.5" x14ac:dyDescent="0.35">
      <c r="B6507" s="183"/>
    </row>
    <row r="6508" spans="2:2" ht="15.5" x14ac:dyDescent="0.35">
      <c r="B6508" s="183"/>
    </row>
    <row r="6509" spans="2:2" ht="15.5" x14ac:dyDescent="0.35">
      <c r="B6509" s="183"/>
    </row>
    <row r="6510" spans="2:2" ht="15.5" x14ac:dyDescent="0.35">
      <c r="B6510" s="183"/>
    </row>
    <row r="6511" spans="2:2" ht="15.5" x14ac:dyDescent="0.35">
      <c r="B6511" s="183"/>
    </row>
    <row r="6512" spans="2:2" ht="15.5" x14ac:dyDescent="0.35">
      <c r="B6512" s="183"/>
    </row>
    <row r="6513" spans="2:2" ht="15.5" x14ac:dyDescent="0.35">
      <c r="B6513" s="183"/>
    </row>
    <row r="6514" spans="2:2" ht="15.5" x14ac:dyDescent="0.35">
      <c r="B6514" s="183"/>
    </row>
    <row r="6515" spans="2:2" ht="15.5" x14ac:dyDescent="0.35">
      <c r="B6515" s="183"/>
    </row>
    <row r="6516" spans="2:2" ht="15.5" x14ac:dyDescent="0.35">
      <c r="B6516" s="183"/>
    </row>
    <row r="6517" spans="2:2" ht="15.5" x14ac:dyDescent="0.35">
      <c r="B6517" s="183"/>
    </row>
    <row r="6518" spans="2:2" ht="15.5" x14ac:dyDescent="0.35">
      <c r="B6518" s="183"/>
    </row>
    <row r="6519" spans="2:2" ht="15.5" x14ac:dyDescent="0.35">
      <c r="B6519" s="183"/>
    </row>
    <row r="6520" spans="2:2" ht="15.5" x14ac:dyDescent="0.35">
      <c r="B6520" s="183"/>
    </row>
    <row r="6521" spans="2:2" ht="15.5" x14ac:dyDescent="0.35">
      <c r="B6521" s="183"/>
    </row>
    <row r="6522" spans="2:2" ht="15.5" x14ac:dyDescent="0.35">
      <c r="B6522" s="183"/>
    </row>
    <row r="6523" spans="2:2" ht="15.5" x14ac:dyDescent="0.35">
      <c r="B6523" s="183"/>
    </row>
    <row r="6524" spans="2:2" ht="15.5" x14ac:dyDescent="0.35">
      <c r="B6524" s="183"/>
    </row>
    <row r="6525" spans="2:2" ht="15.5" x14ac:dyDescent="0.35">
      <c r="B6525" s="183"/>
    </row>
    <row r="6526" spans="2:2" ht="15.5" x14ac:dyDescent="0.35">
      <c r="B6526" s="183"/>
    </row>
    <row r="6527" spans="2:2" ht="15.5" x14ac:dyDescent="0.35">
      <c r="B6527" s="183"/>
    </row>
    <row r="6528" spans="2:2" ht="15.5" x14ac:dyDescent="0.35">
      <c r="B6528" s="183"/>
    </row>
    <row r="6529" spans="2:2" ht="15.5" x14ac:dyDescent="0.35">
      <c r="B6529" s="183"/>
    </row>
    <row r="6530" spans="2:2" ht="15.5" x14ac:dyDescent="0.35">
      <c r="B6530" s="183"/>
    </row>
    <row r="6531" spans="2:2" ht="15.5" x14ac:dyDescent="0.35">
      <c r="B6531" s="183"/>
    </row>
    <row r="6532" spans="2:2" ht="15.5" x14ac:dyDescent="0.35">
      <c r="B6532" s="183"/>
    </row>
    <row r="6533" spans="2:2" ht="15.5" x14ac:dyDescent="0.35">
      <c r="B6533" s="183"/>
    </row>
    <row r="6534" spans="2:2" ht="15.5" x14ac:dyDescent="0.35">
      <c r="B6534" s="183"/>
    </row>
    <row r="6535" spans="2:2" ht="15.5" x14ac:dyDescent="0.35">
      <c r="B6535" s="183"/>
    </row>
    <row r="6536" spans="2:2" ht="15.5" x14ac:dyDescent="0.35">
      <c r="B6536" s="183"/>
    </row>
    <row r="6537" spans="2:2" ht="15.5" x14ac:dyDescent="0.35">
      <c r="B6537" s="183"/>
    </row>
    <row r="6538" spans="2:2" ht="15.5" x14ac:dyDescent="0.35">
      <c r="B6538" s="183"/>
    </row>
    <row r="6539" spans="2:2" ht="15.5" x14ac:dyDescent="0.35">
      <c r="B6539" s="183"/>
    </row>
    <row r="6540" spans="2:2" ht="15.5" x14ac:dyDescent="0.35">
      <c r="B6540" s="183"/>
    </row>
    <row r="6541" spans="2:2" ht="15.5" x14ac:dyDescent="0.35">
      <c r="B6541" s="183"/>
    </row>
    <row r="6542" spans="2:2" ht="15.5" x14ac:dyDescent="0.35">
      <c r="B6542" s="183"/>
    </row>
    <row r="6543" spans="2:2" ht="15.5" x14ac:dyDescent="0.35">
      <c r="B6543" s="183"/>
    </row>
    <row r="6544" spans="2:2" ht="15.5" x14ac:dyDescent="0.35">
      <c r="B6544" s="183"/>
    </row>
    <row r="6545" spans="2:2" ht="15.5" x14ac:dyDescent="0.35">
      <c r="B6545" s="183"/>
    </row>
    <row r="6546" spans="2:2" ht="15.5" x14ac:dyDescent="0.35">
      <c r="B6546" s="183"/>
    </row>
    <row r="6547" spans="2:2" ht="15.5" x14ac:dyDescent="0.35">
      <c r="B6547" s="183"/>
    </row>
    <row r="6548" spans="2:2" ht="15.5" x14ac:dyDescent="0.35">
      <c r="B6548" s="183"/>
    </row>
    <row r="6549" spans="2:2" ht="15.5" x14ac:dyDescent="0.35">
      <c r="B6549" s="183"/>
    </row>
    <row r="6550" spans="2:2" ht="15.5" x14ac:dyDescent="0.35">
      <c r="B6550" s="183"/>
    </row>
    <row r="6551" spans="2:2" ht="15.5" x14ac:dyDescent="0.35">
      <c r="B6551" s="183"/>
    </row>
    <row r="6552" spans="2:2" ht="15.5" x14ac:dyDescent="0.35">
      <c r="B6552" s="183"/>
    </row>
    <row r="6553" spans="2:2" ht="15.5" x14ac:dyDescent="0.35">
      <c r="B6553" s="183"/>
    </row>
    <row r="6554" spans="2:2" ht="15.5" x14ac:dyDescent="0.35">
      <c r="B6554" s="183"/>
    </row>
    <row r="6555" spans="2:2" ht="15.5" x14ac:dyDescent="0.35">
      <c r="B6555" s="183"/>
    </row>
    <row r="6556" spans="2:2" ht="15.5" x14ac:dyDescent="0.35">
      <c r="B6556" s="183"/>
    </row>
    <row r="6557" spans="2:2" ht="15.5" x14ac:dyDescent="0.35">
      <c r="B6557" s="183"/>
    </row>
    <row r="6558" spans="2:2" ht="15.5" x14ac:dyDescent="0.35">
      <c r="B6558" s="183"/>
    </row>
    <row r="6559" spans="2:2" ht="15.5" x14ac:dyDescent="0.35">
      <c r="B6559" s="183"/>
    </row>
    <row r="6560" spans="2:2" ht="15.5" x14ac:dyDescent="0.35">
      <c r="B6560" s="183"/>
    </row>
    <row r="6561" spans="2:2" ht="15.5" x14ac:dyDescent="0.35">
      <c r="B6561" s="183"/>
    </row>
    <row r="6562" spans="2:2" ht="15.5" x14ac:dyDescent="0.35">
      <c r="B6562" s="183"/>
    </row>
    <row r="6563" spans="2:2" ht="15.5" x14ac:dyDescent="0.35">
      <c r="B6563" s="183"/>
    </row>
    <row r="6564" spans="2:2" ht="15.5" x14ac:dyDescent="0.35">
      <c r="B6564" s="183"/>
    </row>
    <row r="6565" spans="2:2" ht="15.5" x14ac:dyDescent="0.35">
      <c r="B6565" s="183"/>
    </row>
    <row r="6566" spans="2:2" ht="15.5" x14ac:dyDescent="0.35">
      <c r="B6566" s="183"/>
    </row>
    <row r="6567" spans="2:2" ht="15.5" x14ac:dyDescent="0.35">
      <c r="B6567" s="183"/>
    </row>
    <row r="6568" spans="2:2" ht="15.5" x14ac:dyDescent="0.35">
      <c r="B6568" s="183"/>
    </row>
    <row r="6569" spans="2:2" ht="15.5" x14ac:dyDescent="0.35">
      <c r="B6569" s="183"/>
    </row>
    <row r="6570" spans="2:2" ht="15.5" x14ac:dyDescent="0.35">
      <c r="B6570" s="183"/>
    </row>
    <row r="6571" spans="2:2" ht="15.5" x14ac:dyDescent="0.35">
      <c r="B6571" s="183"/>
    </row>
    <row r="6572" spans="2:2" ht="15.5" x14ac:dyDescent="0.35">
      <c r="B6572" s="183"/>
    </row>
    <row r="6573" spans="2:2" ht="15.5" x14ac:dyDescent="0.35">
      <c r="B6573" s="183"/>
    </row>
    <row r="6574" spans="2:2" ht="15.5" x14ac:dyDescent="0.35">
      <c r="B6574" s="183"/>
    </row>
    <row r="6575" spans="2:2" ht="15.5" x14ac:dyDescent="0.35">
      <c r="B6575" s="183"/>
    </row>
    <row r="6576" spans="2:2" ht="15.5" x14ac:dyDescent="0.35">
      <c r="B6576" s="183"/>
    </row>
    <row r="6577" spans="2:2" ht="15.5" x14ac:dyDescent="0.35">
      <c r="B6577" s="183"/>
    </row>
    <row r="6578" spans="2:2" ht="15.5" x14ac:dyDescent="0.35">
      <c r="B6578" s="183"/>
    </row>
    <row r="6579" spans="2:2" ht="15.5" x14ac:dyDescent="0.35">
      <c r="B6579" s="183"/>
    </row>
    <row r="6580" spans="2:2" ht="15.5" x14ac:dyDescent="0.35">
      <c r="B6580" s="183"/>
    </row>
    <row r="6581" spans="2:2" ht="15.5" x14ac:dyDescent="0.35">
      <c r="B6581" s="183"/>
    </row>
    <row r="6582" spans="2:2" ht="15.5" x14ac:dyDescent="0.35">
      <c r="B6582" s="183"/>
    </row>
    <row r="6583" spans="2:2" ht="15.5" x14ac:dyDescent="0.35">
      <c r="B6583" s="183"/>
    </row>
    <row r="6584" spans="2:2" ht="15.5" x14ac:dyDescent="0.35">
      <c r="B6584" s="183"/>
    </row>
    <row r="6585" spans="2:2" ht="15.5" x14ac:dyDescent="0.35">
      <c r="B6585" s="183"/>
    </row>
    <row r="6586" spans="2:2" ht="15.5" x14ac:dyDescent="0.35">
      <c r="B6586" s="183"/>
    </row>
    <row r="6587" spans="2:2" ht="15.5" x14ac:dyDescent="0.35">
      <c r="B6587" s="183"/>
    </row>
    <row r="6588" spans="2:2" ht="15.5" x14ac:dyDescent="0.35">
      <c r="B6588" s="183"/>
    </row>
    <row r="6589" spans="2:2" ht="15.5" x14ac:dyDescent="0.35">
      <c r="B6589" s="183"/>
    </row>
    <row r="6590" spans="2:2" ht="15.5" x14ac:dyDescent="0.35">
      <c r="B6590" s="183"/>
    </row>
    <row r="6591" spans="2:2" ht="15.5" x14ac:dyDescent="0.35">
      <c r="B6591" s="183"/>
    </row>
    <row r="6592" spans="2:2" ht="15.5" x14ac:dyDescent="0.35">
      <c r="B6592" s="183"/>
    </row>
    <row r="6593" spans="2:2" ht="15.5" x14ac:dyDescent="0.35">
      <c r="B6593" s="183"/>
    </row>
    <row r="6594" spans="2:2" ht="15.5" x14ac:dyDescent="0.35">
      <c r="B6594" s="183"/>
    </row>
    <row r="6595" spans="2:2" ht="15.5" x14ac:dyDescent="0.35">
      <c r="B6595" s="183"/>
    </row>
    <row r="6596" spans="2:2" ht="15.5" x14ac:dyDescent="0.35">
      <c r="B6596" s="183"/>
    </row>
    <row r="6597" spans="2:2" ht="15.5" x14ac:dyDescent="0.35">
      <c r="B6597" s="183"/>
    </row>
    <row r="6598" spans="2:2" ht="15.5" x14ac:dyDescent="0.35">
      <c r="B6598" s="183"/>
    </row>
    <row r="6599" spans="2:2" ht="15.5" x14ac:dyDescent="0.35">
      <c r="B6599" s="183"/>
    </row>
    <row r="6600" spans="2:2" ht="15.5" x14ac:dyDescent="0.35">
      <c r="B6600" s="183"/>
    </row>
    <row r="6601" spans="2:2" ht="15.5" x14ac:dyDescent="0.35">
      <c r="B6601" s="183"/>
    </row>
    <row r="6602" spans="2:2" ht="15.5" x14ac:dyDescent="0.35">
      <c r="B6602" s="183"/>
    </row>
    <row r="6603" spans="2:2" ht="15.5" x14ac:dyDescent="0.35">
      <c r="B6603" s="183"/>
    </row>
    <row r="6604" spans="2:2" ht="15.5" x14ac:dyDescent="0.35">
      <c r="B6604" s="183"/>
    </row>
    <row r="6605" spans="2:2" ht="15.5" x14ac:dyDescent="0.35">
      <c r="B6605" s="183"/>
    </row>
    <row r="6606" spans="2:2" ht="15.5" x14ac:dyDescent="0.35">
      <c r="B6606" s="183"/>
    </row>
    <row r="6607" spans="2:2" ht="15.5" x14ac:dyDescent="0.35">
      <c r="B6607" s="183"/>
    </row>
    <row r="6608" spans="2:2" ht="15.5" x14ac:dyDescent="0.35">
      <c r="B6608" s="183"/>
    </row>
    <row r="6609" spans="2:2" ht="15.5" x14ac:dyDescent="0.35">
      <c r="B6609" s="183"/>
    </row>
    <row r="6610" spans="2:2" ht="15.5" x14ac:dyDescent="0.35">
      <c r="B6610" s="183"/>
    </row>
    <row r="6611" spans="2:2" ht="15.5" x14ac:dyDescent="0.35">
      <c r="B6611" s="183"/>
    </row>
    <row r="6612" spans="2:2" ht="15.5" x14ac:dyDescent="0.35">
      <c r="B6612" s="183"/>
    </row>
    <row r="6613" spans="2:2" ht="15.5" x14ac:dyDescent="0.35">
      <c r="B6613" s="183"/>
    </row>
    <row r="6614" spans="2:2" ht="15.5" x14ac:dyDescent="0.35">
      <c r="B6614" s="183"/>
    </row>
    <row r="6615" spans="2:2" ht="15.5" x14ac:dyDescent="0.35">
      <c r="B6615" s="183"/>
    </row>
    <row r="6616" spans="2:2" ht="15.5" x14ac:dyDescent="0.35">
      <c r="B6616" s="183"/>
    </row>
    <row r="6617" spans="2:2" ht="15.5" x14ac:dyDescent="0.35">
      <c r="B6617" s="183"/>
    </row>
    <row r="6618" spans="2:2" ht="15.5" x14ac:dyDescent="0.35">
      <c r="B6618" s="183"/>
    </row>
    <row r="6619" spans="2:2" ht="15.5" x14ac:dyDescent="0.35">
      <c r="B6619" s="183"/>
    </row>
    <row r="6620" spans="2:2" ht="15.5" x14ac:dyDescent="0.35">
      <c r="B6620" s="183"/>
    </row>
    <row r="6621" spans="2:2" ht="15.5" x14ac:dyDescent="0.35">
      <c r="B6621" s="183"/>
    </row>
    <row r="6622" spans="2:2" ht="15.5" x14ac:dyDescent="0.35">
      <c r="B6622" s="183"/>
    </row>
    <row r="6623" spans="2:2" ht="15.5" x14ac:dyDescent="0.35">
      <c r="B6623" s="183"/>
    </row>
    <row r="6624" spans="2:2" ht="15.5" x14ac:dyDescent="0.35">
      <c r="B6624" s="183"/>
    </row>
    <row r="6625" spans="2:2" ht="15.5" x14ac:dyDescent="0.35">
      <c r="B6625" s="183"/>
    </row>
    <row r="6626" spans="2:2" ht="15.5" x14ac:dyDescent="0.35">
      <c r="B6626" s="183"/>
    </row>
    <row r="6627" spans="2:2" ht="15.5" x14ac:dyDescent="0.35">
      <c r="B6627" s="183"/>
    </row>
    <row r="6628" spans="2:2" ht="15.5" x14ac:dyDescent="0.35">
      <c r="B6628" s="183"/>
    </row>
    <row r="6629" spans="2:2" ht="15.5" x14ac:dyDescent="0.35">
      <c r="B6629" s="183"/>
    </row>
    <row r="6630" spans="2:2" ht="15.5" x14ac:dyDescent="0.35">
      <c r="B6630" s="183"/>
    </row>
    <row r="6631" spans="2:2" ht="15.5" x14ac:dyDescent="0.35">
      <c r="B6631" s="183"/>
    </row>
    <row r="6632" spans="2:2" ht="15.5" x14ac:dyDescent="0.35">
      <c r="B6632" s="183"/>
    </row>
    <row r="6633" spans="2:2" ht="15.5" x14ac:dyDescent="0.35">
      <c r="B6633" s="183"/>
    </row>
    <row r="6634" spans="2:2" ht="15.5" x14ac:dyDescent="0.35">
      <c r="B6634" s="183"/>
    </row>
    <row r="6635" spans="2:2" ht="15.5" x14ac:dyDescent="0.35">
      <c r="B6635" s="183"/>
    </row>
    <row r="6636" spans="2:2" ht="15.5" x14ac:dyDescent="0.35">
      <c r="B6636" s="183"/>
    </row>
    <row r="6637" spans="2:2" ht="15.5" x14ac:dyDescent="0.35">
      <c r="B6637" s="183"/>
    </row>
    <row r="6638" spans="2:2" ht="15.5" x14ac:dyDescent="0.35">
      <c r="B6638" s="183"/>
    </row>
    <row r="6639" spans="2:2" ht="15.5" x14ac:dyDescent="0.35">
      <c r="B6639" s="183"/>
    </row>
    <row r="6640" spans="2:2" ht="15.5" x14ac:dyDescent="0.35">
      <c r="B6640" s="183"/>
    </row>
    <row r="6641" spans="2:2" ht="15.5" x14ac:dyDescent="0.35">
      <c r="B6641" s="183"/>
    </row>
    <row r="6642" spans="2:2" ht="15.5" x14ac:dyDescent="0.35">
      <c r="B6642" s="183"/>
    </row>
    <row r="6643" spans="2:2" ht="15.5" x14ac:dyDescent="0.35">
      <c r="B6643" s="183"/>
    </row>
    <row r="6644" spans="2:2" ht="15.5" x14ac:dyDescent="0.35">
      <c r="B6644" s="183"/>
    </row>
    <row r="6645" spans="2:2" ht="15.5" x14ac:dyDescent="0.35">
      <c r="B6645" s="183"/>
    </row>
    <row r="6646" spans="2:2" ht="15.5" x14ac:dyDescent="0.35">
      <c r="B6646" s="183"/>
    </row>
    <row r="6647" spans="2:2" ht="15.5" x14ac:dyDescent="0.35">
      <c r="B6647" s="183"/>
    </row>
    <row r="6648" spans="2:2" ht="15.5" x14ac:dyDescent="0.35">
      <c r="B6648" s="183"/>
    </row>
    <row r="6649" spans="2:2" ht="15.5" x14ac:dyDescent="0.35">
      <c r="B6649" s="183"/>
    </row>
    <row r="6650" spans="2:2" ht="15.5" x14ac:dyDescent="0.35">
      <c r="B6650" s="183"/>
    </row>
    <row r="6651" spans="2:2" ht="15.5" x14ac:dyDescent="0.35">
      <c r="B6651" s="183"/>
    </row>
    <row r="6652" spans="2:2" ht="15.5" x14ac:dyDescent="0.35">
      <c r="B6652" s="183"/>
    </row>
    <row r="6653" spans="2:2" ht="15.5" x14ac:dyDescent="0.35">
      <c r="B6653" s="183"/>
    </row>
    <row r="6654" spans="2:2" ht="15.5" x14ac:dyDescent="0.35">
      <c r="B6654" s="183"/>
    </row>
    <row r="6655" spans="2:2" ht="15.5" x14ac:dyDescent="0.35">
      <c r="B6655" s="183"/>
    </row>
    <row r="6656" spans="2:2" ht="15.5" x14ac:dyDescent="0.35">
      <c r="B6656" s="183"/>
    </row>
    <row r="6657" spans="2:2" ht="15.5" x14ac:dyDescent="0.35">
      <c r="B6657" s="183"/>
    </row>
    <row r="6658" spans="2:2" ht="15.5" x14ac:dyDescent="0.35">
      <c r="B6658" s="183"/>
    </row>
    <row r="6659" spans="2:2" ht="15.5" x14ac:dyDescent="0.35">
      <c r="B6659" s="183"/>
    </row>
    <row r="6660" spans="2:2" ht="15.5" x14ac:dyDescent="0.35">
      <c r="B6660" s="183"/>
    </row>
    <row r="6661" spans="2:2" ht="15.5" x14ac:dyDescent="0.35">
      <c r="B6661" s="183"/>
    </row>
    <row r="6662" spans="2:2" ht="15.5" x14ac:dyDescent="0.35">
      <c r="B6662" s="183"/>
    </row>
    <row r="6663" spans="2:2" ht="15.5" x14ac:dyDescent="0.35">
      <c r="B6663" s="183"/>
    </row>
    <row r="6664" spans="2:2" ht="15.5" x14ac:dyDescent="0.35">
      <c r="B6664" s="183"/>
    </row>
    <row r="6665" spans="2:2" ht="15.5" x14ac:dyDescent="0.35">
      <c r="B6665" s="183"/>
    </row>
    <row r="6666" spans="2:2" ht="15.5" x14ac:dyDescent="0.35">
      <c r="B6666" s="183"/>
    </row>
    <row r="6667" spans="2:2" ht="15.5" x14ac:dyDescent="0.35">
      <c r="B6667" s="183"/>
    </row>
    <row r="6668" spans="2:2" ht="15.5" x14ac:dyDescent="0.35">
      <c r="B6668" s="183"/>
    </row>
    <row r="6669" spans="2:2" ht="15.5" x14ac:dyDescent="0.35">
      <c r="B6669" s="183"/>
    </row>
    <row r="6670" spans="2:2" ht="15.5" x14ac:dyDescent="0.35">
      <c r="B6670" s="183"/>
    </row>
    <row r="6671" spans="2:2" ht="15.5" x14ac:dyDescent="0.35">
      <c r="B6671" s="183"/>
    </row>
    <row r="6672" spans="2:2" ht="15.5" x14ac:dyDescent="0.35">
      <c r="B6672" s="183"/>
    </row>
    <row r="6673" spans="2:2" ht="15.5" x14ac:dyDescent="0.35">
      <c r="B6673" s="183"/>
    </row>
    <row r="6674" spans="2:2" ht="15.5" x14ac:dyDescent="0.35">
      <c r="B6674" s="183"/>
    </row>
    <row r="6675" spans="2:2" ht="15.5" x14ac:dyDescent="0.35">
      <c r="B6675" s="183"/>
    </row>
    <row r="6676" spans="2:2" ht="15.5" x14ac:dyDescent="0.35">
      <c r="B6676" s="183"/>
    </row>
    <row r="6677" spans="2:2" ht="15.5" x14ac:dyDescent="0.35">
      <c r="B6677" s="183"/>
    </row>
    <row r="6678" spans="2:2" ht="15.5" x14ac:dyDescent="0.35">
      <c r="B6678" s="183"/>
    </row>
    <row r="6679" spans="2:2" ht="15.5" x14ac:dyDescent="0.35">
      <c r="B6679" s="183"/>
    </row>
    <row r="6680" spans="2:2" ht="15.5" x14ac:dyDescent="0.35">
      <c r="B6680" s="183"/>
    </row>
    <row r="6681" spans="2:2" ht="15.5" x14ac:dyDescent="0.35">
      <c r="B6681" s="183"/>
    </row>
    <row r="6682" spans="2:2" ht="15.5" x14ac:dyDescent="0.35">
      <c r="B6682" s="183"/>
    </row>
    <row r="6683" spans="2:2" ht="15.5" x14ac:dyDescent="0.35">
      <c r="B6683" s="183"/>
    </row>
    <row r="6684" spans="2:2" ht="15.5" x14ac:dyDescent="0.35">
      <c r="B6684" s="183"/>
    </row>
    <row r="6685" spans="2:2" ht="15.5" x14ac:dyDescent="0.35">
      <c r="B6685" s="183"/>
    </row>
    <row r="6686" spans="2:2" ht="15.5" x14ac:dyDescent="0.35">
      <c r="B6686" s="183"/>
    </row>
    <row r="6687" spans="2:2" ht="15.5" x14ac:dyDescent="0.35">
      <c r="B6687" s="183"/>
    </row>
    <row r="6688" spans="2:2" ht="15.5" x14ac:dyDescent="0.35">
      <c r="B6688" s="183"/>
    </row>
    <row r="6689" spans="2:2" ht="15.5" x14ac:dyDescent="0.35">
      <c r="B6689" s="183"/>
    </row>
    <row r="6690" spans="2:2" ht="15.5" x14ac:dyDescent="0.35">
      <c r="B6690" s="183"/>
    </row>
    <row r="6691" spans="2:2" ht="15.5" x14ac:dyDescent="0.35">
      <c r="B6691" s="183"/>
    </row>
    <row r="6692" spans="2:2" ht="15.5" x14ac:dyDescent="0.35">
      <c r="B6692" s="183"/>
    </row>
    <row r="6693" spans="2:2" ht="15.5" x14ac:dyDescent="0.35">
      <c r="B6693" s="183"/>
    </row>
    <row r="6694" spans="2:2" ht="15.5" x14ac:dyDescent="0.35">
      <c r="B6694" s="183"/>
    </row>
    <row r="6695" spans="2:2" ht="15.5" x14ac:dyDescent="0.35">
      <c r="B6695" s="183"/>
    </row>
    <row r="6696" spans="2:2" ht="15.5" x14ac:dyDescent="0.35">
      <c r="B6696" s="183"/>
    </row>
    <row r="6697" spans="2:2" ht="15.5" x14ac:dyDescent="0.35">
      <c r="B6697" s="183"/>
    </row>
    <row r="6698" spans="2:2" ht="15.5" x14ac:dyDescent="0.35">
      <c r="B6698" s="183"/>
    </row>
    <row r="6699" spans="2:2" ht="15.5" x14ac:dyDescent="0.35">
      <c r="B6699" s="183"/>
    </row>
    <row r="6700" spans="2:2" ht="15.5" x14ac:dyDescent="0.35">
      <c r="B6700" s="183"/>
    </row>
    <row r="6701" spans="2:2" ht="15.5" x14ac:dyDescent="0.35">
      <c r="B6701" s="183"/>
    </row>
    <row r="6702" spans="2:2" ht="15.5" x14ac:dyDescent="0.35">
      <c r="B6702" s="183"/>
    </row>
    <row r="6703" spans="2:2" ht="15.5" x14ac:dyDescent="0.35">
      <c r="B6703" s="183"/>
    </row>
    <row r="6704" spans="2:2" ht="15.5" x14ac:dyDescent="0.35">
      <c r="B6704" s="183"/>
    </row>
    <row r="6705" spans="2:2" ht="15.5" x14ac:dyDescent="0.35">
      <c r="B6705" s="183"/>
    </row>
    <row r="6706" spans="2:2" ht="15.5" x14ac:dyDescent="0.35">
      <c r="B6706" s="183"/>
    </row>
    <row r="6707" spans="2:2" ht="15.5" x14ac:dyDescent="0.35">
      <c r="B6707" s="183"/>
    </row>
    <row r="6708" spans="2:2" ht="15.5" x14ac:dyDescent="0.35">
      <c r="B6708" s="183"/>
    </row>
    <row r="6709" spans="2:2" ht="15.5" x14ac:dyDescent="0.35">
      <c r="B6709" s="183"/>
    </row>
    <row r="6710" spans="2:2" ht="15.5" x14ac:dyDescent="0.35">
      <c r="B6710" s="183"/>
    </row>
    <row r="6711" spans="2:2" ht="15.5" x14ac:dyDescent="0.35">
      <c r="B6711" s="183"/>
    </row>
    <row r="6712" spans="2:2" ht="15.5" x14ac:dyDescent="0.35">
      <c r="B6712" s="183"/>
    </row>
    <row r="6713" spans="2:2" ht="15.5" x14ac:dyDescent="0.35">
      <c r="B6713" s="183"/>
    </row>
    <row r="6714" spans="2:2" ht="15.5" x14ac:dyDescent="0.35">
      <c r="B6714" s="183"/>
    </row>
    <row r="6715" spans="2:2" ht="15.5" x14ac:dyDescent="0.35">
      <c r="B6715" s="183"/>
    </row>
    <row r="6716" spans="2:2" ht="15.5" x14ac:dyDescent="0.35">
      <c r="B6716" s="183"/>
    </row>
    <row r="6717" spans="2:2" ht="15.5" x14ac:dyDescent="0.35">
      <c r="B6717" s="183"/>
    </row>
    <row r="6718" spans="2:2" ht="15.5" x14ac:dyDescent="0.35">
      <c r="B6718" s="183"/>
    </row>
    <row r="6719" spans="2:2" ht="15.5" x14ac:dyDescent="0.35">
      <c r="B6719" s="183"/>
    </row>
    <row r="6720" spans="2:2" ht="15.5" x14ac:dyDescent="0.35">
      <c r="B6720" s="183"/>
    </row>
    <row r="6721" spans="2:2" ht="15.5" x14ac:dyDescent="0.35">
      <c r="B6721" s="183"/>
    </row>
    <row r="6722" spans="2:2" ht="15.5" x14ac:dyDescent="0.35">
      <c r="B6722" s="183"/>
    </row>
    <row r="6723" spans="2:2" ht="15.5" x14ac:dyDescent="0.35">
      <c r="B6723" s="183"/>
    </row>
    <row r="6724" spans="2:2" ht="15.5" x14ac:dyDescent="0.35">
      <c r="B6724" s="183"/>
    </row>
    <row r="6725" spans="2:2" ht="15.5" x14ac:dyDescent="0.35">
      <c r="B6725" s="183"/>
    </row>
    <row r="6726" spans="2:2" ht="15.5" x14ac:dyDescent="0.35">
      <c r="B6726" s="183"/>
    </row>
    <row r="6727" spans="2:2" ht="15.5" x14ac:dyDescent="0.35">
      <c r="B6727" s="183"/>
    </row>
    <row r="6728" spans="2:2" ht="15.5" x14ac:dyDescent="0.35">
      <c r="B6728" s="183"/>
    </row>
    <row r="6729" spans="2:2" ht="15.5" x14ac:dyDescent="0.35">
      <c r="B6729" s="183"/>
    </row>
    <row r="6730" spans="2:2" ht="15.5" x14ac:dyDescent="0.35">
      <c r="B6730" s="183"/>
    </row>
    <row r="6731" spans="2:2" ht="15.5" x14ac:dyDescent="0.35">
      <c r="B6731" s="183"/>
    </row>
    <row r="6732" spans="2:2" ht="15.5" x14ac:dyDescent="0.35">
      <c r="B6732" s="183"/>
    </row>
    <row r="6733" spans="2:2" ht="15.5" x14ac:dyDescent="0.35">
      <c r="B6733" s="183"/>
    </row>
    <row r="6734" spans="2:2" ht="15.5" x14ac:dyDescent="0.35">
      <c r="B6734" s="183"/>
    </row>
    <row r="6735" spans="2:2" ht="15.5" x14ac:dyDescent="0.35">
      <c r="B6735" s="183"/>
    </row>
    <row r="6736" spans="2:2" ht="15.5" x14ac:dyDescent="0.35">
      <c r="B6736" s="183"/>
    </row>
    <row r="6737" spans="2:2" ht="15.5" x14ac:dyDescent="0.35">
      <c r="B6737" s="183"/>
    </row>
    <row r="6738" spans="2:2" ht="15.5" x14ac:dyDescent="0.35">
      <c r="B6738" s="183"/>
    </row>
    <row r="6739" spans="2:2" ht="15.5" x14ac:dyDescent="0.35">
      <c r="B6739" s="183"/>
    </row>
    <row r="6740" spans="2:2" ht="15.5" x14ac:dyDescent="0.35">
      <c r="B6740" s="183"/>
    </row>
    <row r="6741" spans="2:2" ht="15.5" x14ac:dyDescent="0.35">
      <c r="B6741" s="183"/>
    </row>
    <row r="6742" spans="2:2" ht="15.5" x14ac:dyDescent="0.35">
      <c r="B6742" s="183"/>
    </row>
    <row r="6743" spans="2:2" ht="15.5" x14ac:dyDescent="0.35">
      <c r="B6743" s="183"/>
    </row>
    <row r="6744" spans="2:2" ht="15.5" x14ac:dyDescent="0.35">
      <c r="B6744" s="183"/>
    </row>
    <row r="6745" spans="2:2" ht="15.5" x14ac:dyDescent="0.35">
      <c r="B6745" s="183"/>
    </row>
    <row r="6746" spans="2:2" ht="15.5" x14ac:dyDescent="0.35">
      <c r="B6746" s="183"/>
    </row>
    <row r="6747" spans="2:2" ht="15.5" x14ac:dyDescent="0.35">
      <c r="B6747" s="183"/>
    </row>
    <row r="6748" spans="2:2" ht="15.5" x14ac:dyDescent="0.35">
      <c r="B6748" s="183"/>
    </row>
    <row r="6749" spans="2:2" ht="15.5" x14ac:dyDescent="0.35">
      <c r="B6749" s="183"/>
    </row>
    <row r="6750" spans="2:2" ht="15.5" x14ac:dyDescent="0.35">
      <c r="B6750" s="183"/>
    </row>
    <row r="6751" spans="2:2" ht="15.5" x14ac:dyDescent="0.35">
      <c r="B6751" s="183"/>
    </row>
    <row r="6752" spans="2:2" ht="15.5" x14ac:dyDescent="0.35">
      <c r="B6752" s="183"/>
    </row>
    <row r="6753" spans="2:2" ht="15.5" x14ac:dyDescent="0.35">
      <c r="B6753" s="183"/>
    </row>
    <row r="6754" spans="2:2" ht="15.5" x14ac:dyDescent="0.35">
      <c r="B6754" s="183"/>
    </row>
    <row r="6755" spans="2:2" ht="15.5" x14ac:dyDescent="0.35">
      <c r="B6755" s="183"/>
    </row>
    <row r="6756" spans="2:2" ht="15.5" x14ac:dyDescent="0.35">
      <c r="B6756" s="183"/>
    </row>
    <row r="6757" spans="2:2" ht="15.5" x14ac:dyDescent="0.35">
      <c r="B6757" s="183"/>
    </row>
    <row r="6758" spans="2:2" ht="15.5" x14ac:dyDescent="0.35">
      <c r="B6758" s="183"/>
    </row>
    <row r="6759" spans="2:2" ht="15.5" x14ac:dyDescent="0.35">
      <c r="B6759" s="183"/>
    </row>
    <row r="6760" spans="2:2" ht="15.5" x14ac:dyDescent="0.35">
      <c r="B6760" s="183"/>
    </row>
    <row r="6761" spans="2:2" ht="15.5" x14ac:dyDescent="0.35">
      <c r="B6761" s="183"/>
    </row>
    <row r="6762" spans="2:2" ht="15.5" x14ac:dyDescent="0.35">
      <c r="B6762" s="183"/>
    </row>
    <row r="6763" spans="2:2" ht="15.5" x14ac:dyDescent="0.35">
      <c r="B6763" s="183"/>
    </row>
    <row r="6764" spans="2:2" ht="15.5" x14ac:dyDescent="0.35">
      <c r="B6764" s="183"/>
    </row>
    <row r="6765" spans="2:2" ht="15.5" x14ac:dyDescent="0.35">
      <c r="B6765" s="183"/>
    </row>
    <row r="6766" spans="2:2" ht="15.5" x14ac:dyDescent="0.35">
      <c r="B6766" s="183"/>
    </row>
    <row r="6767" spans="2:2" ht="15.5" x14ac:dyDescent="0.35">
      <c r="B6767" s="183"/>
    </row>
    <row r="6768" spans="2:2" ht="15.5" x14ac:dyDescent="0.35">
      <c r="B6768" s="183"/>
    </row>
    <row r="6769" spans="2:2" ht="15.5" x14ac:dyDescent="0.35">
      <c r="B6769" s="183"/>
    </row>
    <row r="6770" spans="2:2" ht="15.5" x14ac:dyDescent="0.35">
      <c r="B6770" s="183"/>
    </row>
    <row r="6771" spans="2:2" ht="15.5" x14ac:dyDescent="0.35">
      <c r="B6771" s="183"/>
    </row>
    <row r="6772" spans="2:2" ht="15.5" x14ac:dyDescent="0.35">
      <c r="B6772" s="183"/>
    </row>
    <row r="6773" spans="2:2" ht="15.5" x14ac:dyDescent="0.35">
      <c r="B6773" s="183"/>
    </row>
    <row r="6774" spans="2:2" ht="15.5" x14ac:dyDescent="0.35">
      <c r="B6774" s="183"/>
    </row>
    <row r="6775" spans="2:2" ht="15.5" x14ac:dyDescent="0.35">
      <c r="B6775" s="183"/>
    </row>
    <row r="6776" spans="2:2" ht="15.5" x14ac:dyDescent="0.35">
      <c r="B6776" s="183"/>
    </row>
    <row r="6777" spans="2:2" ht="15.5" x14ac:dyDescent="0.35">
      <c r="B6777" s="183"/>
    </row>
    <row r="6778" spans="2:2" ht="15.5" x14ac:dyDescent="0.35">
      <c r="B6778" s="183"/>
    </row>
    <row r="6779" spans="2:2" ht="15.5" x14ac:dyDescent="0.35">
      <c r="B6779" s="183"/>
    </row>
    <row r="6780" spans="2:2" ht="15.5" x14ac:dyDescent="0.35">
      <c r="B6780" s="183"/>
    </row>
    <row r="6781" spans="2:2" ht="15.5" x14ac:dyDescent="0.35">
      <c r="B6781" s="183"/>
    </row>
    <row r="6782" spans="2:2" ht="15.5" x14ac:dyDescent="0.35">
      <c r="B6782" s="183"/>
    </row>
    <row r="6783" spans="2:2" ht="15.5" x14ac:dyDescent="0.35">
      <c r="B6783" s="183"/>
    </row>
    <row r="6784" spans="2:2" ht="15.5" x14ac:dyDescent="0.35">
      <c r="B6784" s="183"/>
    </row>
    <row r="6785" spans="2:2" ht="15.5" x14ac:dyDescent="0.35">
      <c r="B6785" s="183"/>
    </row>
    <row r="6786" spans="2:2" ht="15.5" x14ac:dyDescent="0.35">
      <c r="B6786" s="183"/>
    </row>
    <row r="6787" spans="2:2" ht="15.5" x14ac:dyDescent="0.35">
      <c r="B6787" s="183"/>
    </row>
    <row r="6788" spans="2:2" ht="15.5" x14ac:dyDescent="0.35">
      <c r="B6788" s="183"/>
    </row>
    <row r="6789" spans="2:2" ht="15.5" x14ac:dyDescent="0.35">
      <c r="B6789" s="183"/>
    </row>
    <row r="6790" spans="2:2" ht="15.5" x14ac:dyDescent="0.35">
      <c r="B6790" s="183"/>
    </row>
    <row r="6791" spans="2:2" ht="15.5" x14ac:dyDescent="0.35">
      <c r="B6791" s="183"/>
    </row>
    <row r="6792" spans="2:2" ht="15.5" x14ac:dyDescent="0.35">
      <c r="B6792" s="183"/>
    </row>
    <row r="6793" spans="2:2" ht="15.5" x14ac:dyDescent="0.35">
      <c r="B6793" s="183"/>
    </row>
    <row r="6794" spans="2:2" ht="15.5" x14ac:dyDescent="0.35">
      <c r="B6794" s="183"/>
    </row>
    <row r="6795" spans="2:2" ht="15.5" x14ac:dyDescent="0.35">
      <c r="B6795" s="183"/>
    </row>
    <row r="6796" spans="2:2" ht="15.5" x14ac:dyDescent="0.35">
      <c r="B6796" s="183"/>
    </row>
    <row r="6797" spans="2:2" ht="15.5" x14ac:dyDescent="0.35">
      <c r="B6797" s="183"/>
    </row>
    <row r="6798" spans="2:2" ht="15.5" x14ac:dyDescent="0.35">
      <c r="B6798" s="183"/>
    </row>
    <row r="6799" spans="2:2" ht="15.5" x14ac:dyDescent="0.35">
      <c r="B6799" s="183"/>
    </row>
    <row r="6800" spans="2:2" ht="15.5" x14ac:dyDescent="0.35">
      <c r="B6800" s="183"/>
    </row>
    <row r="6801" spans="2:2" ht="15.5" x14ac:dyDescent="0.35">
      <c r="B6801" s="183"/>
    </row>
    <row r="6802" spans="2:2" ht="15.5" x14ac:dyDescent="0.35">
      <c r="B6802" s="183"/>
    </row>
    <row r="6803" spans="2:2" ht="15.5" x14ac:dyDescent="0.35">
      <c r="B6803" s="183"/>
    </row>
    <row r="6804" spans="2:2" ht="15.5" x14ac:dyDescent="0.35">
      <c r="B6804" s="183"/>
    </row>
    <row r="6805" spans="2:2" ht="15.5" x14ac:dyDescent="0.35">
      <c r="B6805" s="183"/>
    </row>
    <row r="6806" spans="2:2" ht="15.5" x14ac:dyDescent="0.35">
      <c r="B6806" s="183"/>
    </row>
    <row r="6807" spans="2:2" ht="15.5" x14ac:dyDescent="0.35">
      <c r="B6807" s="183"/>
    </row>
    <row r="6808" spans="2:2" ht="15.5" x14ac:dyDescent="0.35">
      <c r="B6808" s="183"/>
    </row>
    <row r="6809" spans="2:2" ht="15.5" x14ac:dyDescent="0.35">
      <c r="B6809" s="183"/>
    </row>
    <row r="6810" spans="2:2" ht="15.5" x14ac:dyDescent="0.35">
      <c r="B6810" s="183"/>
    </row>
    <row r="6811" spans="2:2" ht="15.5" x14ac:dyDescent="0.35">
      <c r="B6811" s="183"/>
    </row>
    <row r="6812" spans="2:2" ht="15.5" x14ac:dyDescent="0.35">
      <c r="B6812" s="183"/>
    </row>
    <row r="6813" spans="2:2" ht="15.5" x14ac:dyDescent="0.35">
      <c r="B6813" s="183"/>
    </row>
    <row r="6814" spans="2:2" ht="15.5" x14ac:dyDescent="0.35">
      <c r="B6814" s="183"/>
    </row>
    <row r="6815" spans="2:2" ht="15.5" x14ac:dyDescent="0.35">
      <c r="B6815" s="183"/>
    </row>
    <row r="6816" spans="2:2" ht="15.5" x14ac:dyDescent="0.35">
      <c r="B6816" s="183"/>
    </row>
    <row r="6817" spans="2:2" ht="15.5" x14ac:dyDescent="0.35">
      <c r="B6817" s="183"/>
    </row>
    <row r="6818" spans="2:2" ht="15.5" x14ac:dyDescent="0.35">
      <c r="B6818" s="183"/>
    </row>
    <row r="6819" spans="2:2" ht="15.5" x14ac:dyDescent="0.35">
      <c r="B6819" s="183"/>
    </row>
    <row r="6820" spans="2:2" ht="15.5" x14ac:dyDescent="0.35">
      <c r="B6820" s="183"/>
    </row>
    <row r="6821" spans="2:2" ht="15.5" x14ac:dyDescent="0.35">
      <c r="B6821" s="183"/>
    </row>
    <row r="6822" spans="2:2" ht="15.5" x14ac:dyDescent="0.35">
      <c r="B6822" s="183"/>
    </row>
    <row r="6823" spans="2:2" ht="15.5" x14ac:dyDescent="0.35">
      <c r="B6823" s="183"/>
    </row>
    <row r="6824" spans="2:2" ht="15.5" x14ac:dyDescent="0.35">
      <c r="B6824" s="183"/>
    </row>
    <row r="6825" spans="2:2" ht="15.5" x14ac:dyDescent="0.35">
      <c r="B6825" s="183"/>
    </row>
    <row r="6826" spans="2:2" ht="15.5" x14ac:dyDescent="0.35">
      <c r="B6826" s="183"/>
    </row>
    <row r="6827" spans="2:2" ht="15.5" x14ac:dyDescent="0.35">
      <c r="B6827" s="183"/>
    </row>
    <row r="6828" spans="2:2" ht="15.5" x14ac:dyDescent="0.35">
      <c r="B6828" s="183"/>
    </row>
    <row r="6829" spans="2:2" ht="15.5" x14ac:dyDescent="0.35">
      <c r="B6829" s="183"/>
    </row>
    <row r="6830" spans="2:2" ht="15.5" x14ac:dyDescent="0.35">
      <c r="B6830" s="183"/>
    </row>
    <row r="6831" spans="2:2" ht="15.5" x14ac:dyDescent="0.35">
      <c r="B6831" s="183"/>
    </row>
    <row r="6832" spans="2:2" ht="15.5" x14ac:dyDescent="0.35">
      <c r="B6832" s="183"/>
    </row>
    <row r="6833" spans="2:2" ht="15.5" x14ac:dyDescent="0.35">
      <c r="B6833" s="183"/>
    </row>
    <row r="6834" spans="2:2" ht="15.5" x14ac:dyDescent="0.35">
      <c r="B6834" s="183"/>
    </row>
    <row r="6835" spans="2:2" ht="15.5" x14ac:dyDescent="0.35">
      <c r="B6835" s="183"/>
    </row>
    <row r="6836" spans="2:2" ht="15.5" x14ac:dyDescent="0.35">
      <c r="B6836" s="183"/>
    </row>
    <row r="6837" spans="2:2" ht="15.5" x14ac:dyDescent="0.35">
      <c r="B6837" s="183"/>
    </row>
    <row r="6838" spans="2:2" ht="15.5" x14ac:dyDescent="0.35">
      <c r="B6838" s="183"/>
    </row>
    <row r="6839" spans="2:2" ht="15.5" x14ac:dyDescent="0.35">
      <c r="B6839" s="183"/>
    </row>
    <row r="6840" spans="2:2" ht="15.5" x14ac:dyDescent="0.35">
      <c r="B6840" s="183"/>
    </row>
    <row r="6841" spans="2:2" ht="15.5" x14ac:dyDescent="0.35">
      <c r="B6841" s="183"/>
    </row>
    <row r="6842" spans="2:2" ht="15.5" x14ac:dyDescent="0.35">
      <c r="B6842" s="183"/>
    </row>
    <row r="6843" spans="2:2" ht="15.5" x14ac:dyDescent="0.35">
      <c r="B6843" s="183"/>
    </row>
    <row r="6844" spans="2:2" ht="15.5" x14ac:dyDescent="0.35">
      <c r="B6844" s="183"/>
    </row>
    <row r="6845" spans="2:2" ht="15.5" x14ac:dyDescent="0.35">
      <c r="B6845" s="183"/>
    </row>
    <row r="6846" spans="2:2" ht="15.5" x14ac:dyDescent="0.35">
      <c r="B6846" s="183"/>
    </row>
    <row r="6847" spans="2:2" ht="15.5" x14ac:dyDescent="0.35">
      <c r="B6847" s="183"/>
    </row>
    <row r="6848" spans="2:2" ht="15.5" x14ac:dyDescent="0.35">
      <c r="B6848" s="183"/>
    </row>
    <row r="6849" spans="2:2" ht="15.5" x14ac:dyDescent="0.35">
      <c r="B6849" s="183"/>
    </row>
    <row r="6850" spans="2:2" ht="15.5" x14ac:dyDescent="0.35">
      <c r="B6850" s="183"/>
    </row>
    <row r="6851" spans="2:2" ht="15.5" x14ac:dyDescent="0.35">
      <c r="B6851" s="183"/>
    </row>
    <row r="6852" spans="2:2" ht="15.5" x14ac:dyDescent="0.35">
      <c r="B6852" s="183"/>
    </row>
    <row r="6853" spans="2:2" ht="15.5" x14ac:dyDescent="0.35">
      <c r="B6853" s="183"/>
    </row>
    <row r="6854" spans="2:2" ht="15.5" x14ac:dyDescent="0.35">
      <c r="B6854" s="183"/>
    </row>
    <row r="6855" spans="2:2" ht="15.5" x14ac:dyDescent="0.35">
      <c r="B6855" s="183"/>
    </row>
    <row r="6856" spans="2:2" ht="15.5" x14ac:dyDescent="0.35">
      <c r="B6856" s="183"/>
    </row>
    <row r="6857" spans="2:2" ht="15.5" x14ac:dyDescent="0.35">
      <c r="B6857" s="183"/>
    </row>
    <row r="6858" spans="2:2" ht="15.5" x14ac:dyDescent="0.35">
      <c r="B6858" s="183"/>
    </row>
    <row r="6859" spans="2:2" ht="15.5" x14ac:dyDescent="0.35">
      <c r="B6859" s="183"/>
    </row>
    <row r="6860" spans="2:2" ht="15.5" x14ac:dyDescent="0.35">
      <c r="B6860" s="183"/>
    </row>
    <row r="6861" spans="2:2" ht="15.5" x14ac:dyDescent="0.35">
      <c r="B6861" s="183"/>
    </row>
    <row r="6862" spans="2:2" ht="15.5" x14ac:dyDescent="0.35">
      <c r="B6862" s="183"/>
    </row>
    <row r="6863" spans="2:2" ht="15.5" x14ac:dyDescent="0.35">
      <c r="B6863" s="183"/>
    </row>
    <row r="6864" spans="2:2" ht="15.5" x14ac:dyDescent="0.35">
      <c r="B6864" s="183"/>
    </row>
    <row r="6865" spans="2:2" ht="15.5" x14ac:dyDescent="0.35">
      <c r="B6865" s="183"/>
    </row>
    <row r="6866" spans="2:2" ht="15.5" x14ac:dyDescent="0.35">
      <c r="B6866" s="183"/>
    </row>
    <row r="6867" spans="2:2" ht="15.5" x14ac:dyDescent="0.35">
      <c r="B6867" s="183"/>
    </row>
    <row r="6868" spans="2:2" ht="15.5" x14ac:dyDescent="0.35">
      <c r="B6868" s="183"/>
    </row>
    <row r="6869" spans="2:2" ht="15.5" x14ac:dyDescent="0.35">
      <c r="B6869" s="183"/>
    </row>
    <row r="6870" spans="2:2" ht="15.5" x14ac:dyDescent="0.35">
      <c r="B6870" s="183"/>
    </row>
    <row r="6871" spans="2:2" ht="15.5" x14ac:dyDescent="0.35">
      <c r="B6871" s="183"/>
    </row>
    <row r="6872" spans="2:2" ht="15.5" x14ac:dyDescent="0.35">
      <c r="B6872" s="183"/>
    </row>
    <row r="6873" spans="2:2" ht="15.5" x14ac:dyDescent="0.35">
      <c r="B6873" s="183"/>
    </row>
    <row r="6874" spans="2:2" ht="15.5" x14ac:dyDescent="0.35">
      <c r="B6874" s="183"/>
    </row>
    <row r="6875" spans="2:2" ht="15.5" x14ac:dyDescent="0.35">
      <c r="B6875" s="183"/>
    </row>
    <row r="6876" spans="2:2" ht="15.5" x14ac:dyDescent="0.35">
      <c r="B6876" s="183"/>
    </row>
    <row r="6877" spans="2:2" ht="15.5" x14ac:dyDescent="0.35">
      <c r="B6877" s="183"/>
    </row>
    <row r="6878" spans="2:2" ht="15.5" x14ac:dyDescent="0.35">
      <c r="B6878" s="183"/>
    </row>
    <row r="6879" spans="2:2" ht="15.5" x14ac:dyDescent="0.35">
      <c r="B6879" s="183"/>
    </row>
    <row r="6880" spans="2:2" ht="15.5" x14ac:dyDescent="0.35">
      <c r="B6880" s="183"/>
    </row>
    <row r="6881" spans="2:2" ht="15.5" x14ac:dyDescent="0.35">
      <c r="B6881" s="183"/>
    </row>
    <row r="6882" spans="2:2" ht="15.5" x14ac:dyDescent="0.35">
      <c r="B6882" s="183"/>
    </row>
    <row r="6883" spans="2:2" ht="15.5" x14ac:dyDescent="0.35">
      <c r="B6883" s="183"/>
    </row>
    <row r="6884" spans="2:2" ht="15.5" x14ac:dyDescent="0.35">
      <c r="B6884" s="183"/>
    </row>
    <row r="6885" spans="2:2" ht="15.5" x14ac:dyDescent="0.35">
      <c r="B6885" s="183"/>
    </row>
    <row r="6886" spans="2:2" ht="15.5" x14ac:dyDescent="0.35">
      <c r="B6886" s="183"/>
    </row>
    <row r="6887" spans="2:2" ht="15.5" x14ac:dyDescent="0.35">
      <c r="B6887" s="183"/>
    </row>
    <row r="6888" spans="2:2" ht="15.5" x14ac:dyDescent="0.35">
      <c r="B6888" s="183"/>
    </row>
    <row r="6889" spans="2:2" ht="15.5" x14ac:dyDescent="0.35">
      <c r="B6889" s="183"/>
    </row>
    <row r="6890" spans="2:2" ht="15.5" x14ac:dyDescent="0.35">
      <c r="B6890" s="183"/>
    </row>
    <row r="6891" spans="2:2" ht="15.5" x14ac:dyDescent="0.35">
      <c r="B6891" s="183"/>
    </row>
    <row r="6892" spans="2:2" ht="15.5" x14ac:dyDescent="0.35">
      <c r="B6892" s="183"/>
    </row>
    <row r="6893" spans="2:2" ht="15.5" x14ac:dyDescent="0.35">
      <c r="B6893" s="183"/>
    </row>
    <row r="6894" spans="2:2" ht="15.5" x14ac:dyDescent="0.35">
      <c r="B6894" s="183"/>
    </row>
    <row r="6895" spans="2:2" ht="15.5" x14ac:dyDescent="0.35">
      <c r="B6895" s="183"/>
    </row>
    <row r="6896" spans="2:2" ht="15.5" x14ac:dyDescent="0.35">
      <c r="B6896" s="183"/>
    </row>
    <row r="6897" spans="2:2" ht="15.5" x14ac:dyDescent="0.35">
      <c r="B6897" s="183"/>
    </row>
    <row r="6898" spans="2:2" ht="15.5" x14ac:dyDescent="0.35">
      <c r="B6898" s="183"/>
    </row>
    <row r="6899" spans="2:2" ht="15.5" x14ac:dyDescent="0.35">
      <c r="B6899" s="183"/>
    </row>
    <row r="6900" spans="2:2" ht="15.5" x14ac:dyDescent="0.35">
      <c r="B6900" s="183"/>
    </row>
    <row r="6901" spans="2:2" ht="15.5" x14ac:dyDescent="0.35">
      <c r="B6901" s="183"/>
    </row>
    <row r="6902" spans="2:2" ht="15.5" x14ac:dyDescent="0.35">
      <c r="B6902" s="183"/>
    </row>
    <row r="6903" spans="2:2" ht="15.5" x14ac:dyDescent="0.35">
      <c r="B6903" s="183"/>
    </row>
    <row r="6904" spans="2:2" ht="15.5" x14ac:dyDescent="0.35">
      <c r="B6904" s="183"/>
    </row>
    <row r="6905" spans="2:2" ht="15.5" x14ac:dyDescent="0.35">
      <c r="B6905" s="183"/>
    </row>
    <row r="6906" spans="2:2" ht="15.5" x14ac:dyDescent="0.35">
      <c r="B6906" s="183"/>
    </row>
    <row r="6907" spans="2:2" ht="15.5" x14ac:dyDescent="0.35">
      <c r="B6907" s="183"/>
    </row>
    <row r="6908" spans="2:2" ht="15.5" x14ac:dyDescent="0.35">
      <c r="B6908" s="183"/>
    </row>
    <row r="6909" spans="2:2" ht="15.5" x14ac:dyDescent="0.35">
      <c r="B6909" s="183"/>
    </row>
    <row r="6910" spans="2:2" ht="15.5" x14ac:dyDescent="0.35">
      <c r="B6910" s="183"/>
    </row>
    <row r="6911" spans="2:2" ht="15.5" x14ac:dyDescent="0.35">
      <c r="B6911" s="183"/>
    </row>
    <row r="6912" spans="2:2" ht="15.5" x14ac:dyDescent="0.35">
      <c r="B6912" s="183"/>
    </row>
    <row r="6913" spans="2:2" ht="15.5" x14ac:dyDescent="0.35">
      <c r="B6913" s="183"/>
    </row>
    <row r="6914" spans="2:2" ht="15.5" x14ac:dyDescent="0.35">
      <c r="B6914" s="183"/>
    </row>
    <row r="6915" spans="2:2" ht="15.5" x14ac:dyDescent="0.35">
      <c r="B6915" s="183"/>
    </row>
    <row r="6916" spans="2:2" ht="15.5" x14ac:dyDescent="0.35">
      <c r="B6916" s="183"/>
    </row>
    <row r="6917" spans="2:2" ht="15.5" x14ac:dyDescent="0.35">
      <c r="B6917" s="183"/>
    </row>
    <row r="6918" spans="2:2" ht="15.5" x14ac:dyDescent="0.35">
      <c r="B6918" s="183"/>
    </row>
    <row r="6919" spans="2:2" ht="15.5" x14ac:dyDescent="0.35">
      <c r="B6919" s="183"/>
    </row>
    <row r="6920" spans="2:2" ht="15.5" x14ac:dyDescent="0.35">
      <c r="B6920" s="183"/>
    </row>
    <row r="6921" spans="2:2" ht="15.5" x14ac:dyDescent="0.35">
      <c r="B6921" s="183"/>
    </row>
    <row r="6922" spans="2:2" ht="15.5" x14ac:dyDescent="0.35">
      <c r="B6922" s="183"/>
    </row>
    <row r="6923" spans="2:2" ht="15.5" x14ac:dyDescent="0.35">
      <c r="B6923" s="183"/>
    </row>
    <row r="6924" spans="2:2" ht="15.5" x14ac:dyDescent="0.35">
      <c r="B6924" s="183"/>
    </row>
    <row r="6925" spans="2:2" ht="15.5" x14ac:dyDescent="0.35">
      <c r="B6925" s="183"/>
    </row>
    <row r="6926" spans="2:2" ht="15.5" x14ac:dyDescent="0.35">
      <c r="B6926" s="183"/>
    </row>
    <row r="6927" spans="2:2" ht="15.5" x14ac:dyDescent="0.35">
      <c r="B6927" s="183"/>
    </row>
    <row r="6928" spans="2:2" ht="15.5" x14ac:dyDescent="0.35">
      <c r="B6928" s="183"/>
    </row>
    <row r="6929" spans="2:2" ht="15.5" x14ac:dyDescent="0.35">
      <c r="B6929" s="183"/>
    </row>
    <row r="6930" spans="2:2" ht="15.5" x14ac:dyDescent="0.35">
      <c r="B6930" s="183"/>
    </row>
    <row r="6931" spans="2:2" ht="15.5" x14ac:dyDescent="0.35">
      <c r="B6931" s="183"/>
    </row>
    <row r="6932" spans="2:2" ht="15.5" x14ac:dyDescent="0.35">
      <c r="B6932" s="183"/>
    </row>
    <row r="6933" spans="2:2" ht="15.5" x14ac:dyDescent="0.35">
      <c r="B6933" s="183"/>
    </row>
    <row r="6934" spans="2:2" ht="15.5" x14ac:dyDescent="0.35">
      <c r="B6934" s="183"/>
    </row>
    <row r="6935" spans="2:2" ht="15.5" x14ac:dyDescent="0.35">
      <c r="B6935" s="183"/>
    </row>
    <row r="6936" spans="2:2" ht="15.5" x14ac:dyDescent="0.35">
      <c r="B6936" s="183"/>
    </row>
    <row r="6937" spans="2:2" ht="15.5" x14ac:dyDescent="0.35">
      <c r="B6937" s="183"/>
    </row>
    <row r="6938" spans="2:2" ht="15.5" x14ac:dyDescent="0.35">
      <c r="B6938" s="183"/>
    </row>
    <row r="6939" spans="2:2" ht="15.5" x14ac:dyDescent="0.35">
      <c r="B6939" s="183"/>
    </row>
    <row r="6940" spans="2:2" ht="15.5" x14ac:dyDescent="0.35">
      <c r="B6940" s="183"/>
    </row>
    <row r="6941" spans="2:2" ht="15.5" x14ac:dyDescent="0.35">
      <c r="B6941" s="183"/>
    </row>
    <row r="6942" spans="2:2" ht="15.5" x14ac:dyDescent="0.35">
      <c r="B6942" s="183"/>
    </row>
    <row r="6943" spans="2:2" ht="15.5" x14ac:dyDescent="0.35">
      <c r="B6943" s="183"/>
    </row>
    <row r="6944" spans="2:2" ht="15.5" x14ac:dyDescent="0.35">
      <c r="B6944" s="183"/>
    </row>
    <row r="6945" spans="2:2" ht="15.5" x14ac:dyDescent="0.35">
      <c r="B6945" s="183"/>
    </row>
    <row r="6946" spans="2:2" ht="15.5" x14ac:dyDescent="0.35">
      <c r="B6946" s="183"/>
    </row>
    <row r="6947" spans="2:2" ht="15.5" x14ac:dyDescent="0.35">
      <c r="B6947" s="183"/>
    </row>
    <row r="6948" spans="2:2" ht="15.5" x14ac:dyDescent="0.35">
      <c r="B6948" s="183"/>
    </row>
    <row r="6949" spans="2:2" ht="15.5" x14ac:dyDescent="0.35">
      <c r="B6949" s="183"/>
    </row>
    <row r="6950" spans="2:2" ht="15.5" x14ac:dyDescent="0.35">
      <c r="B6950" s="183"/>
    </row>
    <row r="6951" spans="2:2" ht="15.5" x14ac:dyDescent="0.35">
      <c r="B6951" s="183"/>
    </row>
    <row r="6952" spans="2:2" ht="15.5" x14ac:dyDescent="0.35">
      <c r="B6952" s="183"/>
    </row>
    <row r="6953" spans="2:2" ht="15.5" x14ac:dyDescent="0.35">
      <c r="B6953" s="183"/>
    </row>
    <row r="6954" spans="2:2" ht="15.5" x14ac:dyDescent="0.35">
      <c r="B6954" s="183"/>
    </row>
    <row r="6955" spans="2:2" ht="15.5" x14ac:dyDescent="0.35">
      <c r="B6955" s="183"/>
    </row>
    <row r="6956" spans="2:2" ht="15.5" x14ac:dyDescent="0.35">
      <c r="B6956" s="183"/>
    </row>
    <row r="6957" spans="2:2" ht="15.5" x14ac:dyDescent="0.35">
      <c r="B6957" s="183"/>
    </row>
    <row r="6958" spans="2:2" ht="15.5" x14ac:dyDescent="0.35">
      <c r="B6958" s="183"/>
    </row>
    <row r="6959" spans="2:2" ht="15.5" x14ac:dyDescent="0.35">
      <c r="B6959" s="183"/>
    </row>
    <row r="6960" spans="2:2" ht="15.5" x14ac:dyDescent="0.35">
      <c r="B6960" s="183"/>
    </row>
    <row r="6961" spans="2:2" ht="15.5" x14ac:dyDescent="0.35">
      <c r="B6961" s="183"/>
    </row>
    <row r="6962" spans="2:2" ht="15.5" x14ac:dyDescent="0.35">
      <c r="B6962" s="183"/>
    </row>
    <row r="6963" spans="2:2" ht="15.5" x14ac:dyDescent="0.35">
      <c r="B6963" s="183"/>
    </row>
    <row r="6964" spans="2:2" ht="15.5" x14ac:dyDescent="0.35">
      <c r="B6964" s="183"/>
    </row>
    <row r="6965" spans="2:2" ht="15.5" x14ac:dyDescent="0.35">
      <c r="B6965" s="183"/>
    </row>
    <row r="6966" spans="2:2" ht="15.5" x14ac:dyDescent="0.35">
      <c r="B6966" s="183"/>
    </row>
    <row r="6967" spans="2:2" ht="15.5" x14ac:dyDescent="0.35">
      <c r="B6967" s="183"/>
    </row>
    <row r="6968" spans="2:2" ht="15.5" x14ac:dyDescent="0.35">
      <c r="B6968" s="183"/>
    </row>
    <row r="6969" spans="2:2" ht="15.5" x14ac:dyDescent="0.35">
      <c r="B6969" s="183"/>
    </row>
    <row r="6970" spans="2:2" ht="15.5" x14ac:dyDescent="0.35">
      <c r="B6970" s="183"/>
    </row>
    <row r="6971" spans="2:2" ht="15.5" x14ac:dyDescent="0.35">
      <c r="B6971" s="183"/>
    </row>
    <row r="6972" spans="2:2" ht="15.5" x14ac:dyDescent="0.35">
      <c r="B6972" s="183"/>
    </row>
    <row r="6973" spans="2:2" ht="15.5" x14ac:dyDescent="0.35">
      <c r="B6973" s="183"/>
    </row>
    <row r="6974" spans="2:2" ht="15.5" x14ac:dyDescent="0.35">
      <c r="B6974" s="183"/>
    </row>
    <row r="6975" spans="2:2" ht="15.5" x14ac:dyDescent="0.35">
      <c r="B6975" s="183"/>
    </row>
    <row r="6976" spans="2:2" ht="15.5" x14ac:dyDescent="0.35">
      <c r="B6976" s="183"/>
    </row>
    <row r="6977" spans="2:2" ht="15.5" x14ac:dyDescent="0.35">
      <c r="B6977" s="183"/>
    </row>
    <row r="6978" spans="2:2" ht="15.5" x14ac:dyDescent="0.35">
      <c r="B6978" s="183"/>
    </row>
    <row r="6979" spans="2:2" ht="15.5" x14ac:dyDescent="0.35">
      <c r="B6979" s="183"/>
    </row>
    <row r="6980" spans="2:2" ht="15.5" x14ac:dyDescent="0.35">
      <c r="B6980" s="183"/>
    </row>
    <row r="6981" spans="2:2" ht="15.5" x14ac:dyDescent="0.35">
      <c r="B6981" s="183"/>
    </row>
    <row r="6982" spans="2:2" ht="15.5" x14ac:dyDescent="0.35">
      <c r="B6982" s="183"/>
    </row>
    <row r="6983" spans="2:2" ht="15.5" x14ac:dyDescent="0.35">
      <c r="B6983" s="183"/>
    </row>
    <row r="6984" spans="2:2" ht="15.5" x14ac:dyDescent="0.35">
      <c r="B6984" s="183"/>
    </row>
    <row r="6985" spans="2:2" ht="15.5" x14ac:dyDescent="0.35">
      <c r="B6985" s="183"/>
    </row>
    <row r="6986" spans="2:2" ht="15.5" x14ac:dyDescent="0.35">
      <c r="B6986" s="183"/>
    </row>
    <row r="6987" spans="2:2" ht="15.5" x14ac:dyDescent="0.35">
      <c r="B6987" s="183"/>
    </row>
    <row r="6988" spans="2:2" ht="15.5" x14ac:dyDescent="0.35">
      <c r="B6988" s="183"/>
    </row>
    <row r="6989" spans="2:2" ht="15.5" x14ac:dyDescent="0.35">
      <c r="B6989" s="183"/>
    </row>
    <row r="6990" spans="2:2" ht="15.5" x14ac:dyDescent="0.35">
      <c r="B6990" s="183"/>
    </row>
    <row r="6991" spans="2:2" ht="15.5" x14ac:dyDescent="0.35">
      <c r="B6991" s="183"/>
    </row>
    <row r="6992" spans="2:2" ht="15.5" x14ac:dyDescent="0.35">
      <c r="B6992" s="183"/>
    </row>
    <row r="6993" spans="2:2" ht="15.5" x14ac:dyDescent="0.35">
      <c r="B6993" s="183"/>
    </row>
    <row r="6994" spans="2:2" ht="15.5" x14ac:dyDescent="0.35">
      <c r="B6994" s="183"/>
    </row>
    <row r="6995" spans="2:2" ht="15.5" x14ac:dyDescent="0.35">
      <c r="B6995" s="183"/>
    </row>
    <row r="6996" spans="2:2" ht="15.5" x14ac:dyDescent="0.35">
      <c r="B6996" s="183"/>
    </row>
    <row r="6997" spans="2:2" ht="15.5" x14ac:dyDescent="0.35">
      <c r="B6997" s="183"/>
    </row>
    <row r="6998" spans="2:2" ht="15.5" x14ac:dyDescent="0.35">
      <c r="B6998" s="183"/>
    </row>
    <row r="6999" spans="2:2" ht="15.5" x14ac:dyDescent="0.35">
      <c r="B6999" s="183"/>
    </row>
    <row r="7000" spans="2:2" ht="15.5" x14ac:dyDescent="0.35">
      <c r="B7000" s="183"/>
    </row>
    <row r="7001" spans="2:2" ht="15.5" x14ac:dyDescent="0.35">
      <c r="B7001" s="183"/>
    </row>
    <row r="7002" spans="2:2" ht="15.5" x14ac:dyDescent="0.35">
      <c r="B7002" s="183"/>
    </row>
    <row r="7003" spans="2:2" ht="15.5" x14ac:dyDescent="0.35">
      <c r="B7003" s="183"/>
    </row>
    <row r="7004" spans="2:2" ht="15.5" x14ac:dyDescent="0.35">
      <c r="B7004" s="183"/>
    </row>
    <row r="7005" spans="2:2" ht="15.5" x14ac:dyDescent="0.35">
      <c r="B7005" s="183"/>
    </row>
    <row r="7006" spans="2:2" ht="15.5" x14ac:dyDescent="0.35">
      <c r="B7006" s="183"/>
    </row>
    <row r="7007" spans="2:2" ht="15.5" x14ac:dyDescent="0.35">
      <c r="B7007" s="183"/>
    </row>
    <row r="7008" spans="2:2" ht="15.5" x14ac:dyDescent="0.35">
      <c r="B7008" s="183"/>
    </row>
    <row r="7009" spans="2:2" ht="15.5" x14ac:dyDescent="0.35">
      <c r="B7009" s="183"/>
    </row>
    <row r="7010" spans="2:2" ht="15.5" x14ac:dyDescent="0.35">
      <c r="B7010" s="183"/>
    </row>
    <row r="7011" spans="2:2" ht="15.5" x14ac:dyDescent="0.35">
      <c r="B7011" s="183"/>
    </row>
    <row r="7012" spans="2:2" ht="15.5" x14ac:dyDescent="0.35">
      <c r="B7012" s="183"/>
    </row>
    <row r="7013" spans="2:2" ht="15.5" x14ac:dyDescent="0.35">
      <c r="B7013" s="183"/>
    </row>
    <row r="7014" spans="2:2" ht="15.5" x14ac:dyDescent="0.35">
      <c r="B7014" s="183"/>
    </row>
    <row r="7015" spans="2:2" ht="15.5" x14ac:dyDescent="0.35">
      <c r="B7015" s="183"/>
    </row>
    <row r="7016" spans="2:2" ht="15.5" x14ac:dyDescent="0.35">
      <c r="B7016" s="183"/>
    </row>
    <row r="7017" spans="2:2" ht="15.5" x14ac:dyDescent="0.35">
      <c r="B7017" s="183"/>
    </row>
    <row r="7018" spans="2:2" ht="15.5" x14ac:dyDescent="0.35">
      <c r="B7018" s="183"/>
    </row>
    <row r="7019" spans="2:2" ht="15.5" x14ac:dyDescent="0.35">
      <c r="B7019" s="183"/>
    </row>
    <row r="7020" spans="2:2" ht="15.5" x14ac:dyDescent="0.35">
      <c r="B7020" s="183"/>
    </row>
    <row r="7021" spans="2:2" ht="15.5" x14ac:dyDescent="0.35">
      <c r="B7021" s="183"/>
    </row>
    <row r="7022" spans="2:2" ht="15.5" x14ac:dyDescent="0.35">
      <c r="B7022" s="183"/>
    </row>
    <row r="7023" spans="2:2" ht="15.5" x14ac:dyDescent="0.35">
      <c r="B7023" s="183"/>
    </row>
    <row r="7024" spans="2:2" ht="15.5" x14ac:dyDescent="0.35">
      <c r="B7024" s="183"/>
    </row>
    <row r="7025" spans="2:2" ht="15.5" x14ac:dyDescent="0.35">
      <c r="B7025" s="183"/>
    </row>
    <row r="7026" spans="2:2" ht="15.5" x14ac:dyDescent="0.35">
      <c r="B7026" s="183"/>
    </row>
    <row r="7027" spans="2:2" ht="15.5" x14ac:dyDescent="0.35">
      <c r="B7027" s="183"/>
    </row>
    <row r="7028" spans="2:2" ht="15.5" x14ac:dyDescent="0.35">
      <c r="B7028" s="183"/>
    </row>
    <row r="7029" spans="2:2" ht="15.5" x14ac:dyDescent="0.35">
      <c r="B7029" s="183"/>
    </row>
    <row r="7030" spans="2:2" ht="15.5" x14ac:dyDescent="0.35">
      <c r="B7030" s="183"/>
    </row>
    <row r="7031" spans="2:2" ht="15.5" x14ac:dyDescent="0.35">
      <c r="B7031" s="183"/>
    </row>
    <row r="7032" spans="2:2" ht="15.5" x14ac:dyDescent="0.35">
      <c r="B7032" s="183"/>
    </row>
    <row r="7033" spans="2:2" ht="15.5" x14ac:dyDescent="0.35">
      <c r="B7033" s="183"/>
    </row>
    <row r="7034" spans="2:2" ht="15.5" x14ac:dyDescent="0.35">
      <c r="B7034" s="183"/>
    </row>
    <row r="7035" spans="2:2" ht="15.5" x14ac:dyDescent="0.35">
      <c r="B7035" s="183"/>
    </row>
    <row r="7036" spans="2:2" ht="15.5" x14ac:dyDescent="0.35">
      <c r="B7036" s="183"/>
    </row>
    <row r="7037" spans="2:2" ht="15.5" x14ac:dyDescent="0.35">
      <c r="B7037" s="183"/>
    </row>
    <row r="7038" spans="2:2" ht="15.5" x14ac:dyDescent="0.35">
      <c r="B7038" s="183"/>
    </row>
    <row r="7039" spans="2:2" ht="15.5" x14ac:dyDescent="0.35">
      <c r="B7039" s="183"/>
    </row>
    <row r="7040" spans="2:2" ht="15.5" x14ac:dyDescent="0.35">
      <c r="B7040" s="183"/>
    </row>
    <row r="7041" spans="2:2" ht="15.5" x14ac:dyDescent="0.35">
      <c r="B7041" s="183"/>
    </row>
    <row r="7042" spans="2:2" ht="15.5" x14ac:dyDescent="0.35">
      <c r="B7042" s="183"/>
    </row>
    <row r="7043" spans="2:2" ht="15.5" x14ac:dyDescent="0.35">
      <c r="B7043" s="183"/>
    </row>
    <row r="7044" spans="2:2" ht="15.5" x14ac:dyDescent="0.35">
      <c r="B7044" s="183"/>
    </row>
    <row r="7045" spans="2:2" ht="15.5" x14ac:dyDescent="0.35">
      <c r="B7045" s="183"/>
    </row>
    <row r="7046" spans="2:2" ht="15.5" x14ac:dyDescent="0.35">
      <c r="B7046" s="183"/>
    </row>
    <row r="7047" spans="2:2" ht="15.5" x14ac:dyDescent="0.35">
      <c r="B7047" s="183"/>
    </row>
    <row r="7048" spans="2:2" ht="15.5" x14ac:dyDescent="0.35">
      <c r="B7048" s="183"/>
    </row>
    <row r="7049" spans="2:2" ht="15.5" x14ac:dyDescent="0.35">
      <c r="B7049" s="183"/>
    </row>
    <row r="7050" spans="2:2" ht="15.5" x14ac:dyDescent="0.35">
      <c r="B7050" s="183"/>
    </row>
    <row r="7051" spans="2:2" ht="15.5" x14ac:dyDescent="0.35">
      <c r="B7051" s="183"/>
    </row>
    <row r="7052" spans="2:2" ht="15.5" x14ac:dyDescent="0.35">
      <c r="B7052" s="183"/>
    </row>
    <row r="7053" spans="2:2" ht="15.5" x14ac:dyDescent="0.35">
      <c r="B7053" s="183"/>
    </row>
    <row r="7054" spans="2:2" ht="15.5" x14ac:dyDescent="0.35">
      <c r="B7054" s="183"/>
    </row>
    <row r="7055" spans="2:2" ht="15.5" x14ac:dyDescent="0.35">
      <c r="B7055" s="183"/>
    </row>
    <row r="7056" spans="2:2" ht="15.5" x14ac:dyDescent="0.35">
      <c r="B7056" s="183"/>
    </row>
    <row r="7057" spans="2:2" ht="15.5" x14ac:dyDescent="0.35">
      <c r="B7057" s="183"/>
    </row>
    <row r="7058" spans="2:2" ht="15.5" x14ac:dyDescent="0.35">
      <c r="B7058" s="183"/>
    </row>
    <row r="7059" spans="2:2" ht="15.5" x14ac:dyDescent="0.35">
      <c r="B7059" s="183"/>
    </row>
    <row r="7060" spans="2:2" ht="15.5" x14ac:dyDescent="0.35">
      <c r="B7060" s="183"/>
    </row>
    <row r="7061" spans="2:2" ht="15.5" x14ac:dyDescent="0.35">
      <c r="B7061" s="183"/>
    </row>
    <row r="7062" spans="2:2" ht="15.5" x14ac:dyDescent="0.35">
      <c r="B7062" s="183"/>
    </row>
    <row r="7063" spans="2:2" ht="15.5" x14ac:dyDescent="0.35">
      <c r="B7063" s="183"/>
    </row>
    <row r="7064" spans="2:2" ht="15.5" x14ac:dyDescent="0.35">
      <c r="B7064" s="183"/>
    </row>
    <row r="7065" spans="2:2" ht="15.5" x14ac:dyDescent="0.35">
      <c r="B7065" s="183"/>
    </row>
    <row r="7066" spans="2:2" ht="15.5" x14ac:dyDescent="0.35">
      <c r="B7066" s="183"/>
    </row>
    <row r="7067" spans="2:2" ht="15.5" x14ac:dyDescent="0.35">
      <c r="B7067" s="183"/>
    </row>
    <row r="7068" spans="2:2" ht="15.5" x14ac:dyDescent="0.35">
      <c r="B7068" s="183"/>
    </row>
    <row r="7069" spans="2:2" ht="15.5" x14ac:dyDescent="0.35">
      <c r="B7069" s="183"/>
    </row>
    <row r="7070" spans="2:2" ht="15.5" x14ac:dyDescent="0.35">
      <c r="B7070" s="183"/>
    </row>
    <row r="7071" spans="2:2" ht="15.5" x14ac:dyDescent="0.35">
      <c r="B7071" s="183"/>
    </row>
    <row r="7072" spans="2:2" ht="15.5" x14ac:dyDescent="0.35">
      <c r="B7072" s="183"/>
    </row>
    <row r="7073" spans="2:2" ht="15.5" x14ac:dyDescent="0.35">
      <c r="B7073" s="183"/>
    </row>
    <row r="7074" spans="2:2" ht="15.5" x14ac:dyDescent="0.35">
      <c r="B7074" s="183"/>
    </row>
    <row r="7075" spans="2:2" ht="15.5" x14ac:dyDescent="0.35">
      <c r="B7075" s="183"/>
    </row>
    <row r="7076" spans="2:2" ht="15.5" x14ac:dyDescent="0.35">
      <c r="B7076" s="183"/>
    </row>
    <row r="7077" spans="2:2" ht="15.5" x14ac:dyDescent="0.35">
      <c r="B7077" s="183"/>
    </row>
    <row r="7078" spans="2:2" ht="15.5" x14ac:dyDescent="0.35">
      <c r="B7078" s="183"/>
    </row>
    <row r="7079" spans="2:2" ht="15.5" x14ac:dyDescent="0.35">
      <c r="B7079" s="183"/>
    </row>
    <row r="7080" spans="2:2" ht="15.5" x14ac:dyDescent="0.35">
      <c r="B7080" s="183"/>
    </row>
    <row r="7081" spans="2:2" ht="15.5" x14ac:dyDescent="0.35">
      <c r="B7081" s="183"/>
    </row>
    <row r="7082" spans="2:2" ht="15.5" x14ac:dyDescent="0.35">
      <c r="B7082" s="183"/>
    </row>
    <row r="7083" spans="2:2" ht="15.5" x14ac:dyDescent="0.35">
      <c r="B7083" s="183"/>
    </row>
    <row r="7084" spans="2:2" ht="15.5" x14ac:dyDescent="0.35">
      <c r="B7084" s="183"/>
    </row>
    <row r="7085" spans="2:2" ht="15.5" x14ac:dyDescent="0.35">
      <c r="B7085" s="183"/>
    </row>
    <row r="7086" spans="2:2" ht="15.5" x14ac:dyDescent="0.35">
      <c r="B7086" s="183"/>
    </row>
    <row r="7087" spans="2:2" ht="15.5" x14ac:dyDescent="0.35">
      <c r="B7087" s="183"/>
    </row>
    <row r="7088" spans="2:2" ht="15.5" x14ac:dyDescent="0.35">
      <c r="B7088" s="183"/>
    </row>
    <row r="7089" spans="2:2" ht="15.5" x14ac:dyDescent="0.35">
      <c r="B7089" s="183"/>
    </row>
    <row r="7090" spans="2:2" ht="15.5" x14ac:dyDescent="0.35">
      <c r="B7090" s="183"/>
    </row>
    <row r="7091" spans="2:2" ht="15.5" x14ac:dyDescent="0.35">
      <c r="B7091" s="183"/>
    </row>
    <row r="7092" spans="2:2" ht="15.5" x14ac:dyDescent="0.35">
      <c r="B7092" s="183"/>
    </row>
    <row r="7093" spans="2:2" ht="15.5" x14ac:dyDescent="0.35">
      <c r="B7093" s="183"/>
    </row>
    <row r="7094" spans="2:2" ht="15.5" x14ac:dyDescent="0.35">
      <c r="B7094" s="183"/>
    </row>
    <row r="7095" spans="2:2" ht="15.5" x14ac:dyDescent="0.35">
      <c r="B7095" s="183"/>
    </row>
    <row r="7096" spans="2:2" ht="15.5" x14ac:dyDescent="0.35">
      <c r="B7096" s="183"/>
    </row>
    <row r="7097" spans="2:2" ht="15.5" x14ac:dyDescent="0.35">
      <c r="B7097" s="183"/>
    </row>
    <row r="7098" spans="2:2" ht="15.5" x14ac:dyDescent="0.35">
      <c r="B7098" s="183"/>
    </row>
    <row r="7099" spans="2:2" ht="15.5" x14ac:dyDescent="0.35">
      <c r="B7099" s="183"/>
    </row>
    <row r="7100" spans="2:2" ht="15.5" x14ac:dyDescent="0.35">
      <c r="B7100" s="183"/>
    </row>
    <row r="7101" spans="2:2" ht="15.5" x14ac:dyDescent="0.35">
      <c r="B7101" s="183"/>
    </row>
    <row r="7102" spans="2:2" ht="15.5" x14ac:dyDescent="0.35">
      <c r="B7102" s="183"/>
    </row>
    <row r="7103" spans="2:2" ht="15.5" x14ac:dyDescent="0.35">
      <c r="B7103" s="183"/>
    </row>
    <row r="7104" spans="2:2" ht="15.5" x14ac:dyDescent="0.35">
      <c r="B7104" s="183"/>
    </row>
    <row r="7105" spans="2:2" ht="15.5" x14ac:dyDescent="0.35">
      <c r="B7105" s="183"/>
    </row>
    <row r="7106" spans="2:2" ht="15.5" x14ac:dyDescent="0.35">
      <c r="B7106" s="183"/>
    </row>
    <row r="7107" spans="2:2" ht="15.5" x14ac:dyDescent="0.35">
      <c r="B7107" s="183"/>
    </row>
    <row r="7108" spans="2:2" ht="15.5" x14ac:dyDescent="0.35">
      <c r="B7108" s="183"/>
    </row>
    <row r="7109" spans="2:2" ht="15.5" x14ac:dyDescent="0.35">
      <c r="B7109" s="183"/>
    </row>
    <row r="7110" spans="2:2" ht="15.5" x14ac:dyDescent="0.35">
      <c r="B7110" s="183"/>
    </row>
    <row r="7111" spans="2:2" ht="15.5" x14ac:dyDescent="0.35">
      <c r="B7111" s="183"/>
    </row>
    <row r="7112" spans="2:2" ht="15.5" x14ac:dyDescent="0.35">
      <c r="B7112" s="183"/>
    </row>
    <row r="7113" spans="2:2" ht="15.5" x14ac:dyDescent="0.35">
      <c r="B7113" s="183"/>
    </row>
    <row r="7114" spans="2:2" ht="15.5" x14ac:dyDescent="0.35">
      <c r="B7114" s="183"/>
    </row>
    <row r="7115" spans="2:2" ht="15.5" x14ac:dyDescent="0.35">
      <c r="B7115" s="183"/>
    </row>
    <row r="7116" spans="2:2" ht="15.5" x14ac:dyDescent="0.35">
      <c r="B7116" s="183"/>
    </row>
    <row r="7117" spans="2:2" ht="15.5" x14ac:dyDescent="0.35">
      <c r="B7117" s="183"/>
    </row>
    <row r="7118" spans="2:2" ht="15.5" x14ac:dyDescent="0.35">
      <c r="B7118" s="183"/>
    </row>
    <row r="7119" spans="2:2" ht="15.5" x14ac:dyDescent="0.35">
      <c r="B7119" s="183"/>
    </row>
    <row r="7120" spans="2:2" ht="15.5" x14ac:dyDescent="0.35">
      <c r="B7120" s="183"/>
    </row>
    <row r="7121" spans="2:2" ht="15.5" x14ac:dyDescent="0.35">
      <c r="B7121" s="183"/>
    </row>
    <row r="7122" spans="2:2" ht="15.5" x14ac:dyDescent="0.35">
      <c r="B7122" s="183"/>
    </row>
    <row r="7123" spans="2:2" ht="15.5" x14ac:dyDescent="0.35">
      <c r="B7123" s="183"/>
    </row>
    <row r="7124" spans="2:2" ht="15.5" x14ac:dyDescent="0.35">
      <c r="B7124" s="183"/>
    </row>
    <row r="7125" spans="2:2" ht="15.5" x14ac:dyDescent="0.35">
      <c r="B7125" s="183"/>
    </row>
    <row r="7126" spans="2:2" ht="15.5" x14ac:dyDescent="0.35">
      <c r="B7126" s="183"/>
    </row>
    <row r="7127" spans="2:2" ht="15.5" x14ac:dyDescent="0.35">
      <c r="B7127" s="183"/>
    </row>
    <row r="7128" spans="2:2" ht="15.5" x14ac:dyDescent="0.35">
      <c r="B7128" s="183"/>
    </row>
    <row r="7129" spans="2:2" ht="15.5" x14ac:dyDescent="0.35">
      <c r="B7129" s="183"/>
    </row>
    <row r="7130" spans="2:2" ht="15.5" x14ac:dyDescent="0.35">
      <c r="B7130" s="183"/>
    </row>
    <row r="7131" spans="2:2" ht="15.5" x14ac:dyDescent="0.35">
      <c r="B7131" s="183"/>
    </row>
    <row r="7132" spans="2:2" ht="15.5" x14ac:dyDescent="0.35">
      <c r="B7132" s="183"/>
    </row>
    <row r="7133" spans="2:2" ht="15.5" x14ac:dyDescent="0.35">
      <c r="B7133" s="183"/>
    </row>
    <row r="7134" spans="2:2" ht="15.5" x14ac:dyDescent="0.35">
      <c r="B7134" s="183"/>
    </row>
    <row r="7135" spans="2:2" ht="15.5" x14ac:dyDescent="0.35">
      <c r="B7135" s="183"/>
    </row>
    <row r="7136" spans="2:2" ht="15.5" x14ac:dyDescent="0.35">
      <c r="B7136" s="183"/>
    </row>
    <row r="7137" spans="2:2" ht="15.5" x14ac:dyDescent="0.35">
      <c r="B7137" s="183"/>
    </row>
    <row r="7138" spans="2:2" ht="15.5" x14ac:dyDescent="0.35">
      <c r="B7138" s="183"/>
    </row>
    <row r="7139" spans="2:2" ht="15.5" x14ac:dyDescent="0.35">
      <c r="B7139" s="183"/>
    </row>
    <row r="7140" spans="2:2" ht="15.5" x14ac:dyDescent="0.35">
      <c r="B7140" s="183"/>
    </row>
    <row r="7141" spans="2:2" ht="15.5" x14ac:dyDescent="0.35">
      <c r="B7141" s="183"/>
    </row>
    <row r="7142" spans="2:2" ht="15.5" x14ac:dyDescent="0.35">
      <c r="B7142" s="183"/>
    </row>
    <row r="7143" spans="2:2" ht="15.5" x14ac:dyDescent="0.35">
      <c r="B7143" s="183"/>
    </row>
    <row r="7144" spans="2:2" ht="15.5" x14ac:dyDescent="0.35">
      <c r="B7144" s="183"/>
    </row>
    <row r="7145" spans="2:2" ht="15.5" x14ac:dyDescent="0.35">
      <c r="B7145" s="183"/>
    </row>
    <row r="7146" spans="2:2" ht="15.5" x14ac:dyDescent="0.35">
      <c r="B7146" s="183"/>
    </row>
    <row r="7147" spans="2:2" ht="15.5" x14ac:dyDescent="0.35">
      <c r="B7147" s="183"/>
    </row>
    <row r="7148" spans="2:2" ht="15.5" x14ac:dyDescent="0.35">
      <c r="B7148" s="183"/>
    </row>
    <row r="7149" spans="2:2" ht="15.5" x14ac:dyDescent="0.35">
      <c r="B7149" s="183"/>
    </row>
    <row r="7150" spans="2:2" ht="15.5" x14ac:dyDescent="0.35">
      <c r="B7150" s="183"/>
    </row>
    <row r="7151" spans="2:2" ht="15.5" x14ac:dyDescent="0.35">
      <c r="B7151" s="183"/>
    </row>
    <row r="7152" spans="2:2" ht="15.5" x14ac:dyDescent="0.35">
      <c r="B7152" s="183"/>
    </row>
    <row r="7153" spans="2:2" ht="15.5" x14ac:dyDescent="0.35">
      <c r="B7153" s="183"/>
    </row>
    <row r="7154" spans="2:2" ht="15.5" x14ac:dyDescent="0.35">
      <c r="B7154" s="183"/>
    </row>
    <row r="7155" spans="2:2" ht="15.5" x14ac:dyDescent="0.35">
      <c r="B7155" s="183"/>
    </row>
    <row r="7156" spans="2:2" ht="15.5" x14ac:dyDescent="0.35">
      <c r="B7156" s="183"/>
    </row>
    <row r="7157" spans="2:2" ht="15.5" x14ac:dyDescent="0.35">
      <c r="B7157" s="183"/>
    </row>
    <row r="7158" spans="2:2" ht="15.5" x14ac:dyDescent="0.35">
      <c r="B7158" s="183"/>
    </row>
    <row r="7159" spans="2:2" ht="15.5" x14ac:dyDescent="0.35">
      <c r="B7159" s="183"/>
    </row>
    <row r="7160" spans="2:2" ht="15.5" x14ac:dyDescent="0.35">
      <c r="B7160" s="183"/>
    </row>
    <row r="7161" spans="2:2" ht="15.5" x14ac:dyDescent="0.35">
      <c r="B7161" s="183"/>
    </row>
    <row r="7162" spans="2:2" ht="15.5" x14ac:dyDescent="0.35">
      <c r="B7162" s="183"/>
    </row>
    <row r="7163" spans="2:2" ht="15.5" x14ac:dyDescent="0.35">
      <c r="B7163" s="183"/>
    </row>
    <row r="7164" spans="2:2" ht="15.5" x14ac:dyDescent="0.35">
      <c r="B7164" s="183"/>
    </row>
    <row r="7165" spans="2:2" ht="15.5" x14ac:dyDescent="0.35">
      <c r="B7165" s="183"/>
    </row>
    <row r="7166" spans="2:2" ht="15.5" x14ac:dyDescent="0.35">
      <c r="B7166" s="183"/>
    </row>
    <row r="7167" spans="2:2" ht="15.5" x14ac:dyDescent="0.35">
      <c r="B7167" s="183"/>
    </row>
    <row r="7168" spans="2:2" ht="15.5" x14ac:dyDescent="0.35">
      <c r="B7168" s="183"/>
    </row>
    <row r="7169" spans="2:2" ht="15.5" x14ac:dyDescent="0.35">
      <c r="B7169" s="183"/>
    </row>
    <row r="7170" spans="2:2" ht="15.5" x14ac:dyDescent="0.35">
      <c r="B7170" s="183"/>
    </row>
    <row r="7171" spans="2:2" ht="15.5" x14ac:dyDescent="0.35">
      <c r="B7171" s="183"/>
    </row>
    <row r="7172" spans="2:2" ht="15.5" x14ac:dyDescent="0.35">
      <c r="B7172" s="183"/>
    </row>
    <row r="7173" spans="2:2" ht="15.5" x14ac:dyDescent="0.35">
      <c r="B7173" s="183"/>
    </row>
    <row r="7174" spans="2:2" ht="15.5" x14ac:dyDescent="0.35">
      <c r="B7174" s="183"/>
    </row>
    <row r="7175" spans="2:2" ht="15.5" x14ac:dyDescent="0.35">
      <c r="B7175" s="183"/>
    </row>
    <row r="7176" spans="2:2" ht="15.5" x14ac:dyDescent="0.35">
      <c r="B7176" s="183"/>
    </row>
    <row r="7177" spans="2:2" ht="15.5" x14ac:dyDescent="0.35">
      <c r="B7177" s="183"/>
    </row>
    <row r="7178" spans="2:2" ht="15.5" x14ac:dyDescent="0.35">
      <c r="B7178" s="183"/>
    </row>
    <row r="7179" spans="2:2" ht="15.5" x14ac:dyDescent="0.35">
      <c r="B7179" s="183"/>
    </row>
    <row r="7180" spans="2:2" ht="15.5" x14ac:dyDescent="0.35">
      <c r="B7180" s="183"/>
    </row>
    <row r="7181" spans="2:2" ht="15.5" x14ac:dyDescent="0.35">
      <c r="B7181" s="183"/>
    </row>
    <row r="7182" spans="2:2" ht="15.5" x14ac:dyDescent="0.35">
      <c r="B7182" s="183"/>
    </row>
    <row r="7183" spans="2:2" ht="15.5" x14ac:dyDescent="0.35">
      <c r="B7183" s="183"/>
    </row>
    <row r="7184" spans="2:2" ht="15.5" x14ac:dyDescent="0.35">
      <c r="B7184" s="183"/>
    </row>
    <row r="7185" spans="2:2" ht="15.5" x14ac:dyDescent="0.35">
      <c r="B7185" s="183"/>
    </row>
    <row r="7186" spans="2:2" ht="15.5" x14ac:dyDescent="0.35">
      <c r="B7186" s="183"/>
    </row>
    <row r="7187" spans="2:2" ht="15.5" x14ac:dyDescent="0.35">
      <c r="B7187" s="183"/>
    </row>
    <row r="7188" spans="2:2" ht="15.5" x14ac:dyDescent="0.35">
      <c r="B7188" s="183"/>
    </row>
    <row r="7189" spans="2:2" ht="15.5" x14ac:dyDescent="0.35">
      <c r="B7189" s="183"/>
    </row>
    <row r="7190" spans="2:2" ht="15.5" x14ac:dyDescent="0.35">
      <c r="B7190" s="183"/>
    </row>
    <row r="7191" spans="2:2" ht="15.5" x14ac:dyDescent="0.35">
      <c r="B7191" s="183"/>
    </row>
    <row r="7192" spans="2:2" ht="15.5" x14ac:dyDescent="0.35">
      <c r="B7192" s="183"/>
    </row>
    <row r="7193" spans="2:2" ht="15.5" x14ac:dyDescent="0.35">
      <c r="B7193" s="183"/>
    </row>
    <row r="7194" spans="2:2" ht="15.5" x14ac:dyDescent="0.35">
      <c r="B7194" s="183"/>
    </row>
    <row r="7195" spans="2:2" ht="15.5" x14ac:dyDescent="0.35">
      <c r="B7195" s="183"/>
    </row>
    <row r="7196" spans="2:2" ht="15.5" x14ac:dyDescent="0.35">
      <c r="B7196" s="183"/>
    </row>
    <row r="7197" spans="2:2" ht="15.5" x14ac:dyDescent="0.35">
      <c r="B7197" s="183"/>
    </row>
    <row r="7198" spans="2:2" ht="15.5" x14ac:dyDescent="0.35">
      <c r="B7198" s="183"/>
    </row>
    <row r="7199" spans="2:2" ht="15.5" x14ac:dyDescent="0.35">
      <c r="B7199" s="183"/>
    </row>
    <row r="7200" spans="2:2" ht="15.5" x14ac:dyDescent="0.35">
      <c r="B7200" s="183"/>
    </row>
    <row r="7201" spans="2:2" ht="15.5" x14ac:dyDescent="0.35">
      <c r="B7201" s="183"/>
    </row>
    <row r="7202" spans="2:2" ht="15.5" x14ac:dyDescent="0.35">
      <c r="B7202" s="183"/>
    </row>
    <row r="7203" spans="2:2" ht="15.5" x14ac:dyDescent="0.35">
      <c r="B7203" s="183"/>
    </row>
    <row r="7204" spans="2:2" ht="15.5" x14ac:dyDescent="0.35">
      <c r="B7204" s="183"/>
    </row>
    <row r="7205" spans="2:2" ht="15.5" x14ac:dyDescent="0.35">
      <c r="B7205" s="183"/>
    </row>
    <row r="7206" spans="2:2" ht="15.5" x14ac:dyDescent="0.35">
      <c r="B7206" s="183"/>
    </row>
    <row r="7207" spans="2:2" ht="15.5" x14ac:dyDescent="0.35">
      <c r="B7207" s="183"/>
    </row>
    <row r="7208" spans="2:2" ht="15.5" x14ac:dyDescent="0.35">
      <c r="B7208" s="183"/>
    </row>
    <row r="7209" spans="2:2" ht="15.5" x14ac:dyDescent="0.35">
      <c r="B7209" s="183"/>
    </row>
    <row r="7210" spans="2:2" ht="15.5" x14ac:dyDescent="0.35">
      <c r="B7210" s="183"/>
    </row>
    <row r="7211" spans="2:2" ht="15.5" x14ac:dyDescent="0.35">
      <c r="B7211" s="183"/>
    </row>
    <row r="7212" spans="2:2" ht="15.5" x14ac:dyDescent="0.35">
      <c r="B7212" s="183"/>
    </row>
    <row r="7213" spans="2:2" ht="15.5" x14ac:dyDescent="0.35">
      <c r="B7213" s="183"/>
    </row>
    <row r="7214" spans="2:2" ht="15.5" x14ac:dyDescent="0.35">
      <c r="B7214" s="183"/>
    </row>
    <row r="7215" spans="2:2" ht="15.5" x14ac:dyDescent="0.35">
      <c r="B7215" s="183"/>
    </row>
    <row r="7216" spans="2:2" ht="15.5" x14ac:dyDescent="0.35">
      <c r="B7216" s="183"/>
    </row>
    <row r="7217" spans="2:2" ht="15.5" x14ac:dyDescent="0.35">
      <c r="B7217" s="183"/>
    </row>
    <row r="7218" spans="2:2" ht="15.5" x14ac:dyDescent="0.35">
      <c r="B7218" s="183"/>
    </row>
    <row r="7219" spans="2:2" ht="15.5" x14ac:dyDescent="0.35">
      <c r="B7219" s="183"/>
    </row>
    <row r="7220" spans="2:2" ht="15.5" x14ac:dyDescent="0.35">
      <c r="B7220" s="183"/>
    </row>
    <row r="7221" spans="2:2" ht="15.5" x14ac:dyDescent="0.35">
      <c r="B7221" s="183"/>
    </row>
    <row r="7222" spans="2:2" ht="15.5" x14ac:dyDescent="0.35">
      <c r="B7222" s="183"/>
    </row>
    <row r="7223" spans="2:2" ht="15.5" x14ac:dyDescent="0.35">
      <c r="B7223" s="183"/>
    </row>
    <row r="7224" spans="2:2" ht="15.5" x14ac:dyDescent="0.35">
      <c r="B7224" s="183"/>
    </row>
    <row r="7225" spans="2:2" ht="15.5" x14ac:dyDescent="0.35">
      <c r="B7225" s="183"/>
    </row>
    <row r="7226" spans="2:2" ht="15.5" x14ac:dyDescent="0.35">
      <c r="B7226" s="183"/>
    </row>
    <row r="7227" spans="2:2" ht="15.5" x14ac:dyDescent="0.35">
      <c r="B7227" s="183"/>
    </row>
    <row r="7228" spans="2:2" ht="15.5" x14ac:dyDescent="0.35">
      <c r="B7228" s="183"/>
    </row>
    <row r="7229" spans="2:2" ht="15.5" x14ac:dyDescent="0.35">
      <c r="B7229" s="183"/>
    </row>
    <row r="7230" spans="2:2" ht="15.5" x14ac:dyDescent="0.35">
      <c r="B7230" s="183"/>
    </row>
    <row r="7231" spans="2:2" ht="15.5" x14ac:dyDescent="0.35">
      <c r="B7231" s="183"/>
    </row>
    <row r="7232" spans="2:2" ht="15.5" x14ac:dyDescent="0.35">
      <c r="B7232" s="183"/>
    </row>
    <row r="7233" spans="2:2" ht="15.5" x14ac:dyDescent="0.35">
      <c r="B7233" s="183"/>
    </row>
    <row r="7234" spans="2:2" ht="15.5" x14ac:dyDescent="0.35">
      <c r="B7234" s="183"/>
    </row>
    <row r="7235" spans="2:2" ht="15.5" x14ac:dyDescent="0.35">
      <c r="B7235" s="183"/>
    </row>
    <row r="7236" spans="2:2" ht="15.5" x14ac:dyDescent="0.35">
      <c r="B7236" s="183"/>
    </row>
    <row r="7237" spans="2:2" ht="15.5" x14ac:dyDescent="0.35">
      <c r="B7237" s="183"/>
    </row>
    <row r="7238" spans="2:2" ht="15.5" x14ac:dyDescent="0.35">
      <c r="B7238" s="183"/>
    </row>
    <row r="7239" spans="2:2" ht="15.5" x14ac:dyDescent="0.35">
      <c r="B7239" s="183"/>
    </row>
    <row r="7240" spans="2:2" ht="15.5" x14ac:dyDescent="0.35">
      <c r="B7240" s="183"/>
    </row>
    <row r="7241" spans="2:2" ht="15.5" x14ac:dyDescent="0.35">
      <c r="B7241" s="183"/>
    </row>
    <row r="7242" spans="2:2" ht="15.5" x14ac:dyDescent="0.35">
      <c r="B7242" s="183"/>
    </row>
    <row r="7243" spans="2:2" ht="15.5" x14ac:dyDescent="0.35">
      <c r="B7243" s="183"/>
    </row>
    <row r="7244" spans="2:2" ht="15.5" x14ac:dyDescent="0.35">
      <c r="B7244" s="183"/>
    </row>
    <row r="7245" spans="2:2" ht="15.5" x14ac:dyDescent="0.35">
      <c r="B7245" s="183"/>
    </row>
    <row r="7246" spans="2:2" ht="15.5" x14ac:dyDescent="0.35">
      <c r="B7246" s="183"/>
    </row>
    <row r="7247" spans="2:2" ht="15.5" x14ac:dyDescent="0.35">
      <c r="B7247" s="183"/>
    </row>
    <row r="7248" spans="2:2" ht="15.5" x14ac:dyDescent="0.35">
      <c r="B7248" s="183"/>
    </row>
    <row r="7249" spans="2:2" ht="15.5" x14ac:dyDescent="0.35">
      <c r="B7249" s="183"/>
    </row>
    <row r="7250" spans="2:2" ht="15.5" x14ac:dyDescent="0.35">
      <c r="B7250" s="183"/>
    </row>
    <row r="7251" spans="2:2" ht="15.5" x14ac:dyDescent="0.35">
      <c r="B7251" s="183"/>
    </row>
    <row r="7252" spans="2:2" ht="15.5" x14ac:dyDescent="0.35">
      <c r="B7252" s="183"/>
    </row>
    <row r="7253" spans="2:2" ht="15.5" x14ac:dyDescent="0.35">
      <c r="B7253" s="183"/>
    </row>
    <row r="7254" spans="2:2" ht="15.5" x14ac:dyDescent="0.35">
      <c r="B7254" s="183"/>
    </row>
    <row r="7255" spans="2:2" ht="15.5" x14ac:dyDescent="0.35">
      <c r="B7255" s="183"/>
    </row>
    <row r="7256" spans="2:2" ht="15.5" x14ac:dyDescent="0.35">
      <c r="B7256" s="183"/>
    </row>
    <row r="7257" spans="2:2" ht="15.5" x14ac:dyDescent="0.35">
      <c r="B7257" s="183"/>
    </row>
    <row r="7258" spans="2:2" ht="15.5" x14ac:dyDescent="0.35">
      <c r="B7258" s="183"/>
    </row>
    <row r="7259" spans="2:2" ht="15.5" x14ac:dyDescent="0.35">
      <c r="B7259" s="183"/>
    </row>
    <row r="7260" spans="2:2" ht="15.5" x14ac:dyDescent="0.35">
      <c r="B7260" s="183"/>
    </row>
    <row r="7261" spans="2:2" ht="15.5" x14ac:dyDescent="0.35">
      <c r="B7261" s="183"/>
    </row>
    <row r="7262" spans="2:2" ht="15.5" x14ac:dyDescent="0.35">
      <c r="B7262" s="183"/>
    </row>
    <row r="7263" spans="2:2" ht="15.5" x14ac:dyDescent="0.35">
      <c r="B7263" s="183"/>
    </row>
    <row r="7264" spans="2:2" ht="15.5" x14ac:dyDescent="0.35">
      <c r="B7264" s="183"/>
    </row>
    <row r="7265" spans="2:2" ht="15.5" x14ac:dyDescent="0.35">
      <c r="B7265" s="183"/>
    </row>
    <row r="7266" spans="2:2" ht="15.5" x14ac:dyDescent="0.35">
      <c r="B7266" s="183"/>
    </row>
    <row r="7267" spans="2:2" ht="15.5" x14ac:dyDescent="0.35">
      <c r="B7267" s="183"/>
    </row>
    <row r="7268" spans="2:2" ht="15.5" x14ac:dyDescent="0.35">
      <c r="B7268" s="183"/>
    </row>
    <row r="7269" spans="2:2" ht="15.5" x14ac:dyDescent="0.35">
      <c r="B7269" s="183"/>
    </row>
    <row r="7270" spans="2:2" ht="15.5" x14ac:dyDescent="0.35">
      <c r="B7270" s="183"/>
    </row>
    <row r="7271" spans="2:2" ht="15.5" x14ac:dyDescent="0.35">
      <c r="B7271" s="183"/>
    </row>
    <row r="7272" spans="2:2" ht="15.5" x14ac:dyDescent="0.35">
      <c r="B7272" s="183"/>
    </row>
    <row r="7273" spans="2:2" ht="15.5" x14ac:dyDescent="0.35">
      <c r="B7273" s="183"/>
    </row>
    <row r="7274" spans="2:2" ht="15.5" x14ac:dyDescent="0.35">
      <c r="B7274" s="183"/>
    </row>
    <row r="7275" spans="2:2" ht="15.5" x14ac:dyDescent="0.35">
      <c r="B7275" s="183"/>
    </row>
    <row r="7276" spans="2:2" ht="15.5" x14ac:dyDescent="0.35">
      <c r="B7276" s="183"/>
    </row>
    <row r="7277" spans="2:2" ht="15.5" x14ac:dyDescent="0.35">
      <c r="B7277" s="183"/>
    </row>
    <row r="7278" spans="2:2" ht="15.5" x14ac:dyDescent="0.35">
      <c r="B7278" s="183"/>
    </row>
    <row r="7279" spans="2:2" ht="15.5" x14ac:dyDescent="0.35">
      <c r="B7279" s="183"/>
    </row>
    <row r="7280" spans="2:2" ht="15.5" x14ac:dyDescent="0.35">
      <c r="B7280" s="183"/>
    </row>
    <row r="7281" spans="2:2" ht="15.5" x14ac:dyDescent="0.35">
      <c r="B7281" s="183"/>
    </row>
    <row r="7282" spans="2:2" ht="15.5" x14ac:dyDescent="0.35">
      <c r="B7282" s="183"/>
    </row>
    <row r="7283" spans="2:2" ht="15.5" x14ac:dyDescent="0.35">
      <c r="B7283" s="183"/>
    </row>
    <row r="7284" spans="2:2" ht="15.5" x14ac:dyDescent="0.35">
      <c r="B7284" s="183"/>
    </row>
    <row r="7285" spans="2:2" ht="15.5" x14ac:dyDescent="0.35">
      <c r="B7285" s="183"/>
    </row>
    <row r="7286" spans="2:2" ht="15.5" x14ac:dyDescent="0.35">
      <c r="B7286" s="183"/>
    </row>
    <row r="7287" spans="2:2" ht="15.5" x14ac:dyDescent="0.35">
      <c r="B7287" s="183"/>
    </row>
    <row r="7288" spans="2:2" ht="15.5" x14ac:dyDescent="0.35">
      <c r="B7288" s="183"/>
    </row>
    <row r="7289" spans="2:2" ht="15.5" x14ac:dyDescent="0.35">
      <c r="B7289" s="183"/>
    </row>
    <row r="7290" spans="2:2" ht="15.5" x14ac:dyDescent="0.35">
      <c r="B7290" s="183"/>
    </row>
    <row r="7291" spans="2:2" ht="15.5" x14ac:dyDescent="0.35">
      <c r="B7291" s="183"/>
    </row>
    <row r="7292" spans="2:2" ht="15.5" x14ac:dyDescent="0.35">
      <c r="B7292" s="183"/>
    </row>
    <row r="7293" spans="2:2" ht="15.5" x14ac:dyDescent="0.35">
      <c r="B7293" s="183"/>
    </row>
    <row r="7294" spans="2:2" ht="15.5" x14ac:dyDescent="0.35">
      <c r="B7294" s="183"/>
    </row>
    <row r="7295" spans="2:2" ht="15.5" x14ac:dyDescent="0.35">
      <c r="B7295" s="183"/>
    </row>
    <row r="7296" spans="2:2" ht="15.5" x14ac:dyDescent="0.35">
      <c r="B7296" s="183"/>
    </row>
    <row r="7297" spans="2:2" ht="15.5" x14ac:dyDescent="0.35">
      <c r="B7297" s="183"/>
    </row>
    <row r="7298" spans="2:2" ht="15.5" x14ac:dyDescent="0.35">
      <c r="B7298" s="183"/>
    </row>
    <row r="7299" spans="2:2" ht="15.5" x14ac:dyDescent="0.35">
      <c r="B7299" s="183"/>
    </row>
    <row r="7300" spans="2:2" ht="15.5" x14ac:dyDescent="0.35">
      <c r="B7300" s="183"/>
    </row>
    <row r="7301" spans="2:2" ht="15.5" x14ac:dyDescent="0.35">
      <c r="B7301" s="183"/>
    </row>
    <row r="7302" spans="2:2" ht="15.5" x14ac:dyDescent="0.35">
      <c r="B7302" s="183"/>
    </row>
    <row r="7303" spans="2:2" ht="15.5" x14ac:dyDescent="0.35">
      <c r="B7303" s="183"/>
    </row>
    <row r="7304" spans="2:2" ht="15.5" x14ac:dyDescent="0.35">
      <c r="B7304" s="183"/>
    </row>
    <row r="7305" spans="2:2" ht="15.5" x14ac:dyDescent="0.35">
      <c r="B7305" s="183"/>
    </row>
    <row r="7306" spans="2:2" ht="15.5" x14ac:dyDescent="0.35">
      <c r="B7306" s="183"/>
    </row>
    <row r="7307" spans="2:2" ht="15.5" x14ac:dyDescent="0.35">
      <c r="B7307" s="183"/>
    </row>
    <row r="7308" spans="2:2" ht="15.5" x14ac:dyDescent="0.35">
      <c r="B7308" s="183"/>
    </row>
    <row r="7309" spans="2:2" ht="15.5" x14ac:dyDescent="0.35">
      <c r="B7309" s="183"/>
    </row>
    <row r="7310" spans="2:2" ht="15.5" x14ac:dyDescent="0.35">
      <c r="B7310" s="183"/>
    </row>
    <row r="7311" spans="2:2" ht="15.5" x14ac:dyDescent="0.35">
      <c r="B7311" s="183"/>
    </row>
    <row r="7312" spans="2:2" ht="15.5" x14ac:dyDescent="0.35">
      <c r="B7312" s="183"/>
    </row>
    <row r="7313" spans="2:2" ht="15.5" x14ac:dyDescent="0.35">
      <c r="B7313" s="183"/>
    </row>
    <row r="7314" spans="2:2" ht="15.5" x14ac:dyDescent="0.35">
      <c r="B7314" s="183"/>
    </row>
    <row r="7315" spans="2:2" ht="15.5" x14ac:dyDescent="0.35">
      <c r="B7315" s="183"/>
    </row>
    <row r="7316" spans="2:2" ht="15.5" x14ac:dyDescent="0.35">
      <c r="B7316" s="183"/>
    </row>
    <row r="7317" spans="2:2" ht="15.5" x14ac:dyDescent="0.35">
      <c r="B7317" s="183"/>
    </row>
    <row r="7318" spans="2:2" ht="15.5" x14ac:dyDescent="0.35">
      <c r="B7318" s="183"/>
    </row>
    <row r="7319" spans="2:2" ht="15.5" x14ac:dyDescent="0.35">
      <c r="B7319" s="183"/>
    </row>
    <row r="7320" spans="2:2" ht="15.5" x14ac:dyDescent="0.35">
      <c r="B7320" s="183"/>
    </row>
    <row r="7321" spans="2:2" ht="15.5" x14ac:dyDescent="0.35">
      <c r="B7321" s="183"/>
    </row>
    <row r="7322" spans="2:2" ht="15.5" x14ac:dyDescent="0.35">
      <c r="B7322" s="183"/>
    </row>
    <row r="7323" spans="2:2" ht="15.5" x14ac:dyDescent="0.35">
      <c r="B7323" s="183"/>
    </row>
    <row r="7324" spans="2:2" ht="15.5" x14ac:dyDescent="0.35">
      <c r="B7324" s="183"/>
    </row>
    <row r="7325" spans="2:2" ht="15.5" x14ac:dyDescent="0.35">
      <c r="B7325" s="183"/>
    </row>
    <row r="7326" spans="2:2" ht="15.5" x14ac:dyDescent="0.35">
      <c r="B7326" s="183"/>
    </row>
    <row r="7327" spans="2:2" ht="15.5" x14ac:dyDescent="0.35">
      <c r="B7327" s="183"/>
    </row>
    <row r="7328" spans="2:2" ht="15.5" x14ac:dyDescent="0.35">
      <c r="B7328" s="183"/>
    </row>
    <row r="7329" spans="2:2" ht="15.5" x14ac:dyDescent="0.35">
      <c r="B7329" s="183"/>
    </row>
    <row r="7330" spans="2:2" ht="15.5" x14ac:dyDescent="0.35">
      <c r="B7330" s="183"/>
    </row>
    <row r="7331" spans="2:2" ht="15.5" x14ac:dyDescent="0.35">
      <c r="B7331" s="183"/>
    </row>
    <row r="7332" spans="2:2" ht="15.5" x14ac:dyDescent="0.35">
      <c r="B7332" s="183"/>
    </row>
    <row r="7333" spans="2:2" ht="15.5" x14ac:dyDescent="0.35">
      <c r="B7333" s="183"/>
    </row>
    <row r="7334" spans="2:2" ht="15.5" x14ac:dyDescent="0.35">
      <c r="B7334" s="183"/>
    </row>
    <row r="7335" spans="2:2" ht="15.5" x14ac:dyDescent="0.35">
      <c r="B7335" s="183"/>
    </row>
    <row r="7336" spans="2:2" ht="15.5" x14ac:dyDescent="0.35">
      <c r="B7336" s="183"/>
    </row>
    <row r="7337" spans="2:2" ht="15.5" x14ac:dyDescent="0.35">
      <c r="B7337" s="183"/>
    </row>
    <row r="7338" spans="2:2" ht="15.5" x14ac:dyDescent="0.35">
      <c r="B7338" s="183"/>
    </row>
    <row r="7339" spans="2:2" ht="15.5" x14ac:dyDescent="0.35">
      <c r="B7339" s="183"/>
    </row>
    <row r="7340" spans="2:2" ht="15.5" x14ac:dyDescent="0.35">
      <c r="B7340" s="183"/>
    </row>
    <row r="7341" spans="2:2" ht="15.5" x14ac:dyDescent="0.35">
      <c r="B7341" s="183"/>
    </row>
    <row r="7342" spans="2:2" ht="15.5" x14ac:dyDescent="0.35">
      <c r="B7342" s="183"/>
    </row>
    <row r="7343" spans="2:2" ht="15.5" x14ac:dyDescent="0.35">
      <c r="B7343" s="183"/>
    </row>
    <row r="7344" spans="2:2" ht="15.5" x14ac:dyDescent="0.35">
      <c r="B7344" s="183"/>
    </row>
    <row r="7345" spans="2:2" ht="15.5" x14ac:dyDescent="0.35">
      <c r="B7345" s="183"/>
    </row>
    <row r="7346" spans="2:2" ht="15.5" x14ac:dyDescent="0.35">
      <c r="B7346" s="183"/>
    </row>
    <row r="7347" spans="2:2" ht="15.5" x14ac:dyDescent="0.35">
      <c r="B7347" s="183"/>
    </row>
    <row r="7348" spans="2:2" ht="15.5" x14ac:dyDescent="0.35">
      <c r="B7348" s="183"/>
    </row>
    <row r="7349" spans="2:2" ht="15.5" x14ac:dyDescent="0.35">
      <c r="B7349" s="183"/>
    </row>
    <row r="7350" spans="2:2" ht="15.5" x14ac:dyDescent="0.35">
      <c r="B7350" s="183"/>
    </row>
    <row r="7351" spans="2:2" ht="15.5" x14ac:dyDescent="0.35">
      <c r="B7351" s="183"/>
    </row>
    <row r="7352" spans="2:2" ht="15.5" x14ac:dyDescent="0.35">
      <c r="B7352" s="183"/>
    </row>
    <row r="7353" spans="2:2" ht="15.5" x14ac:dyDescent="0.35">
      <c r="B7353" s="183"/>
    </row>
    <row r="7354" spans="2:2" ht="15.5" x14ac:dyDescent="0.35">
      <c r="B7354" s="183"/>
    </row>
    <row r="7355" spans="2:2" ht="15.5" x14ac:dyDescent="0.35">
      <c r="B7355" s="183"/>
    </row>
    <row r="7356" spans="2:2" ht="15.5" x14ac:dyDescent="0.35">
      <c r="B7356" s="183"/>
    </row>
    <row r="7357" spans="2:2" ht="15.5" x14ac:dyDescent="0.35">
      <c r="B7357" s="183"/>
    </row>
    <row r="7358" spans="2:2" ht="15.5" x14ac:dyDescent="0.35">
      <c r="B7358" s="183"/>
    </row>
    <row r="7359" spans="2:2" ht="15.5" x14ac:dyDescent="0.35">
      <c r="B7359" s="183"/>
    </row>
    <row r="7360" spans="2:2" ht="15.5" x14ac:dyDescent="0.35">
      <c r="B7360" s="183"/>
    </row>
    <row r="7361" spans="2:2" ht="15.5" x14ac:dyDescent="0.35">
      <c r="B7361" s="183"/>
    </row>
    <row r="7362" spans="2:2" ht="15.5" x14ac:dyDescent="0.35">
      <c r="B7362" s="183"/>
    </row>
    <row r="7363" spans="2:2" ht="15.5" x14ac:dyDescent="0.35">
      <c r="B7363" s="183"/>
    </row>
    <row r="7364" spans="2:2" ht="15.5" x14ac:dyDescent="0.35">
      <c r="B7364" s="183"/>
    </row>
    <row r="7365" spans="2:2" ht="15.5" x14ac:dyDescent="0.35">
      <c r="B7365" s="183"/>
    </row>
    <row r="7366" spans="2:2" ht="15.5" x14ac:dyDescent="0.35">
      <c r="B7366" s="183"/>
    </row>
    <row r="7367" spans="2:2" ht="15.5" x14ac:dyDescent="0.35">
      <c r="B7367" s="183"/>
    </row>
    <row r="7368" spans="2:2" ht="15.5" x14ac:dyDescent="0.35">
      <c r="B7368" s="183"/>
    </row>
    <row r="7369" spans="2:2" ht="15.5" x14ac:dyDescent="0.35">
      <c r="B7369" s="183"/>
    </row>
    <row r="7370" spans="2:2" ht="15.5" x14ac:dyDescent="0.35">
      <c r="B7370" s="183"/>
    </row>
    <row r="7371" spans="2:2" ht="15.5" x14ac:dyDescent="0.35">
      <c r="B7371" s="183"/>
    </row>
    <row r="7372" spans="2:2" ht="15.5" x14ac:dyDescent="0.35">
      <c r="B7372" s="183"/>
    </row>
    <row r="7373" spans="2:2" ht="15.5" x14ac:dyDescent="0.35">
      <c r="B7373" s="183"/>
    </row>
    <row r="7374" spans="2:2" ht="15.5" x14ac:dyDescent="0.35">
      <c r="B7374" s="183"/>
    </row>
    <row r="7375" spans="2:2" ht="15.5" x14ac:dyDescent="0.35">
      <c r="B7375" s="183"/>
    </row>
    <row r="7376" spans="2:2" ht="15.5" x14ac:dyDescent="0.35">
      <c r="B7376" s="183"/>
    </row>
    <row r="7377" spans="2:2" ht="15.5" x14ac:dyDescent="0.35">
      <c r="B7377" s="183"/>
    </row>
    <row r="7378" spans="2:2" ht="15.5" x14ac:dyDescent="0.35">
      <c r="B7378" s="183"/>
    </row>
    <row r="7379" spans="2:2" ht="15.5" x14ac:dyDescent="0.35">
      <c r="B7379" s="183"/>
    </row>
    <row r="7380" spans="2:2" ht="15.5" x14ac:dyDescent="0.35">
      <c r="B7380" s="183"/>
    </row>
    <row r="7381" spans="2:2" ht="15.5" x14ac:dyDescent="0.35">
      <c r="B7381" s="183"/>
    </row>
    <row r="7382" spans="2:2" ht="15.5" x14ac:dyDescent="0.35">
      <c r="B7382" s="183"/>
    </row>
    <row r="7383" spans="2:2" ht="15.5" x14ac:dyDescent="0.35">
      <c r="B7383" s="183"/>
    </row>
    <row r="7384" spans="2:2" ht="15.5" x14ac:dyDescent="0.35">
      <c r="B7384" s="183"/>
    </row>
    <row r="7385" spans="2:2" ht="15.5" x14ac:dyDescent="0.35">
      <c r="B7385" s="183"/>
    </row>
    <row r="7386" spans="2:2" ht="15.5" x14ac:dyDescent="0.35">
      <c r="B7386" s="183"/>
    </row>
    <row r="7387" spans="2:2" ht="15.5" x14ac:dyDescent="0.35">
      <c r="B7387" s="183"/>
    </row>
    <row r="7388" spans="2:2" ht="15.5" x14ac:dyDescent="0.35">
      <c r="B7388" s="183"/>
    </row>
    <row r="7389" spans="2:2" ht="15.5" x14ac:dyDescent="0.35">
      <c r="B7389" s="183"/>
    </row>
    <row r="7390" spans="2:2" ht="15.5" x14ac:dyDescent="0.35">
      <c r="B7390" s="183"/>
    </row>
    <row r="7391" spans="2:2" ht="15.5" x14ac:dyDescent="0.35">
      <c r="B7391" s="183"/>
    </row>
    <row r="7392" spans="2:2" ht="15.5" x14ac:dyDescent="0.35">
      <c r="B7392" s="183"/>
    </row>
    <row r="7393" spans="2:2" ht="15.5" x14ac:dyDescent="0.35">
      <c r="B7393" s="183"/>
    </row>
    <row r="7394" spans="2:2" ht="15.5" x14ac:dyDescent="0.35">
      <c r="B7394" s="183"/>
    </row>
    <row r="7395" spans="2:2" ht="15.5" x14ac:dyDescent="0.35">
      <c r="B7395" s="183"/>
    </row>
    <row r="7396" spans="2:2" ht="15.5" x14ac:dyDescent="0.35">
      <c r="B7396" s="183"/>
    </row>
    <row r="7397" spans="2:2" ht="15.5" x14ac:dyDescent="0.35">
      <c r="B7397" s="183"/>
    </row>
    <row r="7398" spans="2:2" ht="15.5" x14ac:dyDescent="0.35">
      <c r="B7398" s="183"/>
    </row>
    <row r="7399" spans="2:2" ht="15.5" x14ac:dyDescent="0.35">
      <c r="B7399" s="183"/>
    </row>
    <row r="7400" spans="2:2" ht="15.5" x14ac:dyDescent="0.35">
      <c r="B7400" s="183"/>
    </row>
    <row r="7401" spans="2:2" ht="15.5" x14ac:dyDescent="0.35">
      <c r="B7401" s="183"/>
    </row>
    <row r="7402" spans="2:2" ht="15.5" x14ac:dyDescent="0.35">
      <c r="B7402" s="183"/>
    </row>
    <row r="7403" spans="2:2" ht="15.5" x14ac:dyDescent="0.35">
      <c r="B7403" s="183"/>
    </row>
    <row r="7404" spans="2:2" ht="15.5" x14ac:dyDescent="0.35">
      <c r="B7404" s="183"/>
    </row>
    <row r="7405" spans="2:2" ht="15.5" x14ac:dyDescent="0.35">
      <c r="B7405" s="183"/>
    </row>
    <row r="7406" spans="2:2" ht="15.5" x14ac:dyDescent="0.35">
      <c r="B7406" s="183"/>
    </row>
    <row r="7407" spans="2:2" ht="15.5" x14ac:dyDescent="0.35">
      <c r="B7407" s="183"/>
    </row>
    <row r="7408" spans="2:2" ht="15.5" x14ac:dyDescent="0.35">
      <c r="B7408" s="183"/>
    </row>
    <row r="7409" spans="2:2" ht="15.5" x14ac:dyDescent="0.35">
      <c r="B7409" s="183"/>
    </row>
    <row r="7410" spans="2:2" ht="15.5" x14ac:dyDescent="0.35">
      <c r="B7410" s="183"/>
    </row>
    <row r="7411" spans="2:2" ht="15.5" x14ac:dyDescent="0.35">
      <c r="B7411" s="183"/>
    </row>
    <row r="7412" spans="2:2" ht="15.5" x14ac:dyDescent="0.35">
      <c r="B7412" s="183"/>
    </row>
    <row r="7413" spans="2:2" ht="15.5" x14ac:dyDescent="0.35">
      <c r="B7413" s="183"/>
    </row>
    <row r="7414" spans="2:2" ht="15.5" x14ac:dyDescent="0.35">
      <c r="B7414" s="183"/>
    </row>
    <row r="7415" spans="2:2" ht="15.5" x14ac:dyDescent="0.35">
      <c r="B7415" s="183"/>
    </row>
    <row r="7416" spans="2:2" ht="15.5" x14ac:dyDescent="0.35">
      <c r="B7416" s="183"/>
    </row>
    <row r="7417" spans="2:2" ht="15.5" x14ac:dyDescent="0.35">
      <c r="B7417" s="183"/>
    </row>
    <row r="7418" spans="2:2" ht="15.5" x14ac:dyDescent="0.35">
      <c r="B7418" s="183"/>
    </row>
    <row r="7419" spans="2:2" ht="15.5" x14ac:dyDescent="0.35">
      <c r="B7419" s="183"/>
    </row>
    <row r="7420" spans="2:2" ht="15.5" x14ac:dyDescent="0.35">
      <c r="B7420" s="183"/>
    </row>
    <row r="7421" spans="2:2" ht="15.5" x14ac:dyDescent="0.35">
      <c r="B7421" s="183"/>
    </row>
    <row r="7422" spans="2:2" ht="15.5" x14ac:dyDescent="0.35">
      <c r="B7422" s="183"/>
    </row>
    <row r="7423" spans="2:2" ht="15.5" x14ac:dyDescent="0.35">
      <c r="B7423" s="183"/>
    </row>
    <row r="7424" spans="2:2" ht="15.5" x14ac:dyDescent="0.35">
      <c r="B7424" s="183"/>
    </row>
    <row r="7425" spans="2:2" ht="15.5" x14ac:dyDescent="0.35">
      <c r="B7425" s="183"/>
    </row>
    <row r="7426" spans="2:2" ht="15.5" x14ac:dyDescent="0.35">
      <c r="B7426" s="183"/>
    </row>
    <row r="7427" spans="2:2" ht="15.5" x14ac:dyDescent="0.35">
      <c r="B7427" s="183"/>
    </row>
    <row r="7428" spans="2:2" ht="15.5" x14ac:dyDescent="0.35">
      <c r="B7428" s="183"/>
    </row>
    <row r="7429" spans="2:2" ht="15.5" x14ac:dyDescent="0.35">
      <c r="B7429" s="183"/>
    </row>
    <row r="7430" spans="2:2" ht="15.5" x14ac:dyDescent="0.35">
      <c r="B7430" s="183"/>
    </row>
    <row r="7431" spans="2:2" ht="15.5" x14ac:dyDescent="0.35">
      <c r="B7431" s="183"/>
    </row>
    <row r="7432" spans="2:2" ht="15.5" x14ac:dyDescent="0.35">
      <c r="B7432" s="183"/>
    </row>
    <row r="7433" spans="2:2" ht="15.5" x14ac:dyDescent="0.35">
      <c r="B7433" s="183"/>
    </row>
    <row r="7434" spans="2:2" ht="15.5" x14ac:dyDescent="0.35">
      <c r="B7434" s="183"/>
    </row>
    <row r="7435" spans="2:2" ht="15.5" x14ac:dyDescent="0.35">
      <c r="B7435" s="183"/>
    </row>
    <row r="7436" spans="2:2" ht="15.5" x14ac:dyDescent="0.35">
      <c r="B7436" s="183"/>
    </row>
    <row r="7437" spans="2:2" ht="15.5" x14ac:dyDescent="0.35">
      <c r="B7437" s="183"/>
    </row>
    <row r="7438" spans="2:2" ht="15.5" x14ac:dyDescent="0.35">
      <c r="B7438" s="183"/>
    </row>
    <row r="7439" spans="2:2" ht="15.5" x14ac:dyDescent="0.35">
      <c r="B7439" s="183"/>
    </row>
    <row r="7440" spans="2:2" ht="15.5" x14ac:dyDescent="0.35">
      <c r="B7440" s="183"/>
    </row>
    <row r="7441" spans="2:2" ht="15.5" x14ac:dyDescent="0.35">
      <c r="B7441" s="183"/>
    </row>
    <row r="7442" spans="2:2" ht="15.5" x14ac:dyDescent="0.35">
      <c r="B7442" s="183"/>
    </row>
    <row r="7443" spans="2:2" ht="15.5" x14ac:dyDescent="0.35">
      <c r="B7443" s="183"/>
    </row>
    <row r="7444" spans="2:2" ht="15.5" x14ac:dyDescent="0.35">
      <c r="B7444" s="183"/>
    </row>
    <row r="7445" spans="2:2" ht="15.5" x14ac:dyDescent="0.35">
      <c r="B7445" s="183"/>
    </row>
    <row r="7446" spans="2:2" ht="15.5" x14ac:dyDescent="0.35">
      <c r="B7446" s="183"/>
    </row>
    <row r="7447" spans="2:2" ht="15.5" x14ac:dyDescent="0.35">
      <c r="B7447" s="183"/>
    </row>
    <row r="7448" spans="2:2" ht="15.5" x14ac:dyDescent="0.35">
      <c r="B7448" s="183"/>
    </row>
    <row r="7449" spans="2:2" ht="15.5" x14ac:dyDescent="0.35">
      <c r="B7449" s="183"/>
    </row>
    <row r="7450" spans="2:2" ht="15.5" x14ac:dyDescent="0.35">
      <c r="B7450" s="183"/>
    </row>
    <row r="7451" spans="2:2" ht="15.5" x14ac:dyDescent="0.35">
      <c r="B7451" s="183"/>
    </row>
    <row r="7452" spans="2:2" ht="15.5" x14ac:dyDescent="0.35">
      <c r="B7452" s="183"/>
    </row>
    <row r="7453" spans="2:2" ht="15.5" x14ac:dyDescent="0.35">
      <c r="B7453" s="183"/>
    </row>
    <row r="7454" spans="2:2" ht="15.5" x14ac:dyDescent="0.35">
      <c r="B7454" s="183"/>
    </row>
    <row r="7455" spans="2:2" ht="15.5" x14ac:dyDescent="0.35">
      <c r="B7455" s="183"/>
    </row>
    <row r="7456" spans="2:2" ht="15.5" x14ac:dyDescent="0.35">
      <c r="B7456" s="183"/>
    </row>
    <row r="7457" spans="2:2" ht="15.5" x14ac:dyDescent="0.35">
      <c r="B7457" s="183"/>
    </row>
    <row r="7458" spans="2:2" ht="15.5" x14ac:dyDescent="0.35">
      <c r="B7458" s="183"/>
    </row>
    <row r="7459" spans="2:2" ht="15.5" x14ac:dyDescent="0.35">
      <c r="B7459" s="183"/>
    </row>
    <row r="7460" spans="2:2" ht="15.5" x14ac:dyDescent="0.35">
      <c r="B7460" s="183"/>
    </row>
    <row r="7461" spans="2:2" ht="15.5" x14ac:dyDescent="0.35">
      <c r="B7461" s="183"/>
    </row>
    <row r="7462" spans="2:2" ht="15.5" x14ac:dyDescent="0.35">
      <c r="B7462" s="183"/>
    </row>
    <row r="7463" spans="2:2" ht="15.5" x14ac:dyDescent="0.35">
      <c r="B7463" s="183"/>
    </row>
    <row r="7464" spans="2:2" ht="15.5" x14ac:dyDescent="0.35">
      <c r="B7464" s="183"/>
    </row>
    <row r="7465" spans="2:2" ht="15.5" x14ac:dyDescent="0.35">
      <c r="B7465" s="183"/>
    </row>
    <row r="7466" spans="2:2" ht="15.5" x14ac:dyDescent="0.35">
      <c r="B7466" s="183"/>
    </row>
    <row r="7467" spans="2:2" ht="15.5" x14ac:dyDescent="0.35">
      <c r="B7467" s="183"/>
    </row>
    <row r="7468" spans="2:2" ht="15.5" x14ac:dyDescent="0.35">
      <c r="B7468" s="183"/>
    </row>
    <row r="7469" spans="2:2" ht="15.5" x14ac:dyDescent="0.35">
      <c r="B7469" s="183"/>
    </row>
    <row r="7470" spans="2:2" ht="15.5" x14ac:dyDescent="0.35">
      <c r="B7470" s="183"/>
    </row>
    <row r="7471" spans="2:2" ht="15.5" x14ac:dyDescent="0.35">
      <c r="B7471" s="183"/>
    </row>
    <row r="7472" spans="2:2" ht="15.5" x14ac:dyDescent="0.35">
      <c r="B7472" s="183"/>
    </row>
    <row r="7473" spans="2:2" ht="15.5" x14ac:dyDescent="0.35">
      <c r="B7473" s="183"/>
    </row>
    <row r="7474" spans="2:2" ht="15.5" x14ac:dyDescent="0.35">
      <c r="B7474" s="183"/>
    </row>
    <row r="7475" spans="2:2" ht="15.5" x14ac:dyDescent="0.35">
      <c r="B7475" s="183"/>
    </row>
    <row r="7476" spans="2:2" ht="15.5" x14ac:dyDescent="0.35">
      <c r="B7476" s="183"/>
    </row>
    <row r="7477" spans="2:2" ht="15.5" x14ac:dyDescent="0.35">
      <c r="B7477" s="183"/>
    </row>
    <row r="7478" spans="2:2" ht="15.5" x14ac:dyDescent="0.35">
      <c r="B7478" s="183"/>
    </row>
    <row r="7479" spans="2:2" ht="15.5" x14ac:dyDescent="0.35">
      <c r="B7479" s="183"/>
    </row>
    <row r="7480" spans="2:2" ht="15.5" x14ac:dyDescent="0.35">
      <c r="B7480" s="183"/>
    </row>
    <row r="7481" spans="2:2" ht="15.5" x14ac:dyDescent="0.35">
      <c r="B7481" s="183"/>
    </row>
    <row r="7482" spans="2:2" ht="15.5" x14ac:dyDescent="0.35">
      <c r="B7482" s="183"/>
    </row>
    <row r="7483" spans="2:2" ht="15.5" x14ac:dyDescent="0.35">
      <c r="B7483" s="183"/>
    </row>
    <row r="7484" spans="2:2" ht="15.5" x14ac:dyDescent="0.35">
      <c r="B7484" s="183"/>
    </row>
    <row r="7485" spans="2:2" ht="15.5" x14ac:dyDescent="0.35">
      <c r="B7485" s="183"/>
    </row>
    <row r="7486" spans="2:2" ht="15.5" x14ac:dyDescent="0.35">
      <c r="B7486" s="183"/>
    </row>
    <row r="7487" spans="2:2" ht="15.5" x14ac:dyDescent="0.35">
      <c r="B7487" s="183"/>
    </row>
    <row r="7488" spans="2:2" ht="15.5" x14ac:dyDescent="0.35">
      <c r="B7488" s="183"/>
    </row>
    <row r="7489" spans="2:2" ht="15.5" x14ac:dyDescent="0.35">
      <c r="B7489" s="183"/>
    </row>
    <row r="7490" spans="2:2" ht="15.5" x14ac:dyDescent="0.35">
      <c r="B7490" s="183"/>
    </row>
    <row r="7491" spans="2:2" ht="15.5" x14ac:dyDescent="0.35">
      <c r="B7491" s="183"/>
    </row>
    <row r="7492" spans="2:2" ht="15.5" x14ac:dyDescent="0.35">
      <c r="B7492" s="183"/>
    </row>
    <row r="7493" spans="2:2" ht="15.5" x14ac:dyDescent="0.35">
      <c r="B7493" s="183"/>
    </row>
    <row r="7494" spans="2:2" ht="15.5" x14ac:dyDescent="0.35">
      <c r="B7494" s="183"/>
    </row>
    <row r="7495" spans="2:2" ht="15.5" x14ac:dyDescent="0.35">
      <c r="B7495" s="183"/>
    </row>
    <row r="7496" spans="2:2" ht="15.5" x14ac:dyDescent="0.35">
      <c r="B7496" s="183"/>
    </row>
    <row r="7497" spans="2:2" ht="15.5" x14ac:dyDescent="0.35">
      <c r="B7497" s="183"/>
    </row>
    <row r="7498" spans="2:2" ht="15.5" x14ac:dyDescent="0.35">
      <c r="B7498" s="183"/>
    </row>
    <row r="7499" spans="2:2" ht="15.5" x14ac:dyDescent="0.35">
      <c r="B7499" s="183"/>
    </row>
    <row r="7500" spans="2:2" ht="15.5" x14ac:dyDescent="0.35">
      <c r="B7500" s="183"/>
    </row>
    <row r="7501" spans="2:2" ht="15.5" x14ac:dyDescent="0.35">
      <c r="B7501" s="183"/>
    </row>
    <row r="7502" spans="2:2" ht="15.5" x14ac:dyDescent="0.35">
      <c r="B7502" s="183"/>
    </row>
    <row r="7503" spans="2:2" ht="15.5" x14ac:dyDescent="0.35">
      <c r="B7503" s="183"/>
    </row>
    <row r="7504" spans="2:2" ht="15.5" x14ac:dyDescent="0.35">
      <c r="B7504" s="183"/>
    </row>
    <row r="7505" spans="2:2" ht="15.5" x14ac:dyDescent="0.35">
      <c r="B7505" s="183"/>
    </row>
    <row r="7506" spans="2:2" ht="15.5" x14ac:dyDescent="0.35">
      <c r="B7506" s="183"/>
    </row>
    <row r="7507" spans="2:2" ht="15.5" x14ac:dyDescent="0.35">
      <c r="B7507" s="183"/>
    </row>
    <row r="7508" spans="2:2" ht="15.5" x14ac:dyDescent="0.35">
      <c r="B7508" s="183"/>
    </row>
    <row r="7509" spans="2:2" ht="15.5" x14ac:dyDescent="0.35">
      <c r="B7509" s="183"/>
    </row>
    <row r="7510" spans="2:2" ht="15.5" x14ac:dyDescent="0.35">
      <c r="B7510" s="183"/>
    </row>
    <row r="7511" spans="2:2" ht="15.5" x14ac:dyDescent="0.35">
      <c r="B7511" s="183"/>
    </row>
    <row r="7512" spans="2:2" ht="15.5" x14ac:dyDescent="0.35">
      <c r="B7512" s="183"/>
    </row>
    <row r="7513" spans="2:2" ht="15.5" x14ac:dyDescent="0.35">
      <c r="B7513" s="183"/>
    </row>
    <row r="7514" spans="2:2" ht="15.5" x14ac:dyDescent="0.35">
      <c r="B7514" s="183"/>
    </row>
    <row r="7515" spans="2:2" ht="15.5" x14ac:dyDescent="0.35">
      <c r="B7515" s="183"/>
    </row>
    <row r="7516" spans="2:2" ht="15.5" x14ac:dyDescent="0.35">
      <c r="B7516" s="183"/>
    </row>
    <row r="7517" spans="2:2" ht="15.5" x14ac:dyDescent="0.35">
      <c r="B7517" s="183"/>
    </row>
    <row r="7518" spans="2:2" ht="15.5" x14ac:dyDescent="0.35">
      <c r="B7518" s="183"/>
    </row>
    <row r="7519" spans="2:2" ht="15.5" x14ac:dyDescent="0.35">
      <c r="B7519" s="183"/>
    </row>
    <row r="7520" spans="2:2" ht="15.5" x14ac:dyDescent="0.35">
      <c r="B7520" s="183"/>
    </row>
    <row r="7521" spans="2:2" ht="15.5" x14ac:dyDescent="0.35">
      <c r="B7521" s="183"/>
    </row>
    <row r="7522" spans="2:2" ht="15.5" x14ac:dyDescent="0.35">
      <c r="B7522" s="183"/>
    </row>
    <row r="7523" spans="2:2" ht="15.5" x14ac:dyDescent="0.35">
      <c r="B7523" s="183"/>
    </row>
    <row r="7524" spans="2:2" ht="15.5" x14ac:dyDescent="0.35">
      <c r="B7524" s="183"/>
    </row>
    <row r="7525" spans="2:2" ht="15.5" x14ac:dyDescent="0.35">
      <c r="B7525" s="183"/>
    </row>
    <row r="7526" spans="2:2" ht="15.5" x14ac:dyDescent="0.35">
      <c r="B7526" s="183"/>
    </row>
    <row r="7527" spans="2:2" ht="15.5" x14ac:dyDescent="0.35">
      <c r="B7527" s="183"/>
    </row>
    <row r="7528" spans="2:2" ht="15.5" x14ac:dyDescent="0.35">
      <c r="B7528" s="183"/>
    </row>
    <row r="7529" spans="2:2" ht="15.5" x14ac:dyDescent="0.35">
      <c r="B7529" s="183"/>
    </row>
    <row r="7530" spans="2:2" ht="15.5" x14ac:dyDescent="0.35">
      <c r="B7530" s="183"/>
    </row>
    <row r="7531" spans="2:2" ht="15.5" x14ac:dyDescent="0.35">
      <c r="B7531" s="183"/>
    </row>
    <row r="7532" spans="2:2" ht="15.5" x14ac:dyDescent="0.35">
      <c r="B7532" s="183"/>
    </row>
    <row r="7533" spans="2:2" ht="15.5" x14ac:dyDescent="0.35">
      <c r="B7533" s="183"/>
    </row>
    <row r="7534" spans="2:2" ht="15.5" x14ac:dyDescent="0.35">
      <c r="B7534" s="183"/>
    </row>
    <row r="7535" spans="2:2" ht="15.5" x14ac:dyDescent="0.35">
      <c r="B7535" s="183"/>
    </row>
    <row r="7536" spans="2:2" ht="15.5" x14ac:dyDescent="0.35">
      <c r="B7536" s="183"/>
    </row>
    <row r="7537" spans="2:2" ht="15.5" x14ac:dyDescent="0.35">
      <c r="B7537" s="183"/>
    </row>
    <row r="7538" spans="2:2" ht="15.5" x14ac:dyDescent="0.35">
      <c r="B7538" s="183"/>
    </row>
    <row r="7539" spans="2:2" ht="15.5" x14ac:dyDescent="0.35">
      <c r="B7539" s="183"/>
    </row>
    <row r="7540" spans="2:2" ht="15.5" x14ac:dyDescent="0.35">
      <c r="B7540" s="183"/>
    </row>
    <row r="7541" spans="2:2" ht="15.5" x14ac:dyDescent="0.35">
      <c r="B7541" s="183"/>
    </row>
    <row r="7542" spans="2:2" ht="15.5" x14ac:dyDescent="0.35">
      <c r="B7542" s="183"/>
    </row>
    <row r="7543" spans="2:2" ht="15.5" x14ac:dyDescent="0.35">
      <c r="B7543" s="183"/>
    </row>
    <row r="7544" spans="2:2" ht="15.5" x14ac:dyDescent="0.35">
      <c r="B7544" s="183"/>
    </row>
    <row r="7545" spans="2:2" ht="15.5" x14ac:dyDescent="0.35">
      <c r="B7545" s="183"/>
    </row>
    <row r="7546" spans="2:2" ht="15.5" x14ac:dyDescent="0.35">
      <c r="B7546" s="183"/>
    </row>
    <row r="7547" spans="2:2" ht="15.5" x14ac:dyDescent="0.35">
      <c r="B7547" s="183"/>
    </row>
    <row r="7548" spans="2:2" ht="15.5" x14ac:dyDescent="0.35">
      <c r="B7548" s="183"/>
    </row>
    <row r="7549" spans="2:2" ht="15.5" x14ac:dyDescent="0.35">
      <c r="B7549" s="183"/>
    </row>
    <row r="7550" spans="2:2" ht="15.5" x14ac:dyDescent="0.35">
      <c r="B7550" s="183"/>
    </row>
    <row r="7551" spans="2:2" ht="15.5" x14ac:dyDescent="0.35">
      <c r="B7551" s="183"/>
    </row>
    <row r="7552" spans="2:2" ht="15.5" x14ac:dyDescent="0.35">
      <c r="B7552" s="183"/>
    </row>
    <row r="7553" spans="2:2" ht="15.5" x14ac:dyDescent="0.35">
      <c r="B7553" s="183"/>
    </row>
    <row r="7554" spans="2:2" ht="15.5" x14ac:dyDescent="0.35">
      <c r="B7554" s="183"/>
    </row>
    <row r="7555" spans="2:2" ht="15.5" x14ac:dyDescent="0.35">
      <c r="B7555" s="183"/>
    </row>
    <row r="7556" spans="2:2" ht="15.5" x14ac:dyDescent="0.35">
      <c r="B7556" s="183"/>
    </row>
    <row r="7557" spans="2:2" ht="15.5" x14ac:dyDescent="0.35">
      <c r="B7557" s="183"/>
    </row>
    <row r="7558" spans="2:2" ht="15.5" x14ac:dyDescent="0.35">
      <c r="B7558" s="183"/>
    </row>
    <row r="7559" spans="2:2" ht="15.5" x14ac:dyDescent="0.35">
      <c r="B7559" s="183"/>
    </row>
    <row r="7560" spans="2:2" ht="15.5" x14ac:dyDescent="0.35">
      <c r="B7560" s="183"/>
    </row>
    <row r="7561" spans="2:2" ht="15.5" x14ac:dyDescent="0.35">
      <c r="B7561" s="183"/>
    </row>
    <row r="7562" spans="2:2" ht="15.5" x14ac:dyDescent="0.35">
      <c r="B7562" s="183"/>
    </row>
    <row r="7563" spans="2:2" ht="15.5" x14ac:dyDescent="0.35">
      <c r="B7563" s="183"/>
    </row>
    <row r="7564" spans="2:2" ht="15.5" x14ac:dyDescent="0.35">
      <c r="B7564" s="183"/>
    </row>
    <row r="7565" spans="2:2" ht="15.5" x14ac:dyDescent="0.35">
      <c r="B7565" s="183"/>
    </row>
    <row r="7566" spans="2:2" ht="15.5" x14ac:dyDescent="0.35">
      <c r="B7566" s="183"/>
    </row>
    <row r="7567" spans="2:2" ht="15.5" x14ac:dyDescent="0.35">
      <c r="B7567" s="183"/>
    </row>
    <row r="7568" spans="2:2" ht="15.5" x14ac:dyDescent="0.35">
      <c r="B7568" s="183"/>
    </row>
    <row r="7569" spans="2:2" ht="15.5" x14ac:dyDescent="0.35">
      <c r="B7569" s="183"/>
    </row>
    <row r="7570" spans="2:2" ht="15.5" x14ac:dyDescent="0.35">
      <c r="B7570" s="183"/>
    </row>
    <row r="7571" spans="2:2" ht="15.5" x14ac:dyDescent="0.35">
      <c r="B7571" s="183"/>
    </row>
    <row r="7572" spans="2:2" ht="15.5" x14ac:dyDescent="0.35">
      <c r="B7572" s="183"/>
    </row>
    <row r="7573" spans="2:2" ht="15.5" x14ac:dyDescent="0.35">
      <c r="B7573" s="183"/>
    </row>
    <row r="7574" spans="2:2" ht="15.5" x14ac:dyDescent="0.35">
      <c r="B7574" s="183"/>
    </row>
    <row r="7575" spans="2:2" ht="15.5" x14ac:dyDescent="0.35">
      <c r="B7575" s="183"/>
    </row>
    <row r="7576" spans="2:2" ht="15.5" x14ac:dyDescent="0.35">
      <c r="B7576" s="183"/>
    </row>
    <row r="7577" spans="2:2" ht="15.5" x14ac:dyDescent="0.35">
      <c r="B7577" s="183"/>
    </row>
    <row r="7578" spans="2:2" ht="15.5" x14ac:dyDescent="0.35">
      <c r="B7578" s="183"/>
    </row>
    <row r="7579" spans="2:2" ht="15.5" x14ac:dyDescent="0.35">
      <c r="B7579" s="183"/>
    </row>
    <row r="7580" spans="2:2" ht="15.5" x14ac:dyDescent="0.35">
      <c r="B7580" s="183"/>
    </row>
    <row r="7581" spans="2:2" ht="15.5" x14ac:dyDescent="0.35">
      <c r="B7581" s="183"/>
    </row>
    <row r="7582" spans="2:2" ht="15.5" x14ac:dyDescent="0.35">
      <c r="B7582" s="183"/>
    </row>
    <row r="7583" spans="2:2" ht="15.5" x14ac:dyDescent="0.35">
      <c r="B7583" s="183"/>
    </row>
    <row r="7584" spans="2:2" ht="15.5" x14ac:dyDescent="0.35">
      <c r="B7584" s="183"/>
    </row>
    <row r="7585" spans="2:2" ht="15.5" x14ac:dyDescent="0.35">
      <c r="B7585" s="183"/>
    </row>
    <row r="7586" spans="2:2" ht="15.5" x14ac:dyDescent="0.35">
      <c r="B7586" s="183"/>
    </row>
    <row r="7587" spans="2:2" ht="15.5" x14ac:dyDescent="0.35">
      <c r="B7587" s="183"/>
    </row>
    <row r="7588" spans="2:2" ht="15.5" x14ac:dyDescent="0.35">
      <c r="B7588" s="183"/>
    </row>
    <row r="7589" spans="2:2" ht="15.5" x14ac:dyDescent="0.35">
      <c r="B7589" s="183"/>
    </row>
    <row r="7590" spans="2:2" ht="15.5" x14ac:dyDescent="0.35">
      <c r="B7590" s="183"/>
    </row>
    <row r="7591" spans="2:2" ht="15.5" x14ac:dyDescent="0.35">
      <c r="B7591" s="183"/>
    </row>
    <row r="7592" spans="2:2" ht="15.5" x14ac:dyDescent="0.35">
      <c r="B7592" s="183"/>
    </row>
    <row r="7593" spans="2:2" ht="15.5" x14ac:dyDescent="0.35">
      <c r="B7593" s="183"/>
    </row>
    <row r="7594" spans="2:2" ht="15.5" x14ac:dyDescent="0.35">
      <c r="B7594" s="183"/>
    </row>
    <row r="7595" spans="2:2" ht="15.5" x14ac:dyDescent="0.35">
      <c r="B7595" s="183"/>
    </row>
    <row r="7596" spans="2:2" ht="15.5" x14ac:dyDescent="0.35">
      <c r="B7596" s="183"/>
    </row>
    <row r="7597" spans="2:2" ht="15.5" x14ac:dyDescent="0.35">
      <c r="B7597" s="183"/>
    </row>
    <row r="7598" spans="2:2" ht="15.5" x14ac:dyDescent="0.35">
      <c r="B7598" s="183"/>
    </row>
    <row r="7599" spans="2:2" ht="15.5" x14ac:dyDescent="0.35">
      <c r="B7599" s="183"/>
    </row>
    <row r="7600" spans="2:2" ht="15.5" x14ac:dyDescent="0.35">
      <c r="B7600" s="183"/>
    </row>
    <row r="7601" spans="2:2" ht="15.5" x14ac:dyDescent="0.35">
      <c r="B7601" s="183"/>
    </row>
    <row r="7602" spans="2:2" ht="15.5" x14ac:dyDescent="0.35">
      <c r="B7602" s="183"/>
    </row>
    <row r="7603" spans="2:2" ht="15.5" x14ac:dyDescent="0.35">
      <c r="B7603" s="183"/>
    </row>
    <row r="7604" spans="2:2" ht="15.5" x14ac:dyDescent="0.35">
      <c r="B7604" s="183"/>
    </row>
    <row r="7605" spans="2:2" ht="15.5" x14ac:dyDescent="0.35">
      <c r="B7605" s="183"/>
    </row>
    <row r="7606" spans="2:2" ht="15.5" x14ac:dyDescent="0.35">
      <c r="B7606" s="183"/>
    </row>
    <row r="7607" spans="2:2" ht="15.5" x14ac:dyDescent="0.35">
      <c r="B7607" s="183"/>
    </row>
    <row r="7608" spans="2:2" ht="15.5" x14ac:dyDescent="0.35">
      <c r="B7608" s="183"/>
    </row>
    <row r="7609" spans="2:2" ht="15.5" x14ac:dyDescent="0.35">
      <c r="B7609" s="183"/>
    </row>
    <row r="7610" spans="2:2" ht="15.5" x14ac:dyDescent="0.35">
      <c r="B7610" s="183"/>
    </row>
    <row r="7611" spans="2:2" ht="15.5" x14ac:dyDescent="0.35">
      <c r="B7611" s="183"/>
    </row>
    <row r="7612" spans="2:2" ht="15.5" x14ac:dyDescent="0.35">
      <c r="B7612" s="183"/>
    </row>
    <row r="7613" spans="2:2" ht="15.5" x14ac:dyDescent="0.35">
      <c r="B7613" s="183"/>
    </row>
    <row r="7614" spans="2:2" ht="15.5" x14ac:dyDescent="0.35">
      <c r="B7614" s="183"/>
    </row>
    <row r="7615" spans="2:2" ht="15.5" x14ac:dyDescent="0.35">
      <c r="B7615" s="183"/>
    </row>
    <row r="7616" spans="2:2" ht="15.5" x14ac:dyDescent="0.35">
      <c r="B7616" s="183"/>
    </row>
    <row r="7617" spans="2:2" ht="15.5" x14ac:dyDescent="0.35">
      <c r="B7617" s="183"/>
    </row>
    <row r="7618" spans="2:2" ht="15.5" x14ac:dyDescent="0.35">
      <c r="B7618" s="183"/>
    </row>
    <row r="7619" spans="2:2" ht="15.5" x14ac:dyDescent="0.35">
      <c r="B7619" s="183"/>
    </row>
    <row r="7620" spans="2:2" ht="15.5" x14ac:dyDescent="0.35">
      <c r="B7620" s="183"/>
    </row>
    <row r="7621" spans="2:2" ht="15.5" x14ac:dyDescent="0.35">
      <c r="B7621" s="183"/>
    </row>
    <row r="7622" spans="2:2" ht="15.5" x14ac:dyDescent="0.35">
      <c r="B7622" s="183"/>
    </row>
    <row r="7623" spans="2:2" ht="15.5" x14ac:dyDescent="0.35">
      <c r="B7623" s="183"/>
    </row>
    <row r="7624" spans="2:2" ht="15.5" x14ac:dyDescent="0.35">
      <c r="B7624" s="183"/>
    </row>
    <row r="7625" spans="2:2" ht="15.5" x14ac:dyDescent="0.35">
      <c r="B7625" s="183"/>
    </row>
    <row r="7626" spans="2:2" ht="15.5" x14ac:dyDescent="0.35">
      <c r="B7626" s="183"/>
    </row>
    <row r="7627" spans="2:2" ht="15.5" x14ac:dyDescent="0.35">
      <c r="B7627" s="183"/>
    </row>
    <row r="7628" spans="2:2" ht="15.5" x14ac:dyDescent="0.35">
      <c r="B7628" s="183"/>
    </row>
    <row r="7629" spans="2:2" ht="15.5" x14ac:dyDescent="0.35">
      <c r="B7629" s="183"/>
    </row>
    <row r="7630" spans="2:2" ht="15.5" x14ac:dyDescent="0.35">
      <c r="B7630" s="183"/>
    </row>
    <row r="7631" spans="2:2" ht="15.5" x14ac:dyDescent="0.35">
      <c r="B7631" s="183"/>
    </row>
    <row r="7632" spans="2:2" ht="15.5" x14ac:dyDescent="0.35">
      <c r="B7632" s="183"/>
    </row>
    <row r="7633" spans="2:2" ht="15.5" x14ac:dyDescent="0.35">
      <c r="B7633" s="183"/>
    </row>
    <row r="7634" spans="2:2" ht="15.5" x14ac:dyDescent="0.35">
      <c r="B7634" s="183"/>
    </row>
    <row r="7635" spans="2:2" ht="15.5" x14ac:dyDescent="0.35">
      <c r="B7635" s="183"/>
    </row>
    <row r="7636" spans="2:2" ht="15.5" x14ac:dyDescent="0.35">
      <c r="B7636" s="183"/>
    </row>
    <row r="7637" spans="2:2" ht="15.5" x14ac:dyDescent="0.35">
      <c r="B7637" s="183"/>
    </row>
    <row r="7638" spans="2:2" ht="15.5" x14ac:dyDescent="0.35">
      <c r="B7638" s="183"/>
    </row>
    <row r="7639" spans="2:2" ht="15.5" x14ac:dyDescent="0.35">
      <c r="B7639" s="183"/>
    </row>
    <row r="7640" spans="2:2" ht="15.5" x14ac:dyDescent="0.35">
      <c r="B7640" s="183"/>
    </row>
    <row r="7641" spans="2:2" ht="15.5" x14ac:dyDescent="0.35">
      <c r="B7641" s="183"/>
    </row>
    <row r="7642" spans="2:2" ht="15.5" x14ac:dyDescent="0.35">
      <c r="B7642" s="183"/>
    </row>
    <row r="7643" spans="2:2" ht="15.5" x14ac:dyDescent="0.35">
      <c r="B7643" s="183"/>
    </row>
    <row r="7644" spans="2:2" ht="15.5" x14ac:dyDescent="0.35">
      <c r="B7644" s="183"/>
    </row>
    <row r="7645" spans="2:2" ht="15.5" x14ac:dyDescent="0.35">
      <c r="B7645" s="183"/>
    </row>
    <row r="7646" spans="2:2" ht="15.5" x14ac:dyDescent="0.35">
      <c r="B7646" s="183"/>
    </row>
    <row r="7647" spans="2:2" ht="15.5" x14ac:dyDescent="0.35">
      <c r="B7647" s="183"/>
    </row>
    <row r="7648" spans="2:2" ht="15.5" x14ac:dyDescent="0.35">
      <c r="B7648" s="183"/>
    </row>
    <row r="7649" spans="2:2" ht="15.5" x14ac:dyDescent="0.35">
      <c r="B7649" s="183"/>
    </row>
    <row r="7650" spans="2:2" ht="15.5" x14ac:dyDescent="0.35">
      <c r="B7650" s="183"/>
    </row>
    <row r="7651" spans="2:2" ht="15.5" x14ac:dyDescent="0.35">
      <c r="B7651" s="183"/>
    </row>
    <row r="7652" spans="2:2" ht="15.5" x14ac:dyDescent="0.35">
      <c r="B7652" s="183"/>
    </row>
    <row r="7653" spans="2:2" ht="15.5" x14ac:dyDescent="0.35">
      <c r="B7653" s="183"/>
    </row>
    <row r="7654" spans="2:2" ht="15.5" x14ac:dyDescent="0.35">
      <c r="B7654" s="183"/>
    </row>
    <row r="7655" spans="2:2" ht="15.5" x14ac:dyDescent="0.35">
      <c r="B7655" s="183"/>
    </row>
    <row r="7656" spans="2:2" ht="15.5" x14ac:dyDescent="0.35">
      <c r="B7656" s="183"/>
    </row>
    <row r="7657" spans="2:2" ht="15.5" x14ac:dyDescent="0.35">
      <c r="B7657" s="183"/>
    </row>
    <row r="7658" spans="2:2" ht="15.5" x14ac:dyDescent="0.35">
      <c r="B7658" s="183"/>
    </row>
    <row r="7659" spans="2:2" ht="15.5" x14ac:dyDescent="0.35">
      <c r="B7659" s="183"/>
    </row>
    <row r="7660" spans="2:2" ht="15.5" x14ac:dyDescent="0.35">
      <c r="B7660" s="183"/>
    </row>
    <row r="7661" spans="2:2" ht="15.5" x14ac:dyDescent="0.35">
      <c r="B7661" s="183"/>
    </row>
    <row r="7662" spans="2:2" ht="15.5" x14ac:dyDescent="0.35">
      <c r="B7662" s="183"/>
    </row>
    <row r="7663" spans="2:2" ht="15.5" x14ac:dyDescent="0.35">
      <c r="B7663" s="183"/>
    </row>
    <row r="7664" spans="2:2" ht="15.5" x14ac:dyDescent="0.35">
      <c r="B7664" s="183"/>
    </row>
    <row r="7665" spans="2:2" ht="15.5" x14ac:dyDescent="0.35">
      <c r="B7665" s="183"/>
    </row>
    <row r="7666" spans="2:2" ht="15.5" x14ac:dyDescent="0.35">
      <c r="B7666" s="183"/>
    </row>
    <row r="7667" spans="2:2" ht="15.5" x14ac:dyDescent="0.35">
      <c r="B7667" s="183"/>
    </row>
    <row r="7668" spans="2:2" ht="15.5" x14ac:dyDescent="0.35">
      <c r="B7668" s="183"/>
    </row>
    <row r="7669" spans="2:2" ht="15.5" x14ac:dyDescent="0.35">
      <c r="B7669" s="183"/>
    </row>
    <row r="7670" spans="2:2" ht="15.5" x14ac:dyDescent="0.35">
      <c r="B7670" s="183"/>
    </row>
    <row r="7671" spans="2:2" ht="15.5" x14ac:dyDescent="0.35">
      <c r="B7671" s="183"/>
    </row>
    <row r="7672" spans="2:2" ht="15.5" x14ac:dyDescent="0.35">
      <c r="B7672" s="183"/>
    </row>
    <row r="7673" spans="2:2" ht="15.5" x14ac:dyDescent="0.35">
      <c r="B7673" s="183"/>
    </row>
    <row r="7674" spans="2:2" ht="15.5" x14ac:dyDescent="0.35">
      <c r="B7674" s="183"/>
    </row>
    <row r="7675" spans="2:2" ht="15.5" x14ac:dyDescent="0.35">
      <c r="B7675" s="183"/>
    </row>
    <row r="7676" spans="2:2" ht="15.5" x14ac:dyDescent="0.35">
      <c r="B7676" s="183"/>
    </row>
    <row r="7677" spans="2:2" ht="15.5" x14ac:dyDescent="0.35">
      <c r="B7677" s="183"/>
    </row>
    <row r="7678" spans="2:2" ht="15.5" x14ac:dyDescent="0.35">
      <c r="B7678" s="183"/>
    </row>
    <row r="7679" spans="2:2" ht="15.5" x14ac:dyDescent="0.35">
      <c r="B7679" s="183"/>
    </row>
    <row r="7680" spans="2:2" ht="15.5" x14ac:dyDescent="0.35">
      <c r="B7680" s="183"/>
    </row>
    <row r="7681" spans="2:2" ht="15.5" x14ac:dyDescent="0.35">
      <c r="B7681" s="183"/>
    </row>
    <row r="7682" spans="2:2" ht="15.5" x14ac:dyDescent="0.35">
      <c r="B7682" s="183"/>
    </row>
    <row r="7683" spans="2:2" ht="15.5" x14ac:dyDescent="0.35">
      <c r="B7683" s="183"/>
    </row>
    <row r="7684" spans="2:2" ht="15.5" x14ac:dyDescent="0.35">
      <c r="B7684" s="183"/>
    </row>
    <row r="7685" spans="2:2" ht="15.5" x14ac:dyDescent="0.35">
      <c r="B7685" s="183"/>
    </row>
    <row r="7686" spans="2:2" ht="15.5" x14ac:dyDescent="0.35">
      <c r="B7686" s="183"/>
    </row>
    <row r="7687" spans="2:2" ht="15.5" x14ac:dyDescent="0.35">
      <c r="B7687" s="183"/>
    </row>
    <row r="7688" spans="2:2" ht="15.5" x14ac:dyDescent="0.35">
      <c r="B7688" s="183"/>
    </row>
    <row r="7689" spans="2:2" ht="15.5" x14ac:dyDescent="0.35">
      <c r="B7689" s="183"/>
    </row>
    <row r="7690" spans="2:2" ht="15.5" x14ac:dyDescent="0.35">
      <c r="B7690" s="183"/>
    </row>
    <row r="7691" spans="2:2" ht="15.5" x14ac:dyDescent="0.35">
      <c r="B7691" s="183"/>
    </row>
    <row r="7692" spans="2:2" ht="15.5" x14ac:dyDescent="0.35">
      <c r="B7692" s="183"/>
    </row>
    <row r="7693" spans="2:2" ht="15.5" x14ac:dyDescent="0.35">
      <c r="B7693" s="183"/>
    </row>
    <row r="7694" spans="2:2" ht="15.5" x14ac:dyDescent="0.35">
      <c r="B7694" s="183"/>
    </row>
    <row r="7695" spans="2:2" ht="15.5" x14ac:dyDescent="0.35">
      <c r="B7695" s="183"/>
    </row>
    <row r="7696" spans="2:2" ht="15.5" x14ac:dyDescent="0.35">
      <c r="B7696" s="183"/>
    </row>
    <row r="7697" spans="2:2" ht="15.5" x14ac:dyDescent="0.35">
      <c r="B7697" s="183"/>
    </row>
    <row r="7698" spans="2:2" ht="15.5" x14ac:dyDescent="0.35">
      <c r="B7698" s="183"/>
    </row>
    <row r="7699" spans="2:2" ht="15.5" x14ac:dyDescent="0.35">
      <c r="B7699" s="183"/>
    </row>
    <row r="7700" spans="2:2" ht="15.5" x14ac:dyDescent="0.35">
      <c r="B7700" s="183"/>
    </row>
    <row r="7701" spans="2:2" ht="15.5" x14ac:dyDescent="0.35">
      <c r="B7701" s="183"/>
    </row>
    <row r="7702" spans="2:2" ht="15.5" x14ac:dyDescent="0.35">
      <c r="B7702" s="183"/>
    </row>
    <row r="7703" spans="2:2" ht="15.5" x14ac:dyDescent="0.35">
      <c r="B7703" s="183"/>
    </row>
    <row r="7704" spans="2:2" ht="15.5" x14ac:dyDescent="0.35">
      <c r="B7704" s="183"/>
    </row>
    <row r="7705" spans="2:2" ht="15.5" x14ac:dyDescent="0.35">
      <c r="B7705" s="183"/>
    </row>
    <row r="7706" spans="2:2" ht="15.5" x14ac:dyDescent="0.35">
      <c r="B7706" s="183"/>
    </row>
    <row r="7707" spans="2:2" ht="15.5" x14ac:dyDescent="0.35">
      <c r="B7707" s="183"/>
    </row>
    <row r="7708" spans="2:2" ht="15.5" x14ac:dyDescent="0.35">
      <c r="B7708" s="183"/>
    </row>
    <row r="7709" spans="2:2" ht="15.5" x14ac:dyDescent="0.35">
      <c r="B7709" s="183"/>
    </row>
    <row r="7710" spans="2:2" ht="15.5" x14ac:dyDescent="0.35">
      <c r="B7710" s="183"/>
    </row>
    <row r="7711" spans="2:2" ht="15.5" x14ac:dyDescent="0.35">
      <c r="B7711" s="183"/>
    </row>
    <row r="7712" spans="2:2" ht="15.5" x14ac:dyDescent="0.35">
      <c r="B7712" s="183"/>
    </row>
    <row r="7713" spans="2:2" ht="15.5" x14ac:dyDescent="0.35">
      <c r="B7713" s="183"/>
    </row>
    <row r="7714" spans="2:2" ht="15.5" x14ac:dyDescent="0.35">
      <c r="B7714" s="183"/>
    </row>
    <row r="7715" spans="2:2" ht="15.5" x14ac:dyDescent="0.35">
      <c r="B7715" s="183"/>
    </row>
    <row r="7716" spans="2:2" ht="15.5" x14ac:dyDescent="0.35">
      <c r="B7716" s="183"/>
    </row>
    <row r="7717" spans="2:2" ht="15.5" x14ac:dyDescent="0.35">
      <c r="B7717" s="183"/>
    </row>
    <row r="7718" spans="2:2" ht="15.5" x14ac:dyDescent="0.35">
      <c r="B7718" s="183"/>
    </row>
    <row r="7719" spans="2:2" ht="15.5" x14ac:dyDescent="0.35">
      <c r="B7719" s="183"/>
    </row>
    <row r="7720" spans="2:2" ht="15.5" x14ac:dyDescent="0.35">
      <c r="B7720" s="183"/>
    </row>
    <row r="7721" spans="2:2" ht="15.5" x14ac:dyDescent="0.35">
      <c r="B7721" s="183"/>
    </row>
    <row r="7722" spans="2:2" ht="15.5" x14ac:dyDescent="0.35">
      <c r="B7722" s="183"/>
    </row>
    <row r="7723" spans="2:2" ht="15.5" x14ac:dyDescent="0.35">
      <c r="B7723" s="183"/>
    </row>
    <row r="7724" spans="2:2" ht="15.5" x14ac:dyDescent="0.35">
      <c r="B7724" s="183"/>
    </row>
    <row r="7725" spans="2:2" ht="15.5" x14ac:dyDescent="0.35">
      <c r="B7725" s="183"/>
    </row>
    <row r="7726" spans="2:2" ht="15.5" x14ac:dyDescent="0.35">
      <c r="B7726" s="183"/>
    </row>
    <row r="7727" spans="2:2" ht="15.5" x14ac:dyDescent="0.35">
      <c r="B7727" s="183"/>
    </row>
    <row r="7728" spans="2:2" ht="15.5" x14ac:dyDescent="0.35">
      <c r="B7728" s="183"/>
    </row>
    <row r="7729" spans="2:2" ht="15.5" x14ac:dyDescent="0.35">
      <c r="B7729" s="183"/>
    </row>
    <row r="7730" spans="2:2" ht="15.5" x14ac:dyDescent="0.35">
      <c r="B7730" s="183"/>
    </row>
    <row r="7731" spans="2:2" ht="15.5" x14ac:dyDescent="0.35">
      <c r="B7731" s="183"/>
    </row>
    <row r="7732" spans="2:2" ht="15.5" x14ac:dyDescent="0.35">
      <c r="B7732" s="183"/>
    </row>
    <row r="7733" spans="2:2" ht="15.5" x14ac:dyDescent="0.35">
      <c r="B7733" s="183"/>
    </row>
    <row r="7734" spans="2:2" ht="15.5" x14ac:dyDescent="0.35">
      <c r="B7734" s="183"/>
    </row>
    <row r="7735" spans="2:2" ht="15.5" x14ac:dyDescent="0.35">
      <c r="B7735" s="183"/>
    </row>
    <row r="7736" spans="2:2" ht="15.5" x14ac:dyDescent="0.35">
      <c r="B7736" s="183"/>
    </row>
    <row r="7737" spans="2:2" ht="15.5" x14ac:dyDescent="0.35">
      <c r="B7737" s="183"/>
    </row>
    <row r="7738" spans="2:2" ht="15.5" x14ac:dyDescent="0.35">
      <c r="B7738" s="183"/>
    </row>
    <row r="7739" spans="2:2" ht="15.5" x14ac:dyDescent="0.35">
      <c r="B7739" s="183"/>
    </row>
    <row r="7740" spans="2:2" ht="15.5" x14ac:dyDescent="0.35">
      <c r="B7740" s="183"/>
    </row>
    <row r="7741" spans="2:2" ht="15.5" x14ac:dyDescent="0.35">
      <c r="B7741" s="183"/>
    </row>
    <row r="7742" spans="2:2" ht="15.5" x14ac:dyDescent="0.35">
      <c r="B7742" s="183"/>
    </row>
    <row r="7743" spans="2:2" ht="15.5" x14ac:dyDescent="0.35">
      <c r="B7743" s="183"/>
    </row>
    <row r="7744" spans="2:2" ht="15.5" x14ac:dyDescent="0.35">
      <c r="B7744" s="183"/>
    </row>
    <row r="7745" spans="2:2" ht="15.5" x14ac:dyDescent="0.35">
      <c r="B7745" s="183"/>
    </row>
    <row r="7746" spans="2:2" ht="15.5" x14ac:dyDescent="0.35">
      <c r="B7746" s="183"/>
    </row>
    <row r="7747" spans="2:2" ht="15.5" x14ac:dyDescent="0.35">
      <c r="B7747" s="183"/>
    </row>
    <row r="7748" spans="2:2" ht="15.5" x14ac:dyDescent="0.35">
      <c r="B7748" s="183"/>
    </row>
    <row r="7749" spans="2:2" ht="15.5" x14ac:dyDescent="0.35">
      <c r="B7749" s="183"/>
    </row>
    <row r="7750" spans="2:2" ht="15.5" x14ac:dyDescent="0.35">
      <c r="B7750" s="183"/>
    </row>
    <row r="7751" spans="2:2" ht="15.5" x14ac:dyDescent="0.35">
      <c r="B7751" s="183"/>
    </row>
    <row r="7752" spans="2:2" ht="15.5" x14ac:dyDescent="0.35">
      <c r="B7752" s="183"/>
    </row>
    <row r="7753" spans="2:2" ht="15.5" x14ac:dyDescent="0.35">
      <c r="B7753" s="183"/>
    </row>
    <row r="7754" spans="2:2" ht="15.5" x14ac:dyDescent="0.35">
      <c r="B7754" s="183"/>
    </row>
    <row r="7755" spans="2:2" ht="15.5" x14ac:dyDescent="0.35">
      <c r="B7755" s="183"/>
    </row>
    <row r="7756" spans="2:2" ht="15.5" x14ac:dyDescent="0.35">
      <c r="B7756" s="183"/>
    </row>
    <row r="7757" spans="2:2" ht="15.5" x14ac:dyDescent="0.35">
      <c r="B7757" s="183"/>
    </row>
    <row r="7758" spans="2:2" ht="15.5" x14ac:dyDescent="0.35">
      <c r="B7758" s="183"/>
    </row>
    <row r="7759" spans="2:2" ht="15.5" x14ac:dyDescent="0.35">
      <c r="B7759" s="183"/>
    </row>
    <row r="7760" spans="2:2" ht="15.5" x14ac:dyDescent="0.35">
      <c r="B7760" s="183"/>
    </row>
    <row r="7761" spans="2:2" ht="15.5" x14ac:dyDescent="0.35">
      <c r="B7761" s="183"/>
    </row>
    <row r="7762" spans="2:2" ht="15.5" x14ac:dyDescent="0.35">
      <c r="B7762" s="183"/>
    </row>
    <row r="7763" spans="2:2" ht="15.5" x14ac:dyDescent="0.35">
      <c r="B7763" s="183"/>
    </row>
    <row r="7764" spans="2:2" ht="15.5" x14ac:dyDescent="0.35">
      <c r="B7764" s="183"/>
    </row>
    <row r="7765" spans="2:2" ht="15.5" x14ac:dyDescent="0.35">
      <c r="B7765" s="183"/>
    </row>
    <row r="7766" spans="2:2" ht="15.5" x14ac:dyDescent="0.35">
      <c r="B7766" s="183"/>
    </row>
    <row r="7767" spans="2:2" ht="15.5" x14ac:dyDescent="0.35">
      <c r="B7767" s="183"/>
    </row>
    <row r="7768" spans="2:2" ht="15.5" x14ac:dyDescent="0.35">
      <c r="B7768" s="183"/>
    </row>
    <row r="7769" spans="2:2" ht="15.5" x14ac:dyDescent="0.35">
      <c r="B7769" s="183"/>
    </row>
    <row r="7770" spans="2:2" ht="15.5" x14ac:dyDescent="0.35">
      <c r="B7770" s="183"/>
    </row>
    <row r="7771" spans="2:2" ht="15.5" x14ac:dyDescent="0.35">
      <c r="B7771" s="183"/>
    </row>
    <row r="7772" spans="2:2" ht="15.5" x14ac:dyDescent="0.35">
      <c r="B7772" s="183"/>
    </row>
    <row r="7773" spans="2:2" ht="15.5" x14ac:dyDescent="0.35">
      <c r="B7773" s="183"/>
    </row>
    <row r="7774" spans="2:2" ht="15.5" x14ac:dyDescent="0.35">
      <c r="B7774" s="183"/>
    </row>
    <row r="7775" spans="2:2" ht="15.5" x14ac:dyDescent="0.35">
      <c r="B7775" s="183"/>
    </row>
    <row r="7776" spans="2:2" ht="15.5" x14ac:dyDescent="0.35">
      <c r="B7776" s="183"/>
    </row>
    <row r="7777" spans="2:2" ht="15.5" x14ac:dyDescent="0.35">
      <c r="B7777" s="183"/>
    </row>
    <row r="7778" spans="2:2" ht="15.5" x14ac:dyDescent="0.35">
      <c r="B7778" s="183"/>
    </row>
    <row r="7779" spans="2:2" ht="15.5" x14ac:dyDescent="0.35">
      <c r="B7779" s="183"/>
    </row>
    <row r="7780" spans="2:2" ht="15.5" x14ac:dyDescent="0.35">
      <c r="B7780" s="183"/>
    </row>
    <row r="7781" spans="2:2" ht="15.5" x14ac:dyDescent="0.35">
      <c r="B7781" s="183"/>
    </row>
    <row r="7782" spans="2:2" ht="15.5" x14ac:dyDescent="0.35">
      <c r="B7782" s="183"/>
    </row>
    <row r="7783" spans="2:2" ht="15.5" x14ac:dyDescent="0.35">
      <c r="B7783" s="183"/>
    </row>
    <row r="7784" spans="2:2" ht="15.5" x14ac:dyDescent="0.35">
      <c r="B7784" s="183"/>
    </row>
    <row r="7785" spans="2:2" ht="15.5" x14ac:dyDescent="0.35">
      <c r="B7785" s="183"/>
    </row>
    <row r="7786" spans="2:2" ht="15.5" x14ac:dyDescent="0.35">
      <c r="B7786" s="183"/>
    </row>
    <row r="7787" spans="2:2" ht="15.5" x14ac:dyDescent="0.35">
      <c r="B7787" s="183"/>
    </row>
    <row r="7788" spans="2:2" ht="15.5" x14ac:dyDescent="0.35">
      <c r="B7788" s="183"/>
    </row>
    <row r="7789" spans="2:2" ht="15.5" x14ac:dyDescent="0.35">
      <c r="B7789" s="183"/>
    </row>
    <row r="7790" spans="2:2" ht="15.5" x14ac:dyDescent="0.35">
      <c r="B7790" s="183"/>
    </row>
    <row r="7791" spans="2:2" ht="15.5" x14ac:dyDescent="0.35">
      <c r="B7791" s="183"/>
    </row>
    <row r="7792" spans="2:2" ht="15.5" x14ac:dyDescent="0.35">
      <c r="B7792" s="183"/>
    </row>
    <row r="7793" spans="2:2" ht="15.5" x14ac:dyDescent="0.35">
      <c r="B7793" s="183"/>
    </row>
    <row r="7794" spans="2:2" ht="15.5" x14ac:dyDescent="0.35">
      <c r="B7794" s="183"/>
    </row>
    <row r="7795" spans="2:2" ht="15.5" x14ac:dyDescent="0.35">
      <c r="B7795" s="183"/>
    </row>
    <row r="7796" spans="2:2" ht="15.5" x14ac:dyDescent="0.35">
      <c r="B7796" s="183"/>
    </row>
    <row r="7797" spans="2:2" ht="15.5" x14ac:dyDescent="0.35">
      <c r="B7797" s="183"/>
    </row>
    <row r="7798" spans="2:2" ht="15.5" x14ac:dyDescent="0.35">
      <c r="B7798" s="183"/>
    </row>
    <row r="7799" spans="2:2" ht="15.5" x14ac:dyDescent="0.35">
      <c r="B7799" s="183"/>
    </row>
    <row r="7800" spans="2:2" ht="15.5" x14ac:dyDescent="0.35">
      <c r="B7800" s="183"/>
    </row>
    <row r="7801" spans="2:2" ht="15.5" x14ac:dyDescent="0.35">
      <c r="B7801" s="183"/>
    </row>
    <row r="7802" spans="2:2" ht="15.5" x14ac:dyDescent="0.35">
      <c r="B7802" s="183"/>
    </row>
    <row r="7803" spans="2:2" ht="15.5" x14ac:dyDescent="0.35">
      <c r="B7803" s="183"/>
    </row>
    <row r="7804" spans="2:2" ht="15.5" x14ac:dyDescent="0.35">
      <c r="B7804" s="183"/>
    </row>
    <row r="7805" spans="2:2" ht="15.5" x14ac:dyDescent="0.35">
      <c r="B7805" s="183"/>
    </row>
    <row r="7806" spans="2:2" ht="15.5" x14ac:dyDescent="0.35">
      <c r="B7806" s="183"/>
    </row>
    <row r="7807" spans="2:2" ht="15.5" x14ac:dyDescent="0.35">
      <c r="B7807" s="183"/>
    </row>
    <row r="7808" spans="2:2" ht="15.5" x14ac:dyDescent="0.35">
      <c r="B7808" s="183"/>
    </row>
    <row r="7809" spans="2:2" ht="15.5" x14ac:dyDescent="0.35">
      <c r="B7809" s="183"/>
    </row>
    <row r="7810" spans="2:2" ht="15.5" x14ac:dyDescent="0.35">
      <c r="B7810" s="183"/>
    </row>
    <row r="7811" spans="2:2" ht="15.5" x14ac:dyDescent="0.35">
      <c r="B7811" s="183"/>
    </row>
    <row r="7812" spans="2:2" ht="15.5" x14ac:dyDescent="0.35">
      <c r="B7812" s="183"/>
    </row>
    <row r="7813" spans="2:2" ht="15.5" x14ac:dyDescent="0.35">
      <c r="B7813" s="183"/>
    </row>
    <row r="7814" spans="2:2" ht="15.5" x14ac:dyDescent="0.35">
      <c r="B7814" s="183"/>
    </row>
    <row r="7815" spans="2:2" ht="15.5" x14ac:dyDescent="0.35">
      <c r="B7815" s="183"/>
    </row>
    <row r="7816" spans="2:2" ht="15.5" x14ac:dyDescent="0.35">
      <c r="B7816" s="183"/>
    </row>
    <row r="7817" spans="2:2" ht="15.5" x14ac:dyDescent="0.35">
      <c r="B7817" s="183"/>
    </row>
    <row r="7818" spans="2:2" ht="15.5" x14ac:dyDescent="0.35">
      <c r="B7818" s="183"/>
    </row>
    <row r="7819" spans="2:2" ht="15.5" x14ac:dyDescent="0.35">
      <c r="B7819" s="183"/>
    </row>
    <row r="7820" spans="2:2" ht="15.5" x14ac:dyDescent="0.35">
      <c r="B7820" s="183"/>
    </row>
    <row r="7821" spans="2:2" ht="15.5" x14ac:dyDescent="0.35">
      <c r="B7821" s="183"/>
    </row>
    <row r="7822" spans="2:2" ht="15.5" x14ac:dyDescent="0.35">
      <c r="B7822" s="183"/>
    </row>
    <row r="7823" spans="2:2" ht="15.5" x14ac:dyDescent="0.35">
      <c r="B7823" s="183"/>
    </row>
    <row r="7824" spans="2:2" ht="15.5" x14ac:dyDescent="0.35">
      <c r="B7824" s="183"/>
    </row>
    <row r="7825" spans="2:2" ht="15.5" x14ac:dyDescent="0.35">
      <c r="B7825" s="183"/>
    </row>
    <row r="7826" spans="2:2" ht="15.5" x14ac:dyDescent="0.35">
      <c r="B7826" s="183"/>
    </row>
    <row r="7827" spans="2:2" ht="15.5" x14ac:dyDescent="0.35">
      <c r="B7827" s="183"/>
    </row>
    <row r="7828" spans="2:2" ht="15.5" x14ac:dyDescent="0.35">
      <c r="B7828" s="183"/>
    </row>
    <row r="7829" spans="2:2" ht="15.5" x14ac:dyDescent="0.35">
      <c r="B7829" s="183"/>
    </row>
    <row r="7830" spans="2:2" ht="15.5" x14ac:dyDescent="0.35">
      <c r="B7830" s="183"/>
    </row>
    <row r="7831" spans="2:2" ht="15.5" x14ac:dyDescent="0.35">
      <c r="B7831" s="183"/>
    </row>
    <row r="7832" spans="2:2" ht="15.5" x14ac:dyDescent="0.35">
      <c r="B7832" s="183"/>
    </row>
    <row r="7833" spans="2:2" ht="15.5" x14ac:dyDescent="0.35">
      <c r="B7833" s="183"/>
    </row>
    <row r="7834" spans="2:2" ht="15.5" x14ac:dyDescent="0.35">
      <c r="B7834" s="183"/>
    </row>
    <row r="7835" spans="2:2" ht="15.5" x14ac:dyDescent="0.35">
      <c r="B7835" s="183"/>
    </row>
    <row r="7836" spans="2:2" ht="15.5" x14ac:dyDescent="0.35">
      <c r="B7836" s="183"/>
    </row>
    <row r="7837" spans="2:2" ht="15.5" x14ac:dyDescent="0.35">
      <c r="B7837" s="183"/>
    </row>
    <row r="7838" spans="2:2" ht="15.5" x14ac:dyDescent="0.35">
      <c r="B7838" s="183"/>
    </row>
    <row r="7839" spans="2:2" ht="15.5" x14ac:dyDescent="0.35">
      <c r="B7839" s="183"/>
    </row>
    <row r="7840" spans="2:2" ht="15.5" x14ac:dyDescent="0.35">
      <c r="B7840" s="183"/>
    </row>
    <row r="7841" spans="2:2" ht="15.5" x14ac:dyDescent="0.35">
      <c r="B7841" s="183"/>
    </row>
    <row r="7842" spans="2:2" ht="15.5" x14ac:dyDescent="0.35">
      <c r="B7842" s="183"/>
    </row>
    <row r="7843" spans="2:2" ht="15.5" x14ac:dyDescent="0.35">
      <c r="B7843" s="183"/>
    </row>
    <row r="7844" spans="2:2" ht="15.5" x14ac:dyDescent="0.35">
      <c r="B7844" s="183"/>
    </row>
    <row r="7845" spans="2:2" ht="15.5" x14ac:dyDescent="0.35">
      <c r="B7845" s="183"/>
    </row>
    <row r="7846" spans="2:2" ht="15.5" x14ac:dyDescent="0.35">
      <c r="B7846" s="183"/>
    </row>
    <row r="7847" spans="2:2" ht="15.5" x14ac:dyDescent="0.35">
      <c r="B7847" s="183"/>
    </row>
    <row r="7848" spans="2:2" ht="15.5" x14ac:dyDescent="0.35">
      <c r="B7848" s="183"/>
    </row>
    <row r="7849" spans="2:2" ht="15.5" x14ac:dyDescent="0.35">
      <c r="B7849" s="183"/>
    </row>
    <row r="7850" spans="2:2" ht="15.5" x14ac:dyDescent="0.35">
      <c r="B7850" s="183"/>
    </row>
    <row r="7851" spans="2:2" ht="15.5" x14ac:dyDescent="0.35">
      <c r="B7851" s="183"/>
    </row>
    <row r="7852" spans="2:2" ht="15.5" x14ac:dyDescent="0.35">
      <c r="B7852" s="183"/>
    </row>
    <row r="7853" spans="2:2" ht="15.5" x14ac:dyDescent="0.35">
      <c r="B7853" s="183"/>
    </row>
    <row r="7854" spans="2:2" ht="15.5" x14ac:dyDescent="0.35">
      <c r="B7854" s="183"/>
    </row>
    <row r="7855" spans="2:2" ht="15.5" x14ac:dyDescent="0.35">
      <c r="B7855" s="183"/>
    </row>
    <row r="7856" spans="2:2" ht="15.5" x14ac:dyDescent="0.35">
      <c r="B7856" s="183"/>
    </row>
    <row r="7857" spans="2:2" ht="15.5" x14ac:dyDescent="0.35">
      <c r="B7857" s="183"/>
    </row>
    <row r="7858" spans="2:2" ht="15.5" x14ac:dyDescent="0.35">
      <c r="B7858" s="183"/>
    </row>
    <row r="7859" spans="2:2" ht="15.5" x14ac:dyDescent="0.35">
      <c r="B7859" s="183"/>
    </row>
    <row r="7860" spans="2:2" ht="15.5" x14ac:dyDescent="0.35">
      <c r="B7860" s="183"/>
    </row>
    <row r="7861" spans="2:2" ht="15.5" x14ac:dyDescent="0.35">
      <c r="B7861" s="183"/>
    </row>
    <row r="7862" spans="2:2" ht="15.5" x14ac:dyDescent="0.35">
      <c r="B7862" s="183"/>
    </row>
    <row r="7863" spans="2:2" ht="15.5" x14ac:dyDescent="0.35">
      <c r="B7863" s="183"/>
    </row>
    <row r="7864" spans="2:2" ht="15.5" x14ac:dyDescent="0.35">
      <c r="B7864" s="183"/>
    </row>
    <row r="7865" spans="2:2" ht="15.5" x14ac:dyDescent="0.35">
      <c r="B7865" s="183"/>
    </row>
    <row r="7866" spans="2:2" ht="15.5" x14ac:dyDescent="0.35">
      <c r="B7866" s="183"/>
    </row>
    <row r="7867" spans="2:2" ht="15.5" x14ac:dyDescent="0.35">
      <c r="B7867" s="183"/>
    </row>
    <row r="7868" spans="2:2" ht="15.5" x14ac:dyDescent="0.35">
      <c r="B7868" s="183"/>
    </row>
    <row r="7869" spans="2:2" ht="15.5" x14ac:dyDescent="0.35">
      <c r="B7869" s="183"/>
    </row>
    <row r="7870" spans="2:2" ht="15.5" x14ac:dyDescent="0.35">
      <c r="B7870" s="183"/>
    </row>
    <row r="7871" spans="2:2" ht="15.5" x14ac:dyDescent="0.35">
      <c r="B7871" s="183"/>
    </row>
    <row r="7872" spans="2:2" ht="15.5" x14ac:dyDescent="0.35">
      <c r="B7872" s="183"/>
    </row>
    <row r="7873" spans="2:2" ht="15.5" x14ac:dyDescent="0.35">
      <c r="B7873" s="183"/>
    </row>
    <row r="7874" spans="2:2" ht="15.5" x14ac:dyDescent="0.35">
      <c r="B7874" s="183"/>
    </row>
    <row r="7875" spans="2:2" ht="15.5" x14ac:dyDescent="0.35">
      <c r="B7875" s="183"/>
    </row>
    <row r="7876" spans="2:2" ht="15.5" x14ac:dyDescent="0.35">
      <c r="B7876" s="183"/>
    </row>
    <row r="7877" spans="2:2" ht="15.5" x14ac:dyDescent="0.35">
      <c r="B7877" s="183"/>
    </row>
    <row r="7878" spans="2:2" ht="15.5" x14ac:dyDescent="0.35">
      <c r="B7878" s="183"/>
    </row>
    <row r="7879" spans="2:2" ht="15.5" x14ac:dyDescent="0.35">
      <c r="B7879" s="183"/>
    </row>
    <row r="7880" spans="2:2" ht="15.5" x14ac:dyDescent="0.35">
      <c r="B7880" s="183"/>
    </row>
    <row r="7881" spans="2:2" ht="15.5" x14ac:dyDescent="0.35">
      <c r="B7881" s="183"/>
    </row>
    <row r="7882" spans="2:2" ht="15.5" x14ac:dyDescent="0.35">
      <c r="B7882" s="183"/>
    </row>
    <row r="7883" spans="2:2" ht="15.5" x14ac:dyDescent="0.35">
      <c r="B7883" s="183"/>
    </row>
    <row r="7884" spans="2:2" ht="15.5" x14ac:dyDescent="0.35">
      <c r="B7884" s="183"/>
    </row>
    <row r="7885" spans="2:2" ht="15.5" x14ac:dyDescent="0.35">
      <c r="B7885" s="183"/>
    </row>
    <row r="7886" spans="2:2" ht="15.5" x14ac:dyDescent="0.35">
      <c r="B7886" s="183"/>
    </row>
    <row r="7887" spans="2:2" ht="15.5" x14ac:dyDescent="0.35">
      <c r="B7887" s="183"/>
    </row>
    <row r="7888" spans="2:2" ht="15.5" x14ac:dyDescent="0.35">
      <c r="B7888" s="183"/>
    </row>
    <row r="7889" spans="2:2" ht="15.5" x14ac:dyDescent="0.35">
      <c r="B7889" s="183"/>
    </row>
    <row r="7890" spans="2:2" ht="15.5" x14ac:dyDescent="0.35">
      <c r="B7890" s="183"/>
    </row>
    <row r="7891" spans="2:2" ht="15.5" x14ac:dyDescent="0.35">
      <c r="B7891" s="183"/>
    </row>
    <row r="7892" spans="2:2" ht="15.5" x14ac:dyDescent="0.35">
      <c r="B7892" s="183"/>
    </row>
    <row r="7893" spans="2:2" ht="15.5" x14ac:dyDescent="0.35">
      <c r="B7893" s="183"/>
    </row>
    <row r="7894" spans="2:2" ht="15.5" x14ac:dyDescent="0.35">
      <c r="B7894" s="183"/>
    </row>
    <row r="7895" spans="2:2" ht="15.5" x14ac:dyDescent="0.35">
      <c r="B7895" s="183"/>
    </row>
    <row r="7896" spans="2:2" ht="15.5" x14ac:dyDescent="0.35">
      <c r="B7896" s="183"/>
    </row>
    <row r="7897" spans="2:2" ht="15.5" x14ac:dyDescent="0.35">
      <c r="B7897" s="183"/>
    </row>
    <row r="7898" spans="2:2" ht="15.5" x14ac:dyDescent="0.35">
      <c r="B7898" s="183"/>
    </row>
    <row r="7899" spans="2:2" ht="15.5" x14ac:dyDescent="0.35">
      <c r="B7899" s="183"/>
    </row>
    <row r="7900" spans="2:2" ht="15.5" x14ac:dyDescent="0.35">
      <c r="B7900" s="183"/>
    </row>
    <row r="7901" spans="2:2" ht="15.5" x14ac:dyDescent="0.35">
      <c r="B7901" s="183"/>
    </row>
    <row r="7902" spans="2:2" ht="15.5" x14ac:dyDescent="0.35">
      <c r="B7902" s="183"/>
    </row>
    <row r="7903" spans="2:2" ht="15.5" x14ac:dyDescent="0.35">
      <c r="B7903" s="183"/>
    </row>
    <row r="7904" spans="2:2" ht="15.5" x14ac:dyDescent="0.35">
      <c r="B7904" s="183"/>
    </row>
    <row r="7905" spans="2:2" ht="15.5" x14ac:dyDescent="0.35">
      <c r="B7905" s="183"/>
    </row>
    <row r="7906" spans="2:2" ht="15.5" x14ac:dyDescent="0.35">
      <c r="B7906" s="183"/>
    </row>
    <row r="7907" spans="2:2" ht="15.5" x14ac:dyDescent="0.35">
      <c r="B7907" s="183"/>
    </row>
    <row r="7908" spans="2:2" ht="15.5" x14ac:dyDescent="0.35">
      <c r="B7908" s="183"/>
    </row>
    <row r="7909" spans="2:2" ht="15.5" x14ac:dyDescent="0.35">
      <c r="B7909" s="183"/>
    </row>
    <row r="7910" spans="2:2" ht="15.5" x14ac:dyDescent="0.35">
      <c r="B7910" s="183"/>
    </row>
    <row r="7911" spans="2:2" ht="15.5" x14ac:dyDescent="0.35">
      <c r="B7911" s="183"/>
    </row>
    <row r="7912" spans="2:2" ht="15.5" x14ac:dyDescent="0.35">
      <c r="B7912" s="183"/>
    </row>
    <row r="7913" spans="2:2" ht="15.5" x14ac:dyDescent="0.35">
      <c r="B7913" s="183"/>
    </row>
    <row r="7914" spans="2:2" ht="15.5" x14ac:dyDescent="0.35">
      <c r="B7914" s="183"/>
    </row>
    <row r="7915" spans="2:2" ht="15.5" x14ac:dyDescent="0.35">
      <c r="B7915" s="183"/>
    </row>
    <row r="7916" spans="2:2" ht="15.5" x14ac:dyDescent="0.35">
      <c r="B7916" s="183"/>
    </row>
    <row r="7917" spans="2:2" ht="15.5" x14ac:dyDescent="0.35">
      <c r="B7917" s="183"/>
    </row>
    <row r="7918" spans="2:2" ht="15.5" x14ac:dyDescent="0.35">
      <c r="B7918" s="183"/>
    </row>
    <row r="7919" spans="2:2" ht="15.5" x14ac:dyDescent="0.35">
      <c r="B7919" s="183"/>
    </row>
    <row r="7920" spans="2:2" ht="15.5" x14ac:dyDescent="0.35">
      <c r="B7920" s="183"/>
    </row>
    <row r="7921" spans="2:2" ht="15.5" x14ac:dyDescent="0.35">
      <c r="B7921" s="183"/>
    </row>
    <row r="7922" spans="2:2" ht="15.5" x14ac:dyDescent="0.35">
      <c r="B7922" s="183"/>
    </row>
    <row r="7923" spans="2:2" ht="15.5" x14ac:dyDescent="0.35">
      <c r="B7923" s="183"/>
    </row>
    <row r="7924" spans="2:2" ht="15.5" x14ac:dyDescent="0.35">
      <c r="B7924" s="183"/>
    </row>
    <row r="7925" spans="2:2" ht="15.5" x14ac:dyDescent="0.35">
      <c r="B7925" s="183"/>
    </row>
    <row r="7926" spans="2:2" ht="15.5" x14ac:dyDescent="0.35">
      <c r="B7926" s="183"/>
    </row>
    <row r="7927" spans="2:2" ht="15.5" x14ac:dyDescent="0.35">
      <c r="B7927" s="183"/>
    </row>
    <row r="7928" spans="2:2" ht="15.5" x14ac:dyDescent="0.35">
      <c r="B7928" s="183"/>
    </row>
    <row r="7929" spans="2:2" ht="15.5" x14ac:dyDescent="0.35">
      <c r="B7929" s="183"/>
    </row>
    <row r="7930" spans="2:2" ht="15.5" x14ac:dyDescent="0.35">
      <c r="B7930" s="183"/>
    </row>
    <row r="7931" spans="2:2" ht="15.5" x14ac:dyDescent="0.35">
      <c r="B7931" s="183"/>
    </row>
    <row r="7932" spans="2:2" ht="15.5" x14ac:dyDescent="0.35">
      <c r="B7932" s="183"/>
    </row>
    <row r="7933" spans="2:2" ht="15.5" x14ac:dyDescent="0.35">
      <c r="B7933" s="183"/>
    </row>
    <row r="7934" spans="2:2" ht="15.5" x14ac:dyDescent="0.35">
      <c r="B7934" s="183"/>
    </row>
    <row r="7935" spans="2:2" ht="15.5" x14ac:dyDescent="0.35">
      <c r="B7935" s="183"/>
    </row>
    <row r="7936" spans="2:2" ht="15.5" x14ac:dyDescent="0.35">
      <c r="B7936" s="183"/>
    </row>
    <row r="7937" spans="2:2" ht="15.5" x14ac:dyDescent="0.35">
      <c r="B7937" s="183"/>
    </row>
    <row r="7938" spans="2:2" ht="15.5" x14ac:dyDescent="0.35">
      <c r="B7938" s="183"/>
    </row>
    <row r="7939" spans="2:2" ht="15.5" x14ac:dyDescent="0.35">
      <c r="B7939" s="183"/>
    </row>
    <row r="7940" spans="2:2" ht="15.5" x14ac:dyDescent="0.35">
      <c r="B7940" s="183"/>
    </row>
    <row r="7941" spans="2:2" ht="15.5" x14ac:dyDescent="0.35">
      <c r="B7941" s="183"/>
    </row>
    <row r="7942" spans="2:2" ht="15.5" x14ac:dyDescent="0.35">
      <c r="B7942" s="183"/>
    </row>
    <row r="7943" spans="2:2" ht="15.5" x14ac:dyDescent="0.35">
      <c r="B7943" s="183"/>
    </row>
    <row r="7944" spans="2:2" ht="15.5" x14ac:dyDescent="0.35">
      <c r="B7944" s="183"/>
    </row>
    <row r="7945" spans="2:2" ht="15.5" x14ac:dyDescent="0.35">
      <c r="B7945" s="183"/>
    </row>
    <row r="7946" spans="2:2" ht="15.5" x14ac:dyDescent="0.35">
      <c r="B7946" s="183"/>
    </row>
    <row r="7947" spans="2:2" ht="15.5" x14ac:dyDescent="0.35">
      <c r="B7947" s="183"/>
    </row>
    <row r="7948" spans="2:2" ht="15.5" x14ac:dyDescent="0.35">
      <c r="B7948" s="183"/>
    </row>
    <row r="7949" spans="2:2" ht="15.5" x14ac:dyDescent="0.35">
      <c r="B7949" s="183"/>
    </row>
    <row r="7950" spans="2:2" ht="15.5" x14ac:dyDescent="0.35">
      <c r="B7950" s="183"/>
    </row>
    <row r="7951" spans="2:2" ht="15.5" x14ac:dyDescent="0.35">
      <c r="B7951" s="183"/>
    </row>
    <row r="7952" spans="2:2" ht="15.5" x14ac:dyDescent="0.35">
      <c r="B7952" s="183"/>
    </row>
    <row r="7953" spans="2:2" ht="15.5" x14ac:dyDescent="0.35">
      <c r="B7953" s="183"/>
    </row>
    <row r="7954" spans="2:2" ht="15.5" x14ac:dyDescent="0.35">
      <c r="B7954" s="183"/>
    </row>
    <row r="7955" spans="2:2" ht="15.5" x14ac:dyDescent="0.35">
      <c r="B7955" s="183"/>
    </row>
    <row r="7956" spans="2:2" ht="15.5" x14ac:dyDescent="0.35">
      <c r="B7956" s="183"/>
    </row>
    <row r="7957" spans="2:2" ht="15.5" x14ac:dyDescent="0.35">
      <c r="B7957" s="183"/>
    </row>
    <row r="7958" spans="2:2" ht="15.5" x14ac:dyDescent="0.35">
      <c r="B7958" s="183"/>
    </row>
    <row r="7959" spans="2:2" ht="15.5" x14ac:dyDescent="0.35">
      <c r="B7959" s="183"/>
    </row>
    <row r="7960" spans="2:2" ht="15.5" x14ac:dyDescent="0.35">
      <c r="B7960" s="183"/>
    </row>
    <row r="7961" spans="2:2" ht="15.5" x14ac:dyDescent="0.35">
      <c r="B7961" s="183"/>
    </row>
    <row r="7962" spans="2:2" ht="15.5" x14ac:dyDescent="0.35">
      <c r="B7962" s="183"/>
    </row>
    <row r="7963" spans="2:2" ht="15.5" x14ac:dyDescent="0.35">
      <c r="B7963" s="183"/>
    </row>
    <row r="7964" spans="2:2" ht="15.5" x14ac:dyDescent="0.35">
      <c r="B7964" s="183"/>
    </row>
    <row r="7965" spans="2:2" ht="15.5" x14ac:dyDescent="0.35">
      <c r="B7965" s="183"/>
    </row>
    <row r="7966" spans="2:2" ht="15.5" x14ac:dyDescent="0.35">
      <c r="B7966" s="183"/>
    </row>
    <row r="7967" spans="2:2" ht="15.5" x14ac:dyDescent="0.35">
      <c r="B7967" s="183"/>
    </row>
    <row r="7968" spans="2:2" ht="15.5" x14ac:dyDescent="0.35">
      <c r="B7968" s="183"/>
    </row>
    <row r="7969" spans="2:2" ht="15.5" x14ac:dyDescent="0.35">
      <c r="B7969" s="183"/>
    </row>
    <row r="7970" spans="2:2" ht="15.5" x14ac:dyDescent="0.35">
      <c r="B7970" s="183"/>
    </row>
    <row r="7971" spans="2:2" ht="15.5" x14ac:dyDescent="0.35">
      <c r="B7971" s="183"/>
    </row>
    <row r="7972" spans="2:2" ht="15.5" x14ac:dyDescent="0.35">
      <c r="B7972" s="183"/>
    </row>
    <row r="7973" spans="2:2" ht="15.5" x14ac:dyDescent="0.35">
      <c r="B7973" s="183"/>
    </row>
    <row r="7974" spans="2:2" ht="15.5" x14ac:dyDescent="0.35">
      <c r="B7974" s="183"/>
    </row>
    <row r="7975" spans="2:2" ht="15.5" x14ac:dyDescent="0.35">
      <c r="B7975" s="183"/>
    </row>
    <row r="7976" spans="2:2" ht="15.5" x14ac:dyDescent="0.35">
      <c r="B7976" s="183"/>
    </row>
    <row r="7977" spans="2:2" ht="15.5" x14ac:dyDescent="0.35">
      <c r="B7977" s="183"/>
    </row>
    <row r="7978" spans="2:2" ht="15.5" x14ac:dyDescent="0.35">
      <c r="B7978" s="183"/>
    </row>
    <row r="7979" spans="2:2" ht="15.5" x14ac:dyDescent="0.35">
      <c r="B7979" s="183"/>
    </row>
    <row r="7980" spans="2:2" ht="15.5" x14ac:dyDescent="0.35">
      <c r="B7980" s="183"/>
    </row>
    <row r="7981" spans="2:2" ht="15.5" x14ac:dyDescent="0.35">
      <c r="B7981" s="183"/>
    </row>
    <row r="7982" spans="2:2" ht="15.5" x14ac:dyDescent="0.35">
      <c r="B7982" s="183"/>
    </row>
    <row r="7983" spans="2:2" ht="15.5" x14ac:dyDescent="0.35">
      <c r="B7983" s="183"/>
    </row>
    <row r="7984" spans="2:2" ht="15.5" x14ac:dyDescent="0.35">
      <c r="B7984" s="183"/>
    </row>
    <row r="7985" spans="2:2" ht="15.5" x14ac:dyDescent="0.35">
      <c r="B7985" s="183"/>
    </row>
    <row r="7986" spans="2:2" ht="15.5" x14ac:dyDescent="0.35">
      <c r="B7986" s="183"/>
    </row>
    <row r="7987" spans="2:2" ht="15.5" x14ac:dyDescent="0.35">
      <c r="B7987" s="183"/>
    </row>
    <row r="7988" spans="2:2" ht="15.5" x14ac:dyDescent="0.35">
      <c r="B7988" s="183"/>
    </row>
    <row r="7989" spans="2:2" ht="15.5" x14ac:dyDescent="0.35">
      <c r="B7989" s="183"/>
    </row>
    <row r="7990" spans="2:2" ht="15.5" x14ac:dyDescent="0.35">
      <c r="B7990" s="183"/>
    </row>
    <row r="7991" spans="2:2" ht="15.5" x14ac:dyDescent="0.35">
      <c r="B7991" s="183"/>
    </row>
    <row r="7992" spans="2:2" ht="15.5" x14ac:dyDescent="0.35">
      <c r="B7992" s="183"/>
    </row>
    <row r="7993" spans="2:2" ht="15.5" x14ac:dyDescent="0.35">
      <c r="B7993" s="183"/>
    </row>
    <row r="7994" spans="2:2" ht="15.5" x14ac:dyDescent="0.35">
      <c r="B7994" s="183"/>
    </row>
    <row r="7995" spans="2:2" ht="15.5" x14ac:dyDescent="0.35">
      <c r="B7995" s="183"/>
    </row>
    <row r="7996" spans="2:2" ht="15.5" x14ac:dyDescent="0.35">
      <c r="B7996" s="183"/>
    </row>
    <row r="7997" spans="2:2" ht="15.5" x14ac:dyDescent="0.35">
      <c r="B7997" s="183"/>
    </row>
    <row r="7998" spans="2:2" ht="15.5" x14ac:dyDescent="0.35">
      <c r="B7998" s="183"/>
    </row>
    <row r="7999" spans="2:2" ht="15.5" x14ac:dyDescent="0.35">
      <c r="B7999" s="183"/>
    </row>
    <row r="8000" spans="2:2" ht="15.5" x14ac:dyDescent="0.35">
      <c r="B8000" s="183"/>
    </row>
    <row r="8001" spans="2:2" ht="15.5" x14ac:dyDescent="0.35">
      <c r="B8001" s="183"/>
    </row>
    <row r="8002" spans="2:2" ht="15.5" x14ac:dyDescent="0.35">
      <c r="B8002" s="183"/>
    </row>
    <row r="8003" spans="2:2" ht="15.5" x14ac:dyDescent="0.35">
      <c r="B8003" s="183"/>
    </row>
    <row r="8004" spans="2:2" ht="15.5" x14ac:dyDescent="0.35">
      <c r="B8004" s="183"/>
    </row>
    <row r="8005" spans="2:2" ht="15.5" x14ac:dyDescent="0.35">
      <c r="B8005" s="183"/>
    </row>
    <row r="8006" spans="2:2" ht="15.5" x14ac:dyDescent="0.35">
      <c r="B8006" s="183"/>
    </row>
    <row r="8007" spans="2:2" ht="15.5" x14ac:dyDescent="0.35">
      <c r="B8007" s="183"/>
    </row>
    <row r="8008" spans="2:2" ht="15.5" x14ac:dyDescent="0.35">
      <c r="B8008" s="183"/>
    </row>
    <row r="8009" spans="2:2" ht="15.5" x14ac:dyDescent="0.35">
      <c r="B8009" s="183"/>
    </row>
    <row r="8010" spans="2:2" ht="15.5" x14ac:dyDescent="0.35">
      <c r="B8010" s="183"/>
    </row>
    <row r="8011" spans="2:2" ht="15.5" x14ac:dyDescent="0.35">
      <c r="B8011" s="183"/>
    </row>
    <row r="8012" spans="2:2" ht="15.5" x14ac:dyDescent="0.35">
      <c r="B8012" s="183"/>
    </row>
    <row r="8013" spans="2:2" ht="15.5" x14ac:dyDescent="0.35">
      <c r="B8013" s="183"/>
    </row>
    <row r="8014" spans="2:2" ht="15.5" x14ac:dyDescent="0.35">
      <c r="B8014" s="183"/>
    </row>
    <row r="8015" spans="2:2" ht="15.5" x14ac:dyDescent="0.35">
      <c r="B8015" s="183"/>
    </row>
    <row r="8016" spans="2:2" ht="15.5" x14ac:dyDescent="0.35">
      <c r="B8016" s="183"/>
    </row>
    <row r="8017" spans="2:2" ht="15.5" x14ac:dyDescent="0.35">
      <c r="B8017" s="183"/>
    </row>
    <row r="8018" spans="2:2" ht="15.5" x14ac:dyDescent="0.35">
      <c r="B8018" s="183"/>
    </row>
    <row r="8019" spans="2:2" ht="15.5" x14ac:dyDescent="0.35">
      <c r="B8019" s="183"/>
    </row>
    <row r="8020" spans="2:2" ht="15.5" x14ac:dyDescent="0.35">
      <c r="B8020" s="183"/>
    </row>
    <row r="8021" spans="2:2" ht="15.5" x14ac:dyDescent="0.35">
      <c r="B8021" s="183"/>
    </row>
    <row r="8022" spans="2:2" ht="15.5" x14ac:dyDescent="0.35">
      <c r="B8022" s="183"/>
    </row>
    <row r="8023" spans="2:2" ht="15.5" x14ac:dyDescent="0.35">
      <c r="B8023" s="183"/>
    </row>
    <row r="8024" spans="2:2" ht="15.5" x14ac:dyDescent="0.35">
      <c r="B8024" s="183"/>
    </row>
    <row r="8025" spans="2:2" ht="15.5" x14ac:dyDescent="0.35">
      <c r="B8025" s="183"/>
    </row>
    <row r="8026" spans="2:2" ht="15.5" x14ac:dyDescent="0.35">
      <c r="B8026" s="183"/>
    </row>
    <row r="8027" spans="2:2" ht="15.5" x14ac:dyDescent="0.35">
      <c r="B8027" s="183"/>
    </row>
    <row r="8028" spans="2:2" ht="15.5" x14ac:dyDescent="0.35">
      <c r="B8028" s="183"/>
    </row>
    <row r="8029" spans="2:2" ht="15.5" x14ac:dyDescent="0.35">
      <c r="B8029" s="183"/>
    </row>
    <row r="8030" spans="2:2" ht="15.5" x14ac:dyDescent="0.35">
      <c r="B8030" s="183"/>
    </row>
    <row r="8031" spans="2:2" ht="15.5" x14ac:dyDescent="0.35">
      <c r="B8031" s="183"/>
    </row>
    <row r="8032" spans="2:2" ht="15.5" x14ac:dyDescent="0.35">
      <c r="B8032" s="183"/>
    </row>
    <row r="8033" spans="2:2" ht="15.5" x14ac:dyDescent="0.35">
      <c r="B8033" s="183"/>
    </row>
    <row r="8034" spans="2:2" ht="15.5" x14ac:dyDescent="0.35">
      <c r="B8034" s="183"/>
    </row>
    <row r="8035" spans="2:2" ht="15.5" x14ac:dyDescent="0.35">
      <c r="B8035" s="183"/>
    </row>
    <row r="8036" spans="2:2" ht="15.5" x14ac:dyDescent="0.35">
      <c r="B8036" s="183"/>
    </row>
    <row r="8037" spans="2:2" ht="15.5" x14ac:dyDescent="0.35">
      <c r="B8037" s="183"/>
    </row>
    <row r="8038" spans="2:2" ht="15.5" x14ac:dyDescent="0.35">
      <c r="B8038" s="183"/>
    </row>
    <row r="8039" spans="2:2" ht="15.5" x14ac:dyDescent="0.35">
      <c r="B8039" s="183"/>
    </row>
    <row r="8040" spans="2:2" ht="15.5" x14ac:dyDescent="0.35">
      <c r="B8040" s="183"/>
    </row>
    <row r="8041" spans="2:2" ht="15.5" x14ac:dyDescent="0.35">
      <c r="B8041" s="183"/>
    </row>
    <row r="8042" spans="2:2" ht="15.5" x14ac:dyDescent="0.35">
      <c r="B8042" s="183"/>
    </row>
    <row r="8043" spans="2:2" ht="15.5" x14ac:dyDescent="0.35">
      <c r="B8043" s="183"/>
    </row>
    <row r="8044" spans="2:2" ht="15.5" x14ac:dyDescent="0.35">
      <c r="B8044" s="183"/>
    </row>
    <row r="8045" spans="2:2" ht="15.5" x14ac:dyDescent="0.35">
      <c r="B8045" s="183"/>
    </row>
    <row r="8046" spans="2:2" ht="15.5" x14ac:dyDescent="0.35">
      <c r="B8046" s="183"/>
    </row>
    <row r="8047" spans="2:2" ht="15.5" x14ac:dyDescent="0.35">
      <c r="B8047" s="183"/>
    </row>
    <row r="8048" spans="2:2" ht="15.5" x14ac:dyDescent="0.35">
      <c r="B8048" s="183"/>
    </row>
    <row r="8049" spans="2:2" ht="15.5" x14ac:dyDescent="0.35">
      <c r="B8049" s="183"/>
    </row>
    <row r="8050" spans="2:2" ht="15.5" x14ac:dyDescent="0.35">
      <c r="B8050" s="183"/>
    </row>
    <row r="8051" spans="2:2" ht="15.5" x14ac:dyDescent="0.35">
      <c r="B8051" s="183"/>
    </row>
    <row r="8052" spans="2:2" ht="15.5" x14ac:dyDescent="0.35">
      <c r="B8052" s="183"/>
    </row>
    <row r="8053" spans="2:2" ht="15.5" x14ac:dyDescent="0.35">
      <c r="B8053" s="183"/>
    </row>
    <row r="8054" spans="2:2" ht="15.5" x14ac:dyDescent="0.35">
      <c r="B8054" s="183"/>
    </row>
    <row r="8055" spans="2:2" ht="15.5" x14ac:dyDescent="0.35">
      <c r="B8055" s="183"/>
    </row>
    <row r="8056" spans="2:2" ht="15.5" x14ac:dyDescent="0.35">
      <c r="B8056" s="183"/>
    </row>
    <row r="8057" spans="2:2" ht="15.5" x14ac:dyDescent="0.35">
      <c r="B8057" s="183"/>
    </row>
    <row r="8058" spans="2:2" ht="15.5" x14ac:dyDescent="0.35">
      <c r="B8058" s="183"/>
    </row>
    <row r="8059" spans="2:2" ht="15.5" x14ac:dyDescent="0.35">
      <c r="B8059" s="183"/>
    </row>
    <row r="8060" spans="2:2" ht="15.5" x14ac:dyDescent="0.35">
      <c r="B8060" s="183"/>
    </row>
    <row r="8061" spans="2:2" ht="15.5" x14ac:dyDescent="0.35">
      <c r="B8061" s="183"/>
    </row>
    <row r="8062" spans="2:2" ht="15.5" x14ac:dyDescent="0.35">
      <c r="B8062" s="183"/>
    </row>
    <row r="8063" spans="2:2" ht="15.5" x14ac:dyDescent="0.35">
      <c r="B8063" s="183"/>
    </row>
    <row r="8064" spans="2:2" ht="15.5" x14ac:dyDescent="0.35">
      <c r="B8064" s="183"/>
    </row>
    <row r="8065" spans="2:2" ht="15.5" x14ac:dyDescent="0.35">
      <c r="B8065" s="183"/>
    </row>
    <row r="8066" spans="2:2" ht="15.5" x14ac:dyDescent="0.35">
      <c r="B8066" s="183"/>
    </row>
    <row r="8067" spans="2:2" ht="15.5" x14ac:dyDescent="0.35">
      <c r="B8067" s="183"/>
    </row>
    <row r="8068" spans="2:2" ht="15.5" x14ac:dyDescent="0.35">
      <c r="B8068" s="183"/>
    </row>
    <row r="8069" spans="2:2" ht="15.5" x14ac:dyDescent="0.35">
      <c r="B8069" s="183"/>
    </row>
    <row r="8070" spans="2:2" ht="15.5" x14ac:dyDescent="0.35">
      <c r="B8070" s="183"/>
    </row>
    <row r="8071" spans="2:2" ht="15.5" x14ac:dyDescent="0.35">
      <c r="B8071" s="183"/>
    </row>
    <row r="8072" spans="2:2" ht="15.5" x14ac:dyDescent="0.35">
      <c r="B8072" s="183"/>
    </row>
    <row r="8073" spans="2:2" ht="15.5" x14ac:dyDescent="0.35">
      <c r="B8073" s="183"/>
    </row>
    <row r="8074" spans="2:2" ht="15.5" x14ac:dyDescent="0.35">
      <c r="B8074" s="183"/>
    </row>
    <row r="8075" spans="2:2" ht="15.5" x14ac:dyDescent="0.35">
      <c r="B8075" s="183"/>
    </row>
    <row r="8076" spans="2:2" ht="15.5" x14ac:dyDescent="0.35">
      <c r="B8076" s="183"/>
    </row>
    <row r="8077" spans="2:2" ht="15.5" x14ac:dyDescent="0.35">
      <c r="B8077" s="183"/>
    </row>
    <row r="8078" spans="2:2" ht="15.5" x14ac:dyDescent="0.35">
      <c r="B8078" s="183"/>
    </row>
    <row r="8079" spans="2:2" ht="15.5" x14ac:dyDescent="0.35">
      <c r="B8079" s="183"/>
    </row>
    <row r="8080" spans="2:2" ht="15.5" x14ac:dyDescent="0.35">
      <c r="B8080" s="183"/>
    </row>
    <row r="8081" spans="2:2" ht="15.5" x14ac:dyDescent="0.35">
      <c r="B8081" s="183"/>
    </row>
    <row r="8082" spans="2:2" ht="15.5" x14ac:dyDescent="0.35">
      <c r="B8082" s="183"/>
    </row>
    <row r="8083" spans="2:2" ht="15.5" x14ac:dyDescent="0.35">
      <c r="B8083" s="183"/>
    </row>
    <row r="8084" spans="2:2" ht="15.5" x14ac:dyDescent="0.35">
      <c r="B8084" s="183"/>
    </row>
    <row r="8085" spans="2:2" ht="15.5" x14ac:dyDescent="0.35">
      <c r="B8085" s="183"/>
    </row>
    <row r="8086" spans="2:2" ht="15.5" x14ac:dyDescent="0.35">
      <c r="B8086" s="183"/>
    </row>
    <row r="8087" spans="2:2" ht="15.5" x14ac:dyDescent="0.35">
      <c r="B8087" s="183"/>
    </row>
    <row r="8088" spans="2:2" ht="15.5" x14ac:dyDescent="0.35">
      <c r="B8088" s="183"/>
    </row>
    <row r="8089" spans="2:2" ht="15.5" x14ac:dyDescent="0.35">
      <c r="B8089" s="183"/>
    </row>
    <row r="8090" spans="2:2" ht="15.5" x14ac:dyDescent="0.35">
      <c r="B8090" s="183"/>
    </row>
    <row r="8091" spans="2:2" ht="15.5" x14ac:dyDescent="0.35">
      <c r="B8091" s="183"/>
    </row>
    <row r="8092" spans="2:2" ht="15.5" x14ac:dyDescent="0.35">
      <c r="B8092" s="183"/>
    </row>
    <row r="8093" spans="2:2" ht="15.5" x14ac:dyDescent="0.35">
      <c r="B8093" s="183"/>
    </row>
    <row r="8094" spans="2:2" ht="15.5" x14ac:dyDescent="0.35">
      <c r="B8094" s="183"/>
    </row>
    <row r="8095" spans="2:2" ht="15.5" x14ac:dyDescent="0.35">
      <c r="B8095" s="183"/>
    </row>
    <row r="8096" spans="2:2" ht="15.5" x14ac:dyDescent="0.35">
      <c r="B8096" s="183"/>
    </row>
    <row r="8097" spans="2:2" ht="15.5" x14ac:dyDescent="0.35">
      <c r="B8097" s="183"/>
    </row>
    <row r="8098" spans="2:2" ht="15.5" x14ac:dyDescent="0.35">
      <c r="B8098" s="183"/>
    </row>
    <row r="8099" spans="2:2" ht="15.5" x14ac:dyDescent="0.35">
      <c r="B8099" s="183"/>
    </row>
    <row r="8100" spans="2:2" ht="15.5" x14ac:dyDescent="0.35">
      <c r="B8100" s="183"/>
    </row>
    <row r="8101" spans="2:2" ht="15.5" x14ac:dyDescent="0.35">
      <c r="B8101" s="183"/>
    </row>
    <row r="8102" spans="2:2" ht="15.5" x14ac:dyDescent="0.35">
      <c r="B8102" s="183"/>
    </row>
    <row r="8103" spans="2:2" ht="15.5" x14ac:dyDescent="0.35">
      <c r="B8103" s="183"/>
    </row>
    <row r="8104" spans="2:2" ht="15.5" x14ac:dyDescent="0.35">
      <c r="B8104" s="183"/>
    </row>
    <row r="8105" spans="2:2" ht="15.5" x14ac:dyDescent="0.35">
      <c r="B8105" s="183"/>
    </row>
    <row r="8106" spans="2:2" ht="15.5" x14ac:dyDescent="0.35">
      <c r="B8106" s="183"/>
    </row>
    <row r="8107" spans="2:2" ht="15.5" x14ac:dyDescent="0.35">
      <c r="B8107" s="183"/>
    </row>
    <row r="8108" spans="2:2" ht="15.5" x14ac:dyDescent="0.35">
      <c r="B8108" s="183"/>
    </row>
    <row r="8109" spans="2:2" ht="15.5" x14ac:dyDescent="0.35">
      <c r="B8109" s="183"/>
    </row>
    <row r="8110" spans="2:2" ht="15.5" x14ac:dyDescent="0.35">
      <c r="B8110" s="183"/>
    </row>
    <row r="8111" spans="2:2" ht="15.5" x14ac:dyDescent="0.35">
      <c r="B8111" s="183"/>
    </row>
    <row r="8112" spans="2:2" ht="15.5" x14ac:dyDescent="0.35">
      <c r="B8112" s="183"/>
    </row>
    <row r="8113" spans="2:2" ht="15.5" x14ac:dyDescent="0.35">
      <c r="B8113" s="183"/>
    </row>
    <row r="8114" spans="2:2" ht="15.5" x14ac:dyDescent="0.35">
      <c r="B8114" s="183"/>
    </row>
    <row r="8115" spans="2:2" ht="15.5" x14ac:dyDescent="0.35">
      <c r="B8115" s="183"/>
    </row>
    <row r="8116" spans="2:2" ht="15.5" x14ac:dyDescent="0.35">
      <c r="B8116" s="183"/>
    </row>
    <row r="8117" spans="2:2" ht="15.5" x14ac:dyDescent="0.35">
      <c r="B8117" s="183"/>
    </row>
    <row r="8118" spans="2:2" ht="15.5" x14ac:dyDescent="0.35">
      <c r="B8118" s="183"/>
    </row>
    <row r="8119" spans="2:2" ht="15.5" x14ac:dyDescent="0.35">
      <c r="B8119" s="183"/>
    </row>
    <row r="8120" spans="2:2" ht="15.5" x14ac:dyDescent="0.35">
      <c r="B8120" s="183"/>
    </row>
    <row r="8121" spans="2:2" ht="15.5" x14ac:dyDescent="0.35">
      <c r="B8121" s="183"/>
    </row>
    <row r="8122" spans="2:2" ht="15.5" x14ac:dyDescent="0.35">
      <c r="B8122" s="183"/>
    </row>
    <row r="8123" spans="2:2" ht="15.5" x14ac:dyDescent="0.35">
      <c r="B8123" s="183"/>
    </row>
    <row r="8124" spans="2:2" ht="15.5" x14ac:dyDescent="0.35">
      <c r="B8124" s="183"/>
    </row>
    <row r="8125" spans="2:2" ht="15.5" x14ac:dyDescent="0.35">
      <c r="B8125" s="183"/>
    </row>
    <row r="8126" spans="2:2" ht="15.5" x14ac:dyDescent="0.35">
      <c r="B8126" s="183"/>
    </row>
    <row r="8127" spans="2:2" ht="15.5" x14ac:dyDescent="0.35">
      <c r="B8127" s="183"/>
    </row>
    <row r="8128" spans="2:2" ht="15.5" x14ac:dyDescent="0.35">
      <c r="B8128" s="183"/>
    </row>
    <row r="8129" spans="2:2" ht="15.5" x14ac:dyDescent="0.35">
      <c r="B8129" s="183"/>
    </row>
    <row r="8130" spans="2:2" ht="15.5" x14ac:dyDescent="0.35">
      <c r="B8130" s="183"/>
    </row>
    <row r="8131" spans="2:2" ht="15.5" x14ac:dyDescent="0.35">
      <c r="B8131" s="183"/>
    </row>
    <row r="8132" spans="2:2" ht="15.5" x14ac:dyDescent="0.35">
      <c r="B8132" s="183"/>
    </row>
    <row r="8133" spans="2:2" ht="15.5" x14ac:dyDescent="0.35">
      <c r="B8133" s="183"/>
    </row>
    <row r="8134" spans="2:2" ht="15.5" x14ac:dyDescent="0.35">
      <c r="B8134" s="183"/>
    </row>
    <row r="8135" spans="2:2" ht="15.5" x14ac:dyDescent="0.35">
      <c r="B8135" s="183"/>
    </row>
    <row r="8136" spans="2:2" ht="15.5" x14ac:dyDescent="0.35">
      <c r="B8136" s="183"/>
    </row>
    <row r="8137" spans="2:2" ht="15.5" x14ac:dyDescent="0.35">
      <c r="B8137" s="183"/>
    </row>
    <row r="8138" spans="2:2" ht="15.5" x14ac:dyDescent="0.35">
      <c r="B8138" s="183"/>
    </row>
    <row r="8139" spans="2:2" ht="15.5" x14ac:dyDescent="0.35">
      <c r="B8139" s="183"/>
    </row>
    <row r="8140" spans="2:2" ht="15.5" x14ac:dyDescent="0.35">
      <c r="B8140" s="183"/>
    </row>
    <row r="8141" spans="2:2" ht="15.5" x14ac:dyDescent="0.35">
      <c r="B8141" s="183"/>
    </row>
    <row r="8142" spans="2:2" ht="15.5" x14ac:dyDescent="0.35">
      <c r="B8142" s="183"/>
    </row>
    <row r="8143" spans="2:2" ht="15.5" x14ac:dyDescent="0.35">
      <c r="B8143" s="183"/>
    </row>
    <row r="8144" spans="2:2" ht="15.5" x14ac:dyDescent="0.35">
      <c r="B8144" s="183"/>
    </row>
    <row r="8145" spans="2:2" ht="15.5" x14ac:dyDescent="0.35">
      <c r="B8145" s="183"/>
    </row>
    <row r="8146" spans="2:2" ht="15.5" x14ac:dyDescent="0.35">
      <c r="B8146" s="183"/>
    </row>
    <row r="8147" spans="2:2" ht="15.5" x14ac:dyDescent="0.35">
      <c r="B8147" s="183"/>
    </row>
    <row r="8148" spans="2:2" ht="15.5" x14ac:dyDescent="0.35">
      <c r="B8148" s="183"/>
    </row>
    <row r="8149" spans="2:2" ht="15.5" x14ac:dyDescent="0.35">
      <c r="B8149" s="183"/>
    </row>
    <row r="8150" spans="2:2" ht="15.5" x14ac:dyDescent="0.35">
      <c r="B8150" s="183"/>
    </row>
    <row r="8151" spans="2:2" ht="15.5" x14ac:dyDescent="0.35">
      <c r="B8151" s="183"/>
    </row>
    <row r="8152" spans="2:2" ht="15.5" x14ac:dyDescent="0.35">
      <c r="B8152" s="183"/>
    </row>
    <row r="8153" spans="2:2" ht="15.5" x14ac:dyDescent="0.35">
      <c r="B8153" s="183"/>
    </row>
    <row r="8154" spans="2:2" ht="15.5" x14ac:dyDescent="0.35">
      <c r="B8154" s="183"/>
    </row>
    <row r="8155" spans="2:2" ht="15.5" x14ac:dyDescent="0.35">
      <c r="B8155" s="183"/>
    </row>
    <row r="8156" spans="2:2" ht="15.5" x14ac:dyDescent="0.35">
      <c r="B8156" s="183"/>
    </row>
    <row r="8157" spans="2:2" ht="15.5" x14ac:dyDescent="0.35">
      <c r="B8157" s="183"/>
    </row>
    <row r="8158" spans="2:2" ht="15.5" x14ac:dyDescent="0.35">
      <c r="B8158" s="183"/>
    </row>
    <row r="8159" spans="2:2" ht="15.5" x14ac:dyDescent="0.35">
      <c r="B8159" s="183"/>
    </row>
    <row r="8160" spans="2:2" ht="15.5" x14ac:dyDescent="0.35">
      <c r="B8160" s="183"/>
    </row>
    <row r="8161" spans="2:2" ht="15.5" x14ac:dyDescent="0.35">
      <c r="B8161" s="183"/>
    </row>
    <row r="8162" spans="2:2" ht="15.5" x14ac:dyDescent="0.35">
      <c r="B8162" s="183"/>
    </row>
    <row r="8163" spans="2:2" ht="15.5" x14ac:dyDescent="0.35">
      <c r="B8163" s="183"/>
    </row>
    <row r="8164" spans="2:2" ht="15.5" x14ac:dyDescent="0.35">
      <c r="B8164" s="183"/>
    </row>
    <row r="8165" spans="2:2" ht="15.5" x14ac:dyDescent="0.35">
      <c r="B8165" s="183"/>
    </row>
    <row r="8166" spans="2:2" ht="15.5" x14ac:dyDescent="0.35">
      <c r="B8166" s="183"/>
    </row>
    <row r="8167" spans="2:2" ht="15.5" x14ac:dyDescent="0.35">
      <c r="B8167" s="183"/>
    </row>
    <row r="8168" spans="2:2" ht="15.5" x14ac:dyDescent="0.35">
      <c r="B8168" s="183"/>
    </row>
    <row r="8169" spans="2:2" ht="15.5" x14ac:dyDescent="0.35">
      <c r="B8169" s="183"/>
    </row>
    <row r="8170" spans="2:2" ht="15.5" x14ac:dyDescent="0.35">
      <c r="B8170" s="183"/>
    </row>
    <row r="8171" spans="2:2" ht="15.5" x14ac:dyDescent="0.35">
      <c r="B8171" s="183"/>
    </row>
    <row r="8172" spans="2:2" ht="15.5" x14ac:dyDescent="0.35">
      <c r="B8172" s="183"/>
    </row>
    <row r="8173" spans="2:2" ht="15.5" x14ac:dyDescent="0.35">
      <c r="B8173" s="183"/>
    </row>
    <row r="8174" spans="2:2" ht="15.5" x14ac:dyDescent="0.35">
      <c r="B8174" s="183"/>
    </row>
    <row r="8175" spans="2:2" ht="15.5" x14ac:dyDescent="0.35">
      <c r="B8175" s="183"/>
    </row>
    <row r="8176" spans="2:2" ht="15.5" x14ac:dyDescent="0.35">
      <c r="B8176" s="183"/>
    </row>
    <row r="8177" spans="2:2" ht="15.5" x14ac:dyDescent="0.35">
      <c r="B8177" s="183"/>
    </row>
    <row r="8178" spans="2:2" ht="15.5" x14ac:dyDescent="0.35">
      <c r="B8178" s="183"/>
    </row>
    <row r="8179" spans="2:2" ht="15.5" x14ac:dyDescent="0.35">
      <c r="B8179" s="183"/>
    </row>
    <row r="8180" spans="2:2" ht="15.5" x14ac:dyDescent="0.35">
      <c r="B8180" s="183"/>
    </row>
    <row r="8181" spans="2:2" ht="15.5" x14ac:dyDescent="0.35">
      <c r="B8181" s="183"/>
    </row>
    <row r="8182" spans="2:2" ht="15.5" x14ac:dyDescent="0.35">
      <c r="B8182" s="183"/>
    </row>
    <row r="8183" spans="2:2" ht="15.5" x14ac:dyDescent="0.35">
      <c r="B8183" s="183"/>
    </row>
    <row r="8184" spans="2:2" ht="15.5" x14ac:dyDescent="0.35">
      <c r="B8184" s="183"/>
    </row>
    <row r="8185" spans="2:2" ht="15.5" x14ac:dyDescent="0.35">
      <c r="B8185" s="183"/>
    </row>
    <row r="8186" spans="2:2" ht="15.5" x14ac:dyDescent="0.35">
      <c r="B8186" s="183"/>
    </row>
    <row r="8187" spans="2:2" ht="15.5" x14ac:dyDescent="0.35">
      <c r="B8187" s="183"/>
    </row>
    <row r="8188" spans="2:2" ht="15.5" x14ac:dyDescent="0.35">
      <c r="B8188" s="183"/>
    </row>
    <row r="8189" spans="2:2" ht="15.5" x14ac:dyDescent="0.35">
      <c r="B8189" s="183"/>
    </row>
    <row r="8190" spans="2:2" ht="15.5" x14ac:dyDescent="0.35">
      <c r="B8190" s="183"/>
    </row>
    <row r="8191" spans="2:2" ht="15.5" x14ac:dyDescent="0.35">
      <c r="B8191" s="183"/>
    </row>
    <row r="8192" spans="2:2" ht="15.5" x14ac:dyDescent="0.35">
      <c r="B8192" s="183"/>
    </row>
    <row r="8193" spans="2:2" ht="15.5" x14ac:dyDescent="0.35">
      <c r="B8193" s="183"/>
    </row>
    <row r="8194" spans="2:2" ht="15.5" x14ac:dyDescent="0.35">
      <c r="B8194" s="183"/>
    </row>
    <row r="8195" spans="2:2" ht="15.5" x14ac:dyDescent="0.35">
      <c r="B8195" s="183"/>
    </row>
    <row r="8196" spans="2:2" ht="15.5" x14ac:dyDescent="0.35">
      <c r="B8196" s="183"/>
    </row>
    <row r="8197" spans="2:2" ht="15.5" x14ac:dyDescent="0.35">
      <c r="B8197" s="183"/>
    </row>
    <row r="8198" spans="2:2" ht="15.5" x14ac:dyDescent="0.35">
      <c r="B8198" s="183"/>
    </row>
    <row r="8199" spans="2:2" ht="15.5" x14ac:dyDescent="0.35">
      <c r="B8199" s="183"/>
    </row>
    <row r="8200" spans="2:2" ht="15.5" x14ac:dyDescent="0.35">
      <c r="B8200" s="183"/>
    </row>
    <row r="8201" spans="2:2" ht="15.5" x14ac:dyDescent="0.35">
      <c r="B8201" s="183"/>
    </row>
    <row r="8202" spans="2:2" ht="15.5" x14ac:dyDescent="0.35">
      <c r="B8202" s="183"/>
    </row>
    <row r="8203" spans="2:2" ht="15.5" x14ac:dyDescent="0.35">
      <c r="B8203" s="183"/>
    </row>
    <row r="8204" spans="2:2" ht="15.5" x14ac:dyDescent="0.35">
      <c r="B8204" s="183"/>
    </row>
    <row r="8205" spans="2:2" ht="15.5" x14ac:dyDescent="0.35">
      <c r="B8205" s="183"/>
    </row>
    <row r="8206" spans="2:2" ht="15.5" x14ac:dyDescent="0.35">
      <c r="B8206" s="183"/>
    </row>
    <row r="8207" spans="2:2" ht="15.5" x14ac:dyDescent="0.35">
      <c r="B8207" s="183"/>
    </row>
    <row r="8208" spans="2:2" ht="15.5" x14ac:dyDescent="0.35">
      <c r="B8208" s="183"/>
    </row>
    <row r="8209" spans="2:2" ht="15.5" x14ac:dyDescent="0.35">
      <c r="B8209" s="183"/>
    </row>
    <row r="8210" spans="2:2" ht="15.5" x14ac:dyDescent="0.35">
      <c r="B8210" s="183"/>
    </row>
    <row r="8211" spans="2:2" ht="15.5" x14ac:dyDescent="0.35">
      <c r="B8211" s="183"/>
    </row>
    <row r="8212" spans="2:2" ht="15.5" x14ac:dyDescent="0.35">
      <c r="B8212" s="183"/>
    </row>
    <row r="8213" spans="2:2" ht="15.5" x14ac:dyDescent="0.35">
      <c r="B8213" s="183"/>
    </row>
    <row r="8214" spans="2:2" ht="15.5" x14ac:dyDescent="0.35">
      <c r="B8214" s="183"/>
    </row>
    <row r="8215" spans="2:2" ht="15.5" x14ac:dyDescent="0.35">
      <c r="B8215" s="183"/>
    </row>
    <row r="8216" spans="2:2" ht="15.5" x14ac:dyDescent="0.35">
      <c r="B8216" s="183"/>
    </row>
    <row r="8217" spans="2:2" ht="15.5" x14ac:dyDescent="0.35">
      <c r="B8217" s="183"/>
    </row>
    <row r="8218" spans="2:2" ht="15.5" x14ac:dyDescent="0.35">
      <c r="B8218" s="183"/>
    </row>
    <row r="8219" spans="2:2" ht="15.5" x14ac:dyDescent="0.35">
      <c r="B8219" s="183"/>
    </row>
    <row r="8220" spans="2:2" ht="15.5" x14ac:dyDescent="0.35">
      <c r="B8220" s="183"/>
    </row>
    <row r="8221" spans="2:2" ht="15.5" x14ac:dyDescent="0.35">
      <c r="B8221" s="183"/>
    </row>
    <row r="8222" spans="2:2" ht="15.5" x14ac:dyDescent="0.35">
      <c r="B8222" s="183"/>
    </row>
    <row r="8223" spans="2:2" ht="15.5" x14ac:dyDescent="0.35">
      <c r="B8223" s="183"/>
    </row>
    <row r="8224" spans="2:2" ht="15.5" x14ac:dyDescent="0.35">
      <c r="B8224" s="183"/>
    </row>
    <row r="8225" spans="2:2" ht="15.5" x14ac:dyDescent="0.35">
      <c r="B8225" s="183"/>
    </row>
    <row r="8226" spans="2:2" ht="15.5" x14ac:dyDescent="0.35">
      <c r="B8226" s="183"/>
    </row>
    <row r="8227" spans="2:2" ht="15.5" x14ac:dyDescent="0.35">
      <c r="B8227" s="183"/>
    </row>
    <row r="8228" spans="2:2" ht="15.5" x14ac:dyDescent="0.35">
      <c r="B8228" s="183"/>
    </row>
    <row r="8229" spans="2:2" ht="15.5" x14ac:dyDescent="0.35">
      <c r="B8229" s="183"/>
    </row>
    <row r="8230" spans="2:2" ht="15.5" x14ac:dyDescent="0.35">
      <c r="B8230" s="183"/>
    </row>
    <row r="8231" spans="2:2" ht="15.5" x14ac:dyDescent="0.35">
      <c r="B8231" s="183"/>
    </row>
    <row r="8232" spans="2:2" ht="15.5" x14ac:dyDescent="0.35">
      <c r="B8232" s="183"/>
    </row>
    <row r="8233" spans="2:2" ht="15.5" x14ac:dyDescent="0.35">
      <c r="B8233" s="183"/>
    </row>
    <row r="8234" spans="2:2" ht="15.5" x14ac:dyDescent="0.35">
      <c r="B8234" s="183"/>
    </row>
    <row r="8235" spans="2:2" ht="15.5" x14ac:dyDescent="0.35">
      <c r="B8235" s="183"/>
    </row>
    <row r="8236" spans="2:2" ht="15.5" x14ac:dyDescent="0.35">
      <c r="B8236" s="183"/>
    </row>
    <row r="8237" spans="2:2" ht="15.5" x14ac:dyDescent="0.35">
      <c r="B8237" s="183"/>
    </row>
    <row r="8238" spans="2:2" ht="15.5" x14ac:dyDescent="0.35">
      <c r="B8238" s="183"/>
    </row>
    <row r="8239" spans="2:2" ht="15.5" x14ac:dyDescent="0.35">
      <c r="B8239" s="183"/>
    </row>
    <row r="8240" spans="2:2" ht="15.5" x14ac:dyDescent="0.35">
      <c r="B8240" s="183"/>
    </row>
    <row r="8241" spans="2:2" ht="15.5" x14ac:dyDescent="0.35">
      <c r="B8241" s="183"/>
    </row>
    <row r="8242" spans="2:2" ht="15.5" x14ac:dyDescent="0.35">
      <c r="B8242" s="183"/>
    </row>
    <row r="8243" spans="2:2" ht="15.5" x14ac:dyDescent="0.35">
      <c r="B8243" s="183"/>
    </row>
    <row r="8244" spans="2:2" ht="15.5" x14ac:dyDescent="0.35">
      <c r="B8244" s="183"/>
    </row>
    <row r="8245" spans="2:2" ht="15.5" x14ac:dyDescent="0.35">
      <c r="B8245" s="183"/>
    </row>
    <row r="8246" spans="2:2" ht="15.5" x14ac:dyDescent="0.35">
      <c r="B8246" s="183"/>
    </row>
    <row r="8247" spans="2:2" ht="15.5" x14ac:dyDescent="0.35">
      <c r="B8247" s="183"/>
    </row>
    <row r="8248" spans="2:2" ht="15.5" x14ac:dyDescent="0.35">
      <c r="B8248" s="183"/>
    </row>
    <row r="8249" spans="2:2" ht="15.5" x14ac:dyDescent="0.35">
      <c r="B8249" s="183"/>
    </row>
    <row r="8250" spans="2:2" ht="15.5" x14ac:dyDescent="0.35">
      <c r="B8250" s="183"/>
    </row>
    <row r="8251" spans="2:2" ht="15.5" x14ac:dyDescent="0.35">
      <c r="B8251" s="183"/>
    </row>
    <row r="8252" spans="2:2" ht="15.5" x14ac:dyDescent="0.35">
      <c r="B8252" s="183"/>
    </row>
    <row r="8253" spans="2:2" ht="15.5" x14ac:dyDescent="0.35">
      <c r="B8253" s="183"/>
    </row>
    <row r="8254" spans="2:2" ht="15.5" x14ac:dyDescent="0.35">
      <c r="B8254" s="183"/>
    </row>
    <row r="8255" spans="2:2" ht="15.5" x14ac:dyDescent="0.35">
      <c r="B8255" s="183"/>
    </row>
    <row r="8256" spans="2:2" ht="15.5" x14ac:dyDescent="0.35">
      <c r="B8256" s="183"/>
    </row>
    <row r="8257" spans="2:2" ht="15.5" x14ac:dyDescent="0.35">
      <c r="B8257" s="183"/>
    </row>
    <row r="8258" spans="2:2" ht="15.5" x14ac:dyDescent="0.35">
      <c r="B8258" s="183"/>
    </row>
    <row r="8259" spans="2:2" ht="15.5" x14ac:dyDescent="0.35">
      <c r="B8259" s="183"/>
    </row>
    <row r="8260" spans="2:2" ht="15.5" x14ac:dyDescent="0.35">
      <c r="B8260" s="183"/>
    </row>
    <row r="8261" spans="2:2" ht="15.5" x14ac:dyDescent="0.35">
      <c r="B8261" s="183"/>
    </row>
    <row r="8262" spans="2:2" ht="15.5" x14ac:dyDescent="0.35">
      <c r="B8262" s="183"/>
    </row>
    <row r="8263" spans="2:2" ht="15.5" x14ac:dyDescent="0.35">
      <c r="B8263" s="183"/>
    </row>
    <row r="8264" spans="2:2" ht="15.5" x14ac:dyDescent="0.35">
      <c r="B8264" s="183"/>
    </row>
    <row r="8265" spans="2:2" ht="15.5" x14ac:dyDescent="0.35">
      <c r="B8265" s="183"/>
    </row>
    <row r="8266" spans="2:2" ht="15.5" x14ac:dyDescent="0.35">
      <c r="B8266" s="183"/>
    </row>
    <row r="8267" spans="2:2" ht="15.5" x14ac:dyDescent="0.35">
      <c r="B8267" s="183"/>
    </row>
    <row r="8268" spans="2:2" ht="15.5" x14ac:dyDescent="0.35">
      <c r="B8268" s="183"/>
    </row>
    <row r="8269" spans="2:2" ht="15.5" x14ac:dyDescent="0.35">
      <c r="B8269" s="183"/>
    </row>
    <row r="8270" spans="2:2" ht="15.5" x14ac:dyDescent="0.35">
      <c r="B8270" s="183"/>
    </row>
    <row r="8271" spans="2:2" ht="15.5" x14ac:dyDescent="0.35">
      <c r="B8271" s="183"/>
    </row>
    <row r="8272" spans="2:2" ht="15.5" x14ac:dyDescent="0.35">
      <c r="B8272" s="183"/>
    </row>
    <row r="8273" spans="2:2" ht="15.5" x14ac:dyDescent="0.35">
      <c r="B8273" s="183"/>
    </row>
    <row r="8274" spans="2:2" ht="15.5" x14ac:dyDescent="0.35">
      <c r="B8274" s="183"/>
    </row>
    <row r="8275" spans="2:2" ht="15.5" x14ac:dyDescent="0.35">
      <c r="B8275" s="183"/>
    </row>
    <row r="8276" spans="2:2" ht="15.5" x14ac:dyDescent="0.35">
      <c r="B8276" s="183"/>
    </row>
    <row r="8277" spans="2:2" ht="15.5" x14ac:dyDescent="0.35">
      <c r="B8277" s="183"/>
    </row>
    <row r="8278" spans="2:2" ht="15.5" x14ac:dyDescent="0.35">
      <c r="B8278" s="183"/>
    </row>
    <row r="8279" spans="2:2" ht="15.5" x14ac:dyDescent="0.35">
      <c r="B8279" s="183"/>
    </row>
    <row r="8280" spans="2:2" ht="15.5" x14ac:dyDescent="0.35">
      <c r="B8280" s="183"/>
    </row>
    <row r="8281" spans="2:2" ht="15.5" x14ac:dyDescent="0.35">
      <c r="B8281" s="183"/>
    </row>
    <row r="8282" spans="2:2" ht="15.5" x14ac:dyDescent="0.35">
      <c r="B8282" s="183"/>
    </row>
    <row r="8283" spans="2:2" ht="15.5" x14ac:dyDescent="0.35">
      <c r="B8283" s="183"/>
    </row>
    <row r="8284" spans="2:2" ht="15.5" x14ac:dyDescent="0.35">
      <c r="B8284" s="183"/>
    </row>
    <row r="8285" spans="2:2" ht="15.5" x14ac:dyDescent="0.35">
      <c r="B8285" s="183"/>
    </row>
    <row r="8286" spans="2:2" ht="15.5" x14ac:dyDescent="0.35">
      <c r="B8286" s="183"/>
    </row>
    <row r="8287" spans="2:2" ht="15.5" x14ac:dyDescent="0.35">
      <c r="B8287" s="183"/>
    </row>
    <row r="8288" spans="2:2" ht="15.5" x14ac:dyDescent="0.35">
      <c r="B8288" s="183"/>
    </row>
    <row r="8289" spans="2:2" ht="15.5" x14ac:dyDescent="0.35">
      <c r="B8289" s="183"/>
    </row>
    <row r="8290" spans="2:2" ht="15.5" x14ac:dyDescent="0.35">
      <c r="B8290" s="183"/>
    </row>
    <row r="8291" spans="2:2" ht="15.5" x14ac:dyDescent="0.35">
      <c r="B8291" s="183"/>
    </row>
    <row r="8292" spans="2:2" ht="15.5" x14ac:dyDescent="0.35">
      <c r="B8292" s="183"/>
    </row>
    <row r="8293" spans="2:2" ht="15.5" x14ac:dyDescent="0.35">
      <c r="B8293" s="183"/>
    </row>
    <row r="8294" spans="2:2" ht="15.5" x14ac:dyDescent="0.35">
      <c r="B8294" s="183"/>
    </row>
    <row r="8295" spans="2:2" ht="15.5" x14ac:dyDescent="0.35">
      <c r="B8295" s="183"/>
    </row>
    <row r="8296" spans="2:2" ht="15.5" x14ac:dyDescent="0.35">
      <c r="B8296" s="183"/>
    </row>
    <row r="8297" spans="2:2" ht="15.5" x14ac:dyDescent="0.35">
      <c r="B8297" s="183"/>
    </row>
    <row r="8298" spans="2:2" ht="15.5" x14ac:dyDescent="0.35">
      <c r="B8298" s="183"/>
    </row>
    <row r="8299" spans="2:2" ht="15.5" x14ac:dyDescent="0.35">
      <c r="B8299" s="183"/>
    </row>
    <row r="8300" spans="2:2" ht="15.5" x14ac:dyDescent="0.35">
      <c r="B8300" s="183"/>
    </row>
    <row r="8301" spans="2:2" ht="15.5" x14ac:dyDescent="0.35">
      <c r="B8301" s="183"/>
    </row>
    <row r="8302" spans="2:2" ht="15.5" x14ac:dyDescent="0.35">
      <c r="B8302" s="183"/>
    </row>
    <row r="8303" spans="2:2" ht="15.5" x14ac:dyDescent="0.35">
      <c r="B8303" s="183"/>
    </row>
    <row r="8304" spans="2:2" ht="15.5" x14ac:dyDescent="0.35">
      <c r="B8304" s="183"/>
    </row>
    <row r="8305" spans="2:2" ht="15.5" x14ac:dyDescent="0.35">
      <c r="B8305" s="183"/>
    </row>
    <row r="8306" spans="2:2" ht="15.5" x14ac:dyDescent="0.35">
      <c r="B8306" s="183"/>
    </row>
    <row r="8307" spans="2:2" ht="15.5" x14ac:dyDescent="0.35">
      <c r="B8307" s="183"/>
    </row>
    <row r="8308" spans="2:2" ht="15.5" x14ac:dyDescent="0.35">
      <c r="B8308" s="183"/>
    </row>
    <row r="8309" spans="2:2" ht="15.5" x14ac:dyDescent="0.35">
      <c r="B8309" s="183"/>
    </row>
    <row r="8310" spans="2:2" ht="15.5" x14ac:dyDescent="0.35">
      <c r="B8310" s="183"/>
    </row>
    <row r="8311" spans="2:2" ht="15.5" x14ac:dyDescent="0.35">
      <c r="B8311" s="183"/>
    </row>
    <row r="8312" spans="2:2" ht="15.5" x14ac:dyDescent="0.35">
      <c r="B8312" s="183"/>
    </row>
    <row r="8313" spans="2:2" ht="15.5" x14ac:dyDescent="0.35">
      <c r="B8313" s="183"/>
    </row>
    <row r="8314" spans="2:2" ht="15.5" x14ac:dyDescent="0.35">
      <c r="B8314" s="183"/>
    </row>
    <row r="8315" spans="2:2" ht="15.5" x14ac:dyDescent="0.35">
      <c r="B8315" s="183"/>
    </row>
    <row r="8316" spans="2:2" ht="15.5" x14ac:dyDescent="0.35">
      <c r="B8316" s="183"/>
    </row>
    <row r="8317" spans="2:2" ht="15.5" x14ac:dyDescent="0.35">
      <c r="B8317" s="183"/>
    </row>
    <row r="8318" spans="2:2" ht="15.5" x14ac:dyDescent="0.35">
      <c r="B8318" s="183"/>
    </row>
    <row r="8319" spans="2:2" ht="15.5" x14ac:dyDescent="0.35">
      <c r="B8319" s="183"/>
    </row>
    <row r="8320" spans="2:2" ht="15.5" x14ac:dyDescent="0.35">
      <c r="B8320" s="183"/>
    </row>
    <row r="8321" spans="2:2" ht="15.5" x14ac:dyDescent="0.35">
      <c r="B8321" s="183"/>
    </row>
    <row r="8322" spans="2:2" ht="15.5" x14ac:dyDescent="0.35">
      <c r="B8322" s="183"/>
    </row>
    <row r="8323" spans="2:2" ht="15.5" x14ac:dyDescent="0.35">
      <c r="B8323" s="183"/>
    </row>
    <row r="8324" spans="2:2" ht="15.5" x14ac:dyDescent="0.35">
      <c r="B8324" s="183"/>
    </row>
    <row r="8325" spans="2:2" ht="15.5" x14ac:dyDescent="0.35">
      <c r="B8325" s="183"/>
    </row>
    <row r="8326" spans="2:2" ht="15.5" x14ac:dyDescent="0.35">
      <c r="B8326" s="183"/>
    </row>
    <row r="8327" spans="2:2" ht="15.5" x14ac:dyDescent="0.35">
      <c r="B8327" s="183"/>
    </row>
    <row r="8328" spans="2:2" ht="15.5" x14ac:dyDescent="0.35">
      <c r="B8328" s="183"/>
    </row>
    <row r="8329" spans="2:2" ht="15.5" x14ac:dyDescent="0.35">
      <c r="B8329" s="183"/>
    </row>
    <row r="8330" spans="2:2" ht="15.5" x14ac:dyDescent="0.35">
      <c r="B8330" s="183"/>
    </row>
    <row r="8331" spans="2:2" ht="15.5" x14ac:dyDescent="0.35">
      <c r="B8331" s="183"/>
    </row>
    <row r="8332" spans="2:2" ht="15.5" x14ac:dyDescent="0.35">
      <c r="B8332" s="183"/>
    </row>
    <row r="8333" spans="2:2" ht="15.5" x14ac:dyDescent="0.35">
      <c r="B8333" s="183"/>
    </row>
    <row r="8334" spans="2:2" ht="15.5" x14ac:dyDescent="0.35">
      <c r="B8334" s="183"/>
    </row>
    <row r="8335" spans="2:2" ht="15.5" x14ac:dyDescent="0.35">
      <c r="B8335" s="183"/>
    </row>
    <row r="8336" spans="2:2" ht="15.5" x14ac:dyDescent="0.35">
      <c r="B8336" s="183"/>
    </row>
    <row r="8337" spans="2:2" ht="15.5" x14ac:dyDescent="0.35">
      <c r="B8337" s="183"/>
    </row>
    <row r="8338" spans="2:2" ht="15.5" x14ac:dyDescent="0.35">
      <c r="B8338" s="183"/>
    </row>
    <row r="8339" spans="2:2" ht="15.5" x14ac:dyDescent="0.35">
      <c r="B8339" s="183"/>
    </row>
    <row r="8340" spans="2:2" ht="15.5" x14ac:dyDescent="0.35">
      <c r="B8340" s="183"/>
    </row>
    <row r="8341" spans="2:2" ht="15.5" x14ac:dyDescent="0.35">
      <c r="B8341" s="183"/>
    </row>
    <row r="8342" spans="2:2" ht="15.5" x14ac:dyDescent="0.35">
      <c r="B8342" s="183"/>
    </row>
    <row r="8343" spans="2:2" ht="15.5" x14ac:dyDescent="0.35">
      <c r="B8343" s="183"/>
    </row>
    <row r="8344" spans="2:2" ht="15.5" x14ac:dyDescent="0.35">
      <c r="B8344" s="183"/>
    </row>
    <row r="8345" spans="2:2" ht="15.5" x14ac:dyDescent="0.35">
      <c r="B8345" s="183"/>
    </row>
    <row r="8346" spans="2:2" ht="15.5" x14ac:dyDescent="0.35">
      <c r="B8346" s="183"/>
    </row>
    <row r="8347" spans="2:2" ht="15.5" x14ac:dyDescent="0.35">
      <c r="B8347" s="183"/>
    </row>
    <row r="8348" spans="2:2" ht="15.5" x14ac:dyDescent="0.35">
      <c r="B8348" s="183"/>
    </row>
    <row r="8349" spans="2:2" ht="15.5" x14ac:dyDescent="0.35">
      <c r="B8349" s="183"/>
    </row>
    <row r="8350" spans="2:2" ht="15.5" x14ac:dyDescent="0.35">
      <c r="B8350" s="183"/>
    </row>
    <row r="8351" spans="2:2" ht="15.5" x14ac:dyDescent="0.35">
      <c r="B8351" s="183"/>
    </row>
    <row r="8352" spans="2:2" ht="15.5" x14ac:dyDescent="0.35">
      <c r="B8352" s="183"/>
    </row>
    <row r="8353" spans="2:2" ht="15.5" x14ac:dyDescent="0.35">
      <c r="B8353" s="183"/>
    </row>
    <row r="8354" spans="2:2" ht="15.5" x14ac:dyDescent="0.35">
      <c r="B8354" s="183"/>
    </row>
    <row r="8355" spans="2:2" ht="15.5" x14ac:dyDescent="0.35">
      <c r="B8355" s="183"/>
    </row>
    <row r="8356" spans="2:2" ht="15.5" x14ac:dyDescent="0.35">
      <c r="B8356" s="183"/>
    </row>
    <row r="8357" spans="2:2" ht="15.5" x14ac:dyDescent="0.35">
      <c r="B8357" s="183"/>
    </row>
    <row r="8358" spans="2:2" ht="15.5" x14ac:dyDescent="0.35">
      <c r="B8358" s="183"/>
    </row>
    <row r="8359" spans="2:2" ht="15.5" x14ac:dyDescent="0.35">
      <c r="B8359" s="183"/>
    </row>
    <row r="8360" spans="2:2" ht="15.5" x14ac:dyDescent="0.35">
      <c r="B8360" s="183"/>
    </row>
    <row r="8361" spans="2:2" ht="15.5" x14ac:dyDescent="0.35">
      <c r="B8361" s="183"/>
    </row>
    <row r="8362" spans="2:2" ht="15.5" x14ac:dyDescent="0.35">
      <c r="B8362" s="183"/>
    </row>
    <row r="8363" spans="2:2" ht="15.5" x14ac:dyDescent="0.35">
      <c r="B8363" s="183"/>
    </row>
    <row r="8364" spans="2:2" ht="15.5" x14ac:dyDescent="0.35">
      <c r="B8364" s="183"/>
    </row>
    <row r="8365" spans="2:2" ht="15.5" x14ac:dyDescent="0.35">
      <c r="B8365" s="183"/>
    </row>
    <row r="8366" spans="2:2" ht="15.5" x14ac:dyDescent="0.35">
      <c r="B8366" s="183"/>
    </row>
    <row r="8367" spans="2:2" ht="15.5" x14ac:dyDescent="0.35">
      <c r="B8367" s="183"/>
    </row>
    <row r="8368" spans="2:2" ht="15.5" x14ac:dyDescent="0.35">
      <c r="B8368" s="183"/>
    </row>
    <row r="8369" spans="2:2" ht="15.5" x14ac:dyDescent="0.35">
      <c r="B8369" s="183"/>
    </row>
    <row r="8370" spans="2:2" ht="15.5" x14ac:dyDescent="0.35">
      <c r="B8370" s="183"/>
    </row>
    <row r="8371" spans="2:2" ht="15.5" x14ac:dyDescent="0.35">
      <c r="B8371" s="183"/>
    </row>
    <row r="8372" spans="2:2" ht="15.5" x14ac:dyDescent="0.35">
      <c r="B8372" s="183"/>
    </row>
    <row r="8373" spans="2:2" ht="15.5" x14ac:dyDescent="0.35">
      <c r="B8373" s="183"/>
    </row>
    <row r="8374" spans="2:2" ht="15.5" x14ac:dyDescent="0.35">
      <c r="B8374" s="183"/>
    </row>
    <row r="8375" spans="2:2" ht="15.5" x14ac:dyDescent="0.35">
      <c r="B8375" s="183"/>
    </row>
    <row r="8376" spans="2:2" ht="15.5" x14ac:dyDescent="0.35">
      <c r="B8376" s="183"/>
    </row>
    <row r="8377" spans="2:2" ht="15.5" x14ac:dyDescent="0.35">
      <c r="B8377" s="183"/>
    </row>
    <row r="8378" spans="2:2" ht="15.5" x14ac:dyDescent="0.35">
      <c r="B8378" s="183"/>
    </row>
    <row r="8379" spans="2:2" ht="15.5" x14ac:dyDescent="0.35">
      <c r="B8379" s="183"/>
    </row>
    <row r="8380" spans="2:2" ht="15.5" x14ac:dyDescent="0.35">
      <c r="B8380" s="183"/>
    </row>
    <row r="8381" spans="2:2" ht="15.5" x14ac:dyDescent="0.35">
      <c r="B8381" s="183"/>
    </row>
    <row r="8382" spans="2:2" ht="15.5" x14ac:dyDescent="0.35">
      <c r="B8382" s="183"/>
    </row>
    <row r="8383" spans="2:2" ht="15.5" x14ac:dyDescent="0.35">
      <c r="B8383" s="183"/>
    </row>
    <row r="8384" spans="2:2" ht="15.5" x14ac:dyDescent="0.35">
      <c r="B8384" s="183"/>
    </row>
    <row r="8385" spans="2:2" ht="15.5" x14ac:dyDescent="0.35">
      <c r="B8385" s="183"/>
    </row>
    <row r="8386" spans="2:2" ht="15.5" x14ac:dyDescent="0.35">
      <c r="B8386" s="183"/>
    </row>
    <row r="8387" spans="2:2" ht="15.5" x14ac:dyDescent="0.35">
      <c r="B8387" s="183"/>
    </row>
    <row r="8388" spans="2:2" ht="15.5" x14ac:dyDescent="0.35">
      <c r="B8388" s="183"/>
    </row>
    <row r="8389" spans="2:2" ht="15.5" x14ac:dyDescent="0.35">
      <c r="B8389" s="183"/>
    </row>
    <row r="8390" spans="2:2" ht="15.5" x14ac:dyDescent="0.35">
      <c r="B8390" s="183"/>
    </row>
    <row r="8391" spans="2:2" ht="15.5" x14ac:dyDescent="0.35">
      <c r="B8391" s="183"/>
    </row>
    <row r="8392" spans="2:2" ht="15.5" x14ac:dyDescent="0.35">
      <c r="B8392" s="183"/>
    </row>
    <row r="8393" spans="2:2" ht="15.5" x14ac:dyDescent="0.35">
      <c r="B8393" s="183"/>
    </row>
    <row r="8394" spans="2:2" ht="15.5" x14ac:dyDescent="0.35">
      <c r="B8394" s="183"/>
    </row>
    <row r="8395" spans="2:2" ht="15.5" x14ac:dyDescent="0.35">
      <c r="B8395" s="183"/>
    </row>
    <row r="8396" spans="2:2" ht="15.5" x14ac:dyDescent="0.35">
      <c r="B8396" s="183"/>
    </row>
    <row r="8397" spans="2:2" ht="15.5" x14ac:dyDescent="0.35">
      <c r="B8397" s="183"/>
    </row>
    <row r="8398" spans="2:2" ht="15.5" x14ac:dyDescent="0.35">
      <c r="B8398" s="183"/>
    </row>
    <row r="8399" spans="2:2" ht="15.5" x14ac:dyDescent="0.35">
      <c r="B8399" s="183"/>
    </row>
    <row r="8400" spans="2:2" ht="15.5" x14ac:dyDescent="0.35">
      <c r="B8400" s="183"/>
    </row>
    <row r="8401" spans="2:2" ht="15.5" x14ac:dyDescent="0.35">
      <c r="B8401" s="183"/>
    </row>
    <row r="8402" spans="2:2" ht="15.5" x14ac:dyDescent="0.35">
      <c r="B8402" s="183"/>
    </row>
    <row r="8403" spans="2:2" ht="15.5" x14ac:dyDescent="0.35">
      <c r="B8403" s="183"/>
    </row>
    <row r="8404" spans="2:2" ht="15.5" x14ac:dyDescent="0.35">
      <c r="B8404" s="183"/>
    </row>
    <row r="8405" spans="2:2" ht="15.5" x14ac:dyDescent="0.35">
      <c r="B8405" s="183"/>
    </row>
    <row r="8406" spans="2:2" ht="15.5" x14ac:dyDescent="0.35">
      <c r="B8406" s="183"/>
    </row>
    <row r="8407" spans="2:2" ht="15.5" x14ac:dyDescent="0.35">
      <c r="B8407" s="183"/>
    </row>
    <row r="8408" spans="2:2" ht="15.5" x14ac:dyDescent="0.35">
      <c r="B8408" s="183"/>
    </row>
    <row r="8409" spans="2:2" ht="15.5" x14ac:dyDescent="0.35">
      <c r="B8409" s="183"/>
    </row>
    <row r="8410" spans="2:2" ht="15.5" x14ac:dyDescent="0.35">
      <c r="B8410" s="183"/>
    </row>
    <row r="8411" spans="2:2" ht="15.5" x14ac:dyDescent="0.35">
      <c r="B8411" s="183"/>
    </row>
    <row r="8412" spans="2:2" ht="15.5" x14ac:dyDescent="0.35">
      <c r="B8412" s="183"/>
    </row>
    <row r="8413" spans="2:2" ht="15.5" x14ac:dyDescent="0.35">
      <c r="B8413" s="183"/>
    </row>
    <row r="8414" spans="2:2" ht="15.5" x14ac:dyDescent="0.35">
      <c r="B8414" s="183"/>
    </row>
    <row r="8415" spans="2:2" ht="15.5" x14ac:dyDescent="0.35">
      <c r="B8415" s="183"/>
    </row>
    <row r="8416" spans="2:2" ht="15.5" x14ac:dyDescent="0.35">
      <c r="B8416" s="183"/>
    </row>
    <row r="8417" spans="2:2" ht="15.5" x14ac:dyDescent="0.35">
      <c r="B8417" s="183"/>
    </row>
    <row r="8418" spans="2:2" ht="15.5" x14ac:dyDescent="0.35">
      <c r="B8418" s="183"/>
    </row>
    <row r="8419" spans="2:2" ht="15.5" x14ac:dyDescent="0.35">
      <c r="B8419" s="183"/>
    </row>
    <row r="8420" spans="2:2" ht="15.5" x14ac:dyDescent="0.35">
      <c r="B8420" s="183"/>
    </row>
    <row r="8421" spans="2:2" ht="15.5" x14ac:dyDescent="0.35">
      <c r="B8421" s="183"/>
    </row>
    <row r="8422" spans="2:2" ht="15.5" x14ac:dyDescent="0.35">
      <c r="B8422" s="183"/>
    </row>
    <row r="8423" spans="2:2" ht="15.5" x14ac:dyDescent="0.35">
      <c r="B8423" s="183"/>
    </row>
    <row r="8424" spans="2:2" ht="15.5" x14ac:dyDescent="0.35">
      <c r="B8424" s="183"/>
    </row>
    <row r="8425" spans="2:2" ht="15.5" x14ac:dyDescent="0.35">
      <c r="B8425" s="183"/>
    </row>
    <row r="8426" spans="2:2" ht="15.5" x14ac:dyDescent="0.35">
      <c r="B8426" s="183"/>
    </row>
    <row r="8427" spans="2:2" ht="15.5" x14ac:dyDescent="0.35">
      <c r="B8427" s="183"/>
    </row>
    <row r="8428" spans="2:2" ht="15.5" x14ac:dyDescent="0.35">
      <c r="B8428" s="183"/>
    </row>
    <row r="8429" spans="2:2" ht="15.5" x14ac:dyDescent="0.35">
      <c r="B8429" s="183"/>
    </row>
    <row r="8430" spans="2:2" ht="15.5" x14ac:dyDescent="0.35">
      <c r="B8430" s="183"/>
    </row>
    <row r="8431" spans="2:2" ht="15.5" x14ac:dyDescent="0.35">
      <c r="B8431" s="183"/>
    </row>
    <row r="8432" spans="2:2" ht="15.5" x14ac:dyDescent="0.35">
      <c r="B8432" s="183"/>
    </row>
    <row r="8433" spans="2:2" ht="15.5" x14ac:dyDescent="0.35">
      <c r="B8433" s="183"/>
    </row>
    <row r="8434" spans="2:2" ht="15.5" x14ac:dyDescent="0.35">
      <c r="B8434" s="183"/>
    </row>
    <row r="8435" spans="2:2" ht="15.5" x14ac:dyDescent="0.35">
      <c r="B8435" s="183"/>
    </row>
    <row r="8436" spans="2:2" ht="15.5" x14ac:dyDescent="0.35">
      <c r="B8436" s="183"/>
    </row>
    <row r="8437" spans="2:2" ht="15.5" x14ac:dyDescent="0.35">
      <c r="B8437" s="183"/>
    </row>
    <row r="8438" spans="2:2" ht="15.5" x14ac:dyDescent="0.35">
      <c r="B8438" s="183"/>
    </row>
    <row r="8439" spans="2:2" ht="15.5" x14ac:dyDescent="0.35">
      <c r="B8439" s="183"/>
    </row>
    <row r="8440" spans="2:2" ht="15.5" x14ac:dyDescent="0.35">
      <c r="B8440" s="183"/>
    </row>
    <row r="8441" spans="2:2" ht="15.5" x14ac:dyDescent="0.35">
      <c r="B8441" s="183"/>
    </row>
    <row r="8442" spans="2:2" ht="15.5" x14ac:dyDescent="0.35">
      <c r="B8442" s="183"/>
    </row>
    <row r="8443" spans="2:2" ht="15.5" x14ac:dyDescent="0.35">
      <c r="B8443" s="183"/>
    </row>
    <row r="8444" spans="2:2" ht="15.5" x14ac:dyDescent="0.35">
      <c r="B8444" s="183"/>
    </row>
    <row r="8445" spans="2:2" ht="15.5" x14ac:dyDescent="0.35">
      <c r="B8445" s="183"/>
    </row>
    <row r="8446" spans="2:2" ht="15.5" x14ac:dyDescent="0.35">
      <c r="B8446" s="183"/>
    </row>
    <row r="8447" spans="2:2" ht="15.5" x14ac:dyDescent="0.35">
      <c r="B8447" s="183"/>
    </row>
    <row r="8448" spans="2:2" ht="15.5" x14ac:dyDescent="0.35">
      <c r="B8448" s="183"/>
    </row>
    <row r="8449" spans="2:2" ht="15.5" x14ac:dyDescent="0.35">
      <c r="B8449" s="183"/>
    </row>
    <row r="8450" spans="2:2" ht="15.5" x14ac:dyDescent="0.35">
      <c r="B8450" s="183"/>
    </row>
    <row r="8451" spans="2:2" ht="15.5" x14ac:dyDescent="0.35">
      <c r="B8451" s="183"/>
    </row>
    <row r="8452" spans="2:2" ht="15.5" x14ac:dyDescent="0.35">
      <c r="B8452" s="183"/>
    </row>
    <row r="8453" spans="2:2" ht="15.5" x14ac:dyDescent="0.35">
      <c r="B8453" s="183"/>
    </row>
    <row r="8454" spans="2:2" ht="15.5" x14ac:dyDescent="0.35">
      <c r="B8454" s="183"/>
    </row>
    <row r="8455" spans="2:2" ht="15.5" x14ac:dyDescent="0.35">
      <c r="B8455" s="183"/>
    </row>
    <row r="8456" spans="2:2" ht="15.5" x14ac:dyDescent="0.35">
      <c r="B8456" s="183"/>
    </row>
    <row r="8457" spans="2:2" ht="15.5" x14ac:dyDescent="0.35">
      <c r="B8457" s="183"/>
    </row>
    <row r="8458" spans="2:2" ht="15.5" x14ac:dyDescent="0.35">
      <c r="B8458" s="183"/>
    </row>
    <row r="8459" spans="2:2" ht="15.5" x14ac:dyDescent="0.35">
      <c r="B8459" s="183"/>
    </row>
    <row r="8460" spans="2:2" ht="15.5" x14ac:dyDescent="0.35">
      <c r="B8460" s="183"/>
    </row>
    <row r="8461" spans="2:2" ht="15.5" x14ac:dyDescent="0.35">
      <c r="B8461" s="183"/>
    </row>
    <row r="8462" spans="2:2" ht="15.5" x14ac:dyDescent="0.35">
      <c r="B8462" s="183"/>
    </row>
    <row r="8463" spans="2:2" ht="15.5" x14ac:dyDescent="0.35">
      <c r="B8463" s="183"/>
    </row>
    <row r="8464" spans="2:2" ht="15.5" x14ac:dyDescent="0.35">
      <c r="B8464" s="183"/>
    </row>
    <row r="8465" spans="2:2" ht="15.5" x14ac:dyDescent="0.35">
      <c r="B8465" s="183"/>
    </row>
    <row r="8466" spans="2:2" ht="15.5" x14ac:dyDescent="0.35">
      <c r="B8466" s="183"/>
    </row>
    <row r="8467" spans="2:2" ht="15.5" x14ac:dyDescent="0.35">
      <c r="B8467" s="183"/>
    </row>
    <row r="8468" spans="2:2" ht="15.5" x14ac:dyDescent="0.35">
      <c r="B8468" s="183"/>
    </row>
    <row r="8469" spans="2:2" ht="15.5" x14ac:dyDescent="0.35">
      <c r="B8469" s="183"/>
    </row>
    <row r="8470" spans="2:2" ht="15.5" x14ac:dyDescent="0.35">
      <c r="B8470" s="183"/>
    </row>
    <row r="8471" spans="2:2" ht="15.5" x14ac:dyDescent="0.35">
      <c r="B8471" s="183"/>
    </row>
    <row r="8472" spans="2:2" ht="15.5" x14ac:dyDescent="0.35">
      <c r="B8472" s="183"/>
    </row>
    <row r="8473" spans="2:2" ht="15.5" x14ac:dyDescent="0.35">
      <c r="B8473" s="183"/>
    </row>
    <row r="8474" spans="2:2" ht="15.5" x14ac:dyDescent="0.35">
      <c r="B8474" s="183"/>
    </row>
    <row r="8475" spans="2:2" ht="15.5" x14ac:dyDescent="0.35">
      <c r="B8475" s="183"/>
    </row>
    <row r="8476" spans="2:2" ht="15.5" x14ac:dyDescent="0.35">
      <c r="B8476" s="183"/>
    </row>
    <row r="8477" spans="2:2" ht="15.5" x14ac:dyDescent="0.35">
      <c r="B8477" s="183"/>
    </row>
    <row r="8478" spans="2:2" ht="15.5" x14ac:dyDescent="0.35">
      <c r="B8478" s="183"/>
    </row>
    <row r="8479" spans="2:2" ht="15.5" x14ac:dyDescent="0.35">
      <c r="B8479" s="183"/>
    </row>
    <row r="8480" spans="2:2" ht="15.5" x14ac:dyDescent="0.35">
      <c r="B8480" s="183"/>
    </row>
    <row r="8481" spans="2:2" ht="15.5" x14ac:dyDescent="0.35">
      <c r="B8481" s="183"/>
    </row>
    <row r="8482" spans="2:2" ht="15.5" x14ac:dyDescent="0.35">
      <c r="B8482" s="183"/>
    </row>
    <row r="8483" spans="2:2" ht="15.5" x14ac:dyDescent="0.35">
      <c r="B8483" s="183"/>
    </row>
    <row r="8484" spans="2:2" ht="15.5" x14ac:dyDescent="0.35">
      <c r="B8484" s="183"/>
    </row>
    <row r="8485" spans="2:2" ht="15.5" x14ac:dyDescent="0.35">
      <c r="B8485" s="183"/>
    </row>
    <row r="8486" spans="2:2" ht="15.5" x14ac:dyDescent="0.35">
      <c r="B8486" s="183"/>
    </row>
    <row r="8487" spans="2:2" ht="15.5" x14ac:dyDescent="0.35">
      <c r="B8487" s="183"/>
    </row>
    <row r="8488" spans="2:2" ht="15.5" x14ac:dyDescent="0.35">
      <c r="B8488" s="183"/>
    </row>
    <row r="8489" spans="2:2" ht="15.5" x14ac:dyDescent="0.35">
      <c r="B8489" s="183"/>
    </row>
    <row r="8490" spans="2:2" ht="15.5" x14ac:dyDescent="0.35">
      <c r="B8490" s="183"/>
    </row>
    <row r="8491" spans="2:2" ht="15.5" x14ac:dyDescent="0.35">
      <c r="B8491" s="183"/>
    </row>
    <row r="8492" spans="2:2" ht="15.5" x14ac:dyDescent="0.35">
      <c r="B8492" s="183"/>
    </row>
    <row r="8493" spans="2:2" ht="15.5" x14ac:dyDescent="0.35">
      <c r="B8493" s="183"/>
    </row>
    <row r="8494" spans="2:2" ht="15.5" x14ac:dyDescent="0.35">
      <c r="B8494" s="183"/>
    </row>
    <row r="8495" spans="2:2" ht="15.5" x14ac:dyDescent="0.35">
      <c r="B8495" s="183"/>
    </row>
    <row r="8496" spans="2:2" ht="15.5" x14ac:dyDescent="0.35">
      <c r="B8496" s="183"/>
    </row>
    <row r="8497" spans="2:2" ht="15.5" x14ac:dyDescent="0.35">
      <c r="B8497" s="183"/>
    </row>
    <row r="8498" spans="2:2" ht="15.5" x14ac:dyDescent="0.35">
      <c r="B8498" s="183"/>
    </row>
    <row r="8499" spans="2:2" ht="15.5" x14ac:dyDescent="0.35">
      <c r="B8499" s="183"/>
    </row>
    <row r="8500" spans="2:2" ht="15.5" x14ac:dyDescent="0.35">
      <c r="B8500" s="183"/>
    </row>
    <row r="8501" spans="2:2" ht="15.5" x14ac:dyDescent="0.35">
      <c r="B8501" s="183"/>
    </row>
    <row r="8502" spans="2:2" ht="15.5" x14ac:dyDescent="0.35">
      <c r="B8502" s="183"/>
    </row>
    <row r="8503" spans="2:2" ht="15.5" x14ac:dyDescent="0.35">
      <c r="B8503" s="183"/>
    </row>
    <row r="8504" spans="2:2" ht="15.5" x14ac:dyDescent="0.35">
      <c r="B8504" s="183"/>
    </row>
    <row r="8505" spans="2:2" ht="15.5" x14ac:dyDescent="0.35">
      <c r="B8505" s="183"/>
    </row>
    <row r="8506" spans="2:2" ht="15.5" x14ac:dyDescent="0.35">
      <c r="B8506" s="183"/>
    </row>
    <row r="8507" spans="2:2" ht="15.5" x14ac:dyDescent="0.35">
      <c r="B8507" s="183"/>
    </row>
    <row r="8508" spans="2:2" ht="15.5" x14ac:dyDescent="0.35">
      <c r="B8508" s="183"/>
    </row>
    <row r="8509" spans="2:2" ht="15.5" x14ac:dyDescent="0.35">
      <c r="B8509" s="183"/>
    </row>
    <row r="8510" spans="2:2" ht="15.5" x14ac:dyDescent="0.35">
      <c r="B8510" s="183"/>
    </row>
    <row r="8511" spans="2:2" ht="15.5" x14ac:dyDescent="0.35">
      <c r="B8511" s="183"/>
    </row>
    <row r="8512" spans="2:2" ht="15.5" x14ac:dyDescent="0.35">
      <c r="B8512" s="183"/>
    </row>
    <row r="8513" spans="2:2" ht="15.5" x14ac:dyDescent="0.35">
      <c r="B8513" s="183"/>
    </row>
    <row r="8514" spans="2:2" ht="15.5" x14ac:dyDescent="0.35">
      <c r="B8514" s="183"/>
    </row>
    <row r="8515" spans="2:2" ht="15.5" x14ac:dyDescent="0.35">
      <c r="B8515" s="183"/>
    </row>
    <row r="8516" spans="2:2" ht="15.5" x14ac:dyDescent="0.35">
      <c r="B8516" s="183"/>
    </row>
    <row r="8517" spans="2:2" ht="15.5" x14ac:dyDescent="0.35">
      <c r="B8517" s="183"/>
    </row>
    <row r="8518" spans="2:2" ht="15.5" x14ac:dyDescent="0.35">
      <c r="B8518" s="183"/>
    </row>
    <row r="8519" spans="2:2" ht="15.5" x14ac:dyDescent="0.35">
      <c r="B8519" s="183"/>
    </row>
    <row r="8520" spans="2:2" ht="15.5" x14ac:dyDescent="0.35">
      <c r="B8520" s="183"/>
    </row>
    <row r="8521" spans="2:2" ht="15.5" x14ac:dyDescent="0.35">
      <c r="B8521" s="183"/>
    </row>
    <row r="8522" spans="2:2" ht="15.5" x14ac:dyDescent="0.35">
      <c r="B8522" s="183"/>
    </row>
    <row r="8523" spans="2:2" ht="15.5" x14ac:dyDescent="0.35">
      <c r="B8523" s="183"/>
    </row>
    <row r="8524" spans="2:2" ht="15.5" x14ac:dyDescent="0.35">
      <c r="B8524" s="183"/>
    </row>
    <row r="8525" spans="2:2" ht="15.5" x14ac:dyDescent="0.35">
      <c r="B8525" s="183"/>
    </row>
    <row r="8526" spans="2:2" ht="15.5" x14ac:dyDescent="0.35">
      <c r="B8526" s="183"/>
    </row>
    <row r="8527" spans="2:2" ht="15.5" x14ac:dyDescent="0.35">
      <c r="B8527" s="183"/>
    </row>
    <row r="8528" spans="2:2" ht="15.5" x14ac:dyDescent="0.35">
      <c r="B8528" s="183"/>
    </row>
    <row r="8529" spans="2:2" ht="15.5" x14ac:dyDescent="0.35">
      <c r="B8529" s="183"/>
    </row>
    <row r="8530" spans="2:2" ht="15.5" x14ac:dyDescent="0.35">
      <c r="B8530" s="183"/>
    </row>
    <row r="8531" spans="2:2" ht="15.5" x14ac:dyDescent="0.35">
      <c r="B8531" s="183"/>
    </row>
    <row r="8532" spans="2:2" ht="15.5" x14ac:dyDescent="0.35">
      <c r="B8532" s="183"/>
    </row>
    <row r="8533" spans="2:2" ht="15.5" x14ac:dyDescent="0.35">
      <c r="B8533" s="183"/>
    </row>
    <row r="8534" spans="2:2" ht="15.5" x14ac:dyDescent="0.35">
      <c r="B8534" s="183"/>
    </row>
    <row r="8535" spans="2:2" ht="15.5" x14ac:dyDescent="0.35">
      <c r="B8535" s="183"/>
    </row>
    <row r="8536" spans="2:2" ht="15.5" x14ac:dyDescent="0.35">
      <c r="B8536" s="183"/>
    </row>
    <row r="8537" spans="2:2" ht="15.5" x14ac:dyDescent="0.35">
      <c r="B8537" s="183"/>
    </row>
    <row r="8538" spans="2:2" ht="15.5" x14ac:dyDescent="0.35">
      <c r="B8538" s="183"/>
    </row>
    <row r="8539" spans="2:2" ht="15.5" x14ac:dyDescent="0.35">
      <c r="B8539" s="183"/>
    </row>
    <row r="8540" spans="2:2" ht="15.5" x14ac:dyDescent="0.35">
      <c r="B8540" s="183"/>
    </row>
    <row r="8541" spans="2:2" ht="15.5" x14ac:dyDescent="0.35">
      <c r="B8541" s="183"/>
    </row>
    <row r="8542" spans="2:2" ht="15.5" x14ac:dyDescent="0.35">
      <c r="B8542" s="183"/>
    </row>
    <row r="8543" spans="2:2" ht="15.5" x14ac:dyDescent="0.35">
      <c r="B8543" s="183"/>
    </row>
    <row r="8544" spans="2:2" ht="15.5" x14ac:dyDescent="0.35">
      <c r="B8544" s="183"/>
    </row>
    <row r="8545" spans="2:2" ht="15.5" x14ac:dyDescent="0.35">
      <c r="B8545" s="183"/>
    </row>
    <row r="8546" spans="2:2" ht="15.5" x14ac:dyDescent="0.35">
      <c r="B8546" s="183"/>
    </row>
    <row r="8547" spans="2:2" ht="15.5" x14ac:dyDescent="0.35">
      <c r="B8547" s="183"/>
    </row>
    <row r="8548" spans="2:2" ht="15.5" x14ac:dyDescent="0.35">
      <c r="B8548" s="183"/>
    </row>
    <row r="8549" spans="2:2" ht="15.5" x14ac:dyDescent="0.35">
      <c r="B8549" s="183"/>
    </row>
    <row r="8550" spans="2:2" ht="15.5" x14ac:dyDescent="0.35">
      <c r="B8550" s="183"/>
    </row>
    <row r="8551" spans="2:2" ht="15.5" x14ac:dyDescent="0.35">
      <c r="B8551" s="183"/>
    </row>
    <row r="8552" spans="2:2" ht="15.5" x14ac:dyDescent="0.35">
      <c r="B8552" s="183"/>
    </row>
    <row r="8553" spans="2:2" ht="15.5" x14ac:dyDescent="0.35">
      <c r="B8553" s="183"/>
    </row>
    <row r="8554" spans="2:2" ht="15.5" x14ac:dyDescent="0.35">
      <c r="B8554" s="183"/>
    </row>
    <row r="8555" spans="2:2" ht="15.5" x14ac:dyDescent="0.35">
      <c r="B8555" s="183"/>
    </row>
    <row r="8556" spans="2:2" ht="15.5" x14ac:dyDescent="0.35">
      <c r="B8556" s="183"/>
    </row>
    <row r="8557" spans="2:2" ht="15.5" x14ac:dyDescent="0.35">
      <c r="B8557" s="183"/>
    </row>
    <row r="8558" spans="2:2" ht="15.5" x14ac:dyDescent="0.35">
      <c r="B8558" s="183"/>
    </row>
    <row r="8559" spans="2:2" ht="15.5" x14ac:dyDescent="0.35">
      <c r="B8559" s="183"/>
    </row>
    <row r="8560" spans="2:2" ht="15.5" x14ac:dyDescent="0.35">
      <c r="B8560" s="183"/>
    </row>
    <row r="8561" spans="2:2" ht="15.5" x14ac:dyDescent="0.35">
      <c r="B8561" s="183"/>
    </row>
    <row r="8562" spans="2:2" ht="15.5" x14ac:dyDescent="0.35">
      <c r="B8562" s="183"/>
    </row>
    <row r="8563" spans="2:2" ht="15.5" x14ac:dyDescent="0.35">
      <c r="B8563" s="183"/>
    </row>
    <row r="8564" spans="2:2" ht="15.5" x14ac:dyDescent="0.35">
      <c r="B8564" s="183"/>
    </row>
    <row r="8565" spans="2:2" ht="15.5" x14ac:dyDescent="0.35">
      <c r="B8565" s="183"/>
    </row>
    <row r="8566" spans="2:2" ht="15.5" x14ac:dyDescent="0.35">
      <c r="B8566" s="183"/>
    </row>
    <row r="8567" spans="2:2" ht="15.5" x14ac:dyDescent="0.35">
      <c r="B8567" s="183"/>
    </row>
    <row r="8568" spans="2:2" ht="15.5" x14ac:dyDescent="0.35">
      <c r="B8568" s="183"/>
    </row>
    <row r="8569" spans="2:2" ht="15.5" x14ac:dyDescent="0.35">
      <c r="B8569" s="183"/>
    </row>
    <row r="8570" spans="2:2" ht="15.5" x14ac:dyDescent="0.35">
      <c r="B8570" s="183"/>
    </row>
    <row r="8571" spans="2:2" ht="15.5" x14ac:dyDescent="0.35">
      <c r="B8571" s="183"/>
    </row>
    <row r="8572" spans="2:2" ht="15.5" x14ac:dyDescent="0.35">
      <c r="B8572" s="183"/>
    </row>
    <row r="8573" spans="2:2" ht="15.5" x14ac:dyDescent="0.35">
      <c r="B8573" s="183"/>
    </row>
    <row r="8574" spans="2:2" ht="15.5" x14ac:dyDescent="0.35">
      <c r="B8574" s="183"/>
    </row>
    <row r="8575" spans="2:2" ht="15.5" x14ac:dyDescent="0.35">
      <c r="B8575" s="183"/>
    </row>
    <row r="8576" spans="2:2" ht="15.5" x14ac:dyDescent="0.35">
      <c r="B8576" s="183"/>
    </row>
    <row r="8577" spans="2:2" ht="15.5" x14ac:dyDescent="0.35">
      <c r="B8577" s="183"/>
    </row>
    <row r="8578" spans="2:2" ht="15.5" x14ac:dyDescent="0.35">
      <c r="B8578" s="183"/>
    </row>
    <row r="8579" spans="2:2" ht="15.5" x14ac:dyDescent="0.35">
      <c r="B8579" s="183"/>
    </row>
    <row r="8580" spans="2:2" ht="15.5" x14ac:dyDescent="0.35">
      <c r="B8580" s="183"/>
    </row>
    <row r="8581" spans="2:2" ht="15.5" x14ac:dyDescent="0.35">
      <c r="B8581" s="183"/>
    </row>
    <row r="8582" spans="2:2" ht="15.5" x14ac:dyDescent="0.35">
      <c r="B8582" s="183"/>
    </row>
    <row r="8583" spans="2:2" ht="15.5" x14ac:dyDescent="0.35">
      <c r="B8583" s="183"/>
    </row>
    <row r="8584" spans="2:2" ht="15.5" x14ac:dyDescent="0.35">
      <c r="B8584" s="183"/>
    </row>
    <row r="8585" spans="2:2" ht="15.5" x14ac:dyDescent="0.35">
      <c r="B8585" s="183"/>
    </row>
    <row r="8586" spans="2:2" ht="15.5" x14ac:dyDescent="0.35">
      <c r="B8586" s="183"/>
    </row>
    <row r="8587" spans="2:2" ht="15.5" x14ac:dyDescent="0.35">
      <c r="B8587" s="183"/>
    </row>
    <row r="8588" spans="2:2" ht="15.5" x14ac:dyDescent="0.35">
      <c r="B8588" s="183"/>
    </row>
    <row r="8589" spans="2:2" ht="15.5" x14ac:dyDescent="0.35">
      <c r="B8589" s="183"/>
    </row>
    <row r="8590" spans="2:2" ht="15.5" x14ac:dyDescent="0.35">
      <c r="B8590" s="183"/>
    </row>
    <row r="8591" spans="2:2" ht="15.5" x14ac:dyDescent="0.35">
      <c r="B8591" s="183"/>
    </row>
    <row r="8592" spans="2:2" ht="15.5" x14ac:dyDescent="0.35">
      <c r="B8592" s="183"/>
    </row>
    <row r="8593" spans="2:2" ht="15.5" x14ac:dyDescent="0.35">
      <c r="B8593" s="183"/>
    </row>
    <row r="8594" spans="2:2" ht="15.5" x14ac:dyDescent="0.35">
      <c r="B8594" s="183"/>
    </row>
    <row r="8595" spans="2:2" ht="15.5" x14ac:dyDescent="0.35">
      <c r="B8595" s="183"/>
    </row>
    <row r="8596" spans="2:2" ht="15.5" x14ac:dyDescent="0.35">
      <c r="B8596" s="183"/>
    </row>
    <row r="8597" spans="2:2" ht="15.5" x14ac:dyDescent="0.35">
      <c r="B8597" s="183"/>
    </row>
    <row r="8598" spans="2:2" ht="15.5" x14ac:dyDescent="0.35">
      <c r="B8598" s="183"/>
    </row>
    <row r="8599" spans="2:2" ht="15.5" x14ac:dyDescent="0.35">
      <c r="B8599" s="183"/>
    </row>
    <row r="8600" spans="2:2" ht="15.5" x14ac:dyDescent="0.35">
      <c r="B8600" s="183"/>
    </row>
    <row r="8601" spans="2:2" ht="15.5" x14ac:dyDescent="0.35">
      <c r="B8601" s="183"/>
    </row>
    <row r="8602" spans="2:2" ht="15.5" x14ac:dyDescent="0.35">
      <c r="B8602" s="183"/>
    </row>
    <row r="8603" spans="2:2" ht="15.5" x14ac:dyDescent="0.35">
      <c r="B8603" s="183"/>
    </row>
    <row r="8604" spans="2:2" ht="15.5" x14ac:dyDescent="0.35">
      <c r="B8604" s="183"/>
    </row>
    <row r="8605" spans="2:2" ht="15.5" x14ac:dyDescent="0.35">
      <c r="B8605" s="183"/>
    </row>
    <row r="8606" spans="2:2" ht="15.5" x14ac:dyDescent="0.35">
      <c r="B8606" s="183"/>
    </row>
    <row r="8607" spans="2:2" ht="15.5" x14ac:dyDescent="0.35">
      <c r="B8607" s="183"/>
    </row>
    <row r="8608" spans="2:2" ht="15.5" x14ac:dyDescent="0.35">
      <c r="B8608" s="183"/>
    </row>
    <row r="8609" spans="2:2" ht="15.5" x14ac:dyDescent="0.35">
      <c r="B8609" s="183"/>
    </row>
    <row r="8610" spans="2:2" ht="15.5" x14ac:dyDescent="0.35">
      <c r="B8610" s="183"/>
    </row>
    <row r="8611" spans="2:2" ht="15.5" x14ac:dyDescent="0.35">
      <c r="B8611" s="183"/>
    </row>
    <row r="8612" spans="2:2" ht="15.5" x14ac:dyDescent="0.35">
      <c r="B8612" s="183"/>
    </row>
    <row r="8613" spans="2:2" ht="15.5" x14ac:dyDescent="0.35">
      <c r="B8613" s="183"/>
    </row>
    <row r="8614" spans="2:2" ht="15.5" x14ac:dyDescent="0.35">
      <c r="B8614" s="183"/>
    </row>
    <row r="8615" spans="2:2" ht="15.5" x14ac:dyDescent="0.35">
      <c r="B8615" s="183"/>
    </row>
    <row r="8616" spans="2:2" ht="15.5" x14ac:dyDescent="0.35">
      <c r="B8616" s="183"/>
    </row>
    <row r="8617" spans="2:2" ht="15.5" x14ac:dyDescent="0.35">
      <c r="B8617" s="183"/>
    </row>
    <row r="8618" spans="2:2" ht="15.5" x14ac:dyDescent="0.35">
      <c r="B8618" s="183"/>
    </row>
    <row r="8619" spans="2:2" ht="15.5" x14ac:dyDescent="0.35">
      <c r="B8619" s="183"/>
    </row>
    <row r="8620" spans="2:2" ht="15.5" x14ac:dyDescent="0.35">
      <c r="B8620" s="183"/>
    </row>
    <row r="8621" spans="2:2" ht="15.5" x14ac:dyDescent="0.35">
      <c r="B8621" s="183"/>
    </row>
    <row r="8622" spans="2:2" ht="15.5" x14ac:dyDescent="0.35">
      <c r="B8622" s="183"/>
    </row>
    <row r="8623" spans="2:2" ht="15.5" x14ac:dyDescent="0.35">
      <c r="B8623" s="183"/>
    </row>
    <row r="8624" spans="2:2" ht="15.5" x14ac:dyDescent="0.35">
      <c r="B8624" s="183"/>
    </row>
    <row r="8625" spans="2:2" ht="15.5" x14ac:dyDescent="0.35">
      <c r="B8625" s="183"/>
    </row>
    <row r="8626" spans="2:2" ht="15.5" x14ac:dyDescent="0.35">
      <c r="B8626" s="183"/>
    </row>
    <row r="8627" spans="2:2" ht="15.5" x14ac:dyDescent="0.35">
      <c r="B8627" s="183"/>
    </row>
    <row r="8628" spans="2:2" ht="15.5" x14ac:dyDescent="0.35">
      <c r="B8628" s="183"/>
    </row>
    <row r="8629" spans="2:2" ht="15.5" x14ac:dyDescent="0.35">
      <c r="B8629" s="183"/>
    </row>
    <row r="8630" spans="2:2" ht="15.5" x14ac:dyDescent="0.35">
      <c r="B8630" s="183"/>
    </row>
    <row r="8631" spans="2:2" ht="15.5" x14ac:dyDescent="0.35">
      <c r="B8631" s="183"/>
    </row>
    <row r="8632" spans="2:2" ht="15.5" x14ac:dyDescent="0.35">
      <c r="B8632" s="183"/>
    </row>
    <row r="8633" spans="2:2" ht="15.5" x14ac:dyDescent="0.35">
      <c r="B8633" s="183"/>
    </row>
    <row r="8634" spans="2:2" ht="15.5" x14ac:dyDescent="0.35">
      <c r="B8634" s="183"/>
    </row>
    <row r="8635" spans="2:2" ht="15.5" x14ac:dyDescent="0.35">
      <c r="B8635" s="183"/>
    </row>
    <row r="8636" spans="2:2" ht="15.5" x14ac:dyDescent="0.35">
      <c r="B8636" s="183"/>
    </row>
    <row r="8637" spans="2:2" ht="15.5" x14ac:dyDescent="0.35">
      <c r="B8637" s="183"/>
    </row>
    <row r="8638" spans="2:2" ht="15.5" x14ac:dyDescent="0.35">
      <c r="B8638" s="183"/>
    </row>
    <row r="8639" spans="2:2" ht="15.5" x14ac:dyDescent="0.35">
      <c r="B8639" s="183"/>
    </row>
    <row r="8640" spans="2:2" ht="15.5" x14ac:dyDescent="0.35">
      <c r="B8640" s="183"/>
    </row>
    <row r="8641" spans="2:2" ht="15.5" x14ac:dyDescent="0.35">
      <c r="B8641" s="183"/>
    </row>
    <row r="8642" spans="2:2" ht="15.5" x14ac:dyDescent="0.35">
      <c r="B8642" s="183"/>
    </row>
    <row r="8643" spans="2:2" ht="15.5" x14ac:dyDescent="0.35">
      <c r="B8643" s="183"/>
    </row>
    <row r="8644" spans="2:2" ht="15.5" x14ac:dyDescent="0.35">
      <c r="B8644" s="183"/>
    </row>
    <row r="8645" spans="2:2" ht="15.5" x14ac:dyDescent="0.35">
      <c r="B8645" s="183"/>
    </row>
    <row r="8646" spans="2:2" ht="15.5" x14ac:dyDescent="0.35">
      <c r="B8646" s="183"/>
    </row>
    <row r="8647" spans="2:2" ht="15.5" x14ac:dyDescent="0.35">
      <c r="B8647" s="183"/>
    </row>
    <row r="8648" spans="2:2" ht="15.5" x14ac:dyDescent="0.35">
      <c r="B8648" s="183"/>
    </row>
    <row r="8649" spans="2:2" ht="15.5" x14ac:dyDescent="0.35">
      <c r="B8649" s="183"/>
    </row>
    <row r="8650" spans="2:2" ht="15.5" x14ac:dyDescent="0.35">
      <c r="B8650" s="183"/>
    </row>
    <row r="8651" spans="2:2" ht="15.5" x14ac:dyDescent="0.35">
      <c r="B8651" s="183"/>
    </row>
    <row r="8652" spans="2:2" ht="15.5" x14ac:dyDescent="0.35">
      <c r="B8652" s="183"/>
    </row>
    <row r="8653" spans="2:2" ht="15.5" x14ac:dyDescent="0.35">
      <c r="B8653" s="183"/>
    </row>
    <row r="8654" spans="2:2" ht="15.5" x14ac:dyDescent="0.35">
      <c r="B8654" s="183"/>
    </row>
    <row r="8655" spans="2:2" ht="15.5" x14ac:dyDescent="0.35">
      <c r="B8655" s="183"/>
    </row>
    <row r="8656" spans="2:2" ht="15.5" x14ac:dyDescent="0.35">
      <c r="B8656" s="183"/>
    </row>
    <row r="8657" spans="2:2" ht="15.5" x14ac:dyDescent="0.35">
      <c r="B8657" s="183"/>
    </row>
    <row r="8658" spans="2:2" ht="15.5" x14ac:dyDescent="0.35">
      <c r="B8658" s="183"/>
    </row>
    <row r="8659" spans="2:2" ht="15.5" x14ac:dyDescent="0.35">
      <c r="B8659" s="183"/>
    </row>
    <row r="8660" spans="2:2" ht="15.5" x14ac:dyDescent="0.35">
      <c r="B8660" s="183"/>
    </row>
    <row r="8661" spans="2:2" ht="15.5" x14ac:dyDescent="0.35">
      <c r="B8661" s="183"/>
    </row>
    <row r="8662" spans="2:2" ht="15.5" x14ac:dyDescent="0.35">
      <c r="B8662" s="183"/>
    </row>
    <row r="8663" spans="2:2" ht="15.5" x14ac:dyDescent="0.35">
      <c r="B8663" s="183"/>
    </row>
    <row r="8664" spans="2:2" ht="15.5" x14ac:dyDescent="0.35">
      <c r="B8664" s="183"/>
    </row>
    <row r="8665" spans="2:2" ht="15.5" x14ac:dyDescent="0.35">
      <c r="B8665" s="183"/>
    </row>
    <row r="8666" spans="2:2" ht="15.5" x14ac:dyDescent="0.35">
      <c r="B8666" s="183"/>
    </row>
    <row r="8667" spans="2:2" ht="15.5" x14ac:dyDescent="0.35">
      <c r="B8667" s="183"/>
    </row>
    <row r="8668" spans="2:2" ht="15.5" x14ac:dyDescent="0.35">
      <c r="B8668" s="183"/>
    </row>
    <row r="8669" spans="2:2" ht="15.5" x14ac:dyDescent="0.35">
      <c r="B8669" s="183"/>
    </row>
    <row r="8670" spans="2:2" ht="15.5" x14ac:dyDescent="0.35">
      <c r="B8670" s="183"/>
    </row>
    <row r="8671" spans="2:2" ht="15.5" x14ac:dyDescent="0.35">
      <c r="B8671" s="183"/>
    </row>
    <row r="8672" spans="2:2" ht="15.5" x14ac:dyDescent="0.35">
      <c r="B8672" s="183"/>
    </row>
    <row r="8673" spans="2:2" ht="15.5" x14ac:dyDescent="0.35">
      <c r="B8673" s="183"/>
    </row>
    <row r="8674" spans="2:2" ht="15.5" x14ac:dyDescent="0.35">
      <c r="B8674" s="183"/>
    </row>
    <row r="8675" spans="2:2" ht="15.5" x14ac:dyDescent="0.35">
      <c r="B8675" s="183"/>
    </row>
    <row r="8676" spans="2:2" ht="15.5" x14ac:dyDescent="0.35">
      <c r="B8676" s="183"/>
    </row>
    <row r="8677" spans="2:2" ht="15.5" x14ac:dyDescent="0.35">
      <c r="B8677" s="183"/>
    </row>
    <row r="8678" spans="2:2" ht="15.5" x14ac:dyDescent="0.35">
      <c r="B8678" s="183"/>
    </row>
    <row r="8679" spans="2:2" ht="15.5" x14ac:dyDescent="0.35">
      <c r="B8679" s="183"/>
    </row>
    <row r="8680" spans="2:2" ht="15.5" x14ac:dyDescent="0.35">
      <c r="B8680" s="183"/>
    </row>
    <row r="8681" spans="2:2" ht="15.5" x14ac:dyDescent="0.35">
      <c r="B8681" s="183"/>
    </row>
    <row r="8682" spans="2:2" ht="15.5" x14ac:dyDescent="0.35">
      <c r="B8682" s="183"/>
    </row>
    <row r="8683" spans="2:2" ht="15.5" x14ac:dyDescent="0.35">
      <c r="B8683" s="183"/>
    </row>
    <row r="8684" spans="2:2" ht="15.5" x14ac:dyDescent="0.35">
      <c r="B8684" s="183"/>
    </row>
    <row r="8685" spans="2:2" ht="15.5" x14ac:dyDescent="0.35">
      <c r="B8685" s="183"/>
    </row>
    <row r="8686" spans="2:2" ht="15.5" x14ac:dyDescent="0.35">
      <c r="B8686" s="183"/>
    </row>
    <row r="8687" spans="2:2" ht="15.5" x14ac:dyDescent="0.35">
      <c r="B8687" s="183"/>
    </row>
    <row r="8688" spans="2:2" ht="15.5" x14ac:dyDescent="0.35">
      <c r="B8688" s="183"/>
    </row>
    <row r="8689" spans="2:2" ht="15.5" x14ac:dyDescent="0.35">
      <c r="B8689" s="183"/>
    </row>
    <row r="8690" spans="2:2" ht="15.5" x14ac:dyDescent="0.35">
      <c r="B8690" s="183"/>
    </row>
    <row r="8691" spans="2:2" ht="15.5" x14ac:dyDescent="0.35">
      <c r="B8691" s="183"/>
    </row>
    <row r="8692" spans="2:2" ht="15.5" x14ac:dyDescent="0.35">
      <c r="B8692" s="183"/>
    </row>
    <row r="8693" spans="2:2" ht="15.5" x14ac:dyDescent="0.35">
      <c r="B8693" s="183"/>
    </row>
    <row r="8694" spans="2:2" ht="15.5" x14ac:dyDescent="0.35">
      <c r="B8694" s="183"/>
    </row>
    <row r="8695" spans="2:2" ht="15.5" x14ac:dyDescent="0.35">
      <c r="B8695" s="183"/>
    </row>
    <row r="8696" spans="2:2" ht="15.5" x14ac:dyDescent="0.35">
      <c r="B8696" s="183"/>
    </row>
    <row r="8697" spans="2:2" ht="15.5" x14ac:dyDescent="0.35">
      <c r="B8697" s="183"/>
    </row>
    <row r="8698" spans="2:2" ht="15.5" x14ac:dyDescent="0.35">
      <c r="B8698" s="183"/>
    </row>
    <row r="8699" spans="2:2" ht="15.5" x14ac:dyDescent="0.35">
      <c r="B8699" s="183"/>
    </row>
    <row r="8700" spans="2:2" ht="15.5" x14ac:dyDescent="0.35">
      <c r="B8700" s="183"/>
    </row>
    <row r="8701" spans="2:2" ht="15.5" x14ac:dyDescent="0.35">
      <c r="B8701" s="183"/>
    </row>
    <row r="8702" spans="2:2" ht="15.5" x14ac:dyDescent="0.35">
      <c r="B8702" s="183"/>
    </row>
    <row r="8703" spans="2:2" ht="15.5" x14ac:dyDescent="0.35">
      <c r="B8703" s="183"/>
    </row>
    <row r="8704" spans="2:2" ht="15.5" x14ac:dyDescent="0.35">
      <c r="B8704" s="183"/>
    </row>
    <row r="8705" spans="2:2" ht="15.5" x14ac:dyDescent="0.35">
      <c r="B8705" s="183"/>
    </row>
    <row r="8706" spans="2:2" ht="15.5" x14ac:dyDescent="0.35">
      <c r="B8706" s="183"/>
    </row>
    <row r="8707" spans="2:2" ht="15.5" x14ac:dyDescent="0.35">
      <c r="B8707" s="183"/>
    </row>
    <row r="8708" spans="2:2" ht="15.5" x14ac:dyDescent="0.35">
      <c r="B8708" s="183"/>
    </row>
    <row r="8709" spans="2:2" ht="15.5" x14ac:dyDescent="0.35">
      <c r="B8709" s="183"/>
    </row>
    <row r="8710" spans="2:2" ht="15.5" x14ac:dyDescent="0.35">
      <c r="B8710" s="183"/>
    </row>
    <row r="8711" spans="2:2" ht="15.5" x14ac:dyDescent="0.35">
      <c r="B8711" s="183"/>
    </row>
    <row r="8712" spans="2:2" ht="15.5" x14ac:dyDescent="0.35">
      <c r="B8712" s="183"/>
    </row>
    <row r="8713" spans="2:2" ht="15.5" x14ac:dyDescent="0.35">
      <c r="B8713" s="183"/>
    </row>
    <row r="8714" spans="2:2" ht="15.5" x14ac:dyDescent="0.35">
      <c r="B8714" s="183"/>
    </row>
    <row r="8715" spans="2:2" ht="15.5" x14ac:dyDescent="0.35">
      <c r="B8715" s="183"/>
    </row>
    <row r="8716" spans="2:2" ht="15.5" x14ac:dyDescent="0.35">
      <c r="B8716" s="183"/>
    </row>
    <row r="8717" spans="2:2" ht="15.5" x14ac:dyDescent="0.35">
      <c r="B8717" s="183"/>
    </row>
    <row r="8718" spans="2:2" ht="15.5" x14ac:dyDescent="0.35">
      <c r="B8718" s="183"/>
    </row>
    <row r="8719" spans="2:2" ht="15.5" x14ac:dyDescent="0.35">
      <c r="B8719" s="183"/>
    </row>
    <row r="8720" spans="2:2" ht="15.5" x14ac:dyDescent="0.35">
      <c r="B8720" s="183"/>
    </row>
    <row r="8721" spans="2:2" ht="15.5" x14ac:dyDescent="0.35">
      <c r="B8721" s="183"/>
    </row>
    <row r="8722" spans="2:2" ht="15.5" x14ac:dyDescent="0.35">
      <c r="B8722" s="183"/>
    </row>
    <row r="8723" spans="2:2" ht="15.5" x14ac:dyDescent="0.35">
      <c r="B8723" s="183"/>
    </row>
    <row r="8724" spans="2:2" ht="15.5" x14ac:dyDescent="0.35">
      <c r="B8724" s="183"/>
    </row>
    <row r="8725" spans="2:2" ht="15.5" x14ac:dyDescent="0.35">
      <c r="B8725" s="183"/>
    </row>
    <row r="8726" spans="2:2" ht="15.5" x14ac:dyDescent="0.35">
      <c r="B8726" s="183"/>
    </row>
    <row r="8727" spans="2:2" ht="15.5" x14ac:dyDescent="0.35">
      <c r="B8727" s="183"/>
    </row>
    <row r="8728" spans="2:2" ht="15.5" x14ac:dyDescent="0.35">
      <c r="B8728" s="183"/>
    </row>
    <row r="8729" spans="2:2" ht="15.5" x14ac:dyDescent="0.35">
      <c r="B8729" s="183"/>
    </row>
    <row r="8730" spans="2:2" ht="15.5" x14ac:dyDescent="0.35">
      <c r="B8730" s="183"/>
    </row>
    <row r="8731" spans="2:2" ht="15.5" x14ac:dyDescent="0.35">
      <c r="B8731" s="183"/>
    </row>
    <row r="8732" spans="2:2" ht="15.5" x14ac:dyDescent="0.35">
      <c r="B8732" s="183"/>
    </row>
    <row r="8733" spans="2:2" ht="15.5" x14ac:dyDescent="0.35">
      <c r="B8733" s="183"/>
    </row>
    <row r="8734" spans="2:2" ht="15.5" x14ac:dyDescent="0.35">
      <c r="B8734" s="183"/>
    </row>
    <row r="8735" spans="2:2" ht="15.5" x14ac:dyDescent="0.35">
      <c r="B8735" s="183"/>
    </row>
    <row r="8736" spans="2:2" ht="15.5" x14ac:dyDescent="0.35">
      <c r="B8736" s="183"/>
    </row>
    <row r="8737" spans="2:2" ht="15.5" x14ac:dyDescent="0.35">
      <c r="B8737" s="183"/>
    </row>
    <row r="8738" spans="2:2" ht="15.5" x14ac:dyDescent="0.35">
      <c r="B8738" s="183"/>
    </row>
    <row r="8739" spans="2:2" ht="15.5" x14ac:dyDescent="0.35">
      <c r="B8739" s="183"/>
    </row>
    <row r="8740" spans="2:2" ht="15.5" x14ac:dyDescent="0.35">
      <c r="B8740" s="183"/>
    </row>
    <row r="8741" spans="2:2" ht="15.5" x14ac:dyDescent="0.35">
      <c r="B8741" s="183"/>
    </row>
    <row r="8742" spans="2:2" ht="15.5" x14ac:dyDescent="0.35">
      <c r="B8742" s="183"/>
    </row>
    <row r="8743" spans="2:2" ht="15.5" x14ac:dyDescent="0.35">
      <c r="B8743" s="183"/>
    </row>
    <row r="8744" spans="2:2" ht="15.5" x14ac:dyDescent="0.35">
      <c r="B8744" s="183"/>
    </row>
    <row r="8745" spans="2:2" ht="15.5" x14ac:dyDescent="0.35">
      <c r="B8745" s="183"/>
    </row>
    <row r="8746" spans="2:2" ht="15.5" x14ac:dyDescent="0.35">
      <c r="B8746" s="183"/>
    </row>
    <row r="8747" spans="2:2" ht="15.5" x14ac:dyDescent="0.35">
      <c r="B8747" s="183"/>
    </row>
    <row r="8748" spans="2:2" ht="15.5" x14ac:dyDescent="0.35">
      <c r="B8748" s="183"/>
    </row>
    <row r="8749" spans="2:2" ht="15.5" x14ac:dyDescent="0.35">
      <c r="B8749" s="183"/>
    </row>
    <row r="8750" spans="2:2" ht="15.5" x14ac:dyDescent="0.35">
      <c r="B8750" s="183"/>
    </row>
    <row r="8751" spans="2:2" ht="15.5" x14ac:dyDescent="0.35">
      <c r="B8751" s="183"/>
    </row>
    <row r="8752" spans="2:2" ht="15.5" x14ac:dyDescent="0.35">
      <c r="B8752" s="183"/>
    </row>
    <row r="8753" spans="2:2" ht="15.5" x14ac:dyDescent="0.35">
      <c r="B8753" s="183"/>
    </row>
    <row r="8754" spans="2:2" ht="15.5" x14ac:dyDescent="0.35">
      <c r="B8754" s="183"/>
    </row>
    <row r="8755" spans="2:2" ht="15.5" x14ac:dyDescent="0.35">
      <c r="B8755" s="183"/>
    </row>
    <row r="8756" spans="2:2" ht="15.5" x14ac:dyDescent="0.35">
      <c r="B8756" s="183"/>
    </row>
    <row r="8757" spans="2:2" ht="15.5" x14ac:dyDescent="0.35">
      <c r="B8757" s="183"/>
    </row>
    <row r="8758" spans="2:2" ht="15.5" x14ac:dyDescent="0.35">
      <c r="B8758" s="183"/>
    </row>
    <row r="8759" spans="2:2" ht="15.5" x14ac:dyDescent="0.35">
      <c r="B8759" s="183"/>
    </row>
    <row r="8760" spans="2:2" ht="15.5" x14ac:dyDescent="0.35">
      <c r="B8760" s="183"/>
    </row>
    <row r="8761" spans="2:2" ht="15.5" x14ac:dyDescent="0.35">
      <c r="B8761" s="183"/>
    </row>
    <row r="8762" spans="2:2" ht="15.5" x14ac:dyDescent="0.35">
      <c r="B8762" s="183"/>
    </row>
    <row r="8763" spans="2:2" ht="15.5" x14ac:dyDescent="0.35">
      <c r="B8763" s="183"/>
    </row>
    <row r="8764" spans="2:2" ht="15.5" x14ac:dyDescent="0.35">
      <c r="B8764" s="183"/>
    </row>
    <row r="8765" spans="2:2" ht="15.5" x14ac:dyDescent="0.35">
      <c r="B8765" s="183"/>
    </row>
    <row r="8766" spans="2:2" ht="15.5" x14ac:dyDescent="0.35">
      <c r="B8766" s="183"/>
    </row>
    <row r="8767" spans="2:2" ht="15.5" x14ac:dyDescent="0.35">
      <c r="B8767" s="183"/>
    </row>
    <row r="8768" spans="2:2" ht="15.5" x14ac:dyDescent="0.35">
      <c r="B8768" s="183"/>
    </row>
    <row r="8769" spans="2:2" ht="15.5" x14ac:dyDescent="0.35">
      <c r="B8769" s="183"/>
    </row>
    <row r="8770" spans="2:2" ht="15.5" x14ac:dyDescent="0.35">
      <c r="B8770" s="183"/>
    </row>
    <row r="8771" spans="2:2" ht="15.5" x14ac:dyDescent="0.35">
      <c r="B8771" s="183"/>
    </row>
    <row r="8772" spans="2:2" ht="15.5" x14ac:dyDescent="0.35">
      <c r="B8772" s="183"/>
    </row>
    <row r="8773" spans="2:2" ht="15.5" x14ac:dyDescent="0.35">
      <c r="B8773" s="183"/>
    </row>
    <row r="8774" spans="2:2" ht="15.5" x14ac:dyDescent="0.35">
      <c r="B8774" s="183"/>
    </row>
    <row r="8775" spans="2:2" ht="15.5" x14ac:dyDescent="0.35">
      <c r="B8775" s="183"/>
    </row>
    <row r="8776" spans="2:2" ht="15.5" x14ac:dyDescent="0.35">
      <c r="B8776" s="183"/>
    </row>
    <row r="8777" spans="2:2" ht="15.5" x14ac:dyDescent="0.35">
      <c r="B8777" s="183"/>
    </row>
    <row r="8778" spans="2:2" ht="15.5" x14ac:dyDescent="0.35">
      <c r="B8778" s="183"/>
    </row>
    <row r="8779" spans="2:2" ht="15.5" x14ac:dyDescent="0.35">
      <c r="B8779" s="183"/>
    </row>
    <row r="8780" spans="2:2" ht="15.5" x14ac:dyDescent="0.35">
      <c r="B8780" s="183"/>
    </row>
    <row r="8781" spans="2:2" ht="15.5" x14ac:dyDescent="0.35">
      <c r="B8781" s="183"/>
    </row>
    <row r="8782" spans="2:2" ht="15.5" x14ac:dyDescent="0.35">
      <c r="B8782" s="183"/>
    </row>
    <row r="8783" spans="2:2" ht="15.5" x14ac:dyDescent="0.35">
      <c r="B8783" s="183"/>
    </row>
    <row r="8784" spans="2:2" ht="15.5" x14ac:dyDescent="0.35">
      <c r="B8784" s="183"/>
    </row>
    <row r="8785" spans="2:2" ht="15.5" x14ac:dyDescent="0.35">
      <c r="B8785" s="183"/>
    </row>
    <row r="8786" spans="2:2" ht="15.5" x14ac:dyDescent="0.35">
      <c r="B8786" s="183"/>
    </row>
    <row r="8787" spans="2:2" ht="15.5" x14ac:dyDescent="0.35">
      <c r="B8787" s="183"/>
    </row>
    <row r="8788" spans="2:2" ht="15.5" x14ac:dyDescent="0.35">
      <c r="B8788" s="183"/>
    </row>
    <row r="8789" spans="2:2" ht="15.5" x14ac:dyDescent="0.35">
      <c r="B8789" s="183"/>
    </row>
    <row r="8790" spans="2:2" ht="15.5" x14ac:dyDescent="0.35">
      <c r="B8790" s="183"/>
    </row>
    <row r="8791" spans="2:2" ht="15.5" x14ac:dyDescent="0.35">
      <c r="B8791" s="183"/>
    </row>
    <row r="8792" spans="2:2" ht="15.5" x14ac:dyDescent="0.35">
      <c r="B8792" s="183"/>
    </row>
    <row r="8793" spans="2:2" ht="15.5" x14ac:dyDescent="0.35">
      <c r="B8793" s="183"/>
    </row>
    <row r="8794" spans="2:2" ht="15.5" x14ac:dyDescent="0.35">
      <c r="B8794" s="183"/>
    </row>
    <row r="8795" spans="2:2" ht="15.5" x14ac:dyDescent="0.35">
      <c r="B8795" s="183"/>
    </row>
    <row r="8796" spans="2:2" ht="15.5" x14ac:dyDescent="0.35">
      <c r="B8796" s="183"/>
    </row>
    <row r="8797" spans="2:2" ht="15.5" x14ac:dyDescent="0.35">
      <c r="B8797" s="183"/>
    </row>
    <row r="8798" spans="2:2" ht="15.5" x14ac:dyDescent="0.35">
      <c r="B8798" s="183"/>
    </row>
    <row r="8799" spans="2:2" ht="15.5" x14ac:dyDescent="0.35">
      <c r="B8799" s="183"/>
    </row>
    <row r="8800" spans="2:2" ht="15.5" x14ac:dyDescent="0.35">
      <c r="B8800" s="183"/>
    </row>
    <row r="8801" spans="2:2" ht="15.5" x14ac:dyDescent="0.35">
      <c r="B8801" s="183"/>
    </row>
    <row r="8802" spans="2:2" ht="15.5" x14ac:dyDescent="0.35">
      <c r="B8802" s="183"/>
    </row>
    <row r="8803" spans="2:2" ht="15.5" x14ac:dyDescent="0.35">
      <c r="B8803" s="183"/>
    </row>
    <row r="8804" spans="2:2" ht="15.5" x14ac:dyDescent="0.35">
      <c r="B8804" s="183"/>
    </row>
    <row r="8805" spans="2:2" ht="15.5" x14ac:dyDescent="0.35">
      <c r="B8805" s="183"/>
    </row>
    <row r="8806" spans="2:2" ht="15.5" x14ac:dyDescent="0.35">
      <c r="B8806" s="183"/>
    </row>
    <row r="8807" spans="2:2" ht="15.5" x14ac:dyDescent="0.35">
      <c r="B8807" s="183"/>
    </row>
    <row r="8808" spans="2:2" ht="15.5" x14ac:dyDescent="0.35">
      <c r="B8808" s="183"/>
    </row>
    <row r="8809" spans="2:2" ht="15.5" x14ac:dyDescent="0.35">
      <c r="B8809" s="183"/>
    </row>
    <row r="8810" spans="2:2" ht="15.5" x14ac:dyDescent="0.35">
      <c r="B8810" s="183"/>
    </row>
    <row r="8811" spans="2:2" ht="15.5" x14ac:dyDescent="0.35">
      <c r="B8811" s="183"/>
    </row>
    <row r="8812" spans="2:2" ht="15.5" x14ac:dyDescent="0.35">
      <c r="B8812" s="183"/>
    </row>
    <row r="8813" spans="2:2" ht="15.5" x14ac:dyDescent="0.35">
      <c r="B8813" s="183"/>
    </row>
    <row r="8814" spans="2:2" ht="15.5" x14ac:dyDescent="0.35">
      <c r="B8814" s="183"/>
    </row>
    <row r="8815" spans="2:2" ht="15.5" x14ac:dyDescent="0.35">
      <c r="B8815" s="183"/>
    </row>
    <row r="8816" spans="2:2" ht="15.5" x14ac:dyDescent="0.35">
      <c r="B8816" s="183"/>
    </row>
    <row r="8817" spans="2:2" ht="15.5" x14ac:dyDescent="0.35">
      <c r="B8817" s="183"/>
    </row>
    <row r="8818" spans="2:2" ht="15.5" x14ac:dyDescent="0.35">
      <c r="B8818" s="183"/>
    </row>
    <row r="8819" spans="2:2" ht="15.5" x14ac:dyDescent="0.35">
      <c r="B8819" s="183"/>
    </row>
    <row r="8820" spans="2:2" ht="15.5" x14ac:dyDescent="0.35">
      <c r="B8820" s="183"/>
    </row>
    <row r="8821" spans="2:2" ht="15.5" x14ac:dyDescent="0.35">
      <c r="B8821" s="183"/>
    </row>
    <row r="8822" spans="2:2" ht="15.5" x14ac:dyDescent="0.35">
      <c r="B8822" s="183"/>
    </row>
    <row r="8823" spans="2:2" ht="15.5" x14ac:dyDescent="0.35">
      <c r="B8823" s="183"/>
    </row>
    <row r="8824" spans="2:2" ht="15.5" x14ac:dyDescent="0.35">
      <c r="B8824" s="183"/>
    </row>
    <row r="8825" spans="2:2" ht="15.5" x14ac:dyDescent="0.35">
      <c r="B8825" s="183"/>
    </row>
    <row r="8826" spans="2:2" ht="15.5" x14ac:dyDescent="0.35">
      <c r="B8826" s="183"/>
    </row>
    <row r="8827" spans="2:2" ht="15.5" x14ac:dyDescent="0.35">
      <c r="B8827" s="183"/>
    </row>
    <row r="8828" spans="2:2" ht="15.5" x14ac:dyDescent="0.35">
      <c r="B8828" s="183"/>
    </row>
    <row r="8829" spans="2:2" ht="15.5" x14ac:dyDescent="0.35">
      <c r="B8829" s="183"/>
    </row>
    <row r="8830" spans="2:2" ht="15.5" x14ac:dyDescent="0.35">
      <c r="B8830" s="183"/>
    </row>
    <row r="8831" spans="2:2" ht="15.5" x14ac:dyDescent="0.35">
      <c r="B8831" s="183"/>
    </row>
    <row r="8832" spans="2:2" ht="15.5" x14ac:dyDescent="0.35">
      <c r="B8832" s="183"/>
    </row>
    <row r="8833" spans="2:2" ht="15.5" x14ac:dyDescent="0.35">
      <c r="B8833" s="183"/>
    </row>
    <row r="8834" spans="2:2" ht="15.5" x14ac:dyDescent="0.35">
      <c r="B8834" s="183"/>
    </row>
    <row r="8835" spans="2:2" ht="15.5" x14ac:dyDescent="0.35">
      <c r="B8835" s="183"/>
    </row>
    <row r="8836" spans="2:2" ht="15.5" x14ac:dyDescent="0.35">
      <c r="B8836" s="183"/>
    </row>
    <row r="8837" spans="2:2" ht="15.5" x14ac:dyDescent="0.35">
      <c r="B8837" s="183"/>
    </row>
    <row r="8838" spans="2:2" ht="15.5" x14ac:dyDescent="0.35">
      <c r="B8838" s="183"/>
    </row>
    <row r="8839" spans="2:2" ht="15.5" x14ac:dyDescent="0.35">
      <c r="B8839" s="183"/>
    </row>
    <row r="8840" spans="2:2" ht="15.5" x14ac:dyDescent="0.35">
      <c r="B8840" s="183"/>
    </row>
    <row r="8841" spans="2:2" ht="15.5" x14ac:dyDescent="0.35">
      <c r="B8841" s="183"/>
    </row>
    <row r="8842" spans="2:2" ht="15.5" x14ac:dyDescent="0.35">
      <c r="B8842" s="183"/>
    </row>
    <row r="8843" spans="2:2" ht="15.5" x14ac:dyDescent="0.35">
      <c r="B8843" s="183"/>
    </row>
    <row r="8844" spans="2:2" ht="15.5" x14ac:dyDescent="0.35">
      <c r="B8844" s="183"/>
    </row>
    <row r="8845" spans="2:2" ht="15.5" x14ac:dyDescent="0.35">
      <c r="B8845" s="183"/>
    </row>
    <row r="8846" spans="2:2" ht="15.5" x14ac:dyDescent="0.35">
      <c r="B8846" s="183"/>
    </row>
    <row r="8847" spans="2:2" ht="15.5" x14ac:dyDescent="0.35">
      <c r="B8847" s="183"/>
    </row>
    <row r="8848" spans="2:2" ht="15.5" x14ac:dyDescent="0.35">
      <c r="B8848" s="183"/>
    </row>
    <row r="8849" spans="2:2" ht="15.5" x14ac:dyDescent="0.35">
      <c r="B8849" s="183"/>
    </row>
    <row r="8850" spans="2:2" ht="15.5" x14ac:dyDescent="0.35">
      <c r="B8850" s="183"/>
    </row>
    <row r="8851" spans="2:2" ht="15.5" x14ac:dyDescent="0.35">
      <c r="B8851" s="183"/>
    </row>
    <row r="8852" spans="2:2" ht="15.5" x14ac:dyDescent="0.35">
      <c r="B8852" s="183"/>
    </row>
    <row r="8853" spans="2:2" ht="15.5" x14ac:dyDescent="0.35">
      <c r="B8853" s="183"/>
    </row>
    <row r="8854" spans="2:2" ht="15.5" x14ac:dyDescent="0.35">
      <c r="B8854" s="183"/>
    </row>
    <row r="8855" spans="2:2" ht="15.5" x14ac:dyDescent="0.35">
      <c r="B8855" s="183"/>
    </row>
    <row r="8856" spans="2:2" ht="15.5" x14ac:dyDescent="0.35">
      <c r="B8856" s="183"/>
    </row>
    <row r="8857" spans="2:2" ht="15.5" x14ac:dyDescent="0.35">
      <c r="B8857" s="183"/>
    </row>
    <row r="8858" spans="2:2" ht="15.5" x14ac:dyDescent="0.35">
      <c r="B8858" s="183"/>
    </row>
    <row r="8859" spans="2:2" ht="15.5" x14ac:dyDescent="0.35">
      <c r="B8859" s="183"/>
    </row>
    <row r="8860" spans="2:2" ht="15.5" x14ac:dyDescent="0.35">
      <c r="B8860" s="183"/>
    </row>
    <row r="8861" spans="2:2" ht="15.5" x14ac:dyDescent="0.35">
      <c r="B8861" s="183"/>
    </row>
    <row r="8862" spans="2:2" ht="15.5" x14ac:dyDescent="0.35">
      <c r="B8862" s="183"/>
    </row>
    <row r="8863" spans="2:2" ht="15.5" x14ac:dyDescent="0.35">
      <c r="B8863" s="183"/>
    </row>
    <row r="8864" spans="2:2" ht="15.5" x14ac:dyDescent="0.35">
      <c r="B8864" s="183"/>
    </row>
    <row r="8865" spans="2:2" ht="15.5" x14ac:dyDescent="0.35">
      <c r="B8865" s="183"/>
    </row>
    <row r="8866" spans="2:2" ht="15.5" x14ac:dyDescent="0.35">
      <c r="B8866" s="183"/>
    </row>
    <row r="8867" spans="2:2" ht="15.5" x14ac:dyDescent="0.35">
      <c r="B8867" s="183"/>
    </row>
    <row r="8868" spans="2:2" ht="15.5" x14ac:dyDescent="0.35">
      <c r="B8868" s="183"/>
    </row>
    <row r="8869" spans="2:2" ht="15.5" x14ac:dyDescent="0.35">
      <c r="B8869" s="183"/>
    </row>
    <row r="8870" spans="2:2" ht="15.5" x14ac:dyDescent="0.35">
      <c r="B8870" s="183"/>
    </row>
    <row r="8871" spans="2:2" ht="15.5" x14ac:dyDescent="0.35">
      <c r="B8871" s="183"/>
    </row>
    <row r="8872" spans="2:2" ht="15.5" x14ac:dyDescent="0.35">
      <c r="B8872" s="183"/>
    </row>
    <row r="8873" spans="2:2" ht="15.5" x14ac:dyDescent="0.35">
      <c r="B8873" s="183"/>
    </row>
    <row r="8874" spans="2:2" ht="15.5" x14ac:dyDescent="0.35">
      <c r="B8874" s="183"/>
    </row>
    <row r="8875" spans="2:2" ht="15.5" x14ac:dyDescent="0.35">
      <c r="B8875" s="183"/>
    </row>
    <row r="8876" spans="2:2" ht="15.5" x14ac:dyDescent="0.35">
      <c r="B8876" s="183"/>
    </row>
    <row r="8877" spans="2:2" ht="15.5" x14ac:dyDescent="0.35">
      <c r="B8877" s="183"/>
    </row>
    <row r="8878" spans="2:2" ht="15.5" x14ac:dyDescent="0.35">
      <c r="B8878" s="183"/>
    </row>
    <row r="8879" spans="2:2" ht="15.5" x14ac:dyDescent="0.35">
      <c r="B8879" s="183"/>
    </row>
    <row r="8880" spans="2:2" ht="15.5" x14ac:dyDescent="0.35">
      <c r="B8880" s="183"/>
    </row>
    <row r="8881" spans="2:2" ht="15.5" x14ac:dyDescent="0.35">
      <c r="B8881" s="183"/>
    </row>
    <row r="8882" spans="2:2" ht="15.5" x14ac:dyDescent="0.35">
      <c r="B8882" s="183"/>
    </row>
    <row r="8883" spans="2:2" ht="15.5" x14ac:dyDescent="0.35">
      <c r="B8883" s="183"/>
    </row>
    <row r="8884" spans="2:2" ht="15.5" x14ac:dyDescent="0.35">
      <c r="B8884" s="183"/>
    </row>
    <row r="8885" spans="2:2" ht="15.5" x14ac:dyDescent="0.35">
      <c r="B8885" s="183"/>
    </row>
    <row r="8886" spans="2:2" ht="15.5" x14ac:dyDescent="0.35">
      <c r="B8886" s="183"/>
    </row>
    <row r="8887" spans="2:2" ht="15.5" x14ac:dyDescent="0.35">
      <c r="B8887" s="183"/>
    </row>
    <row r="8888" spans="2:2" ht="15.5" x14ac:dyDescent="0.35">
      <c r="B8888" s="183"/>
    </row>
    <row r="8889" spans="2:2" ht="15.5" x14ac:dyDescent="0.35">
      <c r="B8889" s="183"/>
    </row>
    <row r="8890" spans="2:2" ht="15.5" x14ac:dyDescent="0.35">
      <c r="B8890" s="183"/>
    </row>
    <row r="8891" spans="2:2" ht="15.5" x14ac:dyDescent="0.35">
      <c r="B8891" s="183"/>
    </row>
    <row r="8892" spans="2:2" ht="15.5" x14ac:dyDescent="0.35">
      <c r="B8892" s="183"/>
    </row>
    <row r="8893" spans="2:2" ht="15.5" x14ac:dyDescent="0.35">
      <c r="B8893" s="183"/>
    </row>
    <row r="8894" spans="2:2" ht="15.5" x14ac:dyDescent="0.35">
      <c r="B8894" s="183"/>
    </row>
    <row r="8895" spans="2:2" ht="15.5" x14ac:dyDescent="0.35">
      <c r="B8895" s="183"/>
    </row>
    <row r="8896" spans="2:2" ht="15.5" x14ac:dyDescent="0.35">
      <c r="B8896" s="183"/>
    </row>
    <row r="8897" spans="2:2" ht="15.5" x14ac:dyDescent="0.35">
      <c r="B8897" s="183"/>
    </row>
    <row r="8898" spans="2:2" ht="15.5" x14ac:dyDescent="0.35">
      <c r="B8898" s="183"/>
    </row>
    <row r="8899" spans="2:2" ht="15.5" x14ac:dyDescent="0.35">
      <c r="B8899" s="183"/>
    </row>
    <row r="8900" spans="2:2" ht="15.5" x14ac:dyDescent="0.35">
      <c r="B8900" s="183"/>
    </row>
    <row r="8901" spans="2:2" ht="15.5" x14ac:dyDescent="0.35">
      <c r="B8901" s="183"/>
    </row>
    <row r="8902" spans="2:2" ht="15.5" x14ac:dyDescent="0.35">
      <c r="B8902" s="183"/>
    </row>
    <row r="8903" spans="2:2" ht="15.5" x14ac:dyDescent="0.35">
      <c r="B8903" s="183"/>
    </row>
    <row r="8904" spans="2:2" ht="15.5" x14ac:dyDescent="0.35">
      <c r="B8904" s="183"/>
    </row>
    <row r="8905" spans="2:2" ht="15.5" x14ac:dyDescent="0.35">
      <c r="B8905" s="183"/>
    </row>
    <row r="8906" spans="2:2" ht="15.5" x14ac:dyDescent="0.35">
      <c r="B8906" s="183"/>
    </row>
    <row r="8907" spans="2:2" ht="15.5" x14ac:dyDescent="0.35">
      <c r="B8907" s="183"/>
    </row>
    <row r="8908" spans="2:2" ht="15.5" x14ac:dyDescent="0.35">
      <c r="B8908" s="183"/>
    </row>
    <row r="8909" spans="2:2" ht="15.5" x14ac:dyDescent="0.35">
      <c r="B8909" s="183"/>
    </row>
    <row r="8910" spans="2:2" ht="15.5" x14ac:dyDescent="0.35">
      <c r="B8910" s="183"/>
    </row>
    <row r="8911" spans="2:2" ht="15.5" x14ac:dyDescent="0.35">
      <c r="B8911" s="183"/>
    </row>
    <row r="8912" spans="2:2" ht="15.5" x14ac:dyDescent="0.35">
      <c r="B8912" s="183"/>
    </row>
    <row r="8913" spans="2:2" ht="15.5" x14ac:dyDescent="0.35">
      <c r="B8913" s="183"/>
    </row>
    <row r="8914" spans="2:2" ht="15.5" x14ac:dyDescent="0.35">
      <c r="B8914" s="183"/>
    </row>
    <row r="8915" spans="2:2" ht="15.5" x14ac:dyDescent="0.35">
      <c r="B8915" s="183"/>
    </row>
    <row r="8916" spans="2:2" ht="15.5" x14ac:dyDescent="0.35">
      <c r="B8916" s="183"/>
    </row>
    <row r="8917" spans="2:2" ht="15.5" x14ac:dyDescent="0.35">
      <c r="B8917" s="183"/>
    </row>
    <row r="8918" spans="2:2" ht="15.5" x14ac:dyDescent="0.35">
      <c r="B8918" s="183"/>
    </row>
    <row r="8919" spans="2:2" ht="15.5" x14ac:dyDescent="0.35">
      <c r="B8919" s="183"/>
    </row>
    <row r="8920" spans="2:2" ht="15.5" x14ac:dyDescent="0.35">
      <c r="B8920" s="183"/>
    </row>
    <row r="8921" spans="2:2" ht="15.5" x14ac:dyDescent="0.35">
      <c r="B8921" s="183"/>
    </row>
    <row r="8922" spans="2:2" ht="15.5" x14ac:dyDescent="0.35">
      <c r="B8922" s="183"/>
    </row>
    <row r="8923" spans="2:2" ht="15.5" x14ac:dyDescent="0.35">
      <c r="B8923" s="183"/>
    </row>
    <row r="8924" spans="2:2" ht="15.5" x14ac:dyDescent="0.35">
      <c r="B8924" s="183"/>
    </row>
    <row r="8925" spans="2:2" ht="15.5" x14ac:dyDescent="0.35">
      <c r="B8925" s="183"/>
    </row>
    <row r="8926" spans="2:2" ht="15.5" x14ac:dyDescent="0.35">
      <c r="B8926" s="183"/>
    </row>
    <row r="8927" spans="2:2" ht="15.5" x14ac:dyDescent="0.35">
      <c r="B8927" s="183"/>
    </row>
    <row r="8928" spans="2:2" ht="15.5" x14ac:dyDescent="0.35">
      <c r="B8928" s="183"/>
    </row>
    <row r="8929" spans="2:2" ht="15.5" x14ac:dyDescent="0.35">
      <c r="B8929" s="183"/>
    </row>
    <row r="8930" spans="2:2" ht="15.5" x14ac:dyDescent="0.35">
      <c r="B8930" s="183"/>
    </row>
    <row r="8931" spans="2:2" ht="15.5" x14ac:dyDescent="0.35">
      <c r="B8931" s="183"/>
    </row>
    <row r="8932" spans="2:2" ht="15.5" x14ac:dyDescent="0.35">
      <c r="B8932" s="183"/>
    </row>
    <row r="8933" spans="2:2" ht="15.5" x14ac:dyDescent="0.35">
      <c r="B8933" s="183"/>
    </row>
    <row r="8934" spans="2:2" ht="15.5" x14ac:dyDescent="0.35">
      <c r="B8934" s="183"/>
    </row>
    <row r="8935" spans="2:2" ht="15.5" x14ac:dyDescent="0.35">
      <c r="B8935" s="183"/>
    </row>
    <row r="8936" spans="2:2" ht="15.5" x14ac:dyDescent="0.35">
      <c r="B8936" s="183"/>
    </row>
    <row r="8937" spans="2:2" ht="15.5" x14ac:dyDescent="0.35">
      <c r="B8937" s="183"/>
    </row>
    <row r="8938" spans="2:2" ht="15.5" x14ac:dyDescent="0.35">
      <c r="B8938" s="183"/>
    </row>
    <row r="8939" spans="2:2" ht="15.5" x14ac:dyDescent="0.35">
      <c r="B8939" s="183"/>
    </row>
    <row r="8940" spans="2:2" ht="15.5" x14ac:dyDescent="0.35">
      <c r="B8940" s="183"/>
    </row>
    <row r="8941" spans="2:2" ht="15.5" x14ac:dyDescent="0.35">
      <c r="B8941" s="183"/>
    </row>
    <row r="8942" spans="2:2" ht="15.5" x14ac:dyDescent="0.35">
      <c r="B8942" s="183"/>
    </row>
    <row r="8943" spans="2:2" ht="15.5" x14ac:dyDescent="0.35">
      <c r="B8943" s="183"/>
    </row>
    <row r="8944" spans="2:2" ht="15.5" x14ac:dyDescent="0.35">
      <c r="B8944" s="183"/>
    </row>
    <row r="8945" spans="2:2" ht="15.5" x14ac:dyDescent="0.35">
      <c r="B8945" s="183"/>
    </row>
    <row r="8946" spans="2:2" ht="15.5" x14ac:dyDescent="0.35">
      <c r="B8946" s="183"/>
    </row>
    <row r="8947" spans="2:2" ht="15.5" x14ac:dyDescent="0.35">
      <c r="B8947" s="183"/>
    </row>
    <row r="8948" spans="2:2" ht="15.5" x14ac:dyDescent="0.35">
      <c r="B8948" s="183"/>
    </row>
    <row r="8949" spans="2:2" ht="15.5" x14ac:dyDescent="0.35">
      <c r="B8949" s="183"/>
    </row>
    <row r="8950" spans="2:2" ht="15.5" x14ac:dyDescent="0.35">
      <c r="B8950" s="183"/>
    </row>
    <row r="8951" spans="2:2" ht="15.5" x14ac:dyDescent="0.35">
      <c r="B8951" s="183"/>
    </row>
    <row r="8952" spans="2:2" ht="15.5" x14ac:dyDescent="0.35">
      <c r="B8952" s="183"/>
    </row>
    <row r="8953" spans="2:2" ht="15.5" x14ac:dyDescent="0.35">
      <c r="B8953" s="183"/>
    </row>
    <row r="8954" spans="2:2" ht="15.5" x14ac:dyDescent="0.35">
      <c r="B8954" s="183"/>
    </row>
    <row r="8955" spans="2:2" ht="15.5" x14ac:dyDescent="0.35">
      <c r="B8955" s="183"/>
    </row>
    <row r="8956" spans="2:2" ht="15.5" x14ac:dyDescent="0.35">
      <c r="B8956" s="183"/>
    </row>
    <row r="8957" spans="2:2" ht="15.5" x14ac:dyDescent="0.35">
      <c r="B8957" s="183"/>
    </row>
    <row r="8958" spans="2:2" ht="15.5" x14ac:dyDescent="0.35">
      <c r="B8958" s="183"/>
    </row>
    <row r="8959" spans="2:2" ht="15.5" x14ac:dyDescent="0.35">
      <c r="B8959" s="183"/>
    </row>
    <row r="8960" spans="2:2" ht="15.5" x14ac:dyDescent="0.35">
      <c r="B8960" s="183"/>
    </row>
    <row r="8961" spans="2:2" ht="15.5" x14ac:dyDescent="0.35">
      <c r="B8961" s="183"/>
    </row>
    <row r="8962" spans="2:2" ht="15.5" x14ac:dyDescent="0.35">
      <c r="B8962" s="183"/>
    </row>
    <row r="8963" spans="2:2" ht="15.5" x14ac:dyDescent="0.35">
      <c r="B8963" s="183"/>
    </row>
    <row r="8964" spans="2:2" ht="15.5" x14ac:dyDescent="0.35">
      <c r="B8964" s="183"/>
    </row>
    <row r="8965" spans="2:2" ht="15.5" x14ac:dyDescent="0.35">
      <c r="B8965" s="183"/>
    </row>
    <row r="8966" spans="2:2" ht="15.5" x14ac:dyDescent="0.35">
      <c r="B8966" s="183"/>
    </row>
    <row r="8967" spans="2:2" ht="15.5" x14ac:dyDescent="0.35">
      <c r="B8967" s="183"/>
    </row>
    <row r="8968" spans="2:2" ht="15.5" x14ac:dyDescent="0.35">
      <c r="B8968" s="183"/>
    </row>
    <row r="8969" spans="2:2" ht="15.5" x14ac:dyDescent="0.35">
      <c r="B8969" s="183"/>
    </row>
    <row r="8970" spans="2:2" ht="15.5" x14ac:dyDescent="0.35">
      <c r="B8970" s="183"/>
    </row>
    <row r="8971" spans="2:2" ht="15.5" x14ac:dyDescent="0.35">
      <c r="B8971" s="183"/>
    </row>
    <row r="8972" spans="2:2" ht="15.5" x14ac:dyDescent="0.35">
      <c r="B8972" s="183"/>
    </row>
    <row r="8973" spans="2:2" ht="15.5" x14ac:dyDescent="0.35">
      <c r="B8973" s="183"/>
    </row>
    <row r="8974" spans="2:2" ht="15.5" x14ac:dyDescent="0.35">
      <c r="B8974" s="183"/>
    </row>
    <row r="8975" spans="2:2" ht="15.5" x14ac:dyDescent="0.35">
      <c r="B8975" s="183"/>
    </row>
    <row r="8976" spans="2:2" ht="15.5" x14ac:dyDescent="0.35">
      <c r="B8976" s="183"/>
    </row>
    <row r="8977" spans="2:2" ht="15.5" x14ac:dyDescent="0.35">
      <c r="B8977" s="183"/>
    </row>
    <row r="8978" spans="2:2" ht="15.5" x14ac:dyDescent="0.35">
      <c r="B8978" s="183"/>
    </row>
    <row r="8979" spans="2:2" ht="15.5" x14ac:dyDescent="0.35">
      <c r="B8979" s="183"/>
    </row>
    <row r="8980" spans="2:2" ht="15.5" x14ac:dyDescent="0.35">
      <c r="B8980" s="183"/>
    </row>
    <row r="8981" spans="2:2" ht="15.5" x14ac:dyDescent="0.35">
      <c r="B8981" s="183"/>
    </row>
    <row r="8982" spans="2:2" ht="15.5" x14ac:dyDescent="0.35">
      <c r="B8982" s="183"/>
    </row>
    <row r="8983" spans="2:2" ht="15.5" x14ac:dyDescent="0.35">
      <c r="B8983" s="183"/>
    </row>
    <row r="8984" spans="2:2" ht="15.5" x14ac:dyDescent="0.35">
      <c r="B8984" s="183"/>
    </row>
    <row r="8985" spans="2:2" ht="15.5" x14ac:dyDescent="0.35">
      <c r="B8985" s="183"/>
    </row>
    <row r="8986" spans="2:2" ht="15.5" x14ac:dyDescent="0.35">
      <c r="B8986" s="183"/>
    </row>
    <row r="8987" spans="2:2" ht="15.5" x14ac:dyDescent="0.35">
      <c r="B8987" s="183"/>
    </row>
    <row r="8988" spans="2:2" ht="15.5" x14ac:dyDescent="0.35">
      <c r="B8988" s="183"/>
    </row>
    <row r="8989" spans="2:2" ht="15.5" x14ac:dyDescent="0.35">
      <c r="B8989" s="183"/>
    </row>
    <row r="8990" spans="2:2" ht="15.5" x14ac:dyDescent="0.35">
      <c r="B8990" s="183"/>
    </row>
    <row r="8991" spans="2:2" ht="15.5" x14ac:dyDescent="0.35">
      <c r="B8991" s="183"/>
    </row>
    <row r="8992" spans="2:2" ht="15.5" x14ac:dyDescent="0.35">
      <c r="B8992" s="183"/>
    </row>
    <row r="8993" spans="2:2" ht="15.5" x14ac:dyDescent="0.35">
      <c r="B8993" s="183"/>
    </row>
    <row r="8994" spans="2:2" ht="15.5" x14ac:dyDescent="0.35">
      <c r="B8994" s="183"/>
    </row>
    <row r="8995" spans="2:2" ht="15.5" x14ac:dyDescent="0.35">
      <c r="B8995" s="183"/>
    </row>
    <row r="8996" spans="2:2" ht="15.5" x14ac:dyDescent="0.35">
      <c r="B8996" s="183"/>
    </row>
    <row r="8997" spans="2:2" ht="15.5" x14ac:dyDescent="0.35">
      <c r="B8997" s="183"/>
    </row>
    <row r="8998" spans="2:2" ht="15.5" x14ac:dyDescent="0.35">
      <c r="B8998" s="183"/>
    </row>
    <row r="8999" spans="2:2" ht="15.5" x14ac:dyDescent="0.35">
      <c r="B8999" s="183"/>
    </row>
    <row r="9000" spans="2:2" ht="15.5" x14ac:dyDescent="0.35">
      <c r="B9000" s="183"/>
    </row>
    <row r="9001" spans="2:2" ht="15.5" x14ac:dyDescent="0.35">
      <c r="B9001" s="183"/>
    </row>
    <row r="9002" spans="2:2" ht="15.5" x14ac:dyDescent="0.35">
      <c r="B9002" s="183"/>
    </row>
    <row r="9003" spans="2:2" ht="15.5" x14ac:dyDescent="0.35">
      <c r="B9003" s="183"/>
    </row>
    <row r="9004" spans="2:2" ht="15.5" x14ac:dyDescent="0.35">
      <c r="B9004" s="183"/>
    </row>
    <row r="9005" spans="2:2" ht="15.5" x14ac:dyDescent="0.35">
      <c r="B9005" s="183"/>
    </row>
    <row r="9006" spans="2:2" ht="15.5" x14ac:dyDescent="0.35">
      <c r="B9006" s="183"/>
    </row>
    <row r="9007" spans="2:2" ht="15.5" x14ac:dyDescent="0.35">
      <c r="B9007" s="183"/>
    </row>
    <row r="9008" spans="2:2" ht="15.5" x14ac:dyDescent="0.35">
      <c r="B9008" s="183"/>
    </row>
    <row r="9009" spans="2:2" ht="15.5" x14ac:dyDescent="0.35">
      <c r="B9009" s="183"/>
    </row>
    <row r="9010" spans="2:2" ht="15.5" x14ac:dyDescent="0.35">
      <c r="B9010" s="183"/>
    </row>
    <row r="9011" spans="2:2" ht="15.5" x14ac:dyDescent="0.35">
      <c r="B9011" s="183"/>
    </row>
    <row r="9012" spans="2:2" ht="15.5" x14ac:dyDescent="0.35">
      <c r="B9012" s="183"/>
    </row>
    <row r="9013" spans="2:2" ht="15.5" x14ac:dyDescent="0.35">
      <c r="B9013" s="183"/>
    </row>
    <row r="9014" spans="2:2" ht="15.5" x14ac:dyDescent="0.35">
      <c r="B9014" s="183"/>
    </row>
    <row r="9015" spans="2:2" ht="15.5" x14ac:dyDescent="0.35">
      <c r="B9015" s="183"/>
    </row>
    <row r="9016" spans="2:2" ht="15.5" x14ac:dyDescent="0.35">
      <c r="B9016" s="183"/>
    </row>
    <row r="9017" spans="2:2" ht="15.5" x14ac:dyDescent="0.35">
      <c r="B9017" s="183"/>
    </row>
    <row r="9018" spans="2:2" ht="15.5" x14ac:dyDescent="0.35">
      <c r="B9018" s="183"/>
    </row>
    <row r="9019" spans="2:2" ht="15.5" x14ac:dyDescent="0.35">
      <c r="B9019" s="183"/>
    </row>
    <row r="9020" spans="2:2" ht="15.5" x14ac:dyDescent="0.35">
      <c r="B9020" s="183"/>
    </row>
    <row r="9021" spans="2:2" ht="15.5" x14ac:dyDescent="0.35">
      <c r="B9021" s="183"/>
    </row>
    <row r="9022" spans="2:2" ht="15.5" x14ac:dyDescent="0.35">
      <c r="B9022" s="183"/>
    </row>
    <row r="9023" spans="2:2" ht="15.5" x14ac:dyDescent="0.35">
      <c r="B9023" s="183"/>
    </row>
    <row r="9024" spans="2:2" ht="15.5" x14ac:dyDescent="0.35">
      <c r="B9024" s="183"/>
    </row>
    <row r="9025" spans="2:2" ht="15.5" x14ac:dyDescent="0.35">
      <c r="B9025" s="183"/>
    </row>
    <row r="9026" spans="2:2" ht="15.5" x14ac:dyDescent="0.35">
      <c r="B9026" s="183"/>
    </row>
    <row r="9027" spans="2:2" ht="15.5" x14ac:dyDescent="0.35">
      <c r="B9027" s="183"/>
    </row>
    <row r="9028" spans="2:2" ht="15.5" x14ac:dyDescent="0.35">
      <c r="B9028" s="183"/>
    </row>
    <row r="9029" spans="2:2" ht="15.5" x14ac:dyDescent="0.35">
      <c r="B9029" s="183"/>
    </row>
    <row r="9030" spans="2:2" ht="15.5" x14ac:dyDescent="0.35">
      <c r="B9030" s="183"/>
    </row>
    <row r="9031" spans="2:2" ht="15.5" x14ac:dyDescent="0.35">
      <c r="B9031" s="183"/>
    </row>
    <row r="9032" spans="2:2" ht="15.5" x14ac:dyDescent="0.35">
      <c r="B9032" s="183"/>
    </row>
    <row r="9033" spans="2:2" ht="15.5" x14ac:dyDescent="0.35">
      <c r="B9033" s="183"/>
    </row>
    <row r="9034" spans="2:2" ht="15.5" x14ac:dyDescent="0.35">
      <c r="B9034" s="183"/>
    </row>
    <row r="9035" spans="2:2" ht="15.5" x14ac:dyDescent="0.35">
      <c r="B9035" s="183"/>
    </row>
    <row r="9036" spans="2:2" ht="15.5" x14ac:dyDescent="0.35">
      <c r="B9036" s="183"/>
    </row>
    <row r="9037" spans="2:2" ht="15.5" x14ac:dyDescent="0.35">
      <c r="B9037" s="183"/>
    </row>
    <row r="9038" spans="2:2" ht="15.5" x14ac:dyDescent="0.35">
      <c r="B9038" s="183"/>
    </row>
    <row r="9039" spans="2:2" ht="15.5" x14ac:dyDescent="0.35">
      <c r="B9039" s="183"/>
    </row>
    <row r="9040" spans="2:2" ht="15.5" x14ac:dyDescent="0.35">
      <c r="B9040" s="183"/>
    </row>
    <row r="9041" spans="2:2" ht="15.5" x14ac:dyDescent="0.35">
      <c r="B9041" s="183"/>
    </row>
    <row r="9042" spans="2:2" ht="15.5" x14ac:dyDescent="0.35">
      <c r="B9042" s="183"/>
    </row>
    <row r="9043" spans="2:2" ht="15.5" x14ac:dyDescent="0.35">
      <c r="B9043" s="183"/>
    </row>
    <row r="9044" spans="2:2" ht="15.5" x14ac:dyDescent="0.35">
      <c r="B9044" s="183"/>
    </row>
    <row r="9045" spans="2:2" ht="15.5" x14ac:dyDescent="0.35">
      <c r="B9045" s="183"/>
    </row>
    <row r="9046" spans="2:2" ht="15.5" x14ac:dyDescent="0.35">
      <c r="B9046" s="183"/>
    </row>
    <row r="9047" spans="2:2" ht="15.5" x14ac:dyDescent="0.35">
      <c r="B9047" s="183"/>
    </row>
    <row r="9048" spans="2:2" ht="15.5" x14ac:dyDescent="0.35">
      <c r="B9048" s="183"/>
    </row>
    <row r="9049" spans="2:2" ht="15.5" x14ac:dyDescent="0.35">
      <c r="B9049" s="183"/>
    </row>
    <row r="9050" spans="2:2" ht="15.5" x14ac:dyDescent="0.35">
      <c r="B9050" s="183"/>
    </row>
    <row r="9051" spans="2:2" ht="15.5" x14ac:dyDescent="0.35">
      <c r="B9051" s="183"/>
    </row>
    <row r="9052" spans="2:2" ht="15.5" x14ac:dyDescent="0.35">
      <c r="B9052" s="183"/>
    </row>
    <row r="9053" spans="2:2" ht="15.5" x14ac:dyDescent="0.35">
      <c r="B9053" s="183"/>
    </row>
    <row r="9054" spans="2:2" ht="15.5" x14ac:dyDescent="0.35">
      <c r="B9054" s="183"/>
    </row>
    <row r="9055" spans="2:2" ht="15.5" x14ac:dyDescent="0.35">
      <c r="B9055" s="183"/>
    </row>
    <row r="9056" spans="2:2" ht="15.5" x14ac:dyDescent="0.35">
      <c r="B9056" s="183"/>
    </row>
    <row r="9057" spans="2:2" ht="15.5" x14ac:dyDescent="0.35">
      <c r="B9057" s="183"/>
    </row>
    <row r="9058" spans="2:2" ht="15.5" x14ac:dyDescent="0.35">
      <c r="B9058" s="183"/>
    </row>
    <row r="9059" spans="2:2" ht="15.5" x14ac:dyDescent="0.35">
      <c r="B9059" s="183"/>
    </row>
    <row r="9060" spans="2:2" ht="15.5" x14ac:dyDescent="0.35">
      <c r="B9060" s="183"/>
    </row>
    <row r="9061" spans="2:2" ht="15.5" x14ac:dyDescent="0.35">
      <c r="B9061" s="183"/>
    </row>
    <row r="9062" spans="2:2" ht="15.5" x14ac:dyDescent="0.35">
      <c r="B9062" s="183"/>
    </row>
    <row r="9063" spans="2:2" ht="15.5" x14ac:dyDescent="0.35">
      <c r="B9063" s="183"/>
    </row>
    <row r="9064" spans="2:2" ht="15.5" x14ac:dyDescent="0.35">
      <c r="B9064" s="183"/>
    </row>
    <row r="9065" spans="2:2" ht="15.5" x14ac:dyDescent="0.35">
      <c r="B9065" s="183"/>
    </row>
    <row r="9066" spans="2:2" ht="15.5" x14ac:dyDescent="0.35">
      <c r="B9066" s="183"/>
    </row>
    <row r="9067" spans="2:2" ht="15.5" x14ac:dyDescent="0.35">
      <c r="B9067" s="183"/>
    </row>
    <row r="9068" spans="2:2" ht="15.5" x14ac:dyDescent="0.35">
      <c r="B9068" s="183"/>
    </row>
    <row r="9069" spans="2:2" ht="15.5" x14ac:dyDescent="0.35">
      <c r="B9069" s="183"/>
    </row>
    <row r="9070" spans="2:2" ht="15.5" x14ac:dyDescent="0.35">
      <c r="B9070" s="183"/>
    </row>
    <row r="9071" spans="2:2" ht="15.5" x14ac:dyDescent="0.35">
      <c r="B9071" s="183"/>
    </row>
    <row r="9072" spans="2:2" ht="15.5" x14ac:dyDescent="0.35">
      <c r="B9072" s="183"/>
    </row>
    <row r="9073" spans="2:2" ht="15.5" x14ac:dyDescent="0.35">
      <c r="B9073" s="183"/>
    </row>
    <row r="9074" spans="2:2" ht="15.5" x14ac:dyDescent="0.35">
      <c r="B9074" s="183"/>
    </row>
    <row r="9075" spans="2:2" ht="15.5" x14ac:dyDescent="0.35">
      <c r="B9075" s="183"/>
    </row>
    <row r="9076" spans="2:2" ht="15.5" x14ac:dyDescent="0.35">
      <c r="B9076" s="183"/>
    </row>
    <row r="9077" spans="2:2" ht="15.5" x14ac:dyDescent="0.35">
      <c r="B9077" s="183"/>
    </row>
    <row r="9078" spans="2:2" ht="15.5" x14ac:dyDescent="0.35">
      <c r="B9078" s="183"/>
    </row>
    <row r="9079" spans="2:2" ht="15.5" x14ac:dyDescent="0.35">
      <c r="B9079" s="183"/>
    </row>
    <row r="9080" spans="2:2" ht="15.5" x14ac:dyDescent="0.35">
      <c r="B9080" s="183"/>
    </row>
    <row r="9081" spans="2:2" ht="15.5" x14ac:dyDescent="0.35">
      <c r="B9081" s="183"/>
    </row>
    <row r="9082" spans="2:2" ht="15.5" x14ac:dyDescent="0.35">
      <c r="B9082" s="183"/>
    </row>
    <row r="9083" spans="2:2" ht="15.5" x14ac:dyDescent="0.35">
      <c r="B9083" s="183"/>
    </row>
    <row r="9084" spans="2:2" ht="15.5" x14ac:dyDescent="0.35">
      <c r="B9084" s="183"/>
    </row>
    <row r="9085" spans="2:2" ht="15.5" x14ac:dyDescent="0.35">
      <c r="B9085" s="183"/>
    </row>
    <row r="9086" spans="2:2" ht="15.5" x14ac:dyDescent="0.35">
      <c r="B9086" s="183"/>
    </row>
    <row r="9087" spans="2:2" ht="15.5" x14ac:dyDescent="0.35">
      <c r="B9087" s="183"/>
    </row>
    <row r="9088" spans="2:2" ht="15.5" x14ac:dyDescent="0.35">
      <c r="B9088" s="183"/>
    </row>
    <row r="9089" spans="2:2" ht="15.5" x14ac:dyDescent="0.35">
      <c r="B9089" s="183"/>
    </row>
    <row r="9090" spans="2:2" ht="15.5" x14ac:dyDescent="0.35">
      <c r="B9090" s="183"/>
    </row>
    <row r="9091" spans="2:2" ht="15.5" x14ac:dyDescent="0.35">
      <c r="B9091" s="183"/>
    </row>
    <row r="9092" spans="2:2" ht="15.5" x14ac:dyDescent="0.35">
      <c r="B9092" s="183"/>
    </row>
    <row r="9093" spans="2:2" ht="15.5" x14ac:dyDescent="0.35">
      <c r="B9093" s="183"/>
    </row>
    <row r="9094" spans="2:2" ht="15.5" x14ac:dyDescent="0.35">
      <c r="B9094" s="183"/>
    </row>
    <row r="9095" spans="2:2" ht="15.5" x14ac:dyDescent="0.35">
      <c r="B9095" s="183"/>
    </row>
    <row r="9096" spans="2:2" ht="15.5" x14ac:dyDescent="0.35">
      <c r="B9096" s="183"/>
    </row>
    <row r="9097" spans="2:2" ht="15.5" x14ac:dyDescent="0.35">
      <c r="B9097" s="183"/>
    </row>
    <row r="9098" spans="2:2" ht="15.5" x14ac:dyDescent="0.35">
      <c r="B9098" s="183"/>
    </row>
    <row r="9099" spans="2:2" ht="15.5" x14ac:dyDescent="0.35">
      <c r="B9099" s="183"/>
    </row>
    <row r="9100" spans="2:2" ht="15.5" x14ac:dyDescent="0.35">
      <c r="B9100" s="183"/>
    </row>
    <row r="9101" spans="2:2" ht="15.5" x14ac:dyDescent="0.35">
      <c r="B9101" s="183"/>
    </row>
    <row r="9102" spans="2:2" ht="15.5" x14ac:dyDescent="0.35">
      <c r="B9102" s="183"/>
    </row>
    <row r="9103" spans="2:2" ht="15.5" x14ac:dyDescent="0.35">
      <c r="B9103" s="183"/>
    </row>
    <row r="9104" spans="2:2" ht="15.5" x14ac:dyDescent="0.35">
      <c r="B9104" s="183"/>
    </row>
    <row r="9105" spans="2:2" ht="15.5" x14ac:dyDescent="0.35">
      <c r="B9105" s="183"/>
    </row>
    <row r="9106" spans="2:2" ht="15.5" x14ac:dyDescent="0.35">
      <c r="B9106" s="183"/>
    </row>
    <row r="9107" spans="2:2" ht="15.5" x14ac:dyDescent="0.35">
      <c r="B9107" s="183"/>
    </row>
    <row r="9108" spans="2:2" ht="15.5" x14ac:dyDescent="0.35">
      <c r="B9108" s="183"/>
    </row>
    <row r="9109" spans="2:2" ht="15.5" x14ac:dyDescent="0.35">
      <c r="B9109" s="183"/>
    </row>
    <row r="9110" spans="2:2" ht="15.5" x14ac:dyDescent="0.35">
      <c r="B9110" s="183"/>
    </row>
    <row r="9111" spans="2:2" ht="15.5" x14ac:dyDescent="0.35">
      <c r="B9111" s="183"/>
    </row>
    <row r="9112" spans="2:2" ht="15.5" x14ac:dyDescent="0.35">
      <c r="B9112" s="183"/>
    </row>
    <row r="9113" spans="2:2" ht="15.5" x14ac:dyDescent="0.35">
      <c r="B9113" s="183"/>
    </row>
    <row r="9114" spans="2:2" ht="15.5" x14ac:dyDescent="0.35">
      <c r="B9114" s="183"/>
    </row>
    <row r="9115" spans="2:2" ht="15.5" x14ac:dyDescent="0.35">
      <c r="B9115" s="183"/>
    </row>
    <row r="9116" spans="2:2" ht="15.5" x14ac:dyDescent="0.35">
      <c r="B9116" s="183"/>
    </row>
    <row r="9117" spans="2:2" ht="15.5" x14ac:dyDescent="0.35">
      <c r="B9117" s="183"/>
    </row>
    <row r="9118" spans="2:2" ht="15.5" x14ac:dyDescent="0.35">
      <c r="B9118" s="183"/>
    </row>
    <row r="9119" spans="2:2" ht="15.5" x14ac:dyDescent="0.35">
      <c r="B9119" s="183"/>
    </row>
    <row r="9120" spans="2:2" ht="15.5" x14ac:dyDescent="0.35">
      <c r="B9120" s="183"/>
    </row>
    <row r="9121" spans="2:2" ht="15.5" x14ac:dyDescent="0.35">
      <c r="B9121" s="183"/>
    </row>
    <row r="9122" spans="2:2" ht="15.5" x14ac:dyDescent="0.35">
      <c r="B9122" s="183"/>
    </row>
    <row r="9123" spans="2:2" ht="15.5" x14ac:dyDescent="0.35">
      <c r="B9123" s="183"/>
    </row>
    <row r="9124" spans="2:2" ht="15.5" x14ac:dyDescent="0.35">
      <c r="B9124" s="183"/>
    </row>
    <row r="9125" spans="2:2" ht="15.5" x14ac:dyDescent="0.35">
      <c r="B9125" s="183"/>
    </row>
    <row r="9126" spans="2:2" ht="15.5" x14ac:dyDescent="0.35">
      <c r="B9126" s="183"/>
    </row>
    <row r="9127" spans="2:2" ht="15.5" x14ac:dyDescent="0.35">
      <c r="B9127" s="183"/>
    </row>
    <row r="9128" spans="2:2" ht="15.5" x14ac:dyDescent="0.35">
      <c r="B9128" s="183"/>
    </row>
    <row r="9129" spans="2:2" ht="15.5" x14ac:dyDescent="0.35">
      <c r="B9129" s="183"/>
    </row>
    <row r="9130" spans="2:2" ht="15.5" x14ac:dyDescent="0.35">
      <c r="B9130" s="183"/>
    </row>
    <row r="9131" spans="2:2" ht="15.5" x14ac:dyDescent="0.35">
      <c r="B9131" s="183"/>
    </row>
    <row r="9132" spans="2:2" ht="15.5" x14ac:dyDescent="0.35">
      <c r="B9132" s="183"/>
    </row>
    <row r="9133" spans="2:2" ht="15.5" x14ac:dyDescent="0.35">
      <c r="B9133" s="183"/>
    </row>
    <row r="9134" spans="2:2" ht="15.5" x14ac:dyDescent="0.35">
      <c r="B9134" s="183"/>
    </row>
    <row r="9135" spans="2:2" ht="15.5" x14ac:dyDescent="0.35">
      <c r="B9135" s="183"/>
    </row>
    <row r="9136" spans="2:2" ht="15.5" x14ac:dyDescent="0.35">
      <c r="B9136" s="183"/>
    </row>
    <row r="9137" spans="2:2" ht="15.5" x14ac:dyDescent="0.35">
      <c r="B9137" s="183"/>
    </row>
    <row r="9138" spans="2:2" ht="15.5" x14ac:dyDescent="0.35">
      <c r="B9138" s="183"/>
    </row>
    <row r="9139" spans="2:2" ht="15.5" x14ac:dyDescent="0.35">
      <c r="B9139" s="183"/>
    </row>
    <row r="9140" spans="2:2" ht="15.5" x14ac:dyDescent="0.35">
      <c r="B9140" s="183"/>
    </row>
    <row r="9141" spans="2:2" ht="15.5" x14ac:dyDescent="0.35">
      <c r="B9141" s="183"/>
    </row>
    <row r="9142" spans="2:2" ht="15.5" x14ac:dyDescent="0.35">
      <c r="B9142" s="183"/>
    </row>
    <row r="9143" spans="2:2" ht="15.5" x14ac:dyDescent="0.35">
      <c r="B9143" s="183"/>
    </row>
    <row r="9144" spans="2:2" ht="15.5" x14ac:dyDescent="0.35">
      <c r="B9144" s="183"/>
    </row>
    <row r="9145" spans="2:2" ht="15.5" x14ac:dyDescent="0.35">
      <c r="B9145" s="183"/>
    </row>
    <row r="9146" spans="2:2" ht="15.5" x14ac:dyDescent="0.35">
      <c r="B9146" s="183"/>
    </row>
    <row r="9147" spans="2:2" ht="15.5" x14ac:dyDescent="0.35">
      <c r="B9147" s="183"/>
    </row>
    <row r="9148" spans="2:2" ht="15.5" x14ac:dyDescent="0.35">
      <c r="B9148" s="183"/>
    </row>
    <row r="9149" spans="2:2" ht="15.5" x14ac:dyDescent="0.35">
      <c r="B9149" s="183"/>
    </row>
    <row r="9150" spans="2:2" ht="15.5" x14ac:dyDescent="0.35">
      <c r="B9150" s="183"/>
    </row>
    <row r="9151" spans="2:2" ht="15.5" x14ac:dyDescent="0.35">
      <c r="B9151" s="183"/>
    </row>
    <row r="9152" spans="2:2" ht="15.5" x14ac:dyDescent="0.35">
      <c r="B9152" s="183"/>
    </row>
    <row r="9153" spans="2:2" ht="15.5" x14ac:dyDescent="0.35">
      <c r="B9153" s="183"/>
    </row>
    <row r="9154" spans="2:2" ht="15.5" x14ac:dyDescent="0.35">
      <c r="B9154" s="183"/>
    </row>
    <row r="9155" spans="2:2" ht="15.5" x14ac:dyDescent="0.35">
      <c r="B9155" s="183"/>
    </row>
    <row r="9156" spans="2:2" ht="15.5" x14ac:dyDescent="0.35">
      <c r="B9156" s="183"/>
    </row>
    <row r="9157" spans="2:2" ht="15.5" x14ac:dyDescent="0.35">
      <c r="B9157" s="183"/>
    </row>
    <row r="9158" spans="2:2" ht="15.5" x14ac:dyDescent="0.35">
      <c r="B9158" s="183"/>
    </row>
    <row r="9159" spans="2:2" ht="15.5" x14ac:dyDescent="0.35">
      <c r="B9159" s="183"/>
    </row>
    <row r="9160" spans="2:2" ht="15.5" x14ac:dyDescent="0.35">
      <c r="B9160" s="183"/>
    </row>
    <row r="9161" spans="2:2" ht="15.5" x14ac:dyDescent="0.35">
      <c r="B9161" s="183"/>
    </row>
    <row r="9162" spans="2:2" ht="15.5" x14ac:dyDescent="0.35">
      <c r="B9162" s="183"/>
    </row>
    <row r="9163" spans="2:2" ht="15.5" x14ac:dyDescent="0.35">
      <c r="B9163" s="183"/>
    </row>
    <row r="9164" spans="2:2" ht="15.5" x14ac:dyDescent="0.35">
      <c r="B9164" s="183"/>
    </row>
    <row r="9165" spans="2:2" ht="15.5" x14ac:dyDescent="0.35">
      <c r="B9165" s="183"/>
    </row>
    <row r="9166" spans="2:2" ht="15.5" x14ac:dyDescent="0.35">
      <c r="B9166" s="183"/>
    </row>
    <row r="9167" spans="2:2" ht="15.5" x14ac:dyDescent="0.35">
      <c r="B9167" s="183"/>
    </row>
    <row r="9168" spans="2:2" ht="15.5" x14ac:dyDescent="0.35">
      <c r="B9168" s="183"/>
    </row>
    <row r="9169" spans="2:2" ht="15.5" x14ac:dyDescent="0.35">
      <c r="B9169" s="183"/>
    </row>
    <row r="9170" spans="2:2" ht="15.5" x14ac:dyDescent="0.35">
      <c r="B9170" s="183"/>
    </row>
    <row r="9171" spans="2:2" ht="15.5" x14ac:dyDescent="0.35">
      <c r="B9171" s="183"/>
    </row>
    <row r="9172" spans="2:2" ht="15.5" x14ac:dyDescent="0.35">
      <c r="B9172" s="183"/>
    </row>
    <row r="9173" spans="2:2" ht="15.5" x14ac:dyDescent="0.35">
      <c r="B9173" s="183"/>
    </row>
    <row r="9174" spans="2:2" ht="15.5" x14ac:dyDescent="0.35">
      <c r="B9174" s="183"/>
    </row>
    <row r="9175" spans="2:2" ht="15.5" x14ac:dyDescent="0.35">
      <c r="B9175" s="183"/>
    </row>
    <row r="9176" spans="2:2" ht="15.5" x14ac:dyDescent="0.35">
      <c r="B9176" s="183"/>
    </row>
    <row r="9177" spans="2:2" ht="15.5" x14ac:dyDescent="0.35">
      <c r="B9177" s="183"/>
    </row>
    <row r="9178" spans="2:2" ht="15.5" x14ac:dyDescent="0.35">
      <c r="B9178" s="183"/>
    </row>
    <row r="9179" spans="2:2" ht="15.5" x14ac:dyDescent="0.35">
      <c r="B9179" s="183"/>
    </row>
    <row r="9180" spans="2:2" ht="15.5" x14ac:dyDescent="0.35">
      <c r="B9180" s="183"/>
    </row>
    <row r="9181" spans="2:2" ht="15.5" x14ac:dyDescent="0.35">
      <c r="B9181" s="183"/>
    </row>
    <row r="9182" spans="2:2" ht="15.5" x14ac:dyDescent="0.35">
      <c r="B9182" s="183"/>
    </row>
    <row r="9183" spans="2:2" ht="15.5" x14ac:dyDescent="0.35">
      <c r="B9183" s="183"/>
    </row>
    <row r="9184" spans="2:2" ht="15.5" x14ac:dyDescent="0.35">
      <c r="B9184" s="183"/>
    </row>
    <row r="9185" spans="2:2" ht="15.5" x14ac:dyDescent="0.35">
      <c r="B9185" s="183"/>
    </row>
    <row r="9186" spans="2:2" ht="15.5" x14ac:dyDescent="0.35">
      <c r="B9186" s="183"/>
    </row>
    <row r="9187" spans="2:2" ht="15.5" x14ac:dyDescent="0.35">
      <c r="B9187" s="183"/>
    </row>
    <row r="9188" spans="2:2" ht="15.5" x14ac:dyDescent="0.35">
      <c r="B9188" s="183"/>
    </row>
    <row r="9189" spans="2:2" ht="15.5" x14ac:dyDescent="0.35">
      <c r="B9189" s="183"/>
    </row>
    <row r="9190" spans="2:2" ht="15.5" x14ac:dyDescent="0.35">
      <c r="B9190" s="183"/>
    </row>
    <row r="9191" spans="2:2" ht="15.5" x14ac:dyDescent="0.35">
      <c r="B9191" s="183"/>
    </row>
    <row r="9192" spans="2:2" ht="15.5" x14ac:dyDescent="0.35">
      <c r="B9192" s="183"/>
    </row>
    <row r="9193" spans="2:2" ht="15.5" x14ac:dyDescent="0.35">
      <c r="B9193" s="183"/>
    </row>
    <row r="9194" spans="2:2" ht="15.5" x14ac:dyDescent="0.35">
      <c r="B9194" s="183"/>
    </row>
    <row r="9195" spans="2:2" ht="15.5" x14ac:dyDescent="0.35">
      <c r="B9195" s="183"/>
    </row>
    <row r="9196" spans="2:2" ht="15.5" x14ac:dyDescent="0.35">
      <c r="B9196" s="183"/>
    </row>
    <row r="9197" spans="2:2" ht="15.5" x14ac:dyDescent="0.35">
      <c r="B9197" s="183"/>
    </row>
    <row r="9198" spans="2:2" ht="15.5" x14ac:dyDescent="0.35">
      <c r="B9198" s="183"/>
    </row>
    <row r="9199" spans="2:2" ht="15.5" x14ac:dyDescent="0.35">
      <c r="B9199" s="183"/>
    </row>
    <row r="9200" spans="2:2" ht="15.5" x14ac:dyDescent="0.35">
      <c r="B9200" s="183"/>
    </row>
    <row r="9201" spans="2:2" ht="15.5" x14ac:dyDescent="0.35">
      <c r="B9201" s="183"/>
    </row>
    <row r="9202" spans="2:2" ht="15.5" x14ac:dyDescent="0.35">
      <c r="B9202" s="183"/>
    </row>
    <row r="9203" spans="2:2" ht="15.5" x14ac:dyDescent="0.35">
      <c r="B9203" s="183"/>
    </row>
    <row r="9204" spans="2:2" ht="15.5" x14ac:dyDescent="0.35">
      <c r="B9204" s="183"/>
    </row>
    <row r="9205" spans="2:2" ht="15.5" x14ac:dyDescent="0.35">
      <c r="B9205" s="183"/>
    </row>
    <row r="9206" spans="2:2" ht="15.5" x14ac:dyDescent="0.35">
      <c r="B9206" s="183"/>
    </row>
    <row r="9207" spans="2:2" ht="15.5" x14ac:dyDescent="0.35">
      <c r="B9207" s="183"/>
    </row>
    <row r="9208" spans="2:2" ht="15.5" x14ac:dyDescent="0.35">
      <c r="B9208" s="183"/>
    </row>
    <row r="9209" spans="2:2" ht="15.5" x14ac:dyDescent="0.35">
      <c r="B9209" s="183"/>
    </row>
    <row r="9210" spans="2:2" ht="15.5" x14ac:dyDescent="0.35">
      <c r="B9210" s="183"/>
    </row>
    <row r="9211" spans="2:2" ht="15.5" x14ac:dyDescent="0.35">
      <c r="B9211" s="183"/>
    </row>
    <row r="9212" spans="2:2" ht="15.5" x14ac:dyDescent="0.35">
      <c r="B9212" s="183"/>
    </row>
    <row r="9213" spans="2:2" ht="15.5" x14ac:dyDescent="0.35">
      <c r="B9213" s="183"/>
    </row>
    <row r="9214" spans="2:2" ht="15.5" x14ac:dyDescent="0.35">
      <c r="B9214" s="183"/>
    </row>
    <row r="9215" spans="2:2" ht="15.5" x14ac:dyDescent="0.35">
      <c r="B9215" s="183"/>
    </row>
    <row r="9216" spans="2:2" ht="15.5" x14ac:dyDescent="0.35">
      <c r="B9216" s="183"/>
    </row>
    <row r="9217" spans="2:2" ht="15.5" x14ac:dyDescent="0.35">
      <c r="B9217" s="183"/>
    </row>
    <row r="9218" spans="2:2" ht="15.5" x14ac:dyDescent="0.35">
      <c r="B9218" s="183"/>
    </row>
    <row r="9219" spans="2:2" ht="15.5" x14ac:dyDescent="0.35">
      <c r="B9219" s="183"/>
    </row>
    <row r="9220" spans="2:2" ht="15.5" x14ac:dyDescent="0.35">
      <c r="B9220" s="183"/>
    </row>
    <row r="9221" spans="2:2" ht="15.5" x14ac:dyDescent="0.35">
      <c r="B9221" s="183"/>
    </row>
    <row r="9222" spans="2:2" ht="15.5" x14ac:dyDescent="0.35">
      <c r="B9222" s="183"/>
    </row>
    <row r="9223" spans="2:2" ht="15.5" x14ac:dyDescent="0.35">
      <c r="B9223" s="183"/>
    </row>
    <row r="9224" spans="2:2" ht="15.5" x14ac:dyDescent="0.35">
      <c r="B9224" s="183"/>
    </row>
    <row r="9225" spans="2:2" ht="15.5" x14ac:dyDescent="0.35">
      <c r="B9225" s="183"/>
    </row>
    <row r="9226" spans="2:2" ht="15.5" x14ac:dyDescent="0.35">
      <c r="B9226" s="183"/>
    </row>
    <row r="9227" spans="2:2" ht="15.5" x14ac:dyDescent="0.35">
      <c r="B9227" s="183"/>
    </row>
    <row r="9228" spans="2:2" ht="15.5" x14ac:dyDescent="0.35">
      <c r="B9228" s="183"/>
    </row>
    <row r="9229" spans="2:2" ht="15.5" x14ac:dyDescent="0.35">
      <c r="B9229" s="183"/>
    </row>
    <row r="9230" spans="2:2" ht="15.5" x14ac:dyDescent="0.35">
      <c r="B9230" s="183"/>
    </row>
    <row r="9231" spans="2:2" ht="15.5" x14ac:dyDescent="0.35">
      <c r="B9231" s="183"/>
    </row>
    <row r="9232" spans="2:2" ht="15.5" x14ac:dyDescent="0.35">
      <c r="B9232" s="183"/>
    </row>
    <row r="9233" spans="2:2" ht="15.5" x14ac:dyDescent="0.35">
      <c r="B9233" s="183"/>
    </row>
    <row r="9234" spans="2:2" ht="15.5" x14ac:dyDescent="0.35">
      <c r="B9234" s="183"/>
    </row>
    <row r="9235" spans="2:2" ht="15.5" x14ac:dyDescent="0.35">
      <c r="B9235" s="183"/>
    </row>
    <row r="9236" spans="2:2" ht="15.5" x14ac:dyDescent="0.35">
      <c r="B9236" s="183"/>
    </row>
    <row r="9237" spans="2:2" ht="15.5" x14ac:dyDescent="0.35">
      <c r="B9237" s="183"/>
    </row>
    <row r="9238" spans="2:2" ht="15.5" x14ac:dyDescent="0.35">
      <c r="B9238" s="183"/>
    </row>
    <row r="9239" spans="2:2" ht="15.5" x14ac:dyDescent="0.35">
      <c r="B9239" s="183"/>
    </row>
    <row r="9240" spans="2:2" ht="15.5" x14ac:dyDescent="0.35">
      <c r="B9240" s="183"/>
    </row>
    <row r="9241" spans="2:2" ht="15.5" x14ac:dyDescent="0.35">
      <c r="B9241" s="183"/>
    </row>
    <row r="9242" spans="2:2" ht="15.5" x14ac:dyDescent="0.35">
      <c r="B9242" s="183"/>
    </row>
    <row r="9243" spans="2:2" ht="15.5" x14ac:dyDescent="0.35">
      <c r="B9243" s="183"/>
    </row>
    <row r="9244" spans="2:2" ht="15.5" x14ac:dyDescent="0.35">
      <c r="B9244" s="183"/>
    </row>
    <row r="9245" spans="2:2" ht="15.5" x14ac:dyDescent="0.35">
      <c r="B9245" s="183"/>
    </row>
    <row r="9246" spans="2:2" ht="15.5" x14ac:dyDescent="0.35">
      <c r="B9246" s="183"/>
    </row>
    <row r="9247" spans="2:2" ht="15.5" x14ac:dyDescent="0.35">
      <c r="B9247" s="183"/>
    </row>
    <row r="9248" spans="2:2" ht="15.5" x14ac:dyDescent="0.35">
      <c r="B9248" s="183"/>
    </row>
    <row r="9249" spans="2:2" ht="15.5" x14ac:dyDescent="0.35">
      <c r="B9249" s="183"/>
    </row>
    <row r="9250" spans="2:2" ht="15.5" x14ac:dyDescent="0.35">
      <c r="B9250" s="183"/>
    </row>
    <row r="9251" spans="2:2" ht="15.5" x14ac:dyDescent="0.35">
      <c r="B9251" s="183"/>
    </row>
    <row r="9252" spans="2:2" ht="15.5" x14ac:dyDescent="0.35">
      <c r="B9252" s="183"/>
    </row>
    <row r="9253" spans="2:2" ht="15.5" x14ac:dyDescent="0.35">
      <c r="B9253" s="183"/>
    </row>
    <row r="9254" spans="2:2" ht="15.5" x14ac:dyDescent="0.35">
      <c r="B9254" s="183"/>
    </row>
    <row r="9255" spans="2:2" ht="15.5" x14ac:dyDescent="0.35">
      <c r="B9255" s="183"/>
    </row>
    <row r="9256" spans="2:2" ht="15.5" x14ac:dyDescent="0.35">
      <c r="B9256" s="183"/>
    </row>
    <row r="9257" spans="2:2" ht="15.5" x14ac:dyDescent="0.35">
      <c r="B9257" s="183"/>
    </row>
    <row r="9258" spans="2:2" ht="15.5" x14ac:dyDescent="0.35">
      <c r="B9258" s="183"/>
    </row>
    <row r="9259" spans="2:2" ht="15.5" x14ac:dyDescent="0.35">
      <c r="B9259" s="183"/>
    </row>
    <row r="9260" spans="2:2" ht="15.5" x14ac:dyDescent="0.35">
      <c r="B9260" s="183"/>
    </row>
    <row r="9261" spans="2:2" ht="15.5" x14ac:dyDescent="0.35">
      <c r="B9261" s="183"/>
    </row>
    <row r="9262" spans="2:2" ht="15.5" x14ac:dyDescent="0.35">
      <c r="B9262" s="183"/>
    </row>
    <row r="9263" spans="2:2" ht="15.5" x14ac:dyDescent="0.35">
      <c r="B9263" s="183"/>
    </row>
    <row r="9264" spans="2:2" ht="15.5" x14ac:dyDescent="0.35">
      <c r="B9264" s="183"/>
    </row>
    <row r="9265" spans="2:2" ht="15.5" x14ac:dyDescent="0.35">
      <c r="B9265" s="183"/>
    </row>
    <row r="9266" spans="2:2" ht="15.5" x14ac:dyDescent="0.35">
      <c r="B9266" s="183"/>
    </row>
    <row r="9267" spans="2:2" ht="15.5" x14ac:dyDescent="0.35">
      <c r="B9267" s="183"/>
    </row>
    <row r="9268" spans="2:2" ht="15.5" x14ac:dyDescent="0.35">
      <c r="B9268" s="183"/>
    </row>
    <row r="9269" spans="2:2" ht="15.5" x14ac:dyDescent="0.35">
      <c r="B9269" s="183"/>
    </row>
    <row r="9270" spans="2:2" ht="15.5" x14ac:dyDescent="0.35">
      <c r="B9270" s="183"/>
    </row>
    <row r="9271" spans="2:2" ht="15.5" x14ac:dyDescent="0.35">
      <c r="B9271" s="183"/>
    </row>
    <row r="9272" spans="2:2" ht="15.5" x14ac:dyDescent="0.35">
      <c r="B9272" s="183"/>
    </row>
    <row r="9273" spans="2:2" ht="15.5" x14ac:dyDescent="0.35">
      <c r="B9273" s="183"/>
    </row>
    <row r="9274" spans="2:2" ht="15.5" x14ac:dyDescent="0.35">
      <c r="B9274" s="183"/>
    </row>
    <row r="9275" spans="2:2" ht="15.5" x14ac:dyDescent="0.35">
      <c r="B9275" s="183"/>
    </row>
    <row r="9276" spans="2:2" ht="15.5" x14ac:dyDescent="0.35">
      <c r="B9276" s="183"/>
    </row>
    <row r="9277" spans="2:2" ht="15.5" x14ac:dyDescent="0.35">
      <c r="B9277" s="183"/>
    </row>
    <row r="9278" spans="2:2" ht="15.5" x14ac:dyDescent="0.35">
      <c r="B9278" s="183"/>
    </row>
    <row r="9279" spans="2:2" ht="15.5" x14ac:dyDescent="0.35">
      <c r="B9279" s="183"/>
    </row>
    <row r="9280" spans="2:2" ht="15.5" x14ac:dyDescent="0.35">
      <c r="B9280" s="183"/>
    </row>
    <row r="9281" spans="2:2" ht="15.5" x14ac:dyDescent="0.35">
      <c r="B9281" s="183"/>
    </row>
    <row r="9282" spans="2:2" ht="15.5" x14ac:dyDescent="0.35">
      <c r="B9282" s="183"/>
    </row>
    <row r="9283" spans="2:2" ht="15.5" x14ac:dyDescent="0.35">
      <c r="B9283" s="183"/>
    </row>
    <row r="9284" spans="2:2" ht="15.5" x14ac:dyDescent="0.35">
      <c r="B9284" s="183"/>
    </row>
    <row r="9285" spans="2:2" ht="15.5" x14ac:dyDescent="0.35">
      <c r="B9285" s="183"/>
    </row>
    <row r="9286" spans="2:2" ht="15.5" x14ac:dyDescent="0.35">
      <c r="B9286" s="183"/>
    </row>
    <row r="9287" spans="2:2" ht="15.5" x14ac:dyDescent="0.35">
      <c r="B9287" s="183"/>
    </row>
    <row r="9288" spans="2:2" ht="15.5" x14ac:dyDescent="0.35">
      <c r="B9288" s="183"/>
    </row>
    <row r="9289" spans="2:2" ht="15.5" x14ac:dyDescent="0.35">
      <c r="B9289" s="183"/>
    </row>
    <row r="9290" spans="2:2" ht="15.5" x14ac:dyDescent="0.35">
      <c r="B9290" s="183"/>
    </row>
    <row r="9291" spans="2:2" ht="15.5" x14ac:dyDescent="0.35">
      <c r="B9291" s="183"/>
    </row>
    <row r="9292" spans="2:2" ht="15.5" x14ac:dyDescent="0.35">
      <c r="B9292" s="183"/>
    </row>
    <row r="9293" spans="2:2" ht="15.5" x14ac:dyDescent="0.35">
      <c r="B9293" s="183"/>
    </row>
    <row r="9294" spans="2:2" ht="15.5" x14ac:dyDescent="0.35">
      <c r="B9294" s="183"/>
    </row>
    <row r="9295" spans="2:2" ht="15.5" x14ac:dyDescent="0.35">
      <c r="B9295" s="183"/>
    </row>
    <row r="9296" spans="2:2" ht="15.5" x14ac:dyDescent="0.35">
      <c r="B9296" s="183"/>
    </row>
    <row r="9297" spans="2:2" ht="15.5" x14ac:dyDescent="0.35">
      <c r="B9297" s="183"/>
    </row>
    <row r="9298" spans="2:2" ht="15.5" x14ac:dyDescent="0.35">
      <c r="B9298" s="183"/>
    </row>
    <row r="9299" spans="2:2" ht="15.5" x14ac:dyDescent="0.35">
      <c r="B9299" s="183"/>
    </row>
    <row r="9300" spans="2:2" ht="15.5" x14ac:dyDescent="0.35">
      <c r="B9300" s="183"/>
    </row>
    <row r="9301" spans="2:2" ht="15.5" x14ac:dyDescent="0.35">
      <c r="B9301" s="183"/>
    </row>
    <row r="9302" spans="2:2" ht="15.5" x14ac:dyDescent="0.35">
      <c r="B9302" s="183"/>
    </row>
    <row r="9303" spans="2:2" ht="15.5" x14ac:dyDescent="0.35">
      <c r="B9303" s="183"/>
    </row>
    <row r="9304" spans="2:2" ht="15.5" x14ac:dyDescent="0.35">
      <c r="B9304" s="183"/>
    </row>
    <row r="9305" spans="2:2" ht="15.5" x14ac:dyDescent="0.35">
      <c r="B9305" s="183"/>
    </row>
    <row r="9306" spans="2:2" ht="15.5" x14ac:dyDescent="0.35">
      <c r="B9306" s="183"/>
    </row>
    <row r="9307" spans="2:2" ht="15.5" x14ac:dyDescent="0.35">
      <c r="B9307" s="183"/>
    </row>
    <row r="9308" spans="2:2" ht="15.5" x14ac:dyDescent="0.35">
      <c r="B9308" s="183"/>
    </row>
    <row r="9309" spans="2:2" ht="15.5" x14ac:dyDescent="0.35">
      <c r="B9309" s="183"/>
    </row>
    <row r="9310" spans="2:2" ht="15.5" x14ac:dyDescent="0.35">
      <c r="B9310" s="183"/>
    </row>
    <row r="9311" spans="2:2" ht="15.5" x14ac:dyDescent="0.35">
      <c r="B9311" s="183"/>
    </row>
    <row r="9312" spans="2:2" ht="15.5" x14ac:dyDescent="0.35">
      <c r="B9312" s="183"/>
    </row>
    <row r="9313" spans="2:2" ht="15.5" x14ac:dyDescent="0.35">
      <c r="B9313" s="183"/>
    </row>
    <row r="9314" spans="2:2" ht="15.5" x14ac:dyDescent="0.35">
      <c r="B9314" s="183"/>
    </row>
    <row r="9315" spans="2:2" ht="15.5" x14ac:dyDescent="0.35">
      <c r="B9315" s="183"/>
    </row>
    <row r="9316" spans="2:2" ht="15.5" x14ac:dyDescent="0.35">
      <c r="B9316" s="183"/>
    </row>
    <row r="9317" spans="2:2" ht="15.5" x14ac:dyDescent="0.35">
      <c r="B9317" s="183"/>
    </row>
    <row r="9318" spans="2:2" ht="15.5" x14ac:dyDescent="0.35">
      <c r="B9318" s="183"/>
    </row>
    <row r="9319" spans="2:2" ht="15.5" x14ac:dyDescent="0.35">
      <c r="B9319" s="183"/>
    </row>
    <row r="9320" spans="2:2" ht="15.5" x14ac:dyDescent="0.35">
      <c r="B9320" s="183"/>
    </row>
    <row r="9321" spans="2:2" ht="15.5" x14ac:dyDescent="0.35">
      <c r="B9321" s="183"/>
    </row>
    <row r="9322" spans="2:2" ht="15.5" x14ac:dyDescent="0.35">
      <c r="B9322" s="183"/>
    </row>
    <row r="9323" spans="2:2" ht="15.5" x14ac:dyDescent="0.35">
      <c r="B9323" s="183"/>
    </row>
    <row r="9324" spans="2:2" ht="15.5" x14ac:dyDescent="0.35">
      <c r="B9324" s="183"/>
    </row>
    <row r="9325" spans="2:2" ht="15.5" x14ac:dyDescent="0.35">
      <c r="B9325" s="183"/>
    </row>
    <row r="9326" spans="2:2" ht="15.5" x14ac:dyDescent="0.35">
      <c r="B9326" s="183"/>
    </row>
    <row r="9327" spans="2:2" ht="15.5" x14ac:dyDescent="0.35">
      <c r="B9327" s="183"/>
    </row>
    <row r="9328" spans="2:2" ht="15.5" x14ac:dyDescent="0.35">
      <c r="B9328" s="183"/>
    </row>
    <row r="9329" spans="2:2" ht="15.5" x14ac:dyDescent="0.35">
      <c r="B9329" s="183"/>
    </row>
    <row r="9330" spans="2:2" ht="15.5" x14ac:dyDescent="0.35">
      <c r="B9330" s="183"/>
    </row>
    <row r="9331" spans="2:2" ht="15.5" x14ac:dyDescent="0.35">
      <c r="B9331" s="183"/>
    </row>
    <row r="9332" spans="2:2" ht="15.5" x14ac:dyDescent="0.35">
      <c r="B9332" s="183"/>
    </row>
    <row r="9333" spans="2:2" ht="15.5" x14ac:dyDescent="0.35">
      <c r="B9333" s="183"/>
    </row>
    <row r="9334" spans="2:2" ht="15.5" x14ac:dyDescent="0.35">
      <c r="B9334" s="183"/>
    </row>
    <row r="9335" spans="2:2" ht="15.5" x14ac:dyDescent="0.35">
      <c r="B9335" s="183"/>
    </row>
    <row r="9336" spans="2:2" ht="15.5" x14ac:dyDescent="0.35">
      <c r="B9336" s="183"/>
    </row>
    <row r="9337" spans="2:2" ht="15.5" x14ac:dyDescent="0.35">
      <c r="B9337" s="183"/>
    </row>
    <row r="9338" spans="2:2" ht="15.5" x14ac:dyDescent="0.35">
      <c r="B9338" s="183"/>
    </row>
    <row r="9339" spans="2:2" ht="15.5" x14ac:dyDescent="0.35">
      <c r="B9339" s="183"/>
    </row>
    <row r="9340" spans="2:2" ht="15.5" x14ac:dyDescent="0.35">
      <c r="B9340" s="183"/>
    </row>
    <row r="9341" spans="2:2" ht="15.5" x14ac:dyDescent="0.35">
      <c r="B9341" s="183"/>
    </row>
    <row r="9342" spans="2:2" ht="15.5" x14ac:dyDescent="0.35">
      <c r="B9342" s="183"/>
    </row>
    <row r="9343" spans="2:2" ht="15.5" x14ac:dyDescent="0.35">
      <c r="B9343" s="183"/>
    </row>
    <row r="9344" spans="2:2" ht="15.5" x14ac:dyDescent="0.35">
      <c r="B9344" s="183"/>
    </row>
    <row r="9345" spans="2:2" ht="15.5" x14ac:dyDescent="0.35">
      <c r="B9345" s="183"/>
    </row>
    <row r="9346" spans="2:2" ht="15.5" x14ac:dyDescent="0.35">
      <c r="B9346" s="183"/>
    </row>
    <row r="9347" spans="2:2" ht="15.5" x14ac:dyDescent="0.35">
      <c r="B9347" s="183"/>
    </row>
    <row r="9348" spans="2:2" ht="15.5" x14ac:dyDescent="0.35">
      <c r="B9348" s="183"/>
    </row>
    <row r="9349" spans="2:2" ht="15.5" x14ac:dyDescent="0.35">
      <c r="B9349" s="183"/>
    </row>
    <row r="9350" spans="2:2" ht="15.5" x14ac:dyDescent="0.35">
      <c r="B9350" s="183"/>
    </row>
    <row r="9351" spans="2:2" ht="15.5" x14ac:dyDescent="0.35">
      <c r="B9351" s="183"/>
    </row>
    <row r="9352" spans="2:2" ht="15.5" x14ac:dyDescent="0.35">
      <c r="B9352" s="183"/>
    </row>
    <row r="9353" spans="2:2" ht="15.5" x14ac:dyDescent="0.35">
      <c r="B9353" s="183"/>
    </row>
    <row r="9354" spans="2:2" ht="15.5" x14ac:dyDescent="0.35">
      <c r="B9354" s="183"/>
    </row>
    <row r="9355" spans="2:2" ht="15.5" x14ac:dyDescent="0.35">
      <c r="B9355" s="183"/>
    </row>
    <row r="9356" spans="2:2" ht="15.5" x14ac:dyDescent="0.35">
      <c r="B9356" s="183"/>
    </row>
    <row r="9357" spans="2:2" ht="15.5" x14ac:dyDescent="0.35">
      <c r="B9357" s="183"/>
    </row>
    <row r="9358" spans="2:2" ht="15.5" x14ac:dyDescent="0.35">
      <c r="B9358" s="183"/>
    </row>
    <row r="9359" spans="2:2" ht="15.5" x14ac:dyDescent="0.35">
      <c r="B9359" s="183"/>
    </row>
    <row r="9360" spans="2:2" ht="15.5" x14ac:dyDescent="0.35">
      <c r="B9360" s="183"/>
    </row>
    <row r="9361" spans="2:2" ht="15.5" x14ac:dyDescent="0.35">
      <c r="B9361" s="183"/>
    </row>
    <row r="9362" spans="2:2" ht="15.5" x14ac:dyDescent="0.35">
      <c r="B9362" s="183"/>
    </row>
    <row r="9363" spans="2:2" ht="15.5" x14ac:dyDescent="0.35">
      <c r="B9363" s="183"/>
    </row>
    <row r="9364" spans="2:2" ht="15.5" x14ac:dyDescent="0.35">
      <c r="B9364" s="183"/>
    </row>
    <row r="9365" spans="2:2" ht="15.5" x14ac:dyDescent="0.35">
      <c r="B9365" s="183"/>
    </row>
    <row r="9366" spans="2:2" ht="15.5" x14ac:dyDescent="0.35">
      <c r="B9366" s="183"/>
    </row>
    <row r="9367" spans="2:2" ht="15.5" x14ac:dyDescent="0.35">
      <c r="B9367" s="183"/>
    </row>
    <row r="9368" spans="2:2" ht="15.5" x14ac:dyDescent="0.35">
      <c r="B9368" s="183"/>
    </row>
    <row r="9369" spans="2:2" ht="15.5" x14ac:dyDescent="0.35">
      <c r="B9369" s="183"/>
    </row>
    <row r="9370" spans="2:2" ht="15.5" x14ac:dyDescent="0.35">
      <c r="B9370" s="183"/>
    </row>
    <row r="9371" spans="2:2" ht="15.5" x14ac:dyDescent="0.35">
      <c r="B9371" s="183"/>
    </row>
    <row r="9372" spans="2:2" ht="15.5" x14ac:dyDescent="0.35">
      <c r="B9372" s="183"/>
    </row>
    <row r="9373" spans="2:2" ht="15.5" x14ac:dyDescent="0.35">
      <c r="B9373" s="183"/>
    </row>
    <row r="9374" spans="2:2" ht="15.5" x14ac:dyDescent="0.35">
      <c r="B9374" s="183"/>
    </row>
    <row r="9375" spans="2:2" ht="15.5" x14ac:dyDescent="0.35">
      <c r="B9375" s="183"/>
    </row>
    <row r="9376" spans="2:2" ht="15.5" x14ac:dyDescent="0.35">
      <c r="B9376" s="183"/>
    </row>
    <row r="9377" spans="2:2" ht="15.5" x14ac:dyDescent="0.35">
      <c r="B9377" s="183"/>
    </row>
    <row r="9378" spans="2:2" ht="15.5" x14ac:dyDescent="0.35">
      <c r="B9378" s="183"/>
    </row>
    <row r="9379" spans="2:2" ht="15.5" x14ac:dyDescent="0.35">
      <c r="B9379" s="183"/>
    </row>
    <row r="9380" spans="2:2" ht="15.5" x14ac:dyDescent="0.35">
      <c r="B9380" s="183"/>
    </row>
    <row r="9381" spans="2:2" ht="15.5" x14ac:dyDescent="0.35">
      <c r="B9381" s="183"/>
    </row>
    <row r="9382" spans="2:2" ht="15.5" x14ac:dyDescent="0.35">
      <c r="B9382" s="183"/>
    </row>
    <row r="9383" spans="2:2" ht="15.5" x14ac:dyDescent="0.35">
      <c r="B9383" s="183"/>
    </row>
    <row r="9384" spans="2:2" ht="15.5" x14ac:dyDescent="0.35">
      <c r="B9384" s="183"/>
    </row>
    <row r="9385" spans="2:2" ht="15.5" x14ac:dyDescent="0.35">
      <c r="B9385" s="183"/>
    </row>
    <row r="9386" spans="2:2" ht="15.5" x14ac:dyDescent="0.35">
      <c r="B9386" s="183"/>
    </row>
    <row r="9387" spans="2:2" ht="15.5" x14ac:dyDescent="0.35">
      <c r="B9387" s="183"/>
    </row>
    <row r="9388" spans="2:2" ht="15.5" x14ac:dyDescent="0.35">
      <c r="B9388" s="183"/>
    </row>
    <row r="9389" spans="2:2" ht="15.5" x14ac:dyDescent="0.35">
      <c r="B9389" s="183"/>
    </row>
    <row r="9390" spans="2:2" ht="15.5" x14ac:dyDescent="0.35">
      <c r="B9390" s="183"/>
    </row>
    <row r="9391" spans="2:2" ht="15.5" x14ac:dyDescent="0.35">
      <c r="B9391" s="183"/>
    </row>
    <row r="9392" spans="2:2" ht="15.5" x14ac:dyDescent="0.35">
      <c r="B9392" s="183"/>
    </row>
    <row r="9393" spans="2:2" ht="15.5" x14ac:dyDescent="0.35">
      <c r="B9393" s="183"/>
    </row>
    <row r="9394" spans="2:2" ht="15.5" x14ac:dyDescent="0.35">
      <c r="B9394" s="183"/>
    </row>
    <row r="9395" spans="2:2" ht="15.5" x14ac:dyDescent="0.35">
      <c r="B9395" s="183"/>
    </row>
    <row r="9396" spans="2:2" ht="15.5" x14ac:dyDescent="0.35">
      <c r="B9396" s="183"/>
    </row>
    <row r="9397" spans="2:2" ht="15.5" x14ac:dyDescent="0.35">
      <c r="B9397" s="183"/>
    </row>
    <row r="9398" spans="2:2" ht="15.5" x14ac:dyDescent="0.35">
      <c r="B9398" s="183"/>
    </row>
    <row r="9399" spans="2:2" ht="15.5" x14ac:dyDescent="0.35">
      <c r="B9399" s="183"/>
    </row>
    <row r="9400" spans="2:2" ht="15.5" x14ac:dyDescent="0.35">
      <c r="B9400" s="183"/>
    </row>
    <row r="9401" spans="2:2" ht="15.5" x14ac:dyDescent="0.35">
      <c r="B9401" s="183"/>
    </row>
    <row r="9402" spans="2:2" ht="15.5" x14ac:dyDescent="0.35">
      <c r="B9402" s="183"/>
    </row>
    <row r="9403" spans="2:2" ht="15.5" x14ac:dyDescent="0.35">
      <c r="B9403" s="183"/>
    </row>
    <row r="9404" spans="2:2" ht="15.5" x14ac:dyDescent="0.35">
      <c r="B9404" s="183"/>
    </row>
    <row r="9405" spans="2:2" ht="15.5" x14ac:dyDescent="0.35">
      <c r="B9405" s="183"/>
    </row>
    <row r="9406" spans="2:2" ht="15.5" x14ac:dyDescent="0.35">
      <c r="B9406" s="183"/>
    </row>
    <row r="9407" spans="2:2" ht="15.5" x14ac:dyDescent="0.35">
      <c r="B9407" s="183"/>
    </row>
    <row r="9408" spans="2:2" ht="15.5" x14ac:dyDescent="0.35">
      <c r="B9408" s="183"/>
    </row>
    <row r="9409" spans="2:2" ht="15.5" x14ac:dyDescent="0.35">
      <c r="B9409" s="183"/>
    </row>
    <row r="9410" spans="2:2" ht="15.5" x14ac:dyDescent="0.35">
      <c r="B9410" s="183"/>
    </row>
    <row r="9411" spans="2:2" ht="15.5" x14ac:dyDescent="0.35">
      <c r="B9411" s="183"/>
    </row>
    <row r="9412" spans="2:2" ht="15.5" x14ac:dyDescent="0.35">
      <c r="B9412" s="183"/>
    </row>
    <row r="9413" spans="2:2" ht="15.5" x14ac:dyDescent="0.35">
      <c r="B9413" s="183"/>
    </row>
    <row r="9414" spans="2:2" ht="15.5" x14ac:dyDescent="0.35">
      <c r="B9414" s="183"/>
    </row>
    <row r="9415" spans="2:2" ht="15.5" x14ac:dyDescent="0.35">
      <c r="B9415" s="183"/>
    </row>
    <row r="9416" spans="2:2" ht="15.5" x14ac:dyDescent="0.35">
      <c r="B9416" s="183"/>
    </row>
    <row r="9417" spans="2:2" ht="15.5" x14ac:dyDescent="0.35">
      <c r="B9417" s="183"/>
    </row>
    <row r="9418" spans="2:2" ht="15.5" x14ac:dyDescent="0.35">
      <c r="B9418" s="183"/>
    </row>
    <row r="9419" spans="2:2" ht="15.5" x14ac:dyDescent="0.35">
      <c r="B9419" s="183"/>
    </row>
    <row r="9420" spans="2:2" ht="15.5" x14ac:dyDescent="0.35">
      <c r="B9420" s="183"/>
    </row>
    <row r="9421" spans="2:2" ht="15.5" x14ac:dyDescent="0.35">
      <c r="B9421" s="183"/>
    </row>
    <row r="9422" spans="2:2" ht="15.5" x14ac:dyDescent="0.35">
      <c r="B9422" s="183"/>
    </row>
    <row r="9423" spans="2:2" ht="15.5" x14ac:dyDescent="0.35">
      <c r="B9423" s="183"/>
    </row>
    <row r="9424" spans="2:2" ht="15.5" x14ac:dyDescent="0.35">
      <c r="B9424" s="183"/>
    </row>
    <row r="9425" spans="2:2" ht="15.5" x14ac:dyDescent="0.35">
      <c r="B9425" s="183"/>
    </row>
    <row r="9426" spans="2:2" ht="15.5" x14ac:dyDescent="0.35">
      <c r="B9426" s="183"/>
    </row>
    <row r="9427" spans="2:2" ht="15.5" x14ac:dyDescent="0.35">
      <c r="B9427" s="183"/>
    </row>
    <row r="9428" spans="2:2" ht="15.5" x14ac:dyDescent="0.35">
      <c r="B9428" s="183"/>
    </row>
    <row r="9429" spans="2:2" ht="15.5" x14ac:dyDescent="0.35">
      <c r="B9429" s="183"/>
    </row>
    <row r="9430" spans="2:2" ht="15.5" x14ac:dyDescent="0.35">
      <c r="B9430" s="183"/>
    </row>
    <row r="9431" spans="2:2" ht="15.5" x14ac:dyDescent="0.35">
      <c r="B9431" s="183"/>
    </row>
    <row r="9432" spans="2:2" ht="15.5" x14ac:dyDescent="0.35">
      <c r="B9432" s="183"/>
    </row>
    <row r="9433" spans="2:2" ht="15.5" x14ac:dyDescent="0.35">
      <c r="B9433" s="183"/>
    </row>
    <row r="9434" spans="2:2" ht="15.5" x14ac:dyDescent="0.35">
      <c r="B9434" s="183"/>
    </row>
    <row r="9435" spans="2:2" ht="15.5" x14ac:dyDescent="0.35">
      <c r="B9435" s="183"/>
    </row>
    <row r="9436" spans="2:2" ht="15.5" x14ac:dyDescent="0.35">
      <c r="B9436" s="183"/>
    </row>
    <row r="9437" spans="2:2" ht="15.5" x14ac:dyDescent="0.35">
      <c r="B9437" s="183"/>
    </row>
    <row r="9438" spans="2:2" ht="15.5" x14ac:dyDescent="0.35">
      <c r="B9438" s="183"/>
    </row>
    <row r="9439" spans="2:2" ht="15.5" x14ac:dyDescent="0.35">
      <c r="B9439" s="183"/>
    </row>
    <row r="9440" spans="2:2" ht="15.5" x14ac:dyDescent="0.35">
      <c r="B9440" s="183"/>
    </row>
    <row r="9441" spans="2:2" ht="15.5" x14ac:dyDescent="0.35">
      <c r="B9441" s="183"/>
    </row>
    <row r="9442" spans="2:2" ht="15.5" x14ac:dyDescent="0.35">
      <c r="B9442" s="183"/>
    </row>
    <row r="9443" spans="2:2" ht="15.5" x14ac:dyDescent="0.35">
      <c r="B9443" s="183"/>
    </row>
    <row r="9444" spans="2:2" ht="15.5" x14ac:dyDescent="0.35">
      <c r="B9444" s="183"/>
    </row>
    <row r="9445" spans="2:2" ht="15.5" x14ac:dyDescent="0.35">
      <c r="B9445" s="183"/>
    </row>
    <row r="9446" spans="2:2" ht="15.5" x14ac:dyDescent="0.35">
      <c r="B9446" s="183"/>
    </row>
    <row r="9447" spans="2:2" ht="15.5" x14ac:dyDescent="0.35">
      <c r="B9447" s="183"/>
    </row>
    <row r="9448" spans="2:2" ht="15.5" x14ac:dyDescent="0.35">
      <c r="B9448" s="183"/>
    </row>
    <row r="9449" spans="2:2" ht="15.5" x14ac:dyDescent="0.35">
      <c r="B9449" s="183"/>
    </row>
    <row r="9450" spans="2:2" ht="15.5" x14ac:dyDescent="0.35">
      <c r="B9450" s="183"/>
    </row>
    <row r="9451" spans="2:2" ht="15.5" x14ac:dyDescent="0.35">
      <c r="B9451" s="183"/>
    </row>
    <row r="9452" spans="2:2" ht="15.5" x14ac:dyDescent="0.35">
      <c r="B9452" s="183"/>
    </row>
    <row r="9453" spans="2:2" ht="15.5" x14ac:dyDescent="0.35">
      <c r="B9453" s="183"/>
    </row>
    <row r="9454" spans="2:2" ht="15.5" x14ac:dyDescent="0.35">
      <c r="B9454" s="183"/>
    </row>
    <row r="9455" spans="2:2" ht="15.5" x14ac:dyDescent="0.35">
      <c r="B9455" s="183"/>
    </row>
    <row r="9456" spans="2:2" ht="15.5" x14ac:dyDescent="0.35">
      <c r="B9456" s="183"/>
    </row>
    <row r="9457" spans="2:2" ht="15.5" x14ac:dyDescent="0.35">
      <c r="B9457" s="183"/>
    </row>
    <row r="9458" spans="2:2" ht="15.5" x14ac:dyDescent="0.35">
      <c r="B9458" s="183"/>
    </row>
    <row r="9459" spans="2:2" ht="15.5" x14ac:dyDescent="0.35">
      <c r="B9459" s="183"/>
    </row>
    <row r="9460" spans="2:2" ht="15.5" x14ac:dyDescent="0.35">
      <c r="B9460" s="183"/>
    </row>
    <row r="9461" spans="2:2" ht="15.5" x14ac:dyDescent="0.35">
      <c r="B9461" s="183"/>
    </row>
    <row r="9462" spans="2:2" ht="15.5" x14ac:dyDescent="0.35">
      <c r="B9462" s="183"/>
    </row>
    <row r="9463" spans="2:2" ht="15.5" x14ac:dyDescent="0.35">
      <c r="B9463" s="183"/>
    </row>
    <row r="9464" spans="2:2" ht="15.5" x14ac:dyDescent="0.35">
      <c r="B9464" s="183"/>
    </row>
    <row r="9465" spans="2:2" ht="15.5" x14ac:dyDescent="0.35">
      <c r="B9465" s="183"/>
    </row>
    <row r="9466" spans="2:2" ht="15.5" x14ac:dyDescent="0.35">
      <c r="B9466" s="183"/>
    </row>
    <row r="9467" spans="2:2" ht="15.5" x14ac:dyDescent="0.35">
      <c r="B9467" s="183"/>
    </row>
    <row r="9468" spans="2:2" ht="15.5" x14ac:dyDescent="0.35">
      <c r="B9468" s="183"/>
    </row>
    <row r="9469" spans="2:2" ht="15.5" x14ac:dyDescent="0.35">
      <c r="B9469" s="183"/>
    </row>
    <row r="9470" spans="2:2" ht="15.5" x14ac:dyDescent="0.35">
      <c r="B9470" s="183"/>
    </row>
    <row r="9471" spans="2:2" ht="15.5" x14ac:dyDescent="0.35">
      <c r="B9471" s="183"/>
    </row>
    <row r="9472" spans="2:2" ht="15.5" x14ac:dyDescent="0.35">
      <c r="B9472" s="183"/>
    </row>
    <row r="9473" spans="2:2" ht="15.5" x14ac:dyDescent="0.35">
      <c r="B9473" s="183"/>
    </row>
    <row r="9474" spans="2:2" ht="15.5" x14ac:dyDescent="0.35">
      <c r="B9474" s="183"/>
    </row>
    <row r="9475" spans="2:2" ht="15.5" x14ac:dyDescent="0.35">
      <c r="B9475" s="183"/>
    </row>
    <row r="9476" spans="2:2" ht="15.5" x14ac:dyDescent="0.35">
      <c r="B9476" s="183"/>
    </row>
    <row r="9477" spans="2:2" ht="15.5" x14ac:dyDescent="0.35">
      <c r="B9477" s="183"/>
    </row>
    <row r="9478" spans="2:2" ht="15.5" x14ac:dyDescent="0.35">
      <c r="B9478" s="183"/>
    </row>
    <row r="9479" spans="2:2" ht="15.5" x14ac:dyDescent="0.35">
      <c r="B9479" s="183"/>
    </row>
    <row r="9480" spans="2:2" ht="15.5" x14ac:dyDescent="0.35">
      <c r="B9480" s="183"/>
    </row>
    <row r="9481" spans="2:2" ht="15.5" x14ac:dyDescent="0.35">
      <c r="B9481" s="183"/>
    </row>
    <row r="9482" spans="2:2" ht="15.5" x14ac:dyDescent="0.35">
      <c r="B9482" s="183"/>
    </row>
    <row r="9483" spans="2:2" ht="15.5" x14ac:dyDescent="0.35">
      <c r="B9483" s="183"/>
    </row>
    <row r="9484" spans="2:2" ht="15.5" x14ac:dyDescent="0.35">
      <c r="B9484" s="183"/>
    </row>
    <row r="9485" spans="2:2" ht="15.5" x14ac:dyDescent="0.35">
      <c r="B9485" s="183"/>
    </row>
    <row r="9486" spans="2:2" ht="15.5" x14ac:dyDescent="0.35">
      <c r="B9486" s="183"/>
    </row>
    <row r="9487" spans="2:2" ht="15.5" x14ac:dyDescent="0.35">
      <c r="B9487" s="183"/>
    </row>
    <row r="9488" spans="2:2" ht="15.5" x14ac:dyDescent="0.35">
      <c r="B9488" s="183"/>
    </row>
    <row r="9489" spans="2:2" ht="15.5" x14ac:dyDescent="0.35">
      <c r="B9489" s="183"/>
    </row>
    <row r="9490" spans="2:2" ht="15.5" x14ac:dyDescent="0.35">
      <c r="B9490" s="183"/>
    </row>
    <row r="9491" spans="2:2" ht="15.5" x14ac:dyDescent="0.35">
      <c r="B9491" s="183"/>
    </row>
    <row r="9492" spans="2:2" ht="15.5" x14ac:dyDescent="0.35">
      <c r="B9492" s="183"/>
    </row>
    <row r="9493" spans="2:2" ht="15.5" x14ac:dyDescent="0.35">
      <c r="B9493" s="183"/>
    </row>
    <row r="9494" spans="2:2" ht="15.5" x14ac:dyDescent="0.35">
      <c r="B9494" s="183"/>
    </row>
    <row r="9495" spans="2:2" ht="15.5" x14ac:dyDescent="0.35">
      <c r="B9495" s="183"/>
    </row>
    <row r="9496" spans="2:2" ht="15.5" x14ac:dyDescent="0.35">
      <c r="B9496" s="183"/>
    </row>
    <row r="9497" spans="2:2" ht="15.5" x14ac:dyDescent="0.35">
      <c r="B9497" s="183"/>
    </row>
    <row r="9498" spans="2:2" ht="15.5" x14ac:dyDescent="0.35">
      <c r="B9498" s="183"/>
    </row>
    <row r="9499" spans="2:2" ht="15.5" x14ac:dyDescent="0.35">
      <c r="B9499" s="183"/>
    </row>
    <row r="9500" spans="2:2" ht="15.5" x14ac:dyDescent="0.35">
      <c r="B9500" s="183"/>
    </row>
    <row r="9501" spans="2:2" ht="15.5" x14ac:dyDescent="0.35">
      <c r="B9501" s="183"/>
    </row>
    <row r="9502" spans="2:2" ht="15.5" x14ac:dyDescent="0.35">
      <c r="B9502" s="183"/>
    </row>
    <row r="9503" spans="2:2" ht="15.5" x14ac:dyDescent="0.35">
      <c r="B9503" s="183"/>
    </row>
    <row r="9504" spans="2:2" ht="15.5" x14ac:dyDescent="0.35">
      <c r="B9504" s="183"/>
    </row>
    <row r="9505" spans="2:2" ht="15.5" x14ac:dyDescent="0.35">
      <c r="B9505" s="183"/>
    </row>
    <row r="9506" spans="2:2" ht="15.5" x14ac:dyDescent="0.35">
      <c r="B9506" s="183"/>
    </row>
    <row r="9507" spans="2:2" ht="15.5" x14ac:dyDescent="0.35">
      <c r="B9507" s="183"/>
    </row>
    <row r="9508" spans="2:2" ht="15.5" x14ac:dyDescent="0.35">
      <c r="B9508" s="183"/>
    </row>
    <row r="9509" spans="2:2" ht="15.5" x14ac:dyDescent="0.35">
      <c r="B9509" s="183"/>
    </row>
    <row r="9510" spans="2:2" ht="15.5" x14ac:dyDescent="0.35">
      <c r="B9510" s="183"/>
    </row>
    <row r="9511" spans="2:2" ht="15.5" x14ac:dyDescent="0.35">
      <c r="B9511" s="183"/>
    </row>
    <row r="9512" spans="2:2" ht="15.5" x14ac:dyDescent="0.35">
      <c r="B9512" s="183"/>
    </row>
    <row r="9513" spans="2:2" ht="15.5" x14ac:dyDescent="0.35">
      <c r="B9513" s="183"/>
    </row>
    <row r="9514" spans="2:2" ht="15.5" x14ac:dyDescent="0.35">
      <c r="B9514" s="183"/>
    </row>
    <row r="9515" spans="2:2" ht="15.5" x14ac:dyDescent="0.35">
      <c r="B9515" s="183"/>
    </row>
    <row r="9516" spans="2:2" ht="15.5" x14ac:dyDescent="0.35">
      <c r="B9516" s="183"/>
    </row>
    <row r="9517" spans="2:2" ht="15.5" x14ac:dyDescent="0.35">
      <c r="B9517" s="183"/>
    </row>
    <row r="9518" spans="2:2" ht="15.5" x14ac:dyDescent="0.35">
      <c r="B9518" s="183"/>
    </row>
    <row r="9519" spans="2:2" ht="15.5" x14ac:dyDescent="0.35">
      <c r="B9519" s="183"/>
    </row>
    <row r="9520" spans="2:2" ht="15.5" x14ac:dyDescent="0.35">
      <c r="B9520" s="183"/>
    </row>
    <row r="9521" spans="2:2" ht="15.5" x14ac:dyDescent="0.35">
      <c r="B9521" s="183"/>
    </row>
    <row r="9522" spans="2:2" ht="15.5" x14ac:dyDescent="0.35">
      <c r="B9522" s="183"/>
    </row>
    <row r="9523" spans="2:2" ht="15.5" x14ac:dyDescent="0.35">
      <c r="B9523" s="183"/>
    </row>
    <row r="9524" spans="2:2" ht="15.5" x14ac:dyDescent="0.35">
      <c r="B9524" s="183"/>
    </row>
    <row r="9525" spans="2:2" ht="15.5" x14ac:dyDescent="0.35">
      <c r="B9525" s="183"/>
    </row>
    <row r="9526" spans="2:2" ht="15.5" x14ac:dyDescent="0.35">
      <c r="B9526" s="183"/>
    </row>
    <row r="9527" spans="2:2" ht="15.5" x14ac:dyDescent="0.35">
      <c r="B9527" s="183"/>
    </row>
    <row r="9528" spans="2:2" ht="15.5" x14ac:dyDescent="0.35">
      <c r="B9528" s="183"/>
    </row>
    <row r="9529" spans="2:2" ht="15.5" x14ac:dyDescent="0.35">
      <c r="B9529" s="183"/>
    </row>
    <row r="9530" spans="2:2" ht="15.5" x14ac:dyDescent="0.35">
      <c r="B9530" s="183"/>
    </row>
    <row r="9531" spans="2:2" ht="15.5" x14ac:dyDescent="0.35">
      <c r="B9531" s="183"/>
    </row>
    <row r="9532" spans="2:2" ht="15.5" x14ac:dyDescent="0.35">
      <c r="B9532" s="183"/>
    </row>
    <row r="9533" spans="2:2" ht="15.5" x14ac:dyDescent="0.35">
      <c r="B9533" s="183"/>
    </row>
    <row r="9534" spans="2:2" ht="15.5" x14ac:dyDescent="0.35">
      <c r="B9534" s="183"/>
    </row>
    <row r="9535" spans="2:2" ht="15.5" x14ac:dyDescent="0.35">
      <c r="B9535" s="183"/>
    </row>
    <row r="9536" spans="2:2" ht="15.5" x14ac:dyDescent="0.35">
      <c r="B9536" s="183"/>
    </row>
    <row r="9537" spans="2:2" ht="15.5" x14ac:dyDescent="0.35">
      <c r="B9537" s="183"/>
    </row>
    <row r="9538" spans="2:2" ht="15.5" x14ac:dyDescent="0.35">
      <c r="B9538" s="183"/>
    </row>
    <row r="9539" spans="2:2" ht="15.5" x14ac:dyDescent="0.35">
      <c r="B9539" s="183"/>
    </row>
    <row r="9540" spans="2:2" ht="15.5" x14ac:dyDescent="0.35">
      <c r="B9540" s="183"/>
    </row>
    <row r="9541" spans="2:2" ht="15.5" x14ac:dyDescent="0.35">
      <c r="B9541" s="183"/>
    </row>
    <row r="9542" spans="2:2" ht="15.5" x14ac:dyDescent="0.35">
      <c r="B9542" s="183"/>
    </row>
    <row r="9543" spans="2:2" ht="15.5" x14ac:dyDescent="0.35">
      <c r="B9543" s="183"/>
    </row>
    <row r="9544" spans="2:2" ht="15.5" x14ac:dyDescent="0.35">
      <c r="B9544" s="183"/>
    </row>
    <row r="9545" spans="2:2" ht="15.5" x14ac:dyDescent="0.35">
      <c r="B9545" s="183"/>
    </row>
    <row r="9546" spans="2:2" ht="15.5" x14ac:dyDescent="0.35">
      <c r="B9546" s="183"/>
    </row>
    <row r="9547" spans="2:2" ht="15.5" x14ac:dyDescent="0.35">
      <c r="B9547" s="183"/>
    </row>
    <row r="9548" spans="2:2" ht="15.5" x14ac:dyDescent="0.35">
      <c r="B9548" s="183"/>
    </row>
    <row r="9549" spans="2:2" ht="15.5" x14ac:dyDescent="0.35">
      <c r="B9549" s="183"/>
    </row>
    <row r="9550" spans="2:2" ht="15.5" x14ac:dyDescent="0.35">
      <c r="B9550" s="183"/>
    </row>
    <row r="9551" spans="2:2" ht="15.5" x14ac:dyDescent="0.35">
      <c r="B9551" s="183"/>
    </row>
    <row r="9552" spans="2:2" ht="15.5" x14ac:dyDescent="0.35">
      <c r="B9552" s="183"/>
    </row>
    <row r="9553" spans="2:2" ht="15.5" x14ac:dyDescent="0.35">
      <c r="B9553" s="183"/>
    </row>
    <row r="9554" spans="2:2" ht="15.5" x14ac:dyDescent="0.35">
      <c r="B9554" s="183"/>
    </row>
    <row r="9555" spans="2:2" ht="15.5" x14ac:dyDescent="0.35">
      <c r="B9555" s="183"/>
    </row>
    <row r="9556" spans="2:2" ht="15.5" x14ac:dyDescent="0.35">
      <c r="B9556" s="183"/>
    </row>
    <row r="9557" spans="2:2" ht="15.5" x14ac:dyDescent="0.35">
      <c r="B9557" s="183"/>
    </row>
    <row r="9558" spans="2:2" ht="15.5" x14ac:dyDescent="0.35">
      <c r="B9558" s="183"/>
    </row>
    <row r="9559" spans="2:2" ht="15.5" x14ac:dyDescent="0.35">
      <c r="B9559" s="183"/>
    </row>
    <row r="9560" spans="2:2" ht="15.5" x14ac:dyDescent="0.35">
      <c r="B9560" s="183"/>
    </row>
    <row r="9561" spans="2:2" ht="15.5" x14ac:dyDescent="0.35">
      <c r="B9561" s="183"/>
    </row>
    <row r="9562" spans="2:2" ht="15.5" x14ac:dyDescent="0.35">
      <c r="B9562" s="183"/>
    </row>
    <row r="9563" spans="2:2" ht="15.5" x14ac:dyDescent="0.35">
      <c r="B9563" s="183"/>
    </row>
    <row r="9564" spans="2:2" ht="15.5" x14ac:dyDescent="0.35">
      <c r="B9564" s="183"/>
    </row>
    <row r="9565" spans="2:2" ht="15.5" x14ac:dyDescent="0.35">
      <c r="B9565" s="183"/>
    </row>
    <row r="9566" spans="2:2" ht="15.5" x14ac:dyDescent="0.35">
      <c r="B9566" s="183"/>
    </row>
    <row r="9567" spans="2:2" ht="15.5" x14ac:dyDescent="0.35">
      <c r="B9567" s="183"/>
    </row>
    <row r="9568" spans="2:2" ht="15.5" x14ac:dyDescent="0.35">
      <c r="B9568" s="183"/>
    </row>
    <row r="9569" spans="2:2" ht="15.5" x14ac:dyDescent="0.35">
      <c r="B9569" s="183"/>
    </row>
    <row r="9570" spans="2:2" ht="15.5" x14ac:dyDescent="0.35">
      <c r="B9570" s="183"/>
    </row>
    <row r="9571" spans="2:2" ht="15.5" x14ac:dyDescent="0.35">
      <c r="B9571" s="183"/>
    </row>
    <row r="9572" spans="2:2" ht="15.5" x14ac:dyDescent="0.35">
      <c r="B9572" s="183"/>
    </row>
    <row r="9573" spans="2:2" ht="15.5" x14ac:dyDescent="0.35">
      <c r="B9573" s="183"/>
    </row>
    <row r="9574" spans="2:2" ht="15.5" x14ac:dyDescent="0.35">
      <c r="B9574" s="183"/>
    </row>
    <row r="9575" spans="2:2" ht="15.5" x14ac:dyDescent="0.35">
      <c r="B9575" s="183"/>
    </row>
    <row r="9576" spans="2:2" ht="15.5" x14ac:dyDescent="0.35">
      <c r="B9576" s="183"/>
    </row>
    <row r="9577" spans="2:2" ht="15.5" x14ac:dyDescent="0.35">
      <c r="B9577" s="183"/>
    </row>
    <row r="9578" spans="2:2" ht="15.5" x14ac:dyDescent="0.35">
      <c r="B9578" s="183"/>
    </row>
    <row r="9579" spans="2:2" ht="15.5" x14ac:dyDescent="0.35">
      <c r="B9579" s="183"/>
    </row>
    <row r="9580" spans="2:2" ht="15.5" x14ac:dyDescent="0.35">
      <c r="B9580" s="183"/>
    </row>
    <row r="9581" spans="2:2" ht="15.5" x14ac:dyDescent="0.35">
      <c r="B9581" s="183"/>
    </row>
    <row r="9582" spans="2:2" ht="15.5" x14ac:dyDescent="0.35">
      <c r="B9582" s="183"/>
    </row>
    <row r="9583" spans="2:2" ht="15.5" x14ac:dyDescent="0.35">
      <c r="B9583" s="183"/>
    </row>
    <row r="9584" spans="2:2" ht="15.5" x14ac:dyDescent="0.35">
      <c r="B9584" s="183"/>
    </row>
    <row r="9585" spans="2:2" ht="15.5" x14ac:dyDescent="0.35">
      <c r="B9585" s="183"/>
    </row>
    <row r="9586" spans="2:2" ht="15.5" x14ac:dyDescent="0.35">
      <c r="B9586" s="183"/>
    </row>
    <row r="9587" spans="2:2" ht="15.5" x14ac:dyDescent="0.35">
      <c r="B9587" s="183"/>
    </row>
    <row r="9588" spans="2:2" ht="15.5" x14ac:dyDescent="0.35">
      <c r="B9588" s="183"/>
    </row>
    <row r="9589" spans="2:2" ht="15.5" x14ac:dyDescent="0.35">
      <c r="B9589" s="183"/>
    </row>
    <row r="9590" spans="2:2" ht="15.5" x14ac:dyDescent="0.35">
      <c r="B9590" s="183"/>
    </row>
    <row r="9591" spans="2:2" ht="15.5" x14ac:dyDescent="0.35">
      <c r="B9591" s="183"/>
    </row>
    <row r="9592" spans="2:2" ht="15.5" x14ac:dyDescent="0.35">
      <c r="B9592" s="183"/>
    </row>
    <row r="9593" spans="2:2" ht="15.5" x14ac:dyDescent="0.35">
      <c r="B9593" s="183"/>
    </row>
    <row r="9594" spans="2:2" ht="15.5" x14ac:dyDescent="0.35">
      <c r="B9594" s="183"/>
    </row>
    <row r="9595" spans="2:2" ht="15.5" x14ac:dyDescent="0.35">
      <c r="B9595" s="183"/>
    </row>
    <row r="9596" spans="2:2" ht="15.5" x14ac:dyDescent="0.35">
      <c r="B9596" s="183"/>
    </row>
    <row r="9597" spans="2:2" ht="15.5" x14ac:dyDescent="0.35">
      <c r="B9597" s="183"/>
    </row>
    <row r="9598" spans="2:2" ht="15.5" x14ac:dyDescent="0.35">
      <c r="B9598" s="183"/>
    </row>
    <row r="9599" spans="2:2" ht="15.5" x14ac:dyDescent="0.35">
      <c r="B9599" s="183"/>
    </row>
    <row r="9600" spans="2:2" ht="15.5" x14ac:dyDescent="0.35">
      <c r="B9600" s="183"/>
    </row>
    <row r="9601" spans="2:2" ht="15.5" x14ac:dyDescent="0.35">
      <c r="B9601" s="183"/>
    </row>
    <row r="9602" spans="2:2" ht="15.5" x14ac:dyDescent="0.35">
      <c r="B9602" s="183"/>
    </row>
    <row r="9603" spans="2:2" ht="15.5" x14ac:dyDescent="0.35">
      <c r="B9603" s="183"/>
    </row>
    <row r="9604" spans="2:2" ht="15.5" x14ac:dyDescent="0.35">
      <c r="B9604" s="183"/>
    </row>
    <row r="9605" spans="2:2" ht="15.5" x14ac:dyDescent="0.35">
      <c r="B9605" s="183"/>
    </row>
    <row r="9606" spans="2:2" ht="15.5" x14ac:dyDescent="0.35">
      <c r="B9606" s="183"/>
    </row>
    <row r="9607" spans="2:2" ht="15.5" x14ac:dyDescent="0.35">
      <c r="B9607" s="183"/>
    </row>
    <row r="9608" spans="2:2" ht="15.5" x14ac:dyDescent="0.35">
      <c r="B9608" s="183"/>
    </row>
    <row r="9609" spans="2:2" ht="15.5" x14ac:dyDescent="0.35">
      <c r="B9609" s="183"/>
    </row>
    <row r="9610" spans="2:2" ht="15.5" x14ac:dyDescent="0.35">
      <c r="B9610" s="183"/>
    </row>
    <row r="9611" spans="2:2" ht="15.5" x14ac:dyDescent="0.35">
      <c r="B9611" s="183"/>
    </row>
    <row r="9612" spans="2:2" ht="15.5" x14ac:dyDescent="0.35">
      <c r="B9612" s="183"/>
    </row>
    <row r="9613" spans="2:2" ht="15.5" x14ac:dyDescent="0.35">
      <c r="B9613" s="183"/>
    </row>
    <row r="9614" spans="2:2" ht="15.5" x14ac:dyDescent="0.35">
      <c r="B9614" s="183"/>
    </row>
    <row r="9615" spans="2:2" ht="15.5" x14ac:dyDescent="0.35">
      <c r="B9615" s="183"/>
    </row>
    <row r="9616" spans="2:2" ht="15.5" x14ac:dyDescent="0.35">
      <c r="B9616" s="183"/>
    </row>
    <row r="9617" spans="2:2" ht="15.5" x14ac:dyDescent="0.35">
      <c r="B9617" s="183"/>
    </row>
    <row r="9618" spans="2:2" ht="15.5" x14ac:dyDescent="0.35">
      <c r="B9618" s="183"/>
    </row>
    <row r="9619" spans="2:2" ht="15.5" x14ac:dyDescent="0.35">
      <c r="B9619" s="183"/>
    </row>
    <row r="9620" spans="2:2" ht="15.5" x14ac:dyDescent="0.35">
      <c r="B9620" s="183"/>
    </row>
    <row r="9621" spans="2:2" ht="15.5" x14ac:dyDescent="0.35">
      <c r="B9621" s="183"/>
    </row>
    <row r="9622" spans="2:2" ht="15.5" x14ac:dyDescent="0.35">
      <c r="B9622" s="183"/>
    </row>
    <row r="9623" spans="2:2" ht="15.5" x14ac:dyDescent="0.35">
      <c r="B9623" s="183"/>
    </row>
    <row r="9624" spans="2:2" ht="15.5" x14ac:dyDescent="0.35">
      <c r="B9624" s="183"/>
    </row>
    <row r="9625" spans="2:2" ht="15.5" x14ac:dyDescent="0.35">
      <c r="B9625" s="183"/>
    </row>
    <row r="9626" spans="2:2" ht="15.5" x14ac:dyDescent="0.35">
      <c r="B9626" s="183"/>
    </row>
    <row r="9627" spans="2:2" ht="15.5" x14ac:dyDescent="0.35">
      <c r="B9627" s="183"/>
    </row>
    <row r="9628" spans="2:2" ht="15.5" x14ac:dyDescent="0.35">
      <c r="B9628" s="183"/>
    </row>
    <row r="9629" spans="2:2" ht="15.5" x14ac:dyDescent="0.35">
      <c r="B9629" s="183"/>
    </row>
    <row r="9630" spans="2:2" ht="15.5" x14ac:dyDescent="0.35">
      <c r="B9630" s="183"/>
    </row>
    <row r="9631" spans="2:2" ht="15.5" x14ac:dyDescent="0.35">
      <c r="B9631" s="183"/>
    </row>
    <row r="9632" spans="2:2" ht="15.5" x14ac:dyDescent="0.35">
      <c r="B9632" s="183"/>
    </row>
    <row r="9633" spans="2:2" ht="15.5" x14ac:dyDescent="0.35">
      <c r="B9633" s="183"/>
    </row>
    <row r="9634" spans="2:2" ht="15.5" x14ac:dyDescent="0.35">
      <c r="B9634" s="183"/>
    </row>
    <row r="9635" spans="2:2" ht="15.5" x14ac:dyDescent="0.35">
      <c r="B9635" s="183"/>
    </row>
    <row r="9636" spans="2:2" ht="15.5" x14ac:dyDescent="0.35">
      <c r="B9636" s="183"/>
    </row>
    <row r="9637" spans="2:2" ht="15.5" x14ac:dyDescent="0.35">
      <c r="B9637" s="183"/>
    </row>
    <row r="9638" spans="2:2" ht="15.5" x14ac:dyDescent="0.35">
      <c r="B9638" s="183"/>
    </row>
    <row r="9639" spans="2:2" ht="15.5" x14ac:dyDescent="0.35">
      <c r="B9639" s="183"/>
    </row>
    <row r="9640" spans="2:2" ht="15.5" x14ac:dyDescent="0.35">
      <c r="B9640" s="183"/>
    </row>
    <row r="9641" spans="2:2" ht="15.5" x14ac:dyDescent="0.35">
      <c r="B9641" s="183"/>
    </row>
    <row r="9642" spans="2:2" ht="15.5" x14ac:dyDescent="0.35">
      <c r="B9642" s="183"/>
    </row>
    <row r="9643" spans="2:2" ht="15.5" x14ac:dyDescent="0.35">
      <c r="B9643" s="183"/>
    </row>
    <row r="9644" spans="2:2" ht="15.5" x14ac:dyDescent="0.35">
      <c r="B9644" s="183"/>
    </row>
    <row r="9645" spans="2:2" ht="15.5" x14ac:dyDescent="0.35">
      <c r="B9645" s="183"/>
    </row>
    <row r="9646" spans="2:2" ht="15.5" x14ac:dyDescent="0.35">
      <c r="B9646" s="183"/>
    </row>
    <row r="9647" spans="2:2" ht="15.5" x14ac:dyDescent="0.35">
      <c r="B9647" s="183"/>
    </row>
    <row r="9648" spans="2:2" ht="15.5" x14ac:dyDescent="0.35">
      <c r="B9648" s="183"/>
    </row>
    <row r="9649" spans="2:2" ht="15.5" x14ac:dyDescent="0.35">
      <c r="B9649" s="183"/>
    </row>
    <row r="9650" spans="2:2" ht="15.5" x14ac:dyDescent="0.35">
      <c r="B9650" s="183"/>
    </row>
    <row r="9651" spans="2:2" ht="15.5" x14ac:dyDescent="0.35">
      <c r="B9651" s="183"/>
    </row>
    <row r="9652" spans="2:2" ht="15.5" x14ac:dyDescent="0.35">
      <c r="B9652" s="183"/>
    </row>
    <row r="9653" spans="2:2" ht="15.5" x14ac:dyDescent="0.35">
      <c r="B9653" s="183"/>
    </row>
    <row r="9654" spans="2:2" ht="15.5" x14ac:dyDescent="0.35">
      <c r="B9654" s="183"/>
    </row>
    <row r="9655" spans="2:2" ht="15.5" x14ac:dyDescent="0.35">
      <c r="B9655" s="183"/>
    </row>
    <row r="9656" spans="2:2" ht="15.5" x14ac:dyDescent="0.35">
      <c r="B9656" s="183"/>
    </row>
    <row r="9657" spans="2:2" ht="15.5" x14ac:dyDescent="0.35">
      <c r="B9657" s="183"/>
    </row>
    <row r="9658" spans="2:2" ht="15.5" x14ac:dyDescent="0.35">
      <c r="B9658" s="183"/>
    </row>
    <row r="9659" spans="2:2" ht="15.5" x14ac:dyDescent="0.35">
      <c r="B9659" s="183"/>
    </row>
    <row r="9660" spans="2:2" ht="15.5" x14ac:dyDescent="0.35">
      <c r="B9660" s="183"/>
    </row>
    <row r="9661" spans="2:2" ht="15.5" x14ac:dyDescent="0.35">
      <c r="B9661" s="183"/>
    </row>
    <row r="9662" spans="2:2" ht="15.5" x14ac:dyDescent="0.35">
      <c r="B9662" s="183"/>
    </row>
    <row r="9663" spans="2:2" ht="15.5" x14ac:dyDescent="0.35">
      <c r="B9663" s="183"/>
    </row>
    <row r="9664" spans="2:2" ht="15.5" x14ac:dyDescent="0.35">
      <c r="B9664" s="183"/>
    </row>
    <row r="9665" spans="2:2" ht="15.5" x14ac:dyDescent="0.35">
      <c r="B9665" s="183"/>
    </row>
    <row r="9666" spans="2:2" ht="15.5" x14ac:dyDescent="0.35">
      <c r="B9666" s="183"/>
    </row>
    <row r="9667" spans="2:2" ht="15.5" x14ac:dyDescent="0.35">
      <c r="B9667" s="183"/>
    </row>
    <row r="9668" spans="2:2" ht="15.5" x14ac:dyDescent="0.35">
      <c r="B9668" s="183"/>
    </row>
    <row r="9669" spans="2:2" ht="15.5" x14ac:dyDescent="0.35">
      <c r="B9669" s="183"/>
    </row>
    <row r="9670" spans="2:2" ht="15.5" x14ac:dyDescent="0.35">
      <c r="B9670" s="183"/>
    </row>
    <row r="9671" spans="2:2" ht="15.5" x14ac:dyDescent="0.35">
      <c r="B9671" s="183"/>
    </row>
    <row r="9672" spans="2:2" ht="15.5" x14ac:dyDescent="0.35">
      <c r="B9672" s="183"/>
    </row>
    <row r="9673" spans="2:2" ht="15.5" x14ac:dyDescent="0.35">
      <c r="B9673" s="183"/>
    </row>
    <row r="9674" spans="2:2" ht="15.5" x14ac:dyDescent="0.35">
      <c r="B9674" s="183"/>
    </row>
    <row r="9675" spans="2:2" ht="15.5" x14ac:dyDescent="0.35">
      <c r="B9675" s="183"/>
    </row>
    <row r="9676" spans="2:2" ht="15.5" x14ac:dyDescent="0.35">
      <c r="B9676" s="183"/>
    </row>
    <row r="9677" spans="2:2" ht="15.5" x14ac:dyDescent="0.35">
      <c r="B9677" s="183"/>
    </row>
    <row r="9678" spans="2:2" ht="15.5" x14ac:dyDescent="0.35">
      <c r="B9678" s="183"/>
    </row>
    <row r="9679" spans="2:2" ht="15.5" x14ac:dyDescent="0.35">
      <c r="B9679" s="183"/>
    </row>
    <row r="9680" spans="2:2" ht="15.5" x14ac:dyDescent="0.35">
      <c r="B9680" s="183"/>
    </row>
    <row r="9681" spans="2:2" ht="15.5" x14ac:dyDescent="0.35">
      <c r="B9681" s="183"/>
    </row>
    <row r="9682" spans="2:2" ht="15.5" x14ac:dyDescent="0.35">
      <c r="B9682" s="183"/>
    </row>
    <row r="9683" spans="2:2" ht="15.5" x14ac:dyDescent="0.35">
      <c r="B9683" s="183"/>
    </row>
    <row r="9684" spans="2:2" ht="15.5" x14ac:dyDescent="0.35">
      <c r="B9684" s="183"/>
    </row>
    <row r="9685" spans="2:2" ht="15.5" x14ac:dyDescent="0.35">
      <c r="B9685" s="183"/>
    </row>
    <row r="9686" spans="2:2" ht="15.5" x14ac:dyDescent="0.35">
      <c r="B9686" s="183"/>
    </row>
    <row r="9687" spans="2:2" ht="15.5" x14ac:dyDescent="0.35">
      <c r="B9687" s="183"/>
    </row>
    <row r="9688" spans="2:2" ht="15.5" x14ac:dyDescent="0.35">
      <c r="B9688" s="183"/>
    </row>
    <row r="9689" spans="2:2" ht="15.5" x14ac:dyDescent="0.35">
      <c r="B9689" s="183"/>
    </row>
    <row r="9690" spans="2:2" ht="15.5" x14ac:dyDescent="0.35">
      <c r="B9690" s="183"/>
    </row>
    <row r="9691" spans="2:2" ht="15.5" x14ac:dyDescent="0.35">
      <c r="B9691" s="183"/>
    </row>
    <row r="9692" spans="2:2" ht="15.5" x14ac:dyDescent="0.35">
      <c r="B9692" s="183"/>
    </row>
    <row r="9693" spans="2:2" ht="15.5" x14ac:dyDescent="0.35">
      <c r="B9693" s="183"/>
    </row>
    <row r="9694" spans="2:2" ht="15.5" x14ac:dyDescent="0.35">
      <c r="B9694" s="183"/>
    </row>
    <row r="9695" spans="2:2" ht="15.5" x14ac:dyDescent="0.35">
      <c r="B9695" s="183"/>
    </row>
    <row r="9696" spans="2:2" ht="15.5" x14ac:dyDescent="0.35">
      <c r="B9696" s="183"/>
    </row>
    <row r="9697" spans="2:2" ht="15.5" x14ac:dyDescent="0.35">
      <c r="B9697" s="183"/>
    </row>
    <row r="9698" spans="2:2" ht="15.5" x14ac:dyDescent="0.35">
      <c r="B9698" s="183"/>
    </row>
    <row r="9699" spans="2:2" ht="15.5" x14ac:dyDescent="0.35">
      <c r="B9699" s="183"/>
    </row>
    <row r="9700" spans="2:2" ht="15.5" x14ac:dyDescent="0.35">
      <c r="B9700" s="183"/>
    </row>
    <row r="9701" spans="2:2" ht="15.5" x14ac:dyDescent="0.35">
      <c r="B9701" s="183"/>
    </row>
    <row r="9702" spans="2:2" ht="15.5" x14ac:dyDescent="0.35">
      <c r="B9702" s="183"/>
    </row>
    <row r="9703" spans="2:2" ht="15.5" x14ac:dyDescent="0.35">
      <c r="B9703" s="183"/>
    </row>
    <row r="9704" spans="2:2" ht="15.5" x14ac:dyDescent="0.35">
      <c r="B9704" s="183"/>
    </row>
    <row r="9705" spans="2:2" ht="15.5" x14ac:dyDescent="0.35">
      <c r="B9705" s="183"/>
    </row>
    <row r="9706" spans="2:2" ht="15.5" x14ac:dyDescent="0.35">
      <c r="B9706" s="183"/>
    </row>
    <row r="9707" spans="2:2" ht="15.5" x14ac:dyDescent="0.35">
      <c r="B9707" s="183"/>
    </row>
    <row r="9708" spans="2:2" ht="15.5" x14ac:dyDescent="0.35">
      <c r="B9708" s="183"/>
    </row>
    <row r="9709" spans="2:2" ht="15.5" x14ac:dyDescent="0.35">
      <c r="B9709" s="183"/>
    </row>
    <row r="9710" spans="2:2" ht="15.5" x14ac:dyDescent="0.35">
      <c r="B9710" s="183"/>
    </row>
    <row r="9711" spans="2:2" ht="15.5" x14ac:dyDescent="0.35">
      <c r="B9711" s="183"/>
    </row>
    <row r="9712" spans="2:2" ht="15.5" x14ac:dyDescent="0.35">
      <c r="B9712" s="183"/>
    </row>
    <row r="9713" spans="2:2" ht="15.5" x14ac:dyDescent="0.35">
      <c r="B9713" s="183"/>
    </row>
    <row r="9714" spans="2:2" ht="15.5" x14ac:dyDescent="0.35">
      <c r="B9714" s="183"/>
    </row>
    <row r="9715" spans="2:2" ht="15.5" x14ac:dyDescent="0.35">
      <c r="B9715" s="183"/>
    </row>
    <row r="9716" spans="2:2" ht="15.5" x14ac:dyDescent="0.35">
      <c r="B9716" s="183"/>
    </row>
    <row r="9717" spans="2:2" ht="15.5" x14ac:dyDescent="0.35">
      <c r="B9717" s="183"/>
    </row>
    <row r="9718" spans="2:2" ht="15.5" x14ac:dyDescent="0.35">
      <c r="B9718" s="183"/>
    </row>
    <row r="9719" spans="2:2" ht="15.5" x14ac:dyDescent="0.35">
      <c r="B9719" s="183"/>
    </row>
    <row r="9720" spans="2:2" ht="15.5" x14ac:dyDescent="0.35">
      <c r="B9720" s="183"/>
    </row>
    <row r="9721" spans="2:2" ht="15.5" x14ac:dyDescent="0.35">
      <c r="B9721" s="183"/>
    </row>
    <row r="9722" spans="2:2" ht="15.5" x14ac:dyDescent="0.35">
      <c r="B9722" s="183"/>
    </row>
    <row r="9723" spans="2:2" ht="15.5" x14ac:dyDescent="0.35">
      <c r="B9723" s="183"/>
    </row>
    <row r="9724" spans="2:2" ht="15.5" x14ac:dyDescent="0.35">
      <c r="B9724" s="183"/>
    </row>
    <row r="9725" spans="2:2" ht="15.5" x14ac:dyDescent="0.35">
      <c r="B9725" s="183"/>
    </row>
    <row r="9726" spans="2:2" ht="15.5" x14ac:dyDescent="0.35">
      <c r="B9726" s="183"/>
    </row>
    <row r="9727" spans="2:2" ht="15.5" x14ac:dyDescent="0.35">
      <c r="B9727" s="183"/>
    </row>
    <row r="9728" spans="2:2" ht="15.5" x14ac:dyDescent="0.35">
      <c r="B9728" s="183"/>
    </row>
    <row r="9729" spans="2:2" ht="15.5" x14ac:dyDescent="0.35">
      <c r="B9729" s="183"/>
    </row>
    <row r="9730" spans="2:2" ht="15.5" x14ac:dyDescent="0.35">
      <c r="B9730" s="183"/>
    </row>
    <row r="9731" spans="2:2" ht="15.5" x14ac:dyDescent="0.35">
      <c r="B9731" s="183"/>
    </row>
    <row r="9732" spans="2:2" ht="15.5" x14ac:dyDescent="0.35">
      <c r="B9732" s="183"/>
    </row>
    <row r="9733" spans="2:2" ht="15.5" x14ac:dyDescent="0.35">
      <c r="B9733" s="183"/>
    </row>
    <row r="9734" spans="2:2" ht="15.5" x14ac:dyDescent="0.35">
      <c r="B9734" s="183"/>
    </row>
    <row r="9735" spans="2:2" ht="15.5" x14ac:dyDescent="0.35">
      <c r="B9735" s="183"/>
    </row>
    <row r="9736" spans="2:2" ht="15.5" x14ac:dyDescent="0.35">
      <c r="B9736" s="183"/>
    </row>
    <row r="9737" spans="2:2" ht="15.5" x14ac:dyDescent="0.35">
      <c r="B9737" s="183"/>
    </row>
    <row r="9738" spans="2:2" ht="15.5" x14ac:dyDescent="0.35">
      <c r="B9738" s="183"/>
    </row>
    <row r="9739" spans="2:2" ht="15.5" x14ac:dyDescent="0.35">
      <c r="B9739" s="183"/>
    </row>
    <row r="9740" spans="2:2" ht="15.5" x14ac:dyDescent="0.35">
      <c r="B9740" s="183"/>
    </row>
    <row r="9741" spans="2:2" ht="15.5" x14ac:dyDescent="0.35">
      <c r="B9741" s="183"/>
    </row>
    <row r="9742" spans="2:2" ht="15.5" x14ac:dyDescent="0.35">
      <c r="B9742" s="183"/>
    </row>
    <row r="9743" spans="2:2" ht="15.5" x14ac:dyDescent="0.35">
      <c r="B9743" s="183"/>
    </row>
    <row r="9744" spans="2:2" ht="15.5" x14ac:dyDescent="0.35">
      <c r="B9744" s="183"/>
    </row>
    <row r="9745" spans="2:2" ht="15.5" x14ac:dyDescent="0.35">
      <c r="B9745" s="183"/>
    </row>
    <row r="9746" spans="2:2" ht="15.5" x14ac:dyDescent="0.35">
      <c r="B9746" s="183"/>
    </row>
    <row r="9747" spans="2:2" ht="15.5" x14ac:dyDescent="0.35">
      <c r="B9747" s="183"/>
    </row>
    <row r="9748" spans="2:2" ht="15.5" x14ac:dyDescent="0.35">
      <c r="B9748" s="183"/>
    </row>
    <row r="9749" spans="2:2" ht="15.5" x14ac:dyDescent="0.35">
      <c r="B9749" s="183"/>
    </row>
    <row r="9750" spans="2:2" ht="15.5" x14ac:dyDescent="0.35">
      <c r="B9750" s="183"/>
    </row>
    <row r="9751" spans="2:2" ht="15.5" x14ac:dyDescent="0.35">
      <c r="B9751" s="183"/>
    </row>
    <row r="9752" spans="2:2" ht="15.5" x14ac:dyDescent="0.35">
      <c r="B9752" s="183"/>
    </row>
    <row r="9753" spans="2:2" ht="15.5" x14ac:dyDescent="0.35">
      <c r="B9753" s="183"/>
    </row>
    <row r="9754" spans="2:2" ht="15.5" x14ac:dyDescent="0.35">
      <c r="B9754" s="183"/>
    </row>
    <row r="9755" spans="2:2" ht="15.5" x14ac:dyDescent="0.35">
      <c r="B9755" s="183"/>
    </row>
    <row r="9756" spans="2:2" ht="15.5" x14ac:dyDescent="0.35">
      <c r="B9756" s="183"/>
    </row>
    <row r="9757" spans="2:2" ht="15.5" x14ac:dyDescent="0.35">
      <c r="B9757" s="183"/>
    </row>
    <row r="9758" spans="2:2" ht="15.5" x14ac:dyDescent="0.35">
      <c r="B9758" s="183"/>
    </row>
    <row r="9759" spans="2:2" ht="15.5" x14ac:dyDescent="0.35">
      <c r="B9759" s="183"/>
    </row>
    <row r="9760" spans="2:2" ht="15.5" x14ac:dyDescent="0.35">
      <c r="B9760" s="183"/>
    </row>
    <row r="9761" spans="2:2" ht="15.5" x14ac:dyDescent="0.35">
      <c r="B9761" s="183"/>
    </row>
    <row r="9762" spans="2:2" ht="15.5" x14ac:dyDescent="0.35">
      <c r="B9762" s="183"/>
    </row>
    <row r="9763" spans="2:2" ht="15.5" x14ac:dyDescent="0.35">
      <c r="B9763" s="183"/>
    </row>
    <row r="9764" spans="2:2" ht="15.5" x14ac:dyDescent="0.35">
      <c r="B9764" s="183"/>
    </row>
    <row r="9765" spans="2:2" ht="15.5" x14ac:dyDescent="0.35">
      <c r="B9765" s="183"/>
    </row>
    <row r="9766" spans="2:2" ht="15.5" x14ac:dyDescent="0.35">
      <c r="B9766" s="183"/>
    </row>
    <row r="9767" spans="2:2" ht="15.5" x14ac:dyDescent="0.35">
      <c r="B9767" s="183"/>
    </row>
    <row r="9768" spans="2:2" ht="15.5" x14ac:dyDescent="0.35">
      <c r="B9768" s="183"/>
    </row>
    <row r="9769" spans="2:2" ht="15.5" x14ac:dyDescent="0.35">
      <c r="B9769" s="183"/>
    </row>
    <row r="9770" spans="2:2" ht="15.5" x14ac:dyDescent="0.35">
      <c r="B9770" s="183"/>
    </row>
    <row r="9771" spans="2:2" ht="15.5" x14ac:dyDescent="0.35">
      <c r="B9771" s="183"/>
    </row>
    <row r="9772" spans="2:2" ht="15.5" x14ac:dyDescent="0.35">
      <c r="B9772" s="183"/>
    </row>
    <row r="9773" spans="2:2" ht="15.5" x14ac:dyDescent="0.35">
      <c r="B9773" s="183"/>
    </row>
    <row r="9774" spans="2:2" ht="15.5" x14ac:dyDescent="0.35">
      <c r="B9774" s="183"/>
    </row>
    <row r="9775" spans="2:2" ht="15.5" x14ac:dyDescent="0.35">
      <c r="B9775" s="183"/>
    </row>
    <row r="9776" spans="2:2" ht="15.5" x14ac:dyDescent="0.35">
      <c r="B9776" s="183"/>
    </row>
    <row r="9777" spans="2:2" ht="15.5" x14ac:dyDescent="0.35">
      <c r="B9777" s="183"/>
    </row>
    <row r="9778" spans="2:2" ht="15.5" x14ac:dyDescent="0.35">
      <c r="B9778" s="183"/>
    </row>
    <row r="9779" spans="2:2" ht="15.5" x14ac:dyDescent="0.35">
      <c r="B9779" s="183"/>
    </row>
    <row r="9780" spans="2:2" ht="15.5" x14ac:dyDescent="0.35">
      <c r="B9780" s="183"/>
    </row>
    <row r="9781" spans="2:2" ht="15.5" x14ac:dyDescent="0.35">
      <c r="B9781" s="183"/>
    </row>
    <row r="9782" spans="2:2" ht="15.5" x14ac:dyDescent="0.35">
      <c r="B9782" s="183"/>
    </row>
    <row r="9783" spans="2:2" ht="15.5" x14ac:dyDescent="0.35">
      <c r="B9783" s="183"/>
    </row>
    <row r="9784" spans="2:2" ht="15.5" x14ac:dyDescent="0.35">
      <c r="B9784" s="183"/>
    </row>
    <row r="9785" spans="2:2" ht="15.5" x14ac:dyDescent="0.35">
      <c r="B9785" s="183"/>
    </row>
    <row r="9786" spans="2:2" ht="15.5" x14ac:dyDescent="0.35">
      <c r="B9786" s="183"/>
    </row>
    <row r="9787" spans="2:2" ht="15.5" x14ac:dyDescent="0.35">
      <c r="B9787" s="183"/>
    </row>
    <row r="9788" spans="2:2" ht="15.5" x14ac:dyDescent="0.35">
      <c r="B9788" s="183"/>
    </row>
    <row r="9789" spans="2:2" ht="15.5" x14ac:dyDescent="0.35">
      <c r="B9789" s="183"/>
    </row>
    <row r="9790" spans="2:2" ht="15.5" x14ac:dyDescent="0.35">
      <c r="B9790" s="183"/>
    </row>
    <row r="9791" spans="2:2" ht="15.5" x14ac:dyDescent="0.35">
      <c r="B9791" s="183"/>
    </row>
    <row r="9792" spans="2:2" ht="15.5" x14ac:dyDescent="0.35">
      <c r="B9792" s="183"/>
    </row>
    <row r="9793" spans="2:2" ht="15.5" x14ac:dyDescent="0.35">
      <c r="B9793" s="183"/>
    </row>
    <row r="9794" spans="2:2" ht="15.5" x14ac:dyDescent="0.35">
      <c r="B9794" s="183"/>
    </row>
    <row r="9795" spans="2:2" ht="15.5" x14ac:dyDescent="0.35">
      <c r="B9795" s="183"/>
    </row>
    <row r="9796" spans="2:2" ht="15.5" x14ac:dyDescent="0.35">
      <c r="B9796" s="183"/>
    </row>
    <row r="9797" spans="2:2" ht="15.5" x14ac:dyDescent="0.35">
      <c r="B9797" s="183"/>
    </row>
    <row r="9798" spans="2:2" ht="15.5" x14ac:dyDescent="0.35">
      <c r="B9798" s="183"/>
    </row>
    <row r="9799" spans="2:2" ht="15.5" x14ac:dyDescent="0.35">
      <c r="B9799" s="183"/>
    </row>
    <row r="9800" spans="2:2" ht="15.5" x14ac:dyDescent="0.35">
      <c r="B9800" s="183"/>
    </row>
    <row r="9801" spans="2:2" ht="15.5" x14ac:dyDescent="0.35">
      <c r="B9801" s="183"/>
    </row>
    <row r="9802" spans="2:2" ht="15.5" x14ac:dyDescent="0.35">
      <c r="B9802" s="183"/>
    </row>
    <row r="9803" spans="2:2" ht="15.5" x14ac:dyDescent="0.35">
      <c r="B9803" s="183"/>
    </row>
    <row r="9804" spans="2:2" ht="15.5" x14ac:dyDescent="0.35">
      <c r="B9804" s="183"/>
    </row>
    <row r="9805" spans="2:2" ht="15.5" x14ac:dyDescent="0.35">
      <c r="B9805" s="183"/>
    </row>
    <row r="9806" spans="2:2" ht="15.5" x14ac:dyDescent="0.35">
      <c r="B9806" s="183"/>
    </row>
    <row r="9807" spans="2:2" ht="15.5" x14ac:dyDescent="0.35">
      <c r="B9807" s="183"/>
    </row>
    <row r="9808" spans="2:2" ht="15.5" x14ac:dyDescent="0.35">
      <c r="B9808" s="183"/>
    </row>
    <row r="9809" spans="2:2" ht="15.5" x14ac:dyDescent="0.35">
      <c r="B9809" s="183"/>
    </row>
    <row r="9810" spans="2:2" ht="15.5" x14ac:dyDescent="0.35">
      <c r="B9810" s="183"/>
    </row>
    <row r="9811" spans="2:2" ht="15.5" x14ac:dyDescent="0.35">
      <c r="B9811" s="183"/>
    </row>
    <row r="9812" spans="2:2" ht="15.5" x14ac:dyDescent="0.35">
      <c r="B9812" s="183"/>
    </row>
    <row r="9813" spans="2:2" ht="15.5" x14ac:dyDescent="0.35">
      <c r="B9813" s="183"/>
    </row>
    <row r="9814" spans="2:2" ht="15.5" x14ac:dyDescent="0.35">
      <c r="B9814" s="183"/>
    </row>
    <row r="9815" spans="2:2" ht="15.5" x14ac:dyDescent="0.35">
      <c r="B9815" s="183"/>
    </row>
    <row r="9816" spans="2:2" ht="15.5" x14ac:dyDescent="0.35">
      <c r="B9816" s="183"/>
    </row>
    <row r="9817" spans="2:2" ht="15.5" x14ac:dyDescent="0.35">
      <c r="B9817" s="183"/>
    </row>
    <row r="9818" spans="2:2" ht="15.5" x14ac:dyDescent="0.35">
      <c r="B9818" s="183"/>
    </row>
    <row r="9819" spans="2:2" ht="15.5" x14ac:dyDescent="0.35">
      <c r="B9819" s="183"/>
    </row>
    <row r="9820" spans="2:2" ht="15.5" x14ac:dyDescent="0.35">
      <c r="B9820" s="183"/>
    </row>
    <row r="9821" spans="2:2" ht="15.5" x14ac:dyDescent="0.35">
      <c r="B9821" s="183"/>
    </row>
    <row r="9822" spans="2:2" ht="15.5" x14ac:dyDescent="0.35">
      <c r="B9822" s="183"/>
    </row>
    <row r="9823" spans="2:2" ht="15.5" x14ac:dyDescent="0.35">
      <c r="B9823" s="183"/>
    </row>
    <row r="9824" spans="2:2" ht="15.5" x14ac:dyDescent="0.35">
      <c r="B9824" s="183"/>
    </row>
    <row r="9825" spans="2:2" ht="15.5" x14ac:dyDescent="0.35">
      <c r="B9825" s="183"/>
    </row>
    <row r="9826" spans="2:2" ht="15.5" x14ac:dyDescent="0.35">
      <c r="B9826" s="183"/>
    </row>
    <row r="9827" spans="2:2" ht="15.5" x14ac:dyDescent="0.35">
      <c r="B9827" s="183"/>
    </row>
    <row r="9828" spans="2:2" ht="15.5" x14ac:dyDescent="0.35">
      <c r="B9828" s="183"/>
    </row>
    <row r="9829" spans="2:2" ht="15.5" x14ac:dyDescent="0.35">
      <c r="B9829" s="183"/>
    </row>
    <row r="9830" spans="2:2" ht="15.5" x14ac:dyDescent="0.35">
      <c r="B9830" s="183"/>
    </row>
    <row r="9831" spans="2:2" ht="15.5" x14ac:dyDescent="0.35">
      <c r="B9831" s="183"/>
    </row>
    <row r="9832" spans="2:2" ht="15.5" x14ac:dyDescent="0.35">
      <c r="B9832" s="183"/>
    </row>
    <row r="9833" spans="2:2" ht="15.5" x14ac:dyDescent="0.35">
      <c r="B9833" s="183"/>
    </row>
    <row r="9834" spans="2:2" ht="15.5" x14ac:dyDescent="0.35">
      <c r="B9834" s="183"/>
    </row>
    <row r="9835" spans="2:2" ht="15.5" x14ac:dyDescent="0.35">
      <c r="B9835" s="183"/>
    </row>
    <row r="9836" spans="2:2" ht="15.5" x14ac:dyDescent="0.35">
      <c r="B9836" s="183"/>
    </row>
    <row r="9837" spans="2:2" ht="15.5" x14ac:dyDescent="0.35">
      <c r="B9837" s="183"/>
    </row>
    <row r="9838" spans="2:2" ht="15.5" x14ac:dyDescent="0.35">
      <c r="B9838" s="183"/>
    </row>
    <row r="9839" spans="2:2" ht="15.5" x14ac:dyDescent="0.35">
      <c r="B9839" s="183"/>
    </row>
    <row r="9840" spans="2:2" ht="15.5" x14ac:dyDescent="0.35">
      <c r="B9840" s="183"/>
    </row>
    <row r="9841" spans="2:2" ht="15.5" x14ac:dyDescent="0.35">
      <c r="B9841" s="183"/>
    </row>
    <row r="9842" spans="2:2" ht="15.5" x14ac:dyDescent="0.35">
      <c r="B9842" s="183"/>
    </row>
    <row r="9843" spans="2:2" ht="15.5" x14ac:dyDescent="0.35">
      <c r="B9843" s="183"/>
    </row>
    <row r="9844" spans="2:2" ht="15.5" x14ac:dyDescent="0.35">
      <c r="B9844" s="183"/>
    </row>
    <row r="9845" spans="2:2" ht="15.5" x14ac:dyDescent="0.35">
      <c r="B9845" s="183"/>
    </row>
    <row r="9846" spans="2:2" ht="15.5" x14ac:dyDescent="0.35">
      <c r="B9846" s="183"/>
    </row>
    <row r="9847" spans="2:2" ht="15.5" x14ac:dyDescent="0.35">
      <c r="B9847" s="183"/>
    </row>
    <row r="9848" spans="2:2" ht="15.5" x14ac:dyDescent="0.35">
      <c r="B9848" s="183"/>
    </row>
    <row r="9849" spans="2:2" ht="15.5" x14ac:dyDescent="0.35">
      <c r="B9849" s="183"/>
    </row>
    <row r="9850" spans="2:2" ht="15.5" x14ac:dyDescent="0.35">
      <c r="B9850" s="183"/>
    </row>
    <row r="9851" spans="2:2" ht="15.5" x14ac:dyDescent="0.35">
      <c r="B9851" s="183"/>
    </row>
    <row r="9852" spans="2:2" ht="15.5" x14ac:dyDescent="0.35">
      <c r="B9852" s="183"/>
    </row>
    <row r="9853" spans="2:2" ht="15.5" x14ac:dyDescent="0.35">
      <c r="B9853" s="183"/>
    </row>
    <row r="9854" spans="2:2" ht="15.5" x14ac:dyDescent="0.35">
      <c r="B9854" s="183"/>
    </row>
    <row r="9855" spans="2:2" ht="15.5" x14ac:dyDescent="0.35">
      <c r="B9855" s="183"/>
    </row>
    <row r="9856" spans="2:2" ht="15.5" x14ac:dyDescent="0.35">
      <c r="B9856" s="183"/>
    </row>
    <row r="9857" spans="2:2" ht="15.5" x14ac:dyDescent="0.35">
      <c r="B9857" s="183"/>
    </row>
    <row r="9858" spans="2:2" ht="15.5" x14ac:dyDescent="0.35">
      <c r="B9858" s="183"/>
    </row>
    <row r="9859" spans="2:2" ht="15.5" x14ac:dyDescent="0.35">
      <c r="B9859" s="183"/>
    </row>
    <row r="9860" spans="2:2" ht="15.5" x14ac:dyDescent="0.35">
      <c r="B9860" s="183"/>
    </row>
    <row r="9861" spans="2:2" ht="15.5" x14ac:dyDescent="0.35">
      <c r="B9861" s="183"/>
    </row>
    <row r="9862" spans="2:2" ht="15.5" x14ac:dyDescent="0.35">
      <c r="B9862" s="183"/>
    </row>
    <row r="9863" spans="2:2" ht="15.5" x14ac:dyDescent="0.35">
      <c r="B9863" s="183"/>
    </row>
    <row r="9864" spans="2:2" ht="15.5" x14ac:dyDescent="0.35">
      <c r="B9864" s="183"/>
    </row>
    <row r="9865" spans="2:2" ht="15.5" x14ac:dyDescent="0.35">
      <c r="B9865" s="183"/>
    </row>
    <row r="9866" spans="2:2" ht="15.5" x14ac:dyDescent="0.35">
      <c r="B9866" s="183"/>
    </row>
    <row r="9867" spans="2:2" ht="15.5" x14ac:dyDescent="0.35">
      <c r="B9867" s="183"/>
    </row>
    <row r="9868" spans="2:2" ht="15.5" x14ac:dyDescent="0.35">
      <c r="B9868" s="183"/>
    </row>
    <row r="9869" spans="2:2" ht="15.5" x14ac:dyDescent="0.35">
      <c r="B9869" s="183"/>
    </row>
    <row r="9870" spans="2:2" ht="15.5" x14ac:dyDescent="0.35">
      <c r="B9870" s="183"/>
    </row>
    <row r="9871" spans="2:2" ht="15.5" x14ac:dyDescent="0.35">
      <c r="B9871" s="183"/>
    </row>
    <row r="9872" spans="2:2" ht="15.5" x14ac:dyDescent="0.35">
      <c r="B9872" s="183"/>
    </row>
    <row r="9873" spans="2:2" ht="15.5" x14ac:dyDescent="0.35">
      <c r="B9873" s="183"/>
    </row>
    <row r="9874" spans="2:2" ht="15.5" x14ac:dyDescent="0.35">
      <c r="B9874" s="183"/>
    </row>
    <row r="9875" spans="2:2" ht="15.5" x14ac:dyDescent="0.35">
      <c r="B9875" s="183"/>
    </row>
    <row r="9876" spans="2:2" ht="15.5" x14ac:dyDescent="0.35">
      <c r="B9876" s="183"/>
    </row>
    <row r="9877" spans="2:2" ht="15.5" x14ac:dyDescent="0.35">
      <c r="B9877" s="183"/>
    </row>
    <row r="9878" spans="2:2" ht="15.5" x14ac:dyDescent="0.35">
      <c r="B9878" s="183"/>
    </row>
    <row r="9879" spans="2:2" ht="15.5" x14ac:dyDescent="0.35">
      <c r="B9879" s="183"/>
    </row>
    <row r="9880" spans="2:2" ht="15.5" x14ac:dyDescent="0.35">
      <c r="B9880" s="183"/>
    </row>
    <row r="9881" spans="2:2" ht="15.5" x14ac:dyDescent="0.35">
      <c r="B9881" s="183"/>
    </row>
    <row r="9882" spans="2:2" ht="15.5" x14ac:dyDescent="0.35">
      <c r="B9882" s="183"/>
    </row>
    <row r="9883" spans="2:2" ht="15.5" x14ac:dyDescent="0.35">
      <c r="B9883" s="183"/>
    </row>
    <row r="9884" spans="2:2" ht="15.5" x14ac:dyDescent="0.35">
      <c r="B9884" s="183"/>
    </row>
    <row r="9885" spans="2:2" ht="15.5" x14ac:dyDescent="0.35">
      <c r="B9885" s="183"/>
    </row>
    <row r="9886" spans="2:2" ht="15.5" x14ac:dyDescent="0.35">
      <c r="B9886" s="183"/>
    </row>
    <row r="9887" spans="2:2" ht="15.5" x14ac:dyDescent="0.35">
      <c r="B9887" s="183"/>
    </row>
    <row r="9888" spans="2:2" ht="15.5" x14ac:dyDescent="0.35">
      <c r="B9888" s="183"/>
    </row>
    <row r="9889" spans="2:2" ht="15.5" x14ac:dyDescent="0.35">
      <c r="B9889" s="183"/>
    </row>
    <row r="9890" spans="2:2" ht="15.5" x14ac:dyDescent="0.35">
      <c r="B9890" s="183"/>
    </row>
    <row r="9891" spans="2:2" ht="15.5" x14ac:dyDescent="0.35">
      <c r="B9891" s="183"/>
    </row>
    <row r="9892" spans="2:2" ht="15.5" x14ac:dyDescent="0.35">
      <c r="B9892" s="183"/>
    </row>
    <row r="9893" spans="2:2" ht="15.5" x14ac:dyDescent="0.35">
      <c r="B9893" s="183"/>
    </row>
    <row r="9894" spans="2:2" ht="15.5" x14ac:dyDescent="0.35">
      <c r="B9894" s="183"/>
    </row>
    <row r="9895" spans="2:2" ht="15.5" x14ac:dyDescent="0.35">
      <c r="B9895" s="183"/>
    </row>
    <row r="9896" spans="2:2" ht="15.5" x14ac:dyDescent="0.35">
      <c r="B9896" s="183"/>
    </row>
    <row r="9897" spans="2:2" ht="15.5" x14ac:dyDescent="0.35">
      <c r="B9897" s="183"/>
    </row>
    <row r="9898" spans="2:2" ht="15.5" x14ac:dyDescent="0.35">
      <c r="B9898" s="183"/>
    </row>
    <row r="9899" spans="2:2" ht="15.5" x14ac:dyDescent="0.35">
      <c r="B9899" s="183"/>
    </row>
    <row r="9900" spans="2:2" ht="15.5" x14ac:dyDescent="0.35">
      <c r="B9900" s="183"/>
    </row>
    <row r="9901" spans="2:2" ht="15.5" x14ac:dyDescent="0.35">
      <c r="B9901" s="183"/>
    </row>
    <row r="9902" spans="2:2" ht="15.5" x14ac:dyDescent="0.35">
      <c r="B9902" s="183"/>
    </row>
    <row r="9903" spans="2:2" ht="15.5" x14ac:dyDescent="0.35">
      <c r="B9903" s="183"/>
    </row>
    <row r="9904" spans="2:2" ht="15.5" x14ac:dyDescent="0.35">
      <c r="B9904" s="183"/>
    </row>
    <row r="9905" spans="2:2" ht="15.5" x14ac:dyDescent="0.35">
      <c r="B9905" s="183"/>
    </row>
    <row r="9906" spans="2:2" ht="15.5" x14ac:dyDescent="0.35">
      <c r="B9906" s="183"/>
    </row>
    <row r="9907" spans="2:2" ht="15.5" x14ac:dyDescent="0.35">
      <c r="B9907" s="183"/>
    </row>
    <row r="9908" spans="2:2" ht="15.5" x14ac:dyDescent="0.35">
      <c r="B9908" s="183"/>
    </row>
    <row r="9909" spans="2:2" ht="15.5" x14ac:dyDescent="0.35">
      <c r="B9909" s="183"/>
    </row>
    <row r="9910" spans="2:2" ht="15.5" x14ac:dyDescent="0.35">
      <c r="B9910" s="183"/>
    </row>
    <row r="9911" spans="2:2" ht="15.5" x14ac:dyDescent="0.35">
      <c r="B9911" s="183"/>
    </row>
    <row r="9912" spans="2:2" ht="15.5" x14ac:dyDescent="0.35">
      <c r="B9912" s="183"/>
    </row>
    <row r="9913" spans="2:2" ht="15.5" x14ac:dyDescent="0.35">
      <c r="B9913" s="183"/>
    </row>
    <row r="9914" spans="2:2" ht="15.5" x14ac:dyDescent="0.35">
      <c r="B9914" s="183"/>
    </row>
    <row r="9915" spans="2:2" ht="15.5" x14ac:dyDescent="0.35">
      <c r="B9915" s="183"/>
    </row>
    <row r="9916" spans="2:2" ht="15.5" x14ac:dyDescent="0.35">
      <c r="B9916" s="183"/>
    </row>
    <row r="9917" spans="2:2" ht="15.5" x14ac:dyDescent="0.35">
      <c r="B9917" s="183"/>
    </row>
    <row r="9918" spans="2:2" ht="15.5" x14ac:dyDescent="0.35">
      <c r="B9918" s="183"/>
    </row>
    <row r="9919" spans="2:2" ht="15.5" x14ac:dyDescent="0.35">
      <c r="B9919" s="183"/>
    </row>
    <row r="9920" spans="2:2" ht="15.5" x14ac:dyDescent="0.35">
      <c r="B9920" s="183"/>
    </row>
    <row r="9921" spans="2:2" ht="15.5" x14ac:dyDescent="0.35">
      <c r="B9921" s="183"/>
    </row>
    <row r="9922" spans="2:2" ht="15.5" x14ac:dyDescent="0.35">
      <c r="B9922" s="183"/>
    </row>
    <row r="9923" spans="2:2" ht="15.5" x14ac:dyDescent="0.35">
      <c r="B9923" s="183"/>
    </row>
    <row r="9924" spans="2:2" ht="15.5" x14ac:dyDescent="0.35">
      <c r="B9924" s="183"/>
    </row>
    <row r="9925" spans="2:2" ht="15.5" x14ac:dyDescent="0.35">
      <c r="B9925" s="183"/>
    </row>
    <row r="9926" spans="2:2" ht="15.5" x14ac:dyDescent="0.35">
      <c r="B9926" s="183"/>
    </row>
    <row r="9927" spans="2:2" ht="15.5" x14ac:dyDescent="0.35">
      <c r="B9927" s="183"/>
    </row>
    <row r="9928" spans="2:2" ht="15.5" x14ac:dyDescent="0.35">
      <c r="B9928" s="183"/>
    </row>
    <row r="9929" spans="2:2" ht="15.5" x14ac:dyDescent="0.35">
      <c r="B9929" s="183"/>
    </row>
    <row r="9930" spans="2:2" ht="15.5" x14ac:dyDescent="0.35">
      <c r="B9930" s="183"/>
    </row>
    <row r="9931" spans="2:2" ht="15.5" x14ac:dyDescent="0.35">
      <c r="B9931" s="183"/>
    </row>
    <row r="9932" spans="2:2" ht="15.5" x14ac:dyDescent="0.35">
      <c r="B9932" s="183"/>
    </row>
    <row r="9933" spans="2:2" ht="15.5" x14ac:dyDescent="0.35">
      <c r="B9933" s="183"/>
    </row>
    <row r="9934" spans="2:2" ht="15.5" x14ac:dyDescent="0.35">
      <c r="B9934" s="183"/>
    </row>
    <row r="9935" spans="2:2" ht="15.5" x14ac:dyDescent="0.35">
      <c r="B9935" s="183"/>
    </row>
    <row r="9936" spans="2:2" ht="15.5" x14ac:dyDescent="0.35">
      <c r="B9936" s="183"/>
    </row>
    <row r="9937" spans="2:2" ht="15.5" x14ac:dyDescent="0.35">
      <c r="B9937" s="183"/>
    </row>
    <row r="9938" spans="2:2" ht="15.5" x14ac:dyDescent="0.35">
      <c r="B9938" s="183"/>
    </row>
    <row r="9939" spans="2:2" ht="15.5" x14ac:dyDescent="0.35">
      <c r="B9939" s="183"/>
    </row>
    <row r="9940" spans="2:2" ht="15.5" x14ac:dyDescent="0.35">
      <c r="B9940" s="183"/>
    </row>
    <row r="9941" spans="2:2" ht="15.5" x14ac:dyDescent="0.35">
      <c r="B9941" s="183"/>
    </row>
    <row r="9942" spans="2:2" ht="15.5" x14ac:dyDescent="0.35">
      <c r="B9942" s="183"/>
    </row>
    <row r="9943" spans="2:2" ht="15.5" x14ac:dyDescent="0.35">
      <c r="B9943" s="183"/>
    </row>
    <row r="9944" spans="2:2" ht="15.5" x14ac:dyDescent="0.35">
      <c r="B9944" s="183"/>
    </row>
    <row r="9945" spans="2:2" ht="15.5" x14ac:dyDescent="0.35">
      <c r="B9945" s="183"/>
    </row>
    <row r="9946" spans="2:2" ht="15.5" x14ac:dyDescent="0.35">
      <c r="B9946" s="183"/>
    </row>
    <row r="9947" spans="2:2" ht="15.5" x14ac:dyDescent="0.35">
      <c r="B9947" s="183"/>
    </row>
    <row r="9948" spans="2:2" ht="15.5" x14ac:dyDescent="0.35">
      <c r="B9948" s="183"/>
    </row>
    <row r="9949" spans="2:2" ht="15.5" x14ac:dyDescent="0.35">
      <c r="B9949" s="183"/>
    </row>
    <row r="9950" spans="2:2" ht="15.5" x14ac:dyDescent="0.35">
      <c r="B9950" s="183"/>
    </row>
    <row r="9951" spans="2:2" ht="15.5" x14ac:dyDescent="0.35">
      <c r="B9951" s="183"/>
    </row>
    <row r="9952" spans="2:2" ht="15.5" x14ac:dyDescent="0.35">
      <c r="B9952" s="183"/>
    </row>
    <row r="9953" spans="2:2" ht="15.5" x14ac:dyDescent="0.35">
      <c r="B9953" s="183"/>
    </row>
    <row r="9954" spans="2:2" ht="15.5" x14ac:dyDescent="0.35">
      <c r="B9954" s="183"/>
    </row>
    <row r="9955" spans="2:2" ht="15.5" x14ac:dyDescent="0.35">
      <c r="B9955" s="183"/>
    </row>
    <row r="9956" spans="2:2" ht="15.5" x14ac:dyDescent="0.35">
      <c r="B9956" s="183"/>
    </row>
    <row r="9957" spans="2:2" ht="15.5" x14ac:dyDescent="0.35">
      <c r="B9957" s="183"/>
    </row>
    <row r="9958" spans="2:2" ht="15.5" x14ac:dyDescent="0.35">
      <c r="B9958" s="183"/>
    </row>
    <row r="9959" spans="2:2" ht="15.5" x14ac:dyDescent="0.35">
      <c r="B9959" s="183"/>
    </row>
    <row r="9960" spans="2:2" ht="15.5" x14ac:dyDescent="0.35">
      <c r="B9960" s="183"/>
    </row>
    <row r="9961" spans="2:2" ht="15.5" x14ac:dyDescent="0.35">
      <c r="B9961" s="183"/>
    </row>
    <row r="9962" spans="2:2" ht="15.5" x14ac:dyDescent="0.35">
      <c r="B9962" s="183"/>
    </row>
    <row r="9963" spans="2:2" ht="15.5" x14ac:dyDescent="0.35">
      <c r="B9963" s="183"/>
    </row>
    <row r="9964" spans="2:2" ht="15.5" x14ac:dyDescent="0.35">
      <c r="B9964" s="183"/>
    </row>
    <row r="9965" spans="2:2" ht="15.5" x14ac:dyDescent="0.35">
      <c r="B9965" s="183"/>
    </row>
    <row r="9966" spans="2:2" ht="15.5" x14ac:dyDescent="0.35">
      <c r="B9966" s="183"/>
    </row>
    <row r="9967" spans="2:2" ht="15.5" x14ac:dyDescent="0.35">
      <c r="B9967" s="183"/>
    </row>
    <row r="9968" spans="2:2" ht="15.5" x14ac:dyDescent="0.35">
      <c r="B9968" s="183"/>
    </row>
    <row r="9969" spans="2:2" ht="15.5" x14ac:dyDescent="0.35">
      <c r="B9969" s="183"/>
    </row>
    <row r="9970" spans="2:2" ht="15.5" x14ac:dyDescent="0.35">
      <c r="B9970" s="183"/>
    </row>
    <row r="9971" spans="2:2" ht="15.5" x14ac:dyDescent="0.35">
      <c r="B9971" s="183"/>
    </row>
    <row r="9972" spans="2:2" ht="15.5" x14ac:dyDescent="0.35">
      <c r="B9972" s="183"/>
    </row>
    <row r="9973" spans="2:2" ht="15.5" x14ac:dyDescent="0.35">
      <c r="B9973" s="183"/>
    </row>
    <row r="9974" spans="2:2" ht="15.5" x14ac:dyDescent="0.35">
      <c r="B9974" s="183"/>
    </row>
    <row r="9975" spans="2:2" ht="15.5" x14ac:dyDescent="0.35">
      <c r="B9975" s="183"/>
    </row>
    <row r="9976" spans="2:2" ht="15.5" x14ac:dyDescent="0.35">
      <c r="B9976" s="183"/>
    </row>
    <row r="9977" spans="2:2" ht="15.5" x14ac:dyDescent="0.35">
      <c r="B9977" s="183"/>
    </row>
    <row r="9978" spans="2:2" ht="15.5" x14ac:dyDescent="0.35">
      <c r="B9978" s="183"/>
    </row>
    <row r="9979" spans="2:2" ht="15.5" x14ac:dyDescent="0.35">
      <c r="B9979" s="183"/>
    </row>
    <row r="9980" spans="2:2" ht="15.5" x14ac:dyDescent="0.35">
      <c r="B9980" s="183"/>
    </row>
    <row r="9981" spans="2:2" ht="15.5" x14ac:dyDescent="0.35">
      <c r="B9981" s="183"/>
    </row>
    <row r="9982" spans="2:2" ht="15.5" x14ac:dyDescent="0.35">
      <c r="B9982" s="183"/>
    </row>
    <row r="9983" spans="2:2" ht="15.5" x14ac:dyDescent="0.35">
      <c r="B9983" s="183"/>
    </row>
    <row r="9984" spans="2:2" ht="15.5" x14ac:dyDescent="0.35">
      <c r="B9984" s="183"/>
    </row>
    <row r="9985" spans="2:2" ht="15.5" x14ac:dyDescent="0.35">
      <c r="B9985" s="183"/>
    </row>
    <row r="9986" spans="2:2" ht="15.5" x14ac:dyDescent="0.35">
      <c r="B9986" s="183"/>
    </row>
    <row r="9987" spans="2:2" ht="15.5" x14ac:dyDescent="0.35">
      <c r="B9987" s="183"/>
    </row>
    <row r="9988" spans="2:2" ht="15.5" x14ac:dyDescent="0.35">
      <c r="B9988" s="183"/>
    </row>
    <row r="9989" spans="2:2" ht="15.5" x14ac:dyDescent="0.35">
      <c r="B9989" s="183"/>
    </row>
    <row r="9990" spans="2:2" ht="15.5" x14ac:dyDescent="0.35">
      <c r="B9990" s="183"/>
    </row>
    <row r="9991" spans="2:2" ht="15.5" x14ac:dyDescent="0.35">
      <c r="B9991" s="183"/>
    </row>
    <row r="9992" spans="2:2" ht="15.5" x14ac:dyDescent="0.35">
      <c r="B9992" s="183"/>
    </row>
    <row r="9993" spans="2:2" ht="15.5" x14ac:dyDescent="0.35">
      <c r="B9993" s="183"/>
    </row>
    <row r="9994" spans="2:2" ht="15.5" x14ac:dyDescent="0.35">
      <c r="B9994" s="183"/>
    </row>
    <row r="9995" spans="2:2" ht="15.5" x14ac:dyDescent="0.35">
      <c r="B9995" s="183"/>
    </row>
    <row r="9996" spans="2:2" ht="15.5" x14ac:dyDescent="0.35">
      <c r="B9996" s="183"/>
    </row>
    <row r="9997" spans="2:2" ht="15.5" x14ac:dyDescent="0.35">
      <c r="B9997" s="183"/>
    </row>
    <row r="9998" spans="2:2" ht="15.5" x14ac:dyDescent="0.35">
      <c r="B9998" s="183"/>
    </row>
    <row r="9999" spans="2:2" ht="15.5" x14ac:dyDescent="0.35">
      <c r="B9999" s="183"/>
    </row>
    <row r="10000" spans="2:2" ht="15.5" x14ac:dyDescent="0.35">
      <c r="B10000" s="183"/>
    </row>
    <row r="10001" spans="2:2" ht="15.5" x14ac:dyDescent="0.35">
      <c r="B10001" s="183"/>
    </row>
    <row r="10002" spans="2:2" ht="15.5" x14ac:dyDescent="0.35">
      <c r="B10002" s="183"/>
    </row>
    <row r="10003" spans="2:2" ht="15.5" x14ac:dyDescent="0.35">
      <c r="B10003" s="183"/>
    </row>
    <row r="10004" spans="2:2" ht="15.5" x14ac:dyDescent="0.35">
      <c r="B10004" s="183"/>
    </row>
    <row r="10005" spans="2:2" ht="15.5" x14ac:dyDescent="0.35">
      <c r="B10005" s="183"/>
    </row>
    <row r="10006" spans="2:2" ht="15.5" x14ac:dyDescent="0.35">
      <c r="B10006" s="183"/>
    </row>
    <row r="10007" spans="2:2" ht="15.5" x14ac:dyDescent="0.35">
      <c r="B10007" s="183"/>
    </row>
    <row r="10008" spans="2:2" ht="15.5" x14ac:dyDescent="0.35">
      <c r="B10008" s="183"/>
    </row>
    <row r="10009" spans="2:2" ht="15.5" x14ac:dyDescent="0.35">
      <c r="B10009" s="183"/>
    </row>
    <row r="10010" spans="2:2" ht="15.5" x14ac:dyDescent="0.35">
      <c r="B10010" s="183"/>
    </row>
    <row r="10011" spans="2:2" ht="15.5" x14ac:dyDescent="0.35">
      <c r="B10011" s="183"/>
    </row>
    <row r="10012" spans="2:2" ht="15.5" x14ac:dyDescent="0.35">
      <c r="B10012" s="183"/>
    </row>
    <row r="10013" spans="2:2" ht="15.5" x14ac:dyDescent="0.35">
      <c r="B10013" s="183"/>
    </row>
    <row r="10014" spans="2:2" ht="15.5" x14ac:dyDescent="0.35">
      <c r="B10014" s="183"/>
    </row>
    <row r="10015" spans="2:2" ht="15.5" x14ac:dyDescent="0.35">
      <c r="B10015" s="183"/>
    </row>
    <row r="10016" spans="2:2" ht="15.5" x14ac:dyDescent="0.35">
      <c r="B10016" s="183"/>
    </row>
    <row r="10017" spans="2:2" ht="15.5" x14ac:dyDescent="0.35">
      <c r="B10017" s="183"/>
    </row>
    <row r="10018" spans="2:2" ht="15.5" x14ac:dyDescent="0.35">
      <c r="B10018" s="183"/>
    </row>
    <row r="10019" spans="2:2" ht="15.5" x14ac:dyDescent="0.35">
      <c r="B10019" s="183"/>
    </row>
    <row r="10020" spans="2:2" ht="15.5" x14ac:dyDescent="0.35">
      <c r="B10020" s="183"/>
    </row>
    <row r="10021" spans="2:2" ht="15.5" x14ac:dyDescent="0.35">
      <c r="B10021" s="183"/>
    </row>
    <row r="10022" spans="2:2" ht="15.5" x14ac:dyDescent="0.35">
      <c r="B10022" s="183"/>
    </row>
    <row r="10023" spans="2:2" ht="15.5" x14ac:dyDescent="0.35">
      <c r="B10023" s="183"/>
    </row>
    <row r="10024" spans="2:2" ht="15.5" x14ac:dyDescent="0.35">
      <c r="B10024" s="183"/>
    </row>
    <row r="10025" spans="2:2" ht="15.5" x14ac:dyDescent="0.35">
      <c r="B10025" s="183"/>
    </row>
    <row r="10026" spans="2:2" ht="15.5" x14ac:dyDescent="0.35">
      <c r="B10026" s="183"/>
    </row>
    <row r="10027" spans="2:2" ht="15.5" x14ac:dyDescent="0.35">
      <c r="B10027" s="183"/>
    </row>
    <row r="10028" spans="2:2" ht="15.5" x14ac:dyDescent="0.35">
      <c r="B10028" s="183"/>
    </row>
    <row r="10029" spans="2:2" ht="15.5" x14ac:dyDescent="0.35">
      <c r="B10029" s="183"/>
    </row>
    <row r="10030" spans="2:2" ht="15.5" x14ac:dyDescent="0.35">
      <c r="B10030" s="183"/>
    </row>
    <row r="10031" spans="2:2" ht="15.5" x14ac:dyDescent="0.35">
      <c r="B10031" s="183"/>
    </row>
    <row r="10032" spans="2:2" ht="15.5" x14ac:dyDescent="0.35">
      <c r="B10032" s="183"/>
    </row>
    <row r="10033" spans="2:2" ht="15.5" x14ac:dyDescent="0.35">
      <c r="B10033" s="183"/>
    </row>
    <row r="10034" spans="2:2" ht="15.5" x14ac:dyDescent="0.35">
      <c r="B10034" s="183"/>
    </row>
    <row r="10035" spans="2:2" ht="15.5" x14ac:dyDescent="0.35">
      <c r="B10035" s="183"/>
    </row>
    <row r="10036" spans="2:2" ht="15.5" x14ac:dyDescent="0.35">
      <c r="B10036" s="183"/>
    </row>
    <row r="10037" spans="2:2" ht="15.5" x14ac:dyDescent="0.35">
      <c r="B10037" s="183"/>
    </row>
    <row r="10038" spans="2:2" ht="15.5" x14ac:dyDescent="0.35">
      <c r="B10038" s="183"/>
    </row>
    <row r="10039" spans="2:2" ht="15.5" x14ac:dyDescent="0.35">
      <c r="B10039" s="183"/>
    </row>
    <row r="10040" spans="2:2" ht="15.5" x14ac:dyDescent="0.35">
      <c r="B10040" s="183"/>
    </row>
    <row r="10041" spans="2:2" ht="15.5" x14ac:dyDescent="0.35">
      <c r="B10041" s="183"/>
    </row>
    <row r="10042" spans="2:2" ht="15.5" x14ac:dyDescent="0.35">
      <c r="B10042" s="183"/>
    </row>
    <row r="10043" spans="2:2" ht="15.5" x14ac:dyDescent="0.35">
      <c r="B10043" s="183"/>
    </row>
    <row r="10044" spans="2:2" ht="15.5" x14ac:dyDescent="0.35">
      <c r="B10044" s="183"/>
    </row>
    <row r="10045" spans="2:2" ht="15.5" x14ac:dyDescent="0.35">
      <c r="B10045" s="183"/>
    </row>
    <row r="10046" spans="2:2" ht="15.5" x14ac:dyDescent="0.35">
      <c r="B10046" s="183"/>
    </row>
    <row r="10047" spans="2:2" ht="15.5" x14ac:dyDescent="0.35">
      <c r="B10047" s="183"/>
    </row>
    <row r="10048" spans="2:2" ht="15.5" x14ac:dyDescent="0.35">
      <c r="B10048" s="183"/>
    </row>
    <row r="10049" spans="2:2" ht="15.5" x14ac:dyDescent="0.35">
      <c r="B10049" s="183"/>
    </row>
    <row r="10050" spans="2:2" ht="15.5" x14ac:dyDescent="0.35">
      <c r="B10050" s="183"/>
    </row>
    <row r="10051" spans="2:2" ht="15.5" x14ac:dyDescent="0.35">
      <c r="B10051" s="183"/>
    </row>
    <row r="10052" spans="2:2" ht="15.5" x14ac:dyDescent="0.35">
      <c r="B10052" s="183"/>
    </row>
    <row r="10053" spans="2:2" ht="15.5" x14ac:dyDescent="0.35">
      <c r="B10053" s="183"/>
    </row>
    <row r="10054" spans="2:2" ht="15.5" x14ac:dyDescent="0.35">
      <c r="B10054" s="183"/>
    </row>
    <row r="10055" spans="2:2" ht="15.5" x14ac:dyDescent="0.35">
      <c r="B10055" s="183"/>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ds:schemaRefs>
    <ds:schemaRef ds:uri="http://schemas.microsoft.com/office/2006/metadata/properties"/>
    <ds:schemaRef ds:uri="http://www.w3.org/XML/1998/namespace"/>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8c89d0e4-a8d9-42ba-a773-c59a56f7723e"/>
    <ds:schemaRef ds:uri="http://schemas.microsoft.com/office/infopath/2007/PartnerControls"/>
    <ds:schemaRef ds:uri="6ba73c8a-1af7-4183-b158-1cd1291da2b6"/>
  </ds:schemaRefs>
</ds:datastoreItem>
</file>

<file path=customXml/itemProps2.xml><?xml version="1.0" encoding="utf-8"?>
<ds:datastoreItem xmlns:ds="http://schemas.openxmlformats.org/officeDocument/2006/customXml" ds:itemID="{A04E3618-D491-4F6F-BB80-95ED90E277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BB988D-8D01-4A93-B497-E21446BB3F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11</vt:i4>
      </vt:variant>
    </vt:vector>
  </HeadingPairs>
  <TitlesOfParts>
    <vt:vector size="11" baseType="lpstr">
      <vt:lpstr>Summary</vt:lpstr>
      <vt:lpstr>Segments</vt:lpstr>
      <vt:lpstr>Industry</vt:lpstr>
      <vt:lpstr>Peers</vt:lpstr>
      <vt:lpstr>ESG</vt:lpstr>
      <vt:lpstr>ESG Inputs</vt:lpstr>
      <vt:lpstr>DCF</vt:lpstr>
      <vt:lpstr>Inputs</vt:lpstr>
      <vt:lpstr>WACC</vt:lpstr>
      <vt:lpstr>Multiples</vt:lpstr>
      <vt:lpstr>Sensitivity</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Mafalda Joana Ferreira da Silva Bento</cp:lastModifiedBy>
  <cp:revision/>
  <dcterms:created xsi:type="dcterms:W3CDTF">2025-02-25T16:23:47Z</dcterms:created>
  <dcterms:modified xsi:type="dcterms:W3CDTF">2025-09-19T18:03:36Z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